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Gamboa\OneDrive\Documents\Tilburg\Applied economic analysis\"/>
    </mc:Choice>
  </mc:AlternateContent>
  <xr:revisionPtr revIDLastSave="0" documentId="13_ncr:1_{CD9EF5E0-B448-4429-BF82-EC6EF519FD6F}" xr6:coauthVersionLast="47" xr6:coauthVersionMax="47" xr10:uidLastSave="{00000000-0000-0000-0000-000000000000}"/>
  <bookViews>
    <workbookView xWindow="-110" yWindow="-110" windowWidth="19420" windowHeight="10300" xr2:uid="{9913A96E-693C-42EE-AC94-A9B01BD51404}"/>
  </bookViews>
  <sheets>
    <sheet name="Sheet1" sheetId="1" r:id="rId1"/>
  </sheets>
  <definedNames>
    <definedName name="_xlnm._FilterDatabase" localSheetId="0" hidden="1">Sheet1!$A$1:$P$4065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65" i="1" l="1"/>
  <c r="E4065" i="1"/>
  <c r="B4065" i="1"/>
  <c r="O4064" i="1"/>
  <c r="E4064" i="1"/>
  <c r="B4064" i="1"/>
  <c r="O4063" i="1"/>
  <c r="E4063" i="1"/>
  <c r="B4063" i="1"/>
  <c r="O4062" i="1"/>
  <c r="E4062" i="1"/>
  <c r="B4062" i="1"/>
  <c r="O4061" i="1"/>
  <c r="E4061" i="1"/>
  <c r="B4061" i="1"/>
  <c r="O4060" i="1"/>
  <c r="E4060" i="1"/>
  <c r="B4060" i="1"/>
  <c r="O4059" i="1"/>
  <c r="E4059" i="1"/>
  <c r="B4059" i="1"/>
  <c r="O4058" i="1"/>
  <c r="E4058" i="1"/>
  <c r="B4058" i="1"/>
  <c r="O4057" i="1"/>
  <c r="E4057" i="1"/>
  <c r="B4057" i="1"/>
  <c r="O4056" i="1"/>
  <c r="E4056" i="1"/>
  <c r="B4056" i="1"/>
  <c r="O4055" i="1"/>
  <c r="E4055" i="1"/>
  <c r="B4055" i="1"/>
  <c r="O4054" i="1"/>
  <c r="E4054" i="1"/>
  <c r="B4054" i="1"/>
  <c r="O4053" i="1"/>
  <c r="E4053" i="1"/>
  <c r="B4053" i="1"/>
  <c r="O4052" i="1"/>
  <c r="E4052" i="1"/>
  <c r="B4052" i="1"/>
  <c r="O4051" i="1"/>
  <c r="E4051" i="1"/>
  <c r="B4051" i="1"/>
  <c r="O4050" i="1"/>
  <c r="E4050" i="1"/>
  <c r="B4050" i="1"/>
  <c r="O4049" i="1"/>
  <c r="E4049" i="1"/>
  <c r="B4049" i="1"/>
  <c r="O4048" i="1"/>
  <c r="E4048" i="1"/>
  <c r="B4048" i="1"/>
  <c r="O4047" i="1"/>
  <c r="E4047" i="1"/>
  <c r="B4047" i="1"/>
  <c r="O4046" i="1"/>
  <c r="E4046" i="1"/>
  <c r="B4046" i="1"/>
  <c r="O4045" i="1"/>
  <c r="E4045" i="1"/>
  <c r="B4045" i="1"/>
  <c r="O4044" i="1"/>
  <c r="E4044" i="1"/>
  <c r="B4044" i="1"/>
  <c r="O4043" i="1"/>
  <c r="E4043" i="1"/>
  <c r="B4043" i="1"/>
  <c r="O4042" i="1"/>
  <c r="E4042" i="1"/>
  <c r="B4042" i="1"/>
  <c r="O4041" i="1"/>
  <c r="E4041" i="1"/>
  <c r="B4041" i="1"/>
  <c r="O4040" i="1"/>
  <c r="E4040" i="1"/>
  <c r="B4040" i="1"/>
  <c r="O4039" i="1"/>
  <c r="E4039" i="1"/>
  <c r="B4039" i="1"/>
  <c r="O4038" i="1"/>
  <c r="E4038" i="1"/>
  <c r="B4038" i="1"/>
  <c r="O4037" i="1"/>
  <c r="E4037" i="1"/>
  <c r="B4037" i="1"/>
  <c r="O4036" i="1"/>
  <c r="E4036" i="1"/>
  <c r="B4036" i="1"/>
  <c r="O4035" i="1"/>
  <c r="E4035" i="1"/>
  <c r="B4035" i="1"/>
  <c r="O4034" i="1"/>
  <c r="E4034" i="1"/>
  <c r="B4034" i="1"/>
  <c r="O4033" i="1"/>
  <c r="E4033" i="1"/>
  <c r="B4033" i="1"/>
  <c r="O4032" i="1"/>
  <c r="E4032" i="1"/>
  <c r="B4032" i="1"/>
  <c r="O4031" i="1"/>
  <c r="E4031" i="1"/>
  <c r="B4031" i="1"/>
  <c r="O4030" i="1"/>
  <c r="E4030" i="1"/>
  <c r="B4030" i="1"/>
  <c r="O4029" i="1"/>
  <c r="E4029" i="1"/>
  <c r="B4029" i="1"/>
  <c r="O4028" i="1"/>
  <c r="E4028" i="1"/>
  <c r="B4028" i="1"/>
  <c r="O4027" i="1"/>
  <c r="E4027" i="1"/>
  <c r="B4027" i="1"/>
  <c r="O4026" i="1"/>
  <c r="E4026" i="1"/>
  <c r="B4026" i="1"/>
  <c r="O4025" i="1"/>
  <c r="E4025" i="1"/>
  <c r="B4025" i="1"/>
  <c r="O4024" i="1"/>
  <c r="E4024" i="1"/>
  <c r="B4024" i="1"/>
  <c r="O4023" i="1"/>
  <c r="E4023" i="1"/>
  <c r="B4023" i="1"/>
  <c r="O4022" i="1"/>
  <c r="E4022" i="1"/>
  <c r="B4022" i="1"/>
  <c r="O4021" i="1"/>
  <c r="E4021" i="1"/>
  <c r="B4021" i="1"/>
  <c r="O4020" i="1"/>
  <c r="E4020" i="1"/>
  <c r="B4020" i="1"/>
  <c r="O4019" i="1"/>
  <c r="E4019" i="1"/>
  <c r="B4019" i="1"/>
  <c r="O4018" i="1"/>
  <c r="E4018" i="1"/>
  <c r="B4018" i="1"/>
  <c r="O4017" i="1"/>
  <c r="E4017" i="1"/>
  <c r="B4017" i="1"/>
  <c r="O4016" i="1"/>
  <c r="E4016" i="1"/>
  <c r="B4016" i="1"/>
  <c r="O4015" i="1"/>
  <c r="E4015" i="1"/>
  <c r="B4015" i="1"/>
  <c r="O4014" i="1"/>
  <c r="E4014" i="1"/>
  <c r="B4014" i="1"/>
  <c r="O4013" i="1"/>
  <c r="E4013" i="1"/>
  <c r="B4013" i="1"/>
  <c r="O4012" i="1"/>
  <c r="E4012" i="1"/>
  <c r="B4012" i="1"/>
  <c r="O4011" i="1"/>
  <c r="E4011" i="1"/>
  <c r="B4011" i="1"/>
  <c r="O4010" i="1"/>
  <c r="E4010" i="1"/>
  <c r="B4010" i="1"/>
  <c r="O4009" i="1"/>
  <c r="E4009" i="1"/>
  <c r="B4009" i="1"/>
  <c r="O4008" i="1"/>
  <c r="E4008" i="1"/>
  <c r="B4008" i="1"/>
  <c r="O4007" i="1"/>
  <c r="E4007" i="1"/>
  <c r="B4007" i="1"/>
  <c r="O4006" i="1"/>
  <c r="E4006" i="1"/>
  <c r="B4006" i="1"/>
  <c r="O4005" i="1"/>
  <c r="E4005" i="1"/>
  <c r="B4005" i="1"/>
  <c r="O4004" i="1"/>
  <c r="E4004" i="1"/>
  <c r="B4004" i="1"/>
  <c r="O4003" i="1"/>
  <c r="E4003" i="1"/>
  <c r="B4003" i="1"/>
  <c r="O4002" i="1"/>
  <c r="E4002" i="1"/>
  <c r="B4002" i="1"/>
  <c r="O4001" i="1"/>
  <c r="E4001" i="1"/>
  <c r="B4001" i="1"/>
  <c r="O4000" i="1"/>
  <c r="E4000" i="1"/>
  <c r="B4000" i="1"/>
  <c r="O3999" i="1"/>
  <c r="E3999" i="1"/>
  <c r="B3999" i="1"/>
  <c r="O3998" i="1"/>
  <c r="E3998" i="1"/>
  <c r="B3998" i="1"/>
  <c r="O3997" i="1"/>
  <c r="E3997" i="1"/>
  <c r="B3997" i="1"/>
  <c r="O3996" i="1"/>
  <c r="E3996" i="1"/>
  <c r="B3996" i="1"/>
  <c r="O3995" i="1"/>
  <c r="E3995" i="1"/>
  <c r="B3995" i="1"/>
  <c r="O3994" i="1"/>
  <c r="E3994" i="1"/>
  <c r="B3994" i="1"/>
  <c r="O3993" i="1"/>
  <c r="E3993" i="1"/>
  <c r="B3993" i="1"/>
  <c r="O3992" i="1"/>
  <c r="E3992" i="1"/>
  <c r="B3992" i="1"/>
  <c r="O3991" i="1"/>
  <c r="E3991" i="1"/>
  <c r="B3991" i="1"/>
  <c r="O3990" i="1"/>
  <c r="E3990" i="1"/>
  <c r="B3990" i="1"/>
  <c r="O3989" i="1"/>
  <c r="E3989" i="1"/>
  <c r="B3989" i="1"/>
  <c r="O3988" i="1"/>
  <c r="E3988" i="1"/>
  <c r="B3988" i="1"/>
  <c r="O3987" i="1"/>
  <c r="E3987" i="1"/>
  <c r="B3987" i="1"/>
  <c r="O3986" i="1"/>
  <c r="E3986" i="1"/>
  <c r="B3986" i="1"/>
  <c r="O3985" i="1"/>
  <c r="E3985" i="1"/>
  <c r="B3985" i="1"/>
  <c r="O3984" i="1"/>
  <c r="E3984" i="1"/>
  <c r="B3984" i="1"/>
  <c r="O3983" i="1"/>
  <c r="E3983" i="1"/>
  <c r="B3983" i="1"/>
  <c r="O3982" i="1"/>
  <c r="E3982" i="1"/>
  <c r="B3982" i="1"/>
  <c r="O3981" i="1"/>
  <c r="E3981" i="1"/>
  <c r="B3981" i="1"/>
  <c r="O3980" i="1"/>
  <c r="E3980" i="1"/>
  <c r="B3980" i="1"/>
  <c r="O3979" i="1"/>
  <c r="E3979" i="1"/>
  <c r="B3979" i="1"/>
  <c r="O3978" i="1"/>
  <c r="E3978" i="1"/>
  <c r="B3978" i="1"/>
  <c r="O3977" i="1"/>
  <c r="E3977" i="1"/>
  <c r="B3977" i="1"/>
  <c r="O3976" i="1"/>
  <c r="E3976" i="1"/>
  <c r="B3976" i="1"/>
  <c r="O3975" i="1"/>
  <c r="E3975" i="1"/>
  <c r="B3975" i="1"/>
  <c r="O3974" i="1"/>
  <c r="E3974" i="1"/>
  <c r="B3974" i="1"/>
  <c r="O3973" i="1"/>
  <c r="E3973" i="1"/>
  <c r="B3973" i="1"/>
  <c r="O3972" i="1"/>
  <c r="E3972" i="1"/>
  <c r="B3972" i="1"/>
  <c r="O3971" i="1"/>
  <c r="E3971" i="1"/>
  <c r="B3971" i="1"/>
  <c r="O3970" i="1"/>
  <c r="E3970" i="1"/>
  <c r="B3970" i="1"/>
  <c r="O3969" i="1"/>
  <c r="E3969" i="1"/>
  <c r="B3969" i="1"/>
  <c r="O3968" i="1"/>
  <c r="E3968" i="1"/>
  <c r="B3968" i="1"/>
  <c r="O3967" i="1"/>
  <c r="E3967" i="1"/>
  <c r="B3967" i="1"/>
  <c r="O3966" i="1"/>
  <c r="E3966" i="1"/>
  <c r="B3966" i="1"/>
  <c r="O3965" i="1"/>
  <c r="E3965" i="1"/>
  <c r="B3965" i="1"/>
  <c r="O3964" i="1"/>
  <c r="E3964" i="1"/>
  <c r="B3964" i="1"/>
  <c r="O3963" i="1"/>
  <c r="E3963" i="1"/>
  <c r="B3963" i="1"/>
  <c r="O3962" i="1"/>
  <c r="E3962" i="1"/>
  <c r="B3962" i="1"/>
  <c r="O3961" i="1"/>
  <c r="E3961" i="1"/>
  <c r="B3961" i="1"/>
  <c r="O3960" i="1"/>
  <c r="E3960" i="1"/>
  <c r="B3960" i="1"/>
  <c r="O3959" i="1"/>
  <c r="E3959" i="1"/>
  <c r="B3959" i="1"/>
  <c r="O3958" i="1"/>
  <c r="E3958" i="1"/>
  <c r="B3958" i="1"/>
  <c r="O3957" i="1"/>
  <c r="E3957" i="1"/>
  <c r="B3957" i="1"/>
  <c r="O3956" i="1"/>
  <c r="E3956" i="1"/>
  <c r="B3956" i="1"/>
  <c r="O3955" i="1"/>
  <c r="E3955" i="1"/>
  <c r="B3955" i="1"/>
  <c r="O3954" i="1"/>
  <c r="E3954" i="1"/>
  <c r="B3954" i="1"/>
  <c r="O3953" i="1"/>
  <c r="E3953" i="1"/>
  <c r="B3953" i="1"/>
  <c r="O3952" i="1"/>
  <c r="E3952" i="1"/>
  <c r="B3952" i="1"/>
  <c r="O3951" i="1"/>
  <c r="E3951" i="1"/>
  <c r="B3951" i="1"/>
  <c r="O3950" i="1"/>
  <c r="E3950" i="1"/>
  <c r="B3950" i="1"/>
  <c r="O3949" i="1"/>
  <c r="E3949" i="1"/>
  <c r="B3949" i="1"/>
  <c r="O3948" i="1"/>
  <c r="E3948" i="1"/>
  <c r="B3948" i="1"/>
  <c r="O3947" i="1"/>
  <c r="E3947" i="1"/>
  <c r="B3947" i="1"/>
  <c r="O3946" i="1"/>
  <c r="E3946" i="1"/>
  <c r="B3946" i="1"/>
  <c r="O3945" i="1"/>
  <c r="E3945" i="1"/>
  <c r="B3945" i="1"/>
  <c r="O3944" i="1"/>
  <c r="E3944" i="1"/>
  <c r="B3944" i="1"/>
  <c r="O3943" i="1"/>
  <c r="E3943" i="1"/>
  <c r="B3943" i="1"/>
  <c r="O3942" i="1"/>
  <c r="E3942" i="1"/>
  <c r="B3942" i="1"/>
  <c r="O3941" i="1"/>
  <c r="E3941" i="1"/>
  <c r="B3941" i="1"/>
  <c r="O3940" i="1"/>
  <c r="E3940" i="1"/>
  <c r="B3940" i="1"/>
  <c r="O3939" i="1"/>
  <c r="E3939" i="1"/>
  <c r="B3939" i="1"/>
  <c r="O3938" i="1"/>
  <c r="E3938" i="1"/>
  <c r="B3938" i="1"/>
  <c r="O3937" i="1"/>
  <c r="E3937" i="1"/>
  <c r="B3937" i="1"/>
  <c r="O3936" i="1"/>
  <c r="E3936" i="1"/>
  <c r="B3936" i="1"/>
  <c r="O3935" i="1"/>
  <c r="E3935" i="1"/>
  <c r="B3935" i="1"/>
  <c r="O3934" i="1"/>
  <c r="E3934" i="1"/>
  <c r="B3934" i="1"/>
  <c r="O3933" i="1"/>
  <c r="E3933" i="1"/>
  <c r="B3933" i="1"/>
  <c r="O3932" i="1"/>
  <c r="E3932" i="1"/>
  <c r="B3932" i="1"/>
  <c r="O3931" i="1"/>
  <c r="E3931" i="1"/>
  <c r="B3931" i="1"/>
  <c r="O3930" i="1"/>
  <c r="E3930" i="1"/>
  <c r="B3930" i="1"/>
  <c r="O3929" i="1"/>
  <c r="E3929" i="1"/>
  <c r="B3929" i="1"/>
  <c r="O3928" i="1"/>
  <c r="E3928" i="1"/>
  <c r="B3928" i="1"/>
  <c r="O3927" i="1"/>
  <c r="E3927" i="1"/>
  <c r="B3927" i="1"/>
  <c r="O3926" i="1"/>
  <c r="E3926" i="1"/>
  <c r="B3926" i="1"/>
  <c r="O3925" i="1"/>
  <c r="E3925" i="1"/>
  <c r="B3925" i="1"/>
  <c r="O3924" i="1"/>
  <c r="E3924" i="1"/>
  <c r="B3924" i="1"/>
  <c r="O3923" i="1"/>
  <c r="E3923" i="1"/>
  <c r="B3923" i="1"/>
  <c r="O3922" i="1"/>
  <c r="E3922" i="1"/>
  <c r="B3922" i="1"/>
  <c r="O3921" i="1"/>
  <c r="E3921" i="1"/>
  <c r="B3921" i="1"/>
  <c r="O3920" i="1"/>
  <c r="E3920" i="1"/>
  <c r="B3920" i="1"/>
  <c r="O3919" i="1"/>
  <c r="E3919" i="1"/>
  <c r="B3919" i="1"/>
  <c r="O3918" i="1"/>
  <c r="E3918" i="1"/>
  <c r="B3918" i="1"/>
  <c r="O3917" i="1"/>
  <c r="E3917" i="1"/>
  <c r="B3917" i="1"/>
  <c r="O3916" i="1"/>
  <c r="E3916" i="1"/>
  <c r="B3916" i="1"/>
  <c r="O3915" i="1"/>
  <c r="E3915" i="1"/>
  <c r="B3915" i="1"/>
  <c r="O3914" i="1"/>
  <c r="E3914" i="1"/>
  <c r="B3914" i="1"/>
  <c r="O3913" i="1"/>
  <c r="E3913" i="1"/>
  <c r="B3913" i="1"/>
  <c r="O3912" i="1"/>
  <c r="E3912" i="1"/>
  <c r="B3912" i="1"/>
  <c r="O3911" i="1"/>
  <c r="E3911" i="1"/>
  <c r="B3911" i="1"/>
  <c r="O3910" i="1"/>
  <c r="E3910" i="1"/>
  <c r="B3910" i="1"/>
  <c r="O3909" i="1"/>
  <c r="E3909" i="1"/>
  <c r="B3909" i="1"/>
  <c r="O3908" i="1"/>
  <c r="E3908" i="1"/>
  <c r="B3908" i="1"/>
  <c r="O3907" i="1"/>
  <c r="E3907" i="1"/>
  <c r="B3907" i="1"/>
  <c r="O3906" i="1"/>
  <c r="E3906" i="1"/>
  <c r="B3906" i="1"/>
  <c r="O3905" i="1"/>
  <c r="E3905" i="1"/>
  <c r="B3905" i="1"/>
  <c r="O3904" i="1"/>
  <c r="E3904" i="1"/>
  <c r="B3904" i="1"/>
  <c r="O3903" i="1"/>
  <c r="E3903" i="1"/>
  <c r="B3903" i="1"/>
  <c r="O3902" i="1"/>
  <c r="E3902" i="1"/>
  <c r="B3902" i="1"/>
  <c r="O3901" i="1"/>
  <c r="E3901" i="1"/>
  <c r="B3901" i="1"/>
  <c r="O3900" i="1"/>
  <c r="E3900" i="1"/>
  <c r="B3900" i="1"/>
  <c r="O3899" i="1"/>
  <c r="E3899" i="1"/>
  <c r="B3899" i="1"/>
  <c r="O3898" i="1"/>
  <c r="E3898" i="1"/>
  <c r="B3898" i="1"/>
  <c r="O3897" i="1"/>
  <c r="E3897" i="1"/>
  <c r="B3897" i="1"/>
  <c r="O3896" i="1"/>
  <c r="E3896" i="1"/>
  <c r="B3896" i="1"/>
  <c r="O3895" i="1"/>
  <c r="E3895" i="1"/>
  <c r="B3895" i="1"/>
  <c r="O3894" i="1"/>
  <c r="E3894" i="1"/>
  <c r="B3894" i="1"/>
  <c r="O3893" i="1"/>
  <c r="E3893" i="1"/>
  <c r="B3893" i="1"/>
  <c r="O3892" i="1"/>
  <c r="E3892" i="1"/>
  <c r="B3892" i="1"/>
  <c r="O3891" i="1"/>
  <c r="E3891" i="1"/>
  <c r="B3891" i="1"/>
  <c r="O3890" i="1"/>
  <c r="E3890" i="1"/>
  <c r="B3890" i="1"/>
  <c r="O3889" i="1"/>
  <c r="E3889" i="1"/>
  <c r="B3889" i="1"/>
  <c r="O3888" i="1"/>
  <c r="E3888" i="1"/>
  <c r="B3888" i="1"/>
  <c r="O3887" i="1"/>
  <c r="E3887" i="1"/>
  <c r="B3887" i="1"/>
  <c r="O3886" i="1"/>
  <c r="E3886" i="1"/>
  <c r="B3886" i="1"/>
  <c r="O3885" i="1"/>
  <c r="E3885" i="1"/>
  <c r="B3885" i="1"/>
  <c r="O3884" i="1"/>
  <c r="E3884" i="1"/>
  <c r="B3884" i="1"/>
  <c r="O3883" i="1"/>
  <c r="E3883" i="1"/>
  <c r="B3883" i="1"/>
  <c r="O3882" i="1"/>
  <c r="E3882" i="1"/>
  <c r="B3882" i="1"/>
  <c r="O3881" i="1"/>
  <c r="E3881" i="1"/>
  <c r="B3881" i="1"/>
  <c r="O3880" i="1"/>
  <c r="E3880" i="1"/>
  <c r="B3880" i="1"/>
  <c r="O3879" i="1"/>
  <c r="E3879" i="1"/>
  <c r="B3879" i="1"/>
  <c r="O3878" i="1"/>
  <c r="E3878" i="1"/>
  <c r="B3878" i="1"/>
  <c r="O3877" i="1"/>
  <c r="E3877" i="1"/>
  <c r="B3877" i="1"/>
  <c r="O3876" i="1"/>
  <c r="E3876" i="1"/>
  <c r="B3876" i="1"/>
  <c r="O3875" i="1"/>
  <c r="E3875" i="1"/>
  <c r="B3875" i="1"/>
  <c r="O3874" i="1"/>
  <c r="E3874" i="1"/>
  <c r="B3874" i="1"/>
  <c r="O3873" i="1"/>
  <c r="E3873" i="1"/>
  <c r="B3873" i="1"/>
  <c r="O3872" i="1"/>
  <c r="E3872" i="1"/>
  <c r="B3872" i="1"/>
  <c r="O3871" i="1"/>
  <c r="E3871" i="1"/>
  <c r="B3871" i="1"/>
  <c r="O3870" i="1"/>
  <c r="E3870" i="1"/>
  <c r="B3870" i="1"/>
  <c r="O3869" i="1"/>
  <c r="E3869" i="1"/>
  <c r="B3869" i="1"/>
  <c r="O3868" i="1"/>
  <c r="E3868" i="1"/>
  <c r="B3868" i="1"/>
  <c r="O3867" i="1"/>
  <c r="E3867" i="1"/>
  <c r="B3867" i="1"/>
  <c r="O3866" i="1"/>
  <c r="E3866" i="1"/>
  <c r="B3866" i="1"/>
  <c r="O3865" i="1"/>
  <c r="E3865" i="1"/>
  <c r="B3865" i="1"/>
  <c r="O3864" i="1"/>
  <c r="E3864" i="1"/>
  <c r="B3864" i="1"/>
  <c r="O3863" i="1"/>
  <c r="E3863" i="1"/>
  <c r="B3863" i="1"/>
  <c r="O3862" i="1"/>
  <c r="E3862" i="1"/>
  <c r="B3862" i="1"/>
  <c r="O3861" i="1"/>
  <c r="E3861" i="1"/>
  <c r="B3861" i="1"/>
  <c r="O3860" i="1"/>
  <c r="E3860" i="1"/>
  <c r="B3860" i="1"/>
  <c r="O3859" i="1"/>
  <c r="E3859" i="1"/>
  <c r="B3859" i="1"/>
  <c r="O3858" i="1"/>
  <c r="E3858" i="1"/>
  <c r="B3858" i="1"/>
  <c r="O3857" i="1"/>
  <c r="E3857" i="1"/>
  <c r="B3857" i="1"/>
  <c r="O3856" i="1"/>
  <c r="E3856" i="1"/>
  <c r="B3856" i="1"/>
  <c r="O3855" i="1"/>
  <c r="E3855" i="1"/>
  <c r="B3855" i="1"/>
  <c r="O3854" i="1"/>
  <c r="E3854" i="1"/>
  <c r="B3854" i="1"/>
  <c r="O3853" i="1"/>
  <c r="E3853" i="1"/>
  <c r="B3853" i="1"/>
  <c r="O3852" i="1"/>
  <c r="E3852" i="1"/>
  <c r="B3852" i="1"/>
  <c r="O3851" i="1"/>
  <c r="E3851" i="1"/>
  <c r="B3851" i="1"/>
  <c r="O3850" i="1"/>
  <c r="E3850" i="1"/>
  <c r="B3850" i="1"/>
  <c r="O3849" i="1"/>
  <c r="E3849" i="1"/>
  <c r="B3849" i="1"/>
  <c r="O3848" i="1"/>
  <c r="E3848" i="1"/>
  <c r="B3848" i="1"/>
  <c r="O3847" i="1"/>
  <c r="E3847" i="1"/>
  <c r="B3847" i="1"/>
  <c r="O3846" i="1"/>
  <c r="E3846" i="1"/>
  <c r="B3846" i="1"/>
  <c r="O3845" i="1"/>
  <c r="E3845" i="1"/>
  <c r="B3845" i="1"/>
  <c r="O3844" i="1"/>
  <c r="E3844" i="1"/>
  <c r="B3844" i="1"/>
  <c r="O3843" i="1"/>
  <c r="E3843" i="1"/>
  <c r="B3843" i="1"/>
  <c r="O3842" i="1"/>
  <c r="E3842" i="1"/>
  <c r="B3842" i="1"/>
  <c r="O3841" i="1"/>
  <c r="E3841" i="1"/>
  <c r="B3841" i="1"/>
  <c r="O3840" i="1"/>
  <c r="E3840" i="1"/>
  <c r="B3840" i="1"/>
  <c r="O3839" i="1"/>
  <c r="E3839" i="1"/>
  <c r="B3839" i="1"/>
  <c r="O3838" i="1"/>
  <c r="E3838" i="1"/>
  <c r="B3838" i="1"/>
  <c r="O3837" i="1"/>
  <c r="E3837" i="1"/>
  <c r="B3837" i="1"/>
  <c r="O3836" i="1"/>
  <c r="E3836" i="1"/>
  <c r="B3836" i="1"/>
  <c r="O3835" i="1"/>
  <c r="E3835" i="1"/>
  <c r="B3835" i="1"/>
  <c r="O3834" i="1"/>
  <c r="E3834" i="1"/>
  <c r="B3834" i="1"/>
  <c r="O3833" i="1"/>
  <c r="E3833" i="1"/>
  <c r="B3833" i="1"/>
  <c r="O3832" i="1"/>
  <c r="E3832" i="1"/>
  <c r="B3832" i="1"/>
  <c r="O3831" i="1"/>
  <c r="E3831" i="1"/>
  <c r="B3831" i="1"/>
  <c r="O3830" i="1"/>
  <c r="E3830" i="1"/>
  <c r="B3830" i="1"/>
  <c r="O3829" i="1"/>
  <c r="E3829" i="1"/>
  <c r="B3829" i="1"/>
  <c r="O3828" i="1"/>
  <c r="E3828" i="1"/>
  <c r="B3828" i="1"/>
  <c r="O3827" i="1"/>
  <c r="E3827" i="1"/>
  <c r="B3827" i="1"/>
  <c r="O3826" i="1"/>
  <c r="E3826" i="1"/>
  <c r="B3826" i="1"/>
  <c r="O3825" i="1"/>
  <c r="E3825" i="1"/>
  <c r="B3825" i="1"/>
  <c r="O3824" i="1"/>
  <c r="E3824" i="1"/>
  <c r="B3824" i="1"/>
  <c r="O3823" i="1"/>
  <c r="E3823" i="1"/>
  <c r="B3823" i="1"/>
  <c r="O3822" i="1"/>
  <c r="E3822" i="1"/>
  <c r="B3822" i="1"/>
  <c r="O3821" i="1"/>
  <c r="E3821" i="1"/>
  <c r="B3821" i="1"/>
  <c r="O3820" i="1"/>
  <c r="E3820" i="1"/>
  <c r="B3820" i="1"/>
  <c r="O3819" i="1"/>
  <c r="E3819" i="1"/>
  <c r="B3819" i="1"/>
  <c r="O3818" i="1"/>
  <c r="E3818" i="1"/>
  <c r="B3818" i="1"/>
  <c r="O3817" i="1"/>
  <c r="E3817" i="1"/>
  <c r="B3817" i="1"/>
  <c r="O3816" i="1"/>
  <c r="E3816" i="1"/>
  <c r="B3816" i="1"/>
  <c r="O3815" i="1"/>
  <c r="E3815" i="1"/>
  <c r="B3815" i="1"/>
  <c r="O3814" i="1"/>
  <c r="E3814" i="1"/>
  <c r="B3814" i="1"/>
  <c r="O3813" i="1"/>
  <c r="E3813" i="1"/>
  <c r="B3813" i="1"/>
  <c r="O3812" i="1"/>
  <c r="E3812" i="1"/>
  <c r="B3812" i="1"/>
  <c r="O3811" i="1"/>
  <c r="E3811" i="1"/>
  <c r="B3811" i="1"/>
  <c r="O3810" i="1"/>
  <c r="E3810" i="1"/>
  <c r="B3810" i="1"/>
  <c r="O3809" i="1"/>
  <c r="E3809" i="1"/>
  <c r="B3809" i="1"/>
  <c r="O3808" i="1"/>
  <c r="E3808" i="1"/>
  <c r="B3808" i="1"/>
  <c r="O3807" i="1"/>
  <c r="E3807" i="1"/>
  <c r="B3807" i="1"/>
  <c r="O3806" i="1"/>
  <c r="E3806" i="1"/>
  <c r="B3806" i="1"/>
  <c r="O3805" i="1"/>
  <c r="E3805" i="1"/>
  <c r="B3805" i="1"/>
  <c r="O3804" i="1"/>
  <c r="E3804" i="1"/>
  <c r="B3804" i="1"/>
  <c r="O3803" i="1"/>
  <c r="E3803" i="1"/>
  <c r="B3803" i="1"/>
  <c r="O3802" i="1"/>
  <c r="E3802" i="1"/>
  <c r="B3802" i="1"/>
  <c r="O3801" i="1"/>
  <c r="E3801" i="1"/>
  <c r="B3801" i="1"/>
  <c r="O3800" i="1"/>
  <c r="E3800" i="1"/>
  <c r="B3800" i="1"/>
  <c r="O3799" i="1"/>
  <c r="E3799" i="1"/>
  <c r="B3799" i="1"/>
  <c r="O3798" i="1"/>
  <c r="E3798" i="1"/>
  <c r="B3798" i="1"/>
  <c r="O3797" i="1"/>
  <c r="E3797" i="1"/>
  <c r="B3797" i="1"/>
  <c r="O3796" i="1"/>
  <c r="E3796" i="1"/>
  <c r="B3796" i="1"/>
  <c r="O3795" i="1"/>
  <c r="E3795" i="1"/>
  <c r="B3795" i="1"/>
  <c r="O3794" i="1"/>
  <c r="E3794" i="1"/>
  <c r="B3794" i="1"/>
  <c r="O3793" i="1"/>
  <c r="E3793" i="1"/>
  <c r="B3793" i="1"/>
  <c r="O3792" i="1"/>
  <c r="E3792" i="1"/>
  <c r="B3792" i="1"/>
  <c r="O3791" i="1"/>
  <c r="E3791" i="1"/>
  <c r="B3791" i="1"/>
  <c r="O3790" i="1"/>
  <c r="E3790" i="1"/>
  <c r="B3790" i="1"/>
  <c r="O3789" i="1"/>
  <c r="E3789" i="1"/>
  <c r="B3789" i="1"/>
  <c r="O3788" i="1"/>
  <c r="E3788" i="1"/>
  <c r="B3788" i="1"/>
  <c r="O3787" i="1"/>
  <c r="E3787" i="1"/>
  <c r="B3787" i="1"/>
  <c r="O3786" i="1"/>
  <c r="E3786" i="1"/>
  <c r="B3786" i="1"/>
  <c r="O3785" i="1"/>
  <c r="E3785" i="1"/>
  <c r="B3785" i="1"/>
  <c r="O3784" i="1"/>
  <c r="E3784" i="1"/>
  <c r="B3784" i="1"/>
  <c r="O3783" i="1"/>
  <c r="E3783" i="1"/>
  <c r="B3783" i="1"/>
  <c r="O3782" i="1"/>
  <c r="E3782" i="1"/>
  <c r="B3782" i="1"/>
  <c r="O3781" i="1"/>
  <c r="E3781" i="1"/>
  <c r="B3781" i="1"/>
  <c r="O3780" i="1"/>
  <c r="E3780" i="1"/>
  <c r="B3780" i="1"/>
  <c r="O3779" i="1"/>
  <c r="E3779" i="1"/>
  <c r="B3779" i="1"/>
  <c r="O3778" i="1"/>
  <c r="E3778" i="1"/>
  <c r="B3778" i="1"/>
  <c r="O3777" i="1"/>
  <c r="E3777" i="1"/>
  <c r="B3777" i="1"/>
  <c r="O3776" i="1"/>
  <c r="E3776" i="1"/>
  <c r="B3776" i="1"/>
  <c r="O3775" i="1"/>
  <c r="E3775" i="1"/>
  <c r="B3775" i="1"/>
  <c r="O3774" i="1"/>
  <c r="E3774" i="1"/>
  <c r="B3774" i="1"/>
  <c r="O3773" i="1"/>
  <c r="E3773" i="1"/>
  <c r="B3773" i="1"/>
  <c r="O3772" i="1"/>
  <c r="E3772" i="1"/>
  <c r="B3772" i="1"/>
  <c r="O3771" i="1"/>
  <c r="E3771" i="1"/>
  <c r="B3771" i="1"/>
  <c r="O3770" i="1"/>
  <c r="E3770" i="1"/>
  <c r="B3770" i="1"/>
  <c r="O3769" i="1"/>
  <c r="E3769" i="1"/>
  <c r="B3769" i="1"/>
  <c r="O3768" i="1"/>
  <c r="E3768" i="1"/>
  <c r="B3768" i="1"/>
  <c r="O3767" i="1"/>
  <c r="E3767" i="1"/>
  <c r="B3767" i="1"/>
  <c r="O3766" i="1"/>
  <c r="E3766" i="1"/>
  <c r="B3766" i="1"/>
  <c r="O3765" i="1"/>
  <c r="E3765" i="1"/>
  <c r="B3765" i="1"/>
  <c r="O3764" i="1"/>
  <c r="E3764" i="1"/>
  <c r="B3764" i="1"/>
  <c r="O3763" i="1"/>
  <c r="E3763" i="1"/>
  <c r="B3763" i="1"/>
  <c r="O3762" i="1"/>
  <c r="E3762" i="1"/>
  <c r="B3762" i="1"/>
  <c r="O3761" i="1"/>
  <c r="E3761" i="1"/>
  <c r="B3761" i="1"/>
  <c r="O3760" i="1"/>
  <c r="E3760" i="1"/>
  <c r="B3760" i="1"/>
  <c r="O3759" i="1"/>
  <c r="E3759" i="1"/>
  <c r="B3759" i="1"/>
  <c r="O3758" i="1"/>
  <c r="E3758" i="1"/>
  <c r="B3758" i="1"/>
  <c r="O3757" i="1"/>
  <c r="E3757" i="1"/>
  <c r="B3757" i="1"/>
  <c r="O3756" i="1"/>
  <c r="E3756" i="1"/>
  <c r="B3756" i="1"/>
  <c r="O3755" i="1"/>
  <c r="E3755" i="1"/>
  <c r="B3755" i="1"/>
  <c r="O3754" i="1"/>
  <c r="E3754" i="1"/>
  <c r="B3754" i="1"/>
  <c r="O3753" i="1"/>
  <c r="E3753" i="1"/>
  <c r="B3753" i="1"/>
  <c r="O3752" i="1"/>
  <c r="E3752" i="1"/>
  <c r="B3752" i="1"/>
  <c r="O3751" i="1"/>
  <c r="E3751" i="1"/>
  <c r="B3751" i="1"/>
  <c r="O3750" i="1"/>
  <c r="E3750" i="1"/>
  <c r="B3750" i="1"/>
  <c r="O3749" i="1"/>
  <c r="E3749" i="1"/>
  <c r="B3749" i="1"/>
  <c r="O3748" i="1"/>
  <c r="E3748" i="1"/>
  <c r="B3748" i="1"/>
  <c r="O3747" i="1"/>
  <c r="E3747" i="1"/>
  <c r="B3747" i="1"/>
  <c r="O3746" i="1"/>
  <c r="E3746" i="1"/>
  <c r="B3746" i="1"/>
  <c r="O3745" i="1"/>
  <c r="E3745" i="1"/>
  <c r="B3745" i="1"/>
  <c r="O3744" i="1"/>
  <c r="E3744" i="1"/>
  <c r="B3744" i="1"/>
  <c r="O3743" i="1"/>
  <c r="E3743" i="1"/>
  <c r="B3743" i="1"/>
  <c r="O3742" i="1"/>
  <c r="E3742" i="1"/>
  <c r="B3742" i="1"/>
  <c r="O3741" i="1"/>
  <c r="E3741" i="1"/>
  <c r="B3741" i="1"/>
  <c r="O3740" i="1"/>
  <c r="E3740" i="1"/>
  <c r="B3740" i="1"/>
  <c r="O3739" i="1"/>
  <c r="E3739" i="1"/>
  <c r="B3739" i="1"/>
  <c r="O3738" i="1"/>
  <c r="E3738" i="1"/>
  <c r="B3738" i="1"/>
  <c r="O3737" i="1"/>
  <c r="E3737" i="1"/>
  <c r="B3737" i="1"/>
  <c r="O3736" i="1"/>
  <c r="E3736" i="1"/>
  <c r="B3736" i="1"/>
  <c r="O3735" i="1"/>
  <c r="E3735" i="1"/>
  <c r="B3735" i="1"/>
  <c r="O3734" i="1"/>
  <c r="E3734" i="1"/>
  <c r="B3734" i="1"/>
  <c r="O3733" i="1"/>
  <c r="E3733" i="1"/>
  <c r="B3733" i="1"/>
  <c r="O3732" i="1"/>
  <c r="E3732" i="1"/>
  <c r="B3732" i="1"/>
  <c r="O3731" i="1"/>
  <c r="E3731" i="1"/>
  <c r="B3731" i="1"/>
  <c r="O3730" i="1"/>
  <c r="E3730" i="1"/>
  <c r="B3730" i="1"/>
  <c r="O3729" i="1"/>
  <c r="E3729" i="1"/>
  <c r="B3729" i="1"/>
  <c r="O3728" i="1"/>
  <c r="E3728" i="1"/>
  <c r="B3728" i="1"/>
  <c r="O3727" i="1"/>
  <c r="E3727" i="1"/>
  <c r="B3727" i="1"/>
  <c r="O3726" i="1"/>
  <c r="E3726" i="1"/>
  <c r="B3726" i="1"/>
  <c r="O3725" i="1"/>
  <c r="E3725" i="1"/>
  <c r="B3725" i="1"/>
  <c r="O3724" i="1"/>
  <c r="E3724" i="1"/>
  <c r="B3724" i="1"/>
  <c r="O3723" i="1"/>
  <c r="E3723" i="1"/>
  <c r="B3723" i="1"/>
  <c r="O3722" i="1"/>
  <c r="E3722" i="1"/>
  <c r="B3722" i="1"/>
  <c r="O3721" i="1"/>
  <c r="E3721" i="1"/>
  <c r="B3721" i="1"/>
  <c r="O3720" i="1"/>
  <c r="E3720" i="1"/>
  <c r="B3720" i="1"/>
  <c r="O3719" i="1"/>
  <c r="E3719" i="1"/>
  <c r="B3719" i="1"/>
  <c r="O3718" i="1"/>
  <c r="E3718" i="1"/>
  <c r="B3718" i="1"/>
  <c r="O3717" i="1"/>
  <c r="E3717" i="1"/>
  <c r="B3717" i="1"/>
  <c r="O3716" i="1"/>
  <c r="E3716" i="1"/>
  <c r="B3716" i="1"/>
  <c r="O3715" i="1"/>
  <c r="E3715" i="1"/>
  <c r="B3715" i="1"/>
  <c r="O3714" i="1"/>
  <c r="E3714" i="1"/>
  <c r="B3714" i="1"/>
  <c r="O3713" i="1"/>
  <c r="E3713" i="1"/>
  <c r="B3713" i="1"/>
  <c r="O3712" i="1"/>
  <c r="E3712" i="1"/>
  <c r="B3712" i="1"/>
  <c r="O3711" i="1"/>
  <c r="E3711" i="1"/>
  <c r="B3711" i="1"/>
  <c r="O3710" i="1"/>
  <c r="E3710" i="1"/>
  <c r="B3710" i="1"/>
  <c r="O3709" i="1"/>
  <c r="E3709" i="1"/>
  <c r="B3709" i="1"/>
  <c r="O3708" i="1"/>
  <c r="E3708" i="1"/>
  <c r="B3708" i="1"/>
  <c r="O3707" i="1"/>
  <c r="E3707" i="1"/>
  <c r="B3707" i="1"/>
  <c r="O3706" i="1"/>
  <c r="E3706" i="1"/>
  <c r="B3706" i="1"/>
  <c r="O3705" i="1"/>
  <c r="E3705" i="1"/>
  <c r="B3705" i="1"/>
  <c r="O3704" i="1"/>
  <c r="E3704" i="1"/>
  <c r="B3704" i="1"/>
  <c r="O3703" i="1"/>
  <c r="E3703" i="1"/>
  <c r="B3703" i="1"/>
  <c r="O3702" i="1"/>
  <c r="E3702" i="1"/>
  <c r="B3702" i="1"/>
  <c r="O3701" i="1"/>
  <c r="E3701" i="1"/>
  <c r="B3701" i="1"/>
  <c r="O3700" i="1"/>
  <c r="E3700" i="1"/>
  <c r="B3700" i="1"/>
  <c r="O3699" i="1"/>
  <c r="E3699" i="1"/>
  <c r="B3699" i="1"/>
  <c r="O3698" i="1"/>
  <c r="E3698" i="1"/>
  <c r="B3698" i="1"/>
  <c r="O3697" i="1"/>
  <c r="E3697" i="1"/>
  <c r="B3697" i="1"/>
  <c r="O3696" i="1"/>
  <c r="E3696" i="1"/>
  <c r="B3696" i="1"/>
  <c r="O3695" i="1"/>
  <c r="E3695" i="1"/>
  <c r="B3695" i="1"/>
  <c r="O3694" i="1"/>
  <c r="E3694" i="1"/>
  <c r="B3694" i="1"/>
  <c r="O3693" i="1"/>
  <c r="E3693" i="1"/>
  <c r="B3693" i="1"/>
  <c r="O3692" i="1"/>
  <c r="E3692" i="1"/>
  <c r="B3692" i="1"/>
  <c r="O3691" i="1"/>
  <c r="E3691" i="1"/>
  <c r="B3691" i="1"/>
  <c r="O3690" i="1"/>
  <c r="E3690" i="1"/>
  <c r="B3690" i="1"/>
  <c r="O3689" i="1"/>
  <c r="E3689" i="1"/>
  <c r="B3689" i="1"/>
  <c r="O3688" i="1"/>
  <c r="E3688" i="1"/>
  <c r="B3688" i="1"/>
  <c r="O3687" i="1"/>
  <c r="E3687" i="1"/>
  <c r="B3687" i="1"/>
  <c r="O3686" i="1"/>
  <c r="E3686" i="1"/>
  <c r="B3686" i="1"/>
  <c r="O3685" i="1"/>
  <c r="E3685" i="1"/>
  <c r="B3685" i="1"/>
  <c r="O3684" i="1"/>
  <c r="E3684" i="1"/>
  <c r="B3684" i="1"/>
  <c r="O3683" i="1"/>
  <c r="E3683" i="1"/>
  <c r="B3683" i="1"/>
  <c r="O3682" i="1"/>
  <c r="E3682" i="1"/>
  <c r="B3682" i="1"/>
  <c r="O3681" i="1"/>
  <c r="E3681" i="1"/>
  <c r="B3681" i="1"/>
  <c r="O3680" i="1"/>
  <c r="E3680" i="1"/>
  <c r="B3680" i="1"/>
  <c r="O3679" i="1"/>
  <c r="E3679" i="1"/>
  <c r="B3679" i="1"/>
  <c r="O3678" i="1"/>
  <c r="E3678" i="1"/>
  <c r="B3678" i="1"/>
  <c r="O3677" i="1"/>
  <c r="E3677" i="1"/>
  <c r="B3677" i="1"/>
  <c r="O3676" i="1"/>
  <c r="E3676" i="1"/>
  <c r="B3676" i="1"/>
  <c r="O3675" i="1"/>
  <c r="E3675" i="1"/>
  <c r="B3675" i="1"/>
  <c r="O3674" i="1"/>
  <c r="E3674" i="1"/>
  <c r="B3674" i="1"/>
  <c r="O3673" i="1"/>
  <c r="E3673" i="1"/>
  <c r="B3673" i="1"/>
  <c r="O3672" i="1"/>
  <c r="E3672" i="1"/>
  <c r="B3672" i="1"/>
  <c r="O3671" i="1"/>
  <c r="E3671" i="1"/>
  <c r="B3671" i="1"/>
  <c r="O3670" i="1"/>
  <c r="E3670" i="1"/>
  <c r="B3670" i="1"/>
  <c r="O3669" i="1"/>
  <c r="E3669" i="1"/>
  <c r="B3669" i="1"/>
  <c r="O3668" i="1"/>
  <c r="E3668" i="1"/>
  <c r="B3668" i="1"/>
  <c r="O3667" i="1"/>
  <c r="E3667" i="1"/>
  <c r="B3667" i="1"/>
  <c r="O3666" i="1"/>
  <c r="E3666" i="1"/>
  <c r="B3666" i="1"/>
  <c r="O3665" i="1"/>
  <c r="E3665" i="1"/>
  <c r="B3665" i="1"/>
  <c r="O3664" i="1"/>
  <c r="E3664" i="1"/>
  <c r="B3664" i="1"/>
  <c r="O3663" i="1"/>
  <c r="E3663" i="1"/>
  <c r="B3663" i="1"/>
  <c r="O3662" i="1"/>
  <c r="E3662" i="1"/>
  <c r="B3662" i="1"/>
  <c r="O3661" i="1"/>
  <c r="E3661" i="1"/>
  <c r="B3661" i="1"/>
  <c r="O3660" i="1"/>
  <c r="E3660" i="1"/>
  <c r="B3660" i="1"/>
  <c r="O3659" i="1"/>
  <c r="E3659" i="1"/>
  <c r="B3659" i="1"/>
  <c r="O3658" i="1"/>
  <c r="E3658" i="1"/>
  <c r="B3658" i="1"/>
  <c r="O3657" i="1"/>
  <c r="E3657" i="1"/>
  <c r="B3657" i="1"/>
  <c r="O3656" i="1"/>
  <c r="E3656" i="1"/>
  <c r="B3656" i="1"/>
  <c r="O3655" i="1"/>
  <c r="E3655" i="1"/>
  <c r="B3655" i="1"/>
  <c r="O3654" i="1"/>
  <c r="E3654" i="1"/>
  <c r="B3654" i="1"/>
  <c r="O3653" i="1"/>
  <c r="E3653" i="1"/>
  <c r="B3653" i="1"/>
  <c r="O3652" i="1"/>
  <c r="E3652" i="1"/>
  <c r="B3652" i="1"/>
  <c r="O3651" i="1"/>
  <c r="E3651" i="1"/>
  <c r="B3651" i="1"/>
  <c r="O3650" i="1"/>
  <c r="E3650" i="1"/>
  <c r="B3650" i="1"/>
  <c r="O3649" i="1"/>
  <c r="E3649" i="1"/>
  <c r="B3649" i="1"/>
  <c r="O3648" i="1"/>
  <c r="E3648" i="1"/>
  <c r="B3648" i="1"/>
  <c r="O3647" i="1"/>
  <c r="E3647" i="1"/>
  <c r="B3647" i="1"/>
  <c r="O3646" i="1"/>
  <c r="E3646" i="1"/>
  <c r="B3646" i="1"/>
  <c r="O3645" i="1"/>
  <c r="E3645" i="1"/>
  <c r="B3645" i="1"/>
  <c r="O3644" i="1"/>
  <c r="E3644" i="1"/>
  <c r="B3644" i="1"/>
  <c r="O3643" i="1"/>
  <c r="E3643" i="1"/>
  <c r="B3643" i="1"/>
  <c r="O3642" i="1"/>
  <c r="E3642" i="1"/>
  <c r="B3642" i="1"/>
  <c r="O3641" i="1"/>
  <c r="E3641" i="1"/>
  <c r="B3641" i="1"/>
  <c r="O3640" i="1"/>
  <c r="E3640" i="1"/>
  <c r="B3640" i="1"/>
  <c r="O3639" i="1"/>
  <c r="E3639" i="1"/>
  <c r="B3639" i="1"/>
  <c r="O3638" i="1"/>
  <c r="E3638" i="1"/>
  <c r="B3638" i="1"/>
  <c r="O3637" i="1"/>
  <c r="E3637" i="1"/>
  <c r="B3637" i="1"/>
  <c r="O3636" i="1"/>
  <c r="E3636" i="1"/>
  <c r="B3636" i="1"/>
  <c r="O3635" i="1"/>
  <c r="E3635" i="1"/>
  <c r="B3635" i="1"/>
  <c r="O3634" i="1"/>
  <c r="E3634" i="1"/>
  <c r="B3634" i="1"/>
  <c r="O3633" i="1"/>
  <c r="E3633" i="1"/>
  <c r="B3633" i="1"/>
  <c r="O3632" i="1"/>
  <c r="E3632" i="1"/>
  <c r="B3632" i="1"/>
  <c r="O3631" i="1"/>
  <c r="E3631" i="1"/>
  <c r="B3631" i="1"/>
  <c r="O3630" i="1"/>
  <c r="E3630" i="1"/>
  <c r="B3630" i="1"/>
  <c r="O3629" i="1"/>
  <c r="E3629" i="1"/>
  <c r="B3629" i="1"/>
  <c r="O3628" i="1"/>
  <c r="E3628" i="1"/>
  <c r="B3628" i="1"/>
  <c r="O3627" i="1"/>
  <c r="E3627" i="1"/>
  <c r="B3627" i="1"/>
  <c r="O3626" i="1"/>
  <c r="E3626" i="1"/>
  <c r="B3626" i="1"/>
  <c r="O3625" i="1"/>
  <c r="E3625" i="1"/>
  <c r="B3625" i="1"/>
  <c r="O3624" i="1"/>
  <c r="E3624" i="1"/>
  <c r="B3624" i="1"/>
  <c r="O3623" i="1"/>
  <c r="E3623" i="1"/>
  <c r="B3623" i="1"/>
  <c r="O3622" i="1"/>
  <c r="E3622" i="1"/>
  <c r="B3622" i="1"/>
  <c r="O3621" i="1"/>
  <c r="E3621" i="1"/>
  <c r="B3621" i="1"/>
  <c r="O3620" i="1"/>
  <c r="E3620" i="1"/>
  <c r="B3620" i="1"/>
  <c r="O3619" i="1"/>
  <c r="E3619" i="1"/>
  <c r="B3619" i="1"/>
  <c r="O3618" i="1"/>
  <c r="E3618" i="1"/>
  <c r="B3618" i="1"/>
  <c r="O3617" i="1"/>
  <c r="E3617" i="1"/>
  <c r="B3617" i="1"/>
  <c r="O3616" i="1"/>
  <c r="E3616" i="1"/>
  <c r="B3616" i="1"/>
  <c r="O3615" i="1"/>
  <c r="E3615" i="1"/>
  <c r="B3615" i="1"/>
  <c r="O3614" i="1"/>
  <c r="E3614" i="1"/>
  <c r="B3614" i="1"/>
  <c r="O3613" i="1"/>
  <c r="E3613" i="1"/>
  <c r="B3613" i="1"/>
  <c r="O3612" i="1"/>
  <c r="E3612" i="1"/>
  <c r="B3612" i="1"/>
  <c r="O3611" i="1"/>
  <c r="E3611" i="1"/>
  <c r="B3611" i="1"/>
  <c r="O3610" i="1"/>
  <c r="E3610" i="1"/>
  <c r="B3610" i="1"/>
  <c r="O3609" i="1"/>
  <c r="E3609" i="1"/>
  <c r="B3609" i="1"/>
  <c r="O3608" i="1"/>
  <c r="E3608" i="1"/>
  <c r="B3608" i="1"/>
  <c r="O3607" i="1"/>
  <c r="E3607" i="1"/>
  <c r="B3607" i="1"/>
  <c r="O3606" i="1"/>
  <c r="E3606" i="1"/>
  <c r="B3606" i="1"/>
  <c r="O3605" i="1"/>
  <c r="E3605" i="1"/>
  <c r="B3605" i="1"/>
  <c r="O3604" i="1"/>
  <c r="E3604" i="1"/>
  <c r="B3604" i="1"/>
  <c r="O3603" i="1"/>
  <c r="E3603" i="1"/>
  <c r="B3603" i="1"/>
  <c r="O3602" i="1"/>
  <c r="E3602" i="1"/>
  <c r="B3602" i="1"/>
  <c r="O3601" i="1"/>
  <c r="E3601" i="1"/>
  <c r="B3601" i="1"/>
  <c r="O3600" i="1"/>
  <c r="E3600" i="1"/>
  <c r="B3600" i="1"/>
  <c r="O3599" i="1"/>
  <c r="E3599" i="1"/>
  <c r="B3599" i="1"/>
  <c r="O3598" i="1"/>
  <c r="E3598" i="1"/>
  <c r="B3598" i="1"/>
  <c r="O3597" i="1"/>
  <c r="E3597" i="1"/>
  <c r="B3597" i="1"/>
  <c r="O3596" i="1"/>
  <c r="E3596" i="1"/>
  <c r="B3596" i="1"/>
  <c r="O3595" i="1"/>
  <c r="E3595" i="1"/>
  <c r="B3595" i="1"/>
  <c r="O3594" i="1"/>
  <c r="E3594" i="1"/>
  <c r="B3594" i="1"/>
  <c r="O3593" i="1"/>
  <c r="E3593" i="1"/>
  <c r="B3593" i="1"/>
  <c r="O3592" i="1"/>
  <c r="E3592" i="1"/>
  <c r="B3592" i="1"/>
  <c r="O3591" i="1"/>
  <c r="E3591" i="1"/>
  <c r="B3591" i="1"/>
  <c r="O3590" i="1"/>
  <c r="E3590" i="1"/>
  <c r="B3590" i="1"/>
  <c r="O3589" i="1"/>
  <c r="E3589" i="1"/>
  <c r="B3589" i="1"/>
  <c r="O3588" i="1"/>
  <c r="E3588" i="1"/>
  <c r="B3588" i="1"/>
  <c r="O3587" i="1"/>
  <c r="E3587" i="1"/>
  <c r="B3587" i="1"/>
  <c r="O3586" i="1"/>
  <c r="E3586" i="1"/>
  <c r="B3586" i="1"/>
  <c r="O3585" i="1"/>
  <c r="E3585" i="1"/>
  <c r="B3585" i="1"/>
  <c r="O3584" i="1"/>
  <c r="E3584" i="1"/>
  <c r="B3584" i="1"/>
  <c r="O3583" i="1"/>
  <c r="E3583" i="1"/>
  <c r="B3583" i="1"/>
  <c r="O3582" i="1"/>
  <c r="E3582" i="1"/>
  <c r="B3582" i="1"/>
  <c r="O3581" i="1"/>
  <c r="E3581" i="1"/>
  <c r="B3581" i="1"/>
  <c r="O3580" i="1"/>
  <c r="E3580" i="1"/>
  <c r="B3580" i="1"/>
  <c r="O3579" i="1"/>
  <c r="E3579" i="1"/>
  <c r="B3579" i="1"/>
  <c r="O3578" i="1"/>
  <c r="E3578" i="1"/>
  <c r="B3578" i="1"/>
  <c r="O3577" i="1"/>
  <c r="E3577" i="1"/>
  <c r="B3577" i="1"/>
  <c r="O3576" i="1"/>
  <c r="E3576" i="1"/>
  <c r="B3576" i="1"/>
  <c r="O3575" i="1"/>
  <c r="E3575" i="1"/>
  <c r="B3575" i="1"/>
  <c r="O3574" i="1"/>
  <c r="E3574" i="1"/>
  <c r="B3574" i="1"/>
  <c r="O3573" i="1"/>
  <c r="E3573" i="1"/>
  <c r="B3573" i="1"/>
  <c r="O3572" i="1"/>
  <c r="E3572" i="1"/>
  <c r="B3572" i="1"/>
  <c r="O3571" i="1"/>
  <c r="E3571" i="1"/>
  <c r="B3571" i="1"/>
  <c r="O3570" i="1"/>
  <c r="E3570" i="1"/>
  <c r="B3570" i="1"/>
  <c r="O3569" i="1"/>
  <c r="E3569" i="1"/>
  <c r="B3569" i="1"/>
  <c r="O3568" i="1"/>
  <c r="E3568" i="1"/>
  <c r="B3568" i="1"/>
  <c r="O3567" i="1"/>
  <c r="E3567" i="1"/>
  <c r="B3567" i="1"/>
  <c r="O3566" i="1"/>
  <c r="E3566" i="1"/>
  <c r="B3566" i="1"/>
  <c r="O3565" i="1"/>
  <c r="E3565" i="1"/>
  <c r="B3565" i="1"/>
  <c r="O3564" i="1"/>
  <c r="E3564" i="1"/>
  <c r="B3564" i="1"/>
  <c r="O3563" i="1"/>
  <c r="E3563" i="1"/>
  <c r="B3563" i="1"/>
  <c r="O3562" i="1"/>
  <c r="E3562" i="1"/>
  <c r="B3562" i="1"/>
  <c r="O3561" i="1"/>
  <c r="E3561" i="1"/>
  <c r="B3561" i="1"/>
  <c r="O3560" i="1"/>
  <c r="E3560" i="1"/>
  <c r="B3560" i="1"/>
  <c r="O3559" i="1"/>
  <c r="E3559" i="1"/>
  <c r="B3559" i="1"/>
  <c r="O3558" i="1"/>
  <c r="E3558" i="1"/>
  <c r="B3558" i="1"/>
  <c r="O3557" i="1"/>
  <c r="E3557" i="1"/>
  <c r="B3557" i="1"/>
  <c r="O3556" i="1"/>
  <c r="E3556" i="1"/>
  <c r="B3556" i="1"/>
  <c r="O3555" i="1"/>
  <c r="E3555" i="1"/>
  <c r="B3555" i="1"/>
  <c r="O3554" i="1"/>
  <c r="E3554" i="1"/>
  <c r="B3554" i="1"/>
  <c r="O3553" i="1"/>
  <c r="E3553" i="1"/>
  <c r="B3553" i="1"/>
  <c r="O3552" i="1"/>
  <c r="E3552" i="1"/>
  <c r="B3552" i="1"/>
  <c r="O3551" i="1"/>
  <c r="E3551" i="1"/>
  <c r="B3551" i="1"/>
  <c r="O3550" i="1"/>
  <c r="E3550" i="1"/>
  <c r="B3550" i="1"/>
  <c r="O3549" i="1"/>
  <c r="E3549" i="1"/>
  <c r="B3549" i="1"/>
  <c r="O3548" i="1"/>
  <c r="E3548" i="1"/>
  <c r="B3548" i="1"/>
  <c r="O3547" i="1"/>
  <c r="E3547" i="1"/>
  <c r="B3547" i="1"/>
  <c r="O3546" i="1"/>
  <c r="E3546" i="1"/>
  <c r="B3546" i="1"/>
  <c r="O3545" i="1"/>
  <c r="E3545" i="1"/>
  <c r="B3545" i="1"/>
  <c r="O3544" i="1"/>
  <c r="E3544" i="1"/>
  <c r="B3544" i="1"/>
  <c r="O3543" i="1"/>
  <c r="E3543" i="1"/>
  <c r="B3543" i="1"/>
  <c r="O3542" i="1"/>
  <c r="E3542" i="1"/>
  <c r="B3542" i="1"/>
  <c r="O3541" i="1"/>
  <c r="E3541" i="1"/>
  <c r="B3541" i="1"/>
  <c r="O3540" i="1"/>
  <c r="E3540" i="1"/>
  <c r="B3540" i="1"/>
  <c r="O3539" i="1"/>
  <c r="E3539" i="1"/>
  <c r="B3539" i="1"/>
  <c r="O3538" i="1"/>
  <c r="E3538" i="1"/>
  <c r="B3538" i="1"/>
  <c r="O3537" i="1"/>
  <c r="E3537" i="1"/>
  <c r="B3537" i="1"/>
  <c r="O3536" i="1"/>
  <c r="E3536" i="1"/>
  <c r="B3536" i="1"/>
  <c r="O3535" i="1"/>
  <c r="E3535" i="1"/>
  <c r="B3535" i="1"/>
  <c r="O3534" i="1"/>
  <c r="E3534" i="1"/>
  <c r="B3534" i="1"/>
  <c r="O3533" i="1"/>
  <c r="E3533" i="1"/>
  <c r="B3533" i="1"/>
  <c r="O3532" i="1"/>
  <c r="E3532" i="1"/>
  <c r="B3532" i="1"/>
  <c r="O3531" i="1"/>
  <c r="E3531" i="1"/>
  <c r="B3531" i="1"/>
  <c r="O3530" i="1"/>
  <c r="E3530" i="1"/>
  <c r="B3530" i="1"/>
  <c r="O3529" i="1"/>
  <c r="E3529" i="1"/>
  <c r="B3529" i="1"/>
  <c r="O3528" i="1"/>
  <c r="E3528" i="1"/>
  <c r="B3528" i="1"/>
  <c r="O3527" i="1"/>
  <c r="E3527" i="1"/>
  <c r="B3527" i="1"/>
  <c r="O3526" i="1"/>
  <c r="E3526" i="1"/>
  <c r="B3526" i="1"/>
  <c r="O3525" i="1"/>
  <c r="E3525" i="1"/>
  <c r="B3525" i="1"/>
  <c r="O3524" i="1"/>
  <c r="E3524" i="1"/>
  <c r="B3524" i="1"/>
  <c r="O3523" i="1"/>
  <c r="E3523" i="1"/>
  <c r="B3523" i="1"/>
  <c r="O3522" i="1"/>
  <c r="E3522" i="1"/>
  <c r="B3522" i="1"/>
  <c r="O3521" i="1"/>
  <c r="E3521" i="1"/>
  <c r="B3521" i="1"/>
  <c r="O3520" i="1"/>
  <c r="E3520" i="1"/>
  <c r="B3520" i="1"/>
  <c r="O3519" i="1"/>
  <c r="E3519" i="1"/>
  <c r="B3519" i="1"/>
  <c r="O3518" i="1"/>
  <c r="E3518" i="1"/>
  <c r="B3518" i="1"/>
  <c r="O3517" i="1"/>
  <c r="E3517" i="1"/>
  <c r="B3517" i="1"/>
  <c r="O3516" i="1"/>
  <c r="E3516" i="1"/>
  <c r="B3516" i="1"/>
  <c r="O3515" i="1"/>
  <c r="E3515" i="1"/>
  <c r="B3515" i="1"/>
  <c r="O3514" i="1"/>
  <c r="E3514" i="1"/>
  <c r="B3514" i="1"/>
  <c r="O3513" i="1"/>
  <c r="E3513" i="1"/>
  <c r="B3513" i="1"/>
  <c r="O3512" i="1"/>
  <c r="E3512" i="1"/>
  <c r="B3512" i="1"/>
  <c r="O3511" i="1"/>
  <c r="E3511" i="1"/>
  <c r="B3511" i="1"/>
  <c r="O3510" i="1"/>
  <c r="E3510" i="1"/>
  <c r="B3510" i="1"/>
  <c r="O3509" i="1"/>
  <c r="E3509" i="1"/>
  <c r="B3509" i="1"/>
  <c r="O3508" i="1"/>
  <c r="E3508" i="1"/>
  <c r="B3508" i="1"/>
  <c r="O3507" i="1"/>
  <c r="E3507" i="1"/>
  <c r="B3507" i="1"/>
  <c r="O3506" i="1"/>
  <c r="E3506" i="1"/>
  <c r="B3506" i="1"/>
  <c r="O3505" i="1"/>
  <c r="E3505" i="1"/>
  <c r="B3505" i="1"/>
  <c r="O3504" i="1"/>
  <c r="E3504" i="1"/>
  <c r="B3504" i="1"/>
  <c r="O3503" i="1"/>
  <c r="E3503" i="1"/>
  <c r="B3503" i="1"/>
  <c r="O3502" i="1"/>
  <c r="E3502" i="1"/>
  <c r="B3502" i="1"/>
  <c r="O3501" i="1"/>
  <c r="E3501" i="1"/>
  <c r="B3501" i="1"/>
  <c r="O3500" i="1"/>
  <c r="E3500" i="1"/>
  <c r="B3500" i="1"/>
  <c r="O3499" i="1"/>
  <c r="E3499" i="1"/>
  <c r="B3499" i="1"/>
  <c r="O3498" i="1"/>
  <c r="E3498" i="1"/>
  <c r="B3498" i="1"/>
  <c r="O3497" i="1"/>
  <c r="E3497" i="1"/>
  <c r="B3497" i="1"/>
  <c r="O3496" i="1"/>
  <c r="E3496" i="1"/>
  <c r="B3496" i="1"/>
  <c r="O3495" i="1"/>
  <c r="E3495" i="1"/>
  <c r="B3495" i="1"/>
  <c r="O3494" i="1"/>
  <c r="E3494" i="1"/>
  <c r="B3494" i="1"/>
  <c r="O3493" i="1"/>
  <c r="E3493" i="1"/>
  <c r="B3493" i="1"/>
  <c r="O3492" i="1"/>
  <c r="E3492" i="1"/>
  <c r="B3492" i="1"/>
  <c r="O3491" i="1"/>
  <c r="E3491" i="1"/>
  <c r="B3491" i="1"/>
  <c r="O3490" i="1"/>
  <c r="E3490" i="1"/>
  <c r="B3490" i="1"/>
  <c r="O3489" i="1"/>
  <c r="E3489" i="1"/>
  <c r="B3489" i="1"/>
  <c r="O3488" i="1"/>
  <c r="E3488" i="1"/>
  <c r="B3488" i="1"/>
  <c r="O3487" i="1"/>
  <c r="E3487" i="1"/>
  <c r="B3487" i="1"/>
  <c r="O3486" i="1"/>
  <c r="E3486" i="1"/>
  <c r="B3486" i="1"/>
  <c r="O3485" i="1"/>
  <c r="E3485" i="1"/>
  <c r="B3485" i="1"/>
  <c r="O3484" i="1"/>
  <c r="E3484" i="1"/>
  <c r="B3484" i="1"/>
  <c r="O3483" i="1"/>
  <c r="E3483" i="1"/>
  <c r="B3483" i="1"/>
  <c r="O3482" i="1"/>
  <c r="E3482" i="1"/>
  <c r="B3482" i="1"/>
  <c r="O3481" i="1"/>
  <c r="E3481" i="1"/>
  <c r="B3481" i="1"/>
  <c r="O3480" i="1"/>
  <c r="E3480" i="1"/>
  <c r="B3480" i="1"/>
  <c r="O3479" i="1"/>
  <c r="E3479" i="1"/>
  <c r="B3479" i="1"/>
  <c r="O3478" i="1"/>
  <c r="E3478" i="1"/>
  <c r="B3478" i="1"/>
  <c r="O3477" i="1"/>
  <c r="E3477" i="1"/>
  <c r="B3477" i="1"/>
  <c r="O3476" i="1"/>
  <c r="E3476" i="1"/>
  <c r="B3476" i="1"/>
  <c r="O3475" i="1"/>
  <c r="E3475" i="1"/>
  <c r="B3475" i="1"/>
  <c r="O3474" i="1"/>
  <c r="E3474" i="1"/>
  <c r="B3474" i="1"/>
  <c r="O3473" i="1"/>
  <c r="E3473" i="1"/>
  <c r="B3473" i="1"/>
  <c r="O3472" i="1"/>
  <c r="E3472" i="1"/>
  <c r="B3472" i="1"/>
  <c r="O3471" i="1"/>
  <c r="E3471" i="1"/>
  <c r="B3471" i="1"/>
  <c r="O3470" i="1"/>
  <c r="E3470" i="1"/>
  <c r="B3470" i="1"/>
  <c r="O3469" i="1"/>
  <c r="E3469" i="1"/>
  <c r="B3469" i="1"/>
  <c r="O3468" i="1"/>
  <c r="E3468" i="1"/>
  <c r="B3468" i="1"/>
  <c r="O3467" i="1"/>
  <c r="E3467" i="1"/>
  <c r="B3467" i="1"/>
  <c r="O3466" i="1"/>
  <c r="E3466" i="1"/>
  <c r="B3466" i="1"/>
  <c r="O3465" i="1"/>
  <c r="E3465" i="1"/>
  <c r="B3465" i="1"/>
  <c r="O3464" i="1"/>
  <c r="E3464" i="1"/>
  <c r="B3464" i="1"/>
  <c r="O3463" i="1"/>
  <c r="E3463" i="1"/>
  <c r="B3463" i="1"/>
  <c r="O3462" i="1"/>
  <c r="E3462" i="1"/>
  <c r="B3462" i="1"/>
  <c r="O3461" i="1"/>
  <c r="E3461" i="1"/>
  <c r="B3461" i="1"/>
  <c r="O3460" i="1"/>
  <c r="E3460" i="1"/>
  <c r="B3460" i="1"/>
  <c r="O3459" i="1"/>
  <c r="E3459" i="1"/>
  <c r="B3459" i="1"/>
  <c r="O3458" i="1"/>
  <c r="E3458" i="1"/>
  <c r="B3458" i="1"/>
  <c r="O3457" i="1"/>
  <c r="E3457" i="1"/>
  <c r="B3457" i="1"/>
  <c r="O3456" i="1"/>
  <c r="E3456" i="1"/>
  <c r="B3456" i="1"/>
  <c r="O3455" i="1"/>
  <c r="E3455" i="1"/>
  <c r="B3455" i="1"/>
  <c r="O3454" i="1"/>
  <c r="E3454" i="1"/>
  <c r="B3454" i="1"/>
  <c r="O3453" i="1"/>
  <c r="E3453" i="1"/>
  <c r="B3453" i="1"/>
  <c r="O3452" i="1"/>
  <c r="E3452" i="1"/>
  <c r="B3452" i="1"/>
  <c r="O3451" i="1"/>
  <c r="E3451" i="1"/>
  <c r="B3451" i="1"/>
  <c r="O3450" i="1"/>
  <c r="E3450" i="1"/>
  <c r="B3450" i="1"/>
  <c r="O3449" i="1"/>
  <c r="E3449" i="1"/>
  <c r="B3449" i="1"/>
  <c r="O3448" i="1"/>
  <c r="E3448" i="1"/>
  <c r="B3448" i="1"/>
  <c r="O3447" i="1"/>
  <c r="E3447" i="1"/>
  <c r="B3447" i="1"/>
  <c r="O3446" i="1"/>
  <c r="E3446" i="1"/>
  <c r="B3446" i="1"/>
  <c r="O3445" i="1"/>
  <c r="E3445" i="1"/>
  <c r="B3445" i="1"/>
  <c r="O3444" i="1"/>
  <c r="E3444" i="1"/>
  <c r="B3444" i="1"/>
  <c r="O3443" i="1"/>
  <c r="E3443" i="1"/>
  <c r="B3443" i="1"/>
  <c r="O3442" i="1"/>
  <c r="E3442" i="1"/>
  <c r="B3442" i="1"/>
  <c r="O3441" i="1"/>
  <c r="E3441" i="1"/>
  <c r="B3441" i="1"/>
  <c r="O3440" i="1"/>
  <c r="E3440" i="1"/>
  <c r="B3440" i="1"/>
  <c r="O3439" i="1"/>
  <c r="E3439" i="1"/>
  <c r="B3439" i="1"/>
  <c r="O3438" i="1"/>
  <c r="E3438" i="1"/>
  <c r="B3438" i="1"/>
  <c r="O3437" i="1"/>
  <c r="E3437" i="1"/>
  <c r="B3437" i="1"/>
  <c r="O3436" i="1"/>
  <c r="E3436" i="1"/>
  <c r="B3436" i="1"/>
  <c r="O3435" i="1"/>
  <c r="E3435" i="1"/>
  <c r="B3435" i="1"/>
  <c r="O3434" i="1"/>
  <c r="E3434" i="1"/>
  <c r="B3434" i="1"/>
  <c r="O3433" i="1"/>
  <c r="E3433" i="1"/>
  <c r="B3433" i="1"/>
  <c r="O3432" i="1"/>
  <c r="E3432" i="1"/>
  <c r="B3432" i="1"/>
  <c r="O3431" i="1"/>
  <c r="E3431" i="1"/>
  <c r="B3431" i="1"/>
  <c r="O3430" i="1"/>
  <c r="E3430" i="1"/>
  <c r="B3430" i="1"/>
  <c r="O3429" i="1"/>
  <c r="E3429" i="1"/>
  <c r="B3429" i="1"/>
  <c r="O3428" i="1"/>
  <c r="E3428" i="1"/>
  <c r="B3428" i="1"/>
  <c r="O3427" i="1"/>
  <c r="E3427" i="1"/>
  <c r="B3427" i="1"/>
  <c r="O3426" i="1"/>
  <c r="E3426" i="1"/>
  <c r="B3426" i="1"/>
  <c r="O3425" i="1"/>
  <c r="E3425" i="1"/>
  <c r="B3425" i="1"/>
  <c r="O3424" i="1"/>
  <c r="E3424" i="1"/>
  <c r="B3424" i="1"/>
  <c r="O3423" i="1"/>
  <c r="E3423" i="1"/>
  <c r="B3423" i="1"/>
  <c r="O3422" i="1"/>
  <c r="E3422" i="1"/>
  <c r="B3422" i="1"/>
  <c r="O3421" i="1"/>
  <c r="E3421" i="1"/>
  <c r="B3421" i="1"/>
  <c r="O3420" i="1"/>
  <c r="E3420" i="1"/>
  <c r="B3420" i="1"/>
  <c r="O3419" i="1"/>
  <c r="E3419" i="1"/>
  <c r="B3419" i="1"/>
  <c r="O3418" i="1"/>
  <c r="E3418" i="1"/>
  <c r="B3418" i="1"/>
  <c r="O3417" i="1"/>
  <c r="E3417" i="1"/>
  <c r="B3417" i="1"/>
  <c r="O3416" i="1"/>
  <c r="E3416" i="1"/>
  <c r="B3416" i="1"/>
  <c r="O3415" i="1"/>
  <c r="E3415" i="1"/>
  <c r="B3415" i="1"/>
  <c r="O3414" i="1"/>
  <c r="E3414" i="1"/>
  <c r="B3414" i="1"/>
  <c r="O3413" i="1"/>
  <c r="E3413" i="1"/>
  <c r="B3413" i="1"/>
  <c r="O3412" i="1"/>
  <c r="E3412" i="1"/>
  <c r="B3412" i="1"/>
  <c r="O3411" i="1"/>
  <c r="E3411" i="1"/>
  <c r="B3411" i="1"/>
  <c r="O3410" i="1"/>
  <c r="E3410" i="1"/>
  <c r="B3410" i="1"/>
  <c r="O3409" i="1"/>
  <c r="E3409" i="1"/>
  <c r="B3409" i="1"/>
  <c r="O3408" i="1"/>
  <c r="E3408" i="1"/>
  <c r="B3408" i="1"/>
  <c r="O3407" i="1"/>
  <c r="E3407" i="1"/>
  <c r="B3407" i="1"/>
  <c r="O3406" i="1"/>
  <c r="E3406" i="1"/>
  <c r="B3406" i="1"/>
  <c r="O3405" i="1"/>
  <c r="E3405" i="1"/>
  <c r="B3405" i="1"/>
  <c r="O3404" i="1"/>
  <c r="E3404" i="1"/>
  <c r="B3404" i="1"/>
  <c r="O3403" i="1"/>
  <c r="E3403" i="1"/>
  <c r="B3403" i="1"/>
  <c r="O3402" i="1"/>
  <c r="E3402" i="1"/>
  <c r="B3402" i="1"/>
  <c r="O3401" i="1"/>
  <c r="E3401" i="1"/>
  <c r="B3401" i="1"/>
  <c r="O3400" i="1"/>
  <c r="E3400" i="1"/>
  <c r="B3400" i="1"/>
  <c r="O3399" i="1"/>
  <c r="E3399" i="1"/>
  <c r="B3399" i="1"/>
  <c r="O3398" i="1"/>
  <c r="E3398" i="1"/>
  <c r="B3398" i="1"/>
  <c r="O3397" i="1"/>
  <c r="E3397" i="1"/>
  <c r="B3397" i="1"/>
  <c r="O3396" i="1"/>
  <c r="E3396" i="1"/>
  <c r="B3396" i="1"/>
  <c r="O3395" i="1"/>
  <c r="E3395" i="1"/>
  <c r="B3395" i="1"/>
  <c r="O3394" i="1"/>
  <c r="E3394" i="1"/>
  <c r="B3394" i="1"/>
  <c r="O3393" i="1"/>
  <c r="E3393" i="1"/>
  <c r="B3393" i="1"/>
  <c r="O3392" i="1"/>
  <c r="E3392" i="1"/>
  <c r="B3392" i="1"/>
  <c r="O3391" i="1"/>
  <c r="E3391" i="1"/>
  <c r="B3391" i="1"/>
  <c r="O3390" i="1"/>
  <c r="E3390" i="1"/>
  <c r="B3390" i="1"/>
  <c r="O3389" i="1"/>
  <c r="E3389" i="1"/>
  <c r="B3389" i="1"/>
  <c r="O3388" i="1"/>
  <c r="E3388" i="1"/>
  <c r="B3388" i="1"/>
  <c r="O3387" i="1"/>
  <c r="E3387" i="1"/>
  <c r="B3387" i="1"/>
  <c r="O3386" i="1"/>
  <c r="E3386" i="1"/>
  <c r="B3386" i="1"/>
  <c r="O3385" i="1"/>
  <c r="E3385" i="1"/>
  <c r="B3385" i="1"/>
  <c r="O3384" i="1"/>
  <c r="E3384" i="1"/>
  <c r="B3384" i="1"/>
  <c r="O3383" i="1"/>
  <c r="E3383" i="1"/>
  <c r="B3383" i="1"/>
  <c r="O3382" i="1"/>
  <c r="E3382" i="1"/>
  <c r="B3382" i="1"/>
  <c r="O3381" i="1"/>
  <c r="E3381" i="1"/>
  <c r="B3381" i="1"/>
  <c r="O3380" i="1"/>
  <c r="E3380" i="1"/>
  <c r="B3380" i="1"/>
  <c r="O3379" i="1"/>
  <c r="E3379" i="1"/>
  <c r="B3379" i="1"/>
  <c r="O3378" i="1"/>
  <c r="E3378" i="1"/>
  <c r="B3378" i="1"/>
  <c r="O3377" i="1"/>
  <c r="E3377" i="1"/>
  <c r="B3377" i="1"/>
  <c r="O3376" i="1"/>
  <c r="E3376" i="1"/>
  <c r="B3376" i="1"/>
  <c r="O3375" i="1"/>
  <c r="E3375" i="1"/>
  <c r="B3375" i="1"/>
  <c r="O3374" i="1"/>
  <c r="E3374" i="1"/>
  <c r="B3374" i="1"/>
  <c r="O3373" i="1"/>
  <c r="E3373" i="1"/>
  <c r="B3373" i="1"/>
  <c r="O3372" i="1"/>
  <c r="E3372" i="1"/>
  <c r="B3372" i="1"/>
  <c r="O3371" i="1"/>
  <c r="E3371" i="1"/>
  <c r="B3371" i="1"/>
  <c r="O3370" i="1"/>
  <c r="E3370" i="1"/>
  <c r="B3370" i="1"/>
  <c r="O3369" i="1"/>
  <c r="E3369" i="1"/>
  <c r="B3369" i="1"/>
  <c r="O3368" i="1"/>
  <c r="E3368" i="1"/>
  <c r="B3368" i="1"/>
  <c r="O3367" i="1"/>
  <c r="E3367" i="1"/>
  <c r="B3367" i="1"/>
  <c r="O3366" i="1"/>
  <c r="E3366" i="1"/>
  <c r="B3366" i="1"/>
  <c r="O3365" i="1"/>
  <c r="E3365" i="1"/>
  <c r="B3365" i="1"/>
  <c r="O3364" i="1"/>
  <c r="E3364" i="1"/>
  <c r="B3364" i="1"/>
  <c r="O3363" i="1"/>
  <c r="E3363" i="1"/>
  <c r="B3363" i="1"/>
  <c r="O3362" i="1"/>
  <c r="E3362" i="1"/>
  <c r="B3362" i="1"/>
  <c r="O3361" i="1"/>
  <c r="E3361" i="1"/>
  <c r="B3361" i="1"/>
  <c r="O3360" i="1"/>
  <c r="E3360" i="1"/>
  <c r="B3360" i="1"/>
  <c r="O3359" i="1"/>
  <c r="E3359" i="1"/>
  <c r="B3359" i="1"/>
  <c r="O3358" i="1"/>
  <c r="E3358" i="1"/>
  <c r="B3358" i="1"/>
  <c r="O3357" i="1"/>
  <c r="E3357" i="1"/>
  <c r="B3357" i="1"/>
  <c r="O3356" i="1"/>
  <c r="E3356" i="1"/>
  <c r="B3356" i="1"/>
  <c r="O3355" i="1"/>
  <c r="E3355" i="1"/>
  <c r="B3355" i="1"/>
  <c r="O3354" i="1"/>
  <c r="E3354" i="1"/>
  <c r="B3354" i="1"/>
  <c r="O3353" i="1"/>
  <c r="E3353" i="1"/>
  <c r="B3353" i="1"/>
  <c r="O3352" i="1"/>
  <c r="E3352" i="1"/>
  <c r="B3352" i="1"/>
  <c r="O3351" i="1"/>
  <c r="E3351" i="1"/>
  <c r="B3351" i="1"/>
  <c r="O3350" i="1"/>
  <c r="E3350" i="1"/>
  <c r="B3350" i="1"/>
  <c r="O3349" i="1"/>
  <c r="E3349" i="1"/>
  <c r="B3349" i="1"/>
  <c r="O3348" i="1"/>
  <c r="E3348" i="1"/>
  <c r="B3348" i="1"/>
  <c r="O3347" i="1"/>
  <c r="E3347" i="1"/>
  <c r="B3347" i="1"/>
  <c r="O3346" i="1"/>
  <c r="E3346" i="1"/>
  <c r="B3346" i="1"/>
  <c r="O3345" i="1"/>
  <c r="E3345" i="1"/>
  <c r="B3345" i="1"/>
  <c r="O3344" i="1"/>
  <c r="E3344" i="1"/>
  <c r="B3344" i="1"/>
  <c r="O3343" i="1"/>
  <c r="E3343" i="1"/>
  <c r="B3343" i="1"/>
  <c r="O3342" i="1"/>
  <c r="E3342" i="1"/>
  <c r="B3342" i="1"/>
  <c r="O3341" i="1"/>
  <c r="E3341" i="1"/>
  <c r="B3341" i="1"/>
  <c r="O3340" i="1"/>
  <c r="E3340" i="1"/>
  <c r="B3340" i="1"/>
  <c r="O3339" i="1"/>
  <c r="E3339" i="1"/>
  <c r="B3339" i="1"/>
  <c r="O3338" i="1"/>
  <c r="E3338" i="1"/>
  <c r="B3338" i="1"/>
  <c r="O3337" i="1"/>
  <c r="E3337" i="1"/>
  <c r="B3337" i="1"/>
  <c r="O3336" i="1"/>
  <c r="E3336" i="1"/>
  <c r="B3336" i="1"/>
  <c r="O3335" i="1"/>
  <c r="E3335" i="1"/>
  <c r="B3335" i="1"/>
  <c r="O3334" i="1"/>
  <c r="E3334" i="1"/>
  <c r="B3334" i="1"/>
  <c r="O3333" i="1"/>
  <c r="E3333" i="1"/>
  <c r="B3333" i="1"/>
  <c r="O3332" i="1"/>
  <c r="E3332" i="1"/>
  <c r="B3332" i="1"/>
  <c r="O3331" i="1"/>
  <c r="E3331" i="1"/>
  <c r="B3331" i="1"/>
  <c r="O3330" i="1"/>
  <c r="E3330" i="1"/>
  <c r="B3330" i="1"/>
  <c r="O3329" i="1"/>
  <c r="E3329" i="1"/>
  <c r="B3329" i="1"/>
  <c r="O3328" i="1"/>
  <c r="E3328" i="1"/>
  <c r="B3328" i="1"/>
  <c r="O3327" i="1"/>
  <c r="E3327" i="1"/>
  <c r="B3327" i="1"/>
  <c r="O3326" i="1"/>
  <c r="E3326" i="1"/>
  <c r="B3326" i="1"/>
  <c r="O3325" i="1"/>
  <c r="E3325" i="1"/>
  <c r="B3325" i="1"/>
  <c r="O3324" i="1"/>
  <c r="E3324" i="1"/>
  <c r="B3324" i="1"/>
  <c r="O3323" i="1"/>
  <c r="E3323" i="1"/>
  <c r="B3323" i="1"/>
  <c r="O3322" i="1"/>
  <c r="E3322" i="1"/>
  <c r="B3322" i="1"/>
  <c r="O3321" i="1"/>
  <c r="E3321" i="1"/>
  <c r="B3321" i="1"/>
  <c r="O3320" i="1"/>
  <c r="E3320" i="1"/>
  <c r="B3320" i="1"/>
  <c r="O3319" i="1"/>
  <c r="E3319" i="1"/>
  <c r="B3319" i="1"/>
  <c r="O3318" i="1"/>
  <c r="E3318" i="1"/>
  <c r="B3318" i="1"/>
  <c r="O3317" i="1"/>
  <c r="E3317" i="1"/>
  <c r="B3317" i="1"/>
  <c r="O3316" i="1"/>
  <c r="E3316" i="1"/>
  <c r="B3316" i="1"/>
  <c r="O3315" i="1"/>
  <c r="E3315" i="1"/>
  <c r="B3315" i="1"/>
  <c r="O3314" i="1"/>
  <c r="E3314" i="1"/>
  <c r="B3314" i="1"/>
  <c r="O3313" i="1"/>
  <c r="E3313" i="1"/>
  <c r="B3313" i="1"/>
  <c r="O3312" i="1"/>
  <c r="E3312" i="1"/>
  <c r="B3312" i="1"/>
  <c r="O3311" i="1"/>
  <c r="E3311" i="1"/>
  <c r="B3311" i="1"/>
  <c r="O3310" i="1"/>
  <c r="E3310" i="1"/>
  <c r="B3310" i="1"/>
  <c r="O3309" i="1"/>
  <c r="E3309" i="1"/>
  <c r="B3309" i="1"/>
  <c r="O3308" i="1"/>
  <c r="E3308" i="1"/>
  <c r="B3308" i="1"/>
  <c r="O3307" i="1"/>
  <c r="E3307" i="1"/>
  <c r="B3307" i="1"/>
  <c r="O3306" i="1"/>
  <c r="E3306" i="1"/>
  <c r="B3306" i="1"/>
  <c r="O3305" i="1"/>
  <c r="E3305" i="1"/>
  <c r="B3305" i="1"/>
  <c r="O3304" i="1"/>
  <c r="E3304" i="1"/>
  <c r="B3304" i="1"/>
  <c r="O3303" i="1"/>
  <c r="E3303" i="1"/>
  <c r="B3303" i="1"/>
  <c r="O3302" i="1"/>
  <c r="E3302" i="1"/>
  <c r="B3302" i="1"/>
  <c r="O3301" i="1"/>
  <c r="E3301" i="1"/>
  <c r="B3301" i="1"/>
  <c r="O3300" i="1"/>
  <c r="E3300" i="1"/>
  <c r="B3300" i="1"/>
  <c r="O3299" i="1"/>
  <c r="E3299" i="1"/>
  <c r="B3299" i="1"/>
  <c r="O3298" i="1"/>
  <c r="E3298" i="1"/>
  <c r="B3298" i="1"/>
  <c r="O3297" i="1"/>
  <c r="E3297" i="1"/>
  <c r="B3297" i="1"/>
  <c r="O3296" i="1"/>
  <c r="E3296" i="1"/>
  <c r="B3296" i="1"/>
  <c r="O3295" i="1"/>
  <c r="E3295" i="1"/>
  <c r="B3295" i="1"/>
  <c r="O3294" i="1"/>
  <c r="E3294" i="1"/>
  <c r="B3294" i="1"/>
  <c r="O3293" i="1"/>
  <c r="E3293" i="1"/>
  <c r="B3293" i="1"/>
  <c r="O3292" i="1"/>
  <c r="E3292" i="1"/>
  <c r="B3292" i="1"/>
  <c r="O3291" i="1"/>
  <c r="E3291" i="1"/>
  <c r="B3291" i="1"/>
  <c r="O3290" i="1"/>
  <c r="E3290" i="1"/>
  <c r="B3290" i="1"/>
  <c r="O3289" i="1"/>
  <c r="E3289" i="1"/>
  <c r="B3289" i="1"/>
  <c r="O3288" i="1"/>
  <c r="E3288" i="1"/>
  <c r="B3288" i="1"/>
  <c r="O3287" i="1"/>
  <c r="E3287" i="1"/>
  <c r="B3287" i="1"/>
  <c r="O3286" i="1"/>
  <c r="E3286" i="1"/>
  <c r="B3286" i="1"/>
  <c r="O3285" i="1"/>
  <c r="E3285" i="1"/>
  <c r="B3285" i="1"/>
  <c r="O3284" i="1"/>
  <c r="E3284" i="1"/>
  <c r="B3284" i="1"/>
  <c r="O3283" i="1"/>
  <c r="E3283" i="1"/>
  <c r="B3283" i="1"/>
  <c r="O3282" i="1"/>
  <c r="E3282" i="1"/>
  <c r="B3282" i="1"/>
  <c r="O3281" i="1"/>
  <c r="E3281" i="1"/>
  <c r="B3281" i="1"/>
  <c r="O3280" i="1"/>
  <c r="E3280" i="1"/>
  <c r="B3280" i="1"/>
  <c r="O3279" i="1"/>
  <c r="E3279" i="1"/>
  <c r="B3279" i="1"/>
  <c r="O3278" i="1"/>
  <c r="E3278" i="1"/>
  <c r="B3278" i="1"/>
  <c r="O3277" i="1"/>
  <c r="E3277" i="1"/>
  <c r="B3277" i="1"/>
  <c r="O3276" i="1"/>
  <c r="E3276" i="1"/>
  <c r="B3276" i="1"/>
  <c r="O3275" i="1"/>
  <c r="E3275" i="1"/>
  <c r="B3275" i="1"/>
  <c r="O3274" i="1"/>
  <c r="E3274" i="1"/>
  <c r="B3274" i="1"/>
  <c r="O3273" i="1"/>
  <c r="E3273" i="1"/>
  <c r="B3273" i="1"/>
  <c r="O3272" i="1"/>
  <c r="E3272" i="1"/>
  <c r="B3272" i="1"/>
  <c r="O3271" i="1"/>
  <c r="E3271" i="1"/>
  <c r="B3271" i="1"/>
  <c r="O3270" i="1"/>
  <c r="E3270" i="1"/>
  <c r="B3270" i="1"/>
  <c r="O3269" i="1"/>
  <c r="E3269" i="1"/>
  <c r="B3269" i="1"/>
  <c r="O3268" i="1"/>
  <c r="E3268" i="1"/>
  <c r="B3268" i="1"/>
  <c r="O3267" i="1"/>
  <c r="E3267" i="1"/>
  <c r="B3267" i="1"/>
  <c r="O3266" i="1"/>
  <c r="E3266" i="1"/>
  <c r="B3266" i="1"/>
  <c r="O3265" i="1"/>
  <c r="E3265" i="1"/>
  <c r="B3265" i="1"/>
  <c r="O3264" i="1"/>
  <c r="E3264" i="1"/>
  <c r="B3264" i="1"/>
  <c r="O3263" i="1"/>
  <c r="E3263" i="1"/>
  <c r="B3263" i="1"/>
  <c r="O3262" i="1"/>
  <c r="E3262" i="1"/>
  <c r="B3262" i="1"/>
  <c r="O3261" i="1"/>
  <c r="E3261" i="1"/>
  <c r="B3261" i="1"/>
  <c r="O3260" i="1"/>
  <c r="E3260" i="1"/>
  <c r="B3260" i="1"/>
  <c r="O3259" i="1"/>
  <c r="E3259" i="1"/>
  <c r="B3259" i="1"/>
  <c r="O3258" i="1"/>
  <c r="E3258" i="1"/>
  <c r="B3258" i="1"/>
  <c r="O3257" i="1"/>
  <c r="E3257" i="1"/>
  <c r="B3257" i="1"/>
  <c r="O3256" i="1"/>
  <c r="E3256" i="1"/>
  <c r="B3256" i="1"/>
  <c r="O3255" i="1"/>
  <c r="E3255" i="1"/>
  <c r="B3255" i="1"/>
  <c r="O3254" i="1"/>
  <c r="E3254" i="1"/>
  <c r="B3254" i="1"/>
  <c r="O3253" i="1"/>
  <c r="E3253" i="1"/>
  <c r="B3253" i="1"/>
  <c r="O3252" i="1"/>
  <c r="E3252" i="1"/>
  <c r="B3252" i="1"/>
  <c r="O3251" i="1"/>
  <c r="E3251" i="1"/>
  <c r="B3251" i="1"/>
  <c r="O3250" i="1"/>
  <c r="E3250" i="1"/>
  <c r="B3250" i="1"/>
  <c r="O3249" i="1"/>
  <c r="E3249" i="1"/>
  <c r="B3249" i="1"/>
  <c r="O3248" i="1"/>
  <c r="E3248" i="1"/>
  <c r="B3248" i="1"/>
  <c r="O3247" i="1"/>
  <c r="E3247" i="1"/>
  <c r="B3247" i="1"/>
  <c r="O3246" i="1"/>
  <c r="E3246" i="1"/>
  <c r="B3246" i="1"/>
  <c r="O3245" i="1"/>
  <c r="E3245" i="1"/>
  <c r="B3245" i="1"/>
  <c r="O3244" i="1"/>
  <c r="E3244" i="1"/>
  <c r="B3244" i="1"/>
  <c r="O3243" i="1"/>
  <c r="E3243" i="1"/>
  <c r="B3243" i="1"/>
  <c r="O3242" i="1"/>
  <c r="E3242" i="1"/>
  <c r="B3242" i="1"/>
  <c r="O3241" i="1"/>
  <c r="E3241" i="1"/>
  <c r="B3241" i="1"/>
  <c r="O3240" i="1"/>
  <c r="E3240" i="1"/>
  <c r="B3240" i="1"/>
  <c r="O3239" i="1"/>
  <c r="E3239" i="1"/>
  <c r="B3239" i="1"/>
  <c r="O3238" i="1"/>
  <c r="E3238" i="1"/>
  <c r="B3238" i="1"/>
  <c r="O3237" i="1"/>
  <c r="E3237" i="1"/>
  <c r="B3237" i="1"/>
  <c r="O3236" i="1"/>
  <c r="E3236" i="1"/>
  <c r="B3236" i="1"/>
  <c r="O3235" i="1"/>
  <c r="E3235" i="1"/>
  <c r="B3235" i="1"/>
  <c r="O3234" i="1"/>
  <c r="E3234" i="1"/>
  <c r="B3234" i="1"/>
  <c r="O3233" i="1"/>
  <c r="E3233" i="1"/>
  <c r="B3233" i="1"/>
  <c r="O3232" i="1"/>
  <c r="E3232" i="1"/>
  <c r="B3232" i="1"/>
  <c r="O3231" i="1"/>
  <c r="E3231" i="1"/>
  <c r="B3231" i="1"/>
  <c r="O3230" i="1"/>
  <c r="E3230" i="1"/>
  <c r="B3230" i="1"/>
  <c r="O3229" i="1"/>
  <c r="E3229" i="1"/>
  <c r="B3229" i="1"/>
  <c r="O3228" i="1"/>
  <c r="E3228" i="1"/>
  <c r="B3228" i="1"/>
  <c r="O3227" i="1"/>
  <c r="E3227" i="1"/>
  <c r="B3227" i="1"/>
  <c r="O3226" i="1"/>
  <c r="E3226" i="1"/>
  <c r="B3226" i="1"/>
  <c r="O3225" i="1"/>
  <c r="E3225" i="1"/>
  <c r="B3225" i="1"/>
  <c r="O3224" i="1"/>
  <c r="E3224" i="1"/>
  <c r="B3224" i="1"/>
  <c r="O3223" i="1"/>
  <c r="E3223" i="1"/>
  <c r="B3223" i="1"/>
  <c r="O3222" i="1"/>
  <c r="E3222" i="1"/>
  <c r="B3222" i="1"/>
  <c r="O3221" i="1"/>
  <c r="E3221" i="1"/>
  <c r="B3221" i="1"/>
  <c r="O3220" i="1"/>
  <c r="E3220" i="1"/>
  <c r="B3220" i="1"/>
  <c r="O3219" i="1"/>
  <c r="E3219" i="1"/>
  <c r="B3219" i="1"/>
  <c r="O3218" i="1"/>
  <c r="E3218" i="1"/>
  <c r="B3218" i="1"/>
  <c r="O3217" i="1"/>
  <c r="E3217" i="1"/>
  <c r="B3217" i="1"/>
  <c r="O3216" i="1"/>
  <c r="E3216" i="1"/>
  <c r="B3216" i="1"/>
  <c r="O3215" i="1"/>
  <c r="E3215" i="1"/>
  <c r="B3215" i="1"/>
  <c r="O3214" i="1"/>
  <c r="E3214" i="1"/>
  <c r="B3214" i="1"/>
  <c r="O3213" i="1"/>
  <c r="E3213" i="1"/>
  <c r="B3213" i="1"/>
  <c r="O3212" i="1"/>
  <c r="E3212" i="1"/>
  <c r="B3212" i="1"/>
  <c r="O3211" i="1"/>
  <c r="E3211" i="1"/>
  <c r="B3211" i="1"/>
  <c r="O3210" i="1"/>
  <c r="E3210" i="1"/>
  <c r="B3210" i="1"/>
  <c r="O3209" i="1"/>
  <c r="E3209" i="1"/>
  <c r="B3209" i="1"/>
  <c r="O3208" i="1"/>
  <c r="E3208" i="1"/>
  <c r="B3208" i="1"/>
  <c r="O3207" i="1"/>
  <c r="E3207" i="1"/>
  <c r="B3207" i="1"/>
  <c r="O3206" i="1"/>
  <c r="E3206" i="1"/>
  <c r="B3206" i="1"/>
  <c r="O3205" i="1"/>
  <c r="E3205" i="1"/>
  <c r="B3205" i="1"/>
  <c r="O3204" i="1"/>
  <c r="E3204" i="1"/>
  <c r="B3204" i="1"/>
  <c r="O3203" i="1"/>
  <c r="E3203" i="1"/>
  <c r="B3203" i="1"/>
  <c r="O3202" i="1"/>
  <c r="E3202" i="1"/>
  <c r="B3202" i="1"/>
  <c r="O3201" i="1"/>
  <c r="E3201" i="1"/>
  <c r="B3201" i="1"/>
  <c r="O3200" i="1"/>
  <c r="E3200" i="1"/>
  <c r="B3200" i="1"/>
  <c r="O3199" i="1"/>
  <c r="E3199" i="1"/>
  <c r="B3199" i="1"/>
  <c r="O3198" i="1"/>
  <c r="E3198" i="1"/>
  <c r="B3198" i="1"/>
  <c r="O3197" i="1"/>
  <c r="E3197" i="1"/>
  <c r="B3197" i="1"/>
  <c r="O3196" i="1"/>
  <c r="E3196" i="1"/>
  <c r="B3196" i="1"/>
  <c r="O3195" i="1"/>
  <c r="E3195" i="1"/>
  <c r="B3195" i="1"/>
  <c r="O3194" i="1"/>
  <c r="E3194" i="1"/>
  <c r="B3194" i="1"/>
  <c r="O3193" i="1"/>
  <c r="E3193" i="1"/>
  <c r="B3193" i="1"/>
  <c r="O3192" i="1"/>
  <c r="E3192" i="1"/>
  <c r="B3192" i="1"/>
  <c r="O3191" i="1"/>
  <c r="E3191" i="1"/>
  <c r="B3191" i="1"/>
  <c r="O3190" i="1"/>
  <c r="E3190" i="1"/>
  <c r="B3190" i="1"/>
  <c r="O3189" i="1"/>
  <c r="E3189" i="1"/>
  <c r="B3189" i="1"/>
  <c r="O3188" i="1"/>
  <c r="E3188" i="1"/>
  <c r="B3188" i="1"/>
  <c r="O3187" i="1"/>
  <c r="E3187" i="1"/>
  <c r="B3187" i="1"/>
  <c r="O3186" i="1"/>
  <c r="E3186" i="1"/>
  <c r="B3186" i="1"/>
  <c r="O3185" i="1"/>
  <c r="E3185" i="1"/>
  <c r="B3185" i="1"/>
  <c r="O3184" i="1"/>
  <c r="E3184" i="1"/>
  <c r="B3184" i="1"/>
  <c r="O3183" i="1"/>
  <c r="E3183" i="1"/>
  <c r="B3183" i="1"/>
  <c r="O3182" i="1"/>
  <c r="E3182" i="1"/>
  <c r="B3182" i="1"/>
  <c r="O3181" i="1"/>
  <c r="E3181" i="1"/>
  <c r="B3181" i="1"/>
  <c r="O3180" i="1"/>
  <c r="E3180" i="1"/>
  <c r="B3180" i="1"/>
  <c r="O3179" i="1"/>
  <c r="E3179" i="1"/>
  <c r="B3179" i="1"/>
  <c r="O3178" i="1"/>
  <c r="E3178" i="1"/>
  <c r="B3178" i="1"/>
  <c r="O3177" i="1"/>
  <c r="E3177" i="1"/>
  <c r="B3177" i="1"/>
  <c r="O3176" i="1"/>
  <c r="E3176" i="1"/>
  <c r="B3176" i="1"/>
  <c r="O3175" i="1"/>
  <c r="E3175" i="1"/>
  <c r="B3175" i="1"/>
  <c r="O3174" i="1"/>
  <c r="E3174" i="1"/>
  <c r="B3174" i="1"/>
  <c r="O3173" i="1"/>
  <c r="E3173" i="1"/>
  <c r="B3173" i="1"/>
  <c r="O3172" i="1"/>
  <c r="E3172" i="1"/>
  <c r="B3172" i="1"/>
  <c r="O3171" i="1"/>
  <c r="E3171" i="1"/>
  <c r="B3171" i="1"/>
  <c r="O3170" i="1"/>
  <c r="E3170" i="1"/>
  <c r="B3170" i="1"/>
  <c r="O3169" i="1"/>
  <c r="E3169" i="1"/>
  <c r="B3169" i="1"/>
  <c r="O3168" i="1"/>
  <c r="E3168" i="1"/>
  <c r="B3168" i="1"/>
  <c r="O3167" i="1"/>
  <c r="E3167" i="1"/>
  <c r="B3167" i="1"/>
  <c r="O3166" i="1"/>
  <c r="E3166" i="1"/>
  <c r="B3166" i="1"/>
  <c r="O3165" i="1"/>
  <c r="E3165" i="1"/>
  <c r="B3165" i="1"/>
  <c r="O3164" i="1"/>
  <c r="E3164" i="1"/>
  <c r="B3164" i="1"/>
  <c r="O3163" i="1"/>
  <c r="E3163" i="1"/>
  <c r="B3163" i="1"/>
  <c r="O3162" i="1"/>
  <c r="E3162" i="1"/>
  <c r="B3162" i="1"/>
  <c r="O3161" i="1"/>
  <c r="E3161" i="1"/>
  <c r="B3161" i="1"/>
  <c r="O3160" i="1"/>
  <c r="E3160" i="1"/>
  <c r="B3160" i="1"/>
  <c r="O3159" i="1"/>
  <c r="E3159" i="1"/>
  <c r="B3159" i="1"/>
  <c r="O3158" i="1"/>
  <c r="E3158" i="1"/>
  <c r="B3158" i="1"/>
  <c r="O3157" i="1"/>
  <c r="E3157" i="1"/>
  <c r="B3157" i="1"/>
  <c r="O3156" i="1"/>
  <c r="E3156" i="1"/>
  <c r="B3156" i="1"/>
  <c r="O3155" i="1"/>
  <c r="E3155" i="1"/>
  <c r="B3155" i="1"/>
  <c r="O3154" i="1"/>
  <c r="E3154" i="1"/>
  <c r="B3154" i="1"/>
  <c r="O3153" i="1"/>
  <c r="E3153" i="1"/>
  <c r="B3153" i="1"/>
  <c r="O3152" i="1"/>
  <c r="E3152" i="1"/>
  <c r="B3152" i="1"/>
  <c r="O3151" i="1"/>
  <c r="E3151" i="1"/>
  <c r="B3151" i="1"/>
  <c r="O3150" i="1"/>
  <c r="E3150" i="1"/>
  <c r="B3150" i="1"/>
  <c r="O3149" i="1"/>
  <c r="E3149" i="1"/>
  <c r="B3149" i="1"/>
  <c r="O3148" i="1"/>
  <c r="E3148" i="1"/>
  <c r="B3148" i="1"/>
  <c r="O3147" i="1"/>
  <c r="E3147" i="1"/>
  <c r="B3147" i="1"/>
  <c r="O3146" i="1"/>
  <c r="E3146" i="1"/>
  <c r="B3146" i="1"/>
  <c r="O3145" i="1"/>
  <c r="E3145" i="1"/>
  <c r="B3145" i="1"/>
  <c r="O3144" i="1"/>
  <c r="E3144" i="1"/>
  <c r="B3144" i="1"/>
  <c r="O3143" i="1"/>
  <c r="E3143" i="1"/>
  <c r="B3143" i="1"/>
  <c r="O3142" i="1"/>
  <c r="E3142" i="1"/>
  <c r="B3142" i="1"/>
  <c r="O3141" i="1"/>
  <c r="E3141" i="1"/>
  <c r="B3141" i="1"/>
  <c r="O3140" i="1"/>
  <c r="E3140" i="1"/>
  <c r="B3140" i="1"/>
  <c r="O3139" i="1"/>
  <c r="E3139" i="1"/>
  <c r="B3139" i="1"/>
  <c r="O3138" i="1"/>
  <c r="E3138" i="1"/>
  <c r="B3138" i="1"/>
  <c r="O3137" i="1"/>
  <c r="E3137" i="1"/>
  <c r="B3137" i="1"/>
  <c r="O3136" i="1"/>
  <c r="E3136" i="1"/>
  <c r="B3136" i="1"/>
  <c r="O3135" i="1"/>
  <c r="E3135" i="1"/>
  <c r="B3135" i="1"/>
  <c r="O3134" i="1"/>
  <c r="E3134" i="1"/>
  <c r="B3134" i="1"/>
  <c r="O3133" i="1"/>
  <c r="E3133" i="1"/>
  <c r="B3133" i="1"/>
  <c r="O3132" i="1"/>
  <c r="E3132" i="1"/>
  <c r="B3132" i="1"/>
  <c r="O3131" i="1"/>
  <c r="E3131" i="1"/>
  <c r="B3131" i="1"/>
  <c r="O3130" i="1"/>
  <c r="E3130" i="1"/>
  <c r="B3130" i="1"/>
  <c r="O3129" i="1"/>
  <c r="E3129" i="1"/>
  <c r="B3129" i="1"/>
  <c r="O3128" i="1"/>
  <c r="E3128" i="1"/>
  <c r="B3128" i="1"/>
  <c r="O3127" i="1"/>
  <c r="E3127" i="1"/>
  <c r="B3127" i="1"/>
  <c r="O3126" i="1"/>
  <c r="E3126" i="1"/>
  <c r="B3126" i="1"/>
  <c r="O3125" i="1"/>
  <c r="E3125" i="1"/>
  <c r="B3125" i="1"/>
  <c r="O3124" i="1"/>
  <c r="E3124" i="1"/>
  <c r="B3124" i="1"/>
  <c r="O3123" i="1"/>
  <c r="E3123" i="1"/>
  <c r="B3123" i="1"/>
  <c r="O3122" i="1"/>
  <c r="E3122" i="1"/>
  <c r="B3122" i="1"/>
  <c r="O3121" i="1"/>
  <c r="E3121" i="1"/>
  <c r="B3121" i="1"/>
  <c r="O3120" i="1"/>
  <c r="E3120" i="1"/>
  <c r="B3120" i="1"/>
  <c r="O3119" i="1"/>
  <c r="E3119" i="1"/>
  <c r="B3119" i="1"/>
  <c r="O3118" i="1"/>
  <c r="E3118" i="1"/>
  <c r="B3118" i="1"/>
  <c r="O3117" i="1"/>
  <c r="E3117" i="1"/>
  <c r="B3117" i="1"/>
  <c r="O3116" i="1"/>
  <c r="E3116" i="1"/>
  <c r="B3116" i="1"/>
  <c r="O3115" i="1"/>
  <c r="E3115" i="1"/>
  <c r="B3115" i="1"/>
  <c r="O3114" i="1"/>
  <c r="E3114" i="1"/>
  <c r="B3114" i="1"/>
  <c r="O3113" i="1"/>
  <c r="E3113" i="1"/>
  <c r="B3113" i="1"/>
  <c r="O3112" i="1"/>
  <c r="E3112" i="1"/>
  <c r="B3112" i="1"/>
  <c r="O3111" i="1"/>
  <c r="E3111" i="1"/>
  <c r="B3111" i="1"/>
  <c r="O3110" i="1"/>
  <c r="E3110" i="1"/>
  <c r="B3110" i="1"/>
  <c r="O3109" i="1"/>
  <c r="E3109" i="1"/>
  <c r="B3109" i="1"/>
  <c r="O3108" i="1"/>
  <c r="E3108" i="1"/>
  <c r="B3108" i="1"/>
  <c r="O3107" i="1"/>
  <c r="E3107" i="1"/>
  <c r="B3107" i="1"/>
  <c r="O3106" i="1"/>
  <c r="E3106" i="1"/>
  <c r="B3106" i="1"/>
  <c r="O3105" i="1"/>
  <c r="E3105" i="1"/>
  <c r="B3105" i="1"/>
  <c r="O3104" i="1"/>
  <c r="E3104" i="1"/>
  <c r="B3104" i="1"/>
  <c r="O3103" i="1"/>
  <c r="E3103" i="1"/>
  <c r="B3103" i="1"/>
  <c r="O3102" i="1"/>
  <c r="E3102" i="1"/>
  <c r="B3102" i="1"/>
  <c r="O3101" i="1"/>
  <c r="E3101" i="1"/>
  <c r="B3101" i="1"/>
  <c r="O3100" i="1"/>
  <c r="E3100" i="1"/>
  <c r="B3100" i="1"/>
  <c r="O3099" i="1"/>
  <c r="E3099" i="1"/>
  <c r="B3099" i="1"/>
  <c r="O3098" i="1"/>
  <c r="E3098" i="1"/>
  <c r="B3098" i="1"/>
  <c r="O3097" i="1"/>
  <c r="E3097" i="1"/>
  <c r="B3097" i="1"/>
  <c r="O3096" i="1"/>
  <c r="E3096" i="1"/>
  <c r="B3096" i="1"/>
  <c r="O3095" i="1"/>
  <c r="E3095" i="1"/>
  <c r="B3095" i="1"/>
  <c r="O3094" i="1"/>
  <c r="E3094" i="1"/>
  <c r="B3094" i="1"/>
  <c r="O3093" i="1"/>
  <c r="E3093" i="1"/>
  <c r="B3093" i="1"/>
  <c r="O3092" i="1"/>
  <c r="E3092" i="1"/>
  <c r="B3092" i="1"/>
  <c r="O3091" i="1"/>
  <c r="E3091" i="1"/>
  <c r="B3091" i="1"/>
  <c r="O3090" i="1"/>
  <c r="E3090" i="1"/>
  <c r="B3090" i="1"/>
  <c r="O3089" i="1"/>
  <c r="E3089" i="1"/>
  <c r="B3089" i="1"/>
  <c r="O3088" i="1"/>
  <c r="E3088" i="1"/>
  <c r="B3088" i="1"/>
  <c r="O3087" i="1"/>
  <c r="E3087" i="1"/>
  <c r="B3087" i="1"/>
  <c r="O3086" i="1"/>
  <c r="E3086" i="1"/>
  <c r="B3086" i="1"/>
  <c r="O3085" i="1"/>
  <c r="E3085" i="1"/>
  <c r="B3085" i="1"/>
  <c r="O3084" i="1"/>
  <c r="E3084" i="1"/>
  <c r="B3084" i="1"/>
  <c r="O3083" i="1"/>
  <c r="E3083" i="1"/>
  <c r="B3083" i="1"/>
  <c r="O3082" i="1"/>
  <c r="E3082" i="1"/>
  <c r="B3082" i="1"/>
  <c r="O3081" i="1"/>
  <c r="E3081" i="1"/>
  <c r="B3081" i="1"/>
  <c r="O3080" i="1"/>
  <c r="E3080" i="1"/>
  <c r="B3080" i="1"/>
  <c r="O3079" i="1"/>
  <c r="E3079" i="1"/>
  <c r="B3079" i="1"/>
  <c r="O3078" i="1"/>
  <c r="E3078" i="1"/>
  <c r="B3078" i="1"/>
  <c r="O3077" i="1"/>
  <c r="E3077" i="1"/>
  <c r="B3077" i="1"/>
  <c r="O3076" i="1"/>
  <c r="E3076" i="1"/>
  <c r="B3076" i="1"/>
  <c r="O3075" i="1"/>
  <c r="E3075" i="1"/>
  <c r="B3075" i="1"/>
  <c r="O3074" i="1"/>
  <c r="E3074" i="1"/>
  <c r="B3074" i="1"/>
  <c r="O3073" i="1"/>
  <c r="E3073" i="1"/>
  <c r="B3073" i="1"/>
  <c r="O3072" i="1"/>
  <c r="E3072" i="1"/>
  <c r="B3072" i="1"/>
  <c r="O3071" i="1"/>
  <c r="E3071" i="1"/>
  <c r="B3071" i="1"/>
  <c r="O3070" i="1"/>
  <c r="E3070" i="1"/>
  <c r="B3070" i="1"/>
  <c r="O3069" i="1"/>
  <c r="E3069" i="1"/>
  <c r="B3069" i="1"/>
  <c r="O3068" i="1"/>
  <c r="E3068" i="1"/>
  <c r="B3068" i="1"/>
  <c r="O3067" i="1"/>
  <c r="E3067" i="1"/>
  <c r="B3067" i="1"/>
  <c r="O3066" i="1"/>
  <c r="E3066" i="1"/>
  <c r="B3066" i="1"/>
  <c r="O3065" i="1"/>
  <c r="E3065" i="1"/>
  <c r="B3065" i="1"/>
  <c r="O3064" i="1"/>
  <c r="E3064" i="1"/>
  <c r="B3064" i="1"/>
  <c r="O3063" i="1"/>
  <c r="E3063" i="1"/>
  <c r="B3063" i="1"/>
  <c r="O3062" i="1"/>
  <c r="E3062" i="1"/>
  <c r="B3062" i="1"/>
  <c r="O3061" i="1"/>
  <c r="E3061" i="1"/>
  <c r="B3061" i="1"/>
  <c r="O3060" i="1"/>
  <c r="E3060" i="1"/>
  <c r="B3060" i="1"/>
  <c r="O3059" i="1"/>
  <c r="E3059" i="1"/>
  <c r="B3059" i="1"/>
  <c r="O3058" i="1"/>
  <c r="E3058" i="1"/>
  <c r="B3058" i="1"/>
  <c r="O3057" i="1"/>
  <c r="E3057" i="1"/>
  <c r="B3057" i="1"/>
  <c r="O3056" i="1"/>
  <c r="E3056" i="1"/>
  <c r="B3056" i="1"/>
  <c r="O3055" i="1"/>
  <c r="E3055" i="1"/>
  <c r="B3055" i="1"/>
  <c r="O3054" i="1"/>
  <c r="E3054" i="1"/>
  <c r="B3054" i="1"/>
  <c r="O3053" i="1"/>
  <c r="E3053" i="1"/>
  <c r="B3053" i="1"/>
  <c r="O3052" i="1"/>
  <c r="E3052" i="1"/>
  <c r="B3052" i="1"/>
  <c r="O3051" i="1"/>
  <c r="E3051" i="1"/>
  <c r="B3051" i="1"/>
  <c r="O3050" i="1"/>
  <c r="E3050" i="1"/>
  <c r="B3050" i="1"/>
  <c r="O3049" i="1"/>
  <c r="E3049" i="1"/>
  <c r="B3049" i="1"/>
  <c r="O3048" i="1"/>
  <c r="E3048" i="1"/>
  <c r="B3048" i="1"/>
  <c r="O3047" i="1"/>
  <c r="E3047" i="1"/>
  <c r="B3047" i="1"/>
  <c r="O3046" i="1"/>
  <c r="E3046" i="1"/>
  <c r="B3046" i="1"/>
  <c r="O3045" i="1"/>
  <c r="E3045" i="1"/>
  <c r="B3045" i="1"/>
  <c r="O3044" i="1"/>
  <c r="E3044" i="1"/>
  <c r="B3044" i="1"/>
  <c r="O3043" i="1"/>
  <c r="E3043" i="1"/>
  <c r="B3043" i="1"/>
  <c r="O3042" i="1"/>
  <c r="E3042" i="1"/>
  <c r="B3042" i="1"/>
  <c r="O3041" i="1"/>
  <c r="E3041" i="1"/>
  <c r="B3041" i="1"/>
  <c r="O3040" i="1"/>
  <c r="E3040" i="1"/>
  <c r="B3040" i="1"/>
  <c r="O3039" i="1"/>
  <c r="E3039" i="1"/>
  <c r="B3039" i="1"/>
  <c r="O3038" i="1"/>
  <c r="E3038" i="1"/>
  <c r="B3038" i="1"/>
  <c r="O3037" i="1"/>
  <c r="E3037" i="1"/>
  <c r="B3037" i="1"/>
  <c r="O3036" i="1"/>
  <c r="E3036" i="1"/>
  <c r="B3036" i="1"/>
  <c r="O3035" i="1"/>
  <c r="E3035" i="1"/>
  <c r="B3035" i="1"/>
  <c r="O3034" i="1"/>
  <c r="E3034" i="1"/>
  <c r="B3034" i="1"/>
  <c r="O3033" i="1"/>
  <c r="E3033" i="1"/>
  <c r="B3033" i="1"/>
  <c r="O3032" i="1"/>
  <c r="E3032" i="1"/>
  <c r="B3032" i="1"/>
  <c r="O3031" i="1"/>
  <c r="E3031" i="1"/>
  <c r="B3031" i="1"/>
  <c r="O3030" i="1"/>
  <c r="E3030" i="1"/>
  <c r="B3030" i="1"/>
  <c r="O3029" i="1"/>
  <c r="E3029" i="1"/>
  <c r="B3029" i="1"/>
  <c r="O3028" i="1"/>
  <c r="E3028" i="1"/>
  <c r="B3028" i="1"/>
  <c r="O3027" i="1"/>
  <c r="E3027" i="1"/>
  <c r="B3027" i="1"/>
  <c r="O3026" i="1"/>
  <c r="E3026" i="1"/>
  <c r="B3026" i="1"/>
  <c r="O3025" i="1"/>
  <c r="E3025" i="1"/>
  <c r="B3025" i="1"/>
  <c r="O3024" i="1"/>
  <c r="E3024" i="1"/>
  <c r="B3024" i="1"/>
  <c r="O3023" i="1"/>
  <c r="E3023" i="1"/>
  <c r="B3023" i="1"/>
  <c r="O3022" i="1"/>
  <c r="E3022" i="1"/>
  <c r="B3022" i="1"/>
  <c r="O3021" i="1"/>
  <c r="E3021" i="1"/>
  <c r="B3021" i="1"/>
  <c r="O3020" i="1"/>
  <c r="E3020" i="1"/>
  <c r="B3020" i="1"/>
  <c r="O3019" i="1"/>
  <c r="E3019" i="1"/>
  <c r="B3019" i="1"/>
  <c r="O3018" i="1"/>
  <c r="E3018" i="1"/>
  <c r="B3018" i="1"/>
  <c r="O3017" i="1"/>
  <c r="E3017" i="1"/>
  <c r="B3017" i="1"/>
  <c r="O3016" i="1"/>
  <c r="E3016" i="1"/>
  <c r="B3016" i="1"/>
  <c r="O3015" i="1"/>
  <c r="E3015" i="1"/>
  <c r="B3015" i="1"/>
  <c r="O3014" i="1"/>
  <c r="E3014" i="1"/>
  <c r="B3014" i="1"/>
  <c r="O3013" i="1"/>
  <c r="E3013" i="1"/>
  <c r="B3013" i="1"/>
  <c r="O3012" i="1"/>
  <c r="E3012" i="1"/>
  <c r="B3012" i="1"/>
  <c r="O3011" i="1"/>
  <c r="E3011" i="1"/>
  <c r="B3011" i="1"/>
  <c r="O3010" i="1"/>
  <c r="E3010" i="1"/>
  <c r="B3010" i="1"/>
  <c r="O3009" i="1"/>
  <c r="E3009" i="1"/>
  <c r="B3009" i="1"/>
  <c r="O3008" i="1"/>
  <c r="E3008" i="1"/>
  <c r="B3008" i="1"/>
  <c r="O3007" i="1"/>
  <c r="E3007" i="1"/>
  <c r="B3007" i="1"/>
  <c r="O3006" i="1"/>
  <c r="E3006" i="1"/>
  <c r="B3006" i="1"/>
  <c r="O3005" i="1"/>
  <c r="E3005" i="1"/>
  <c r="B3005" i="1"/>
  <c r="O3004" i="1"/>
  <c r="E3004" i="1"/>
  <c r="B3004" i="1"/>
  <c r="O3003" i="1"/>
  <c r="E3003" i="1"/>
  <c r="B3003" i="1"/>
  <c r="O3002" i="1"/>
  <c r="E3002" i="1"/>
  <c r="B3002" i="1"/>
  <c r="O3001" i="1"/>
  <c r="E3001" i="1"/>
  <c r="B3001" i="1"/>
  <c r="O3000" i="1"/>
  <c r="E3000" i="1"/>
  <c r="B3000" i="1"/>
  <c r="O2999" i="1"/>
  <c r="E2999" i="1"/>
  <c r="B2999" i="1"/>
  <c r="O2998" i="1"/>
  <c r="E2998" i="1"/>
  <c r="B2998" i="1"/>
  <c r="O2997" i="1"/>
  <c r="E2997" i="1"/>
  <c r="B2997" i="1"/>
  <c r="O2996" i="1"/>
  <c r="E2996" i="1"/>
  <c r="B2996" i="1"/>
  <c r="O2995" i="1"/>
  <c r="E2995" i="1"/>
  <c r="B2995" i="1"/>
  <c r="O2994" i="1"/>
  <c r="E2994" i="1"/>
  <c r="B2994" i="1"/>
  <c r="O2993" i="1"/>
  <c r="E2993" i="1"/>
  <c r="B2993" i="1"/>
  <c r="O2992" i="1"/>
  <c r="E2992" i="1"/>
  <c r="B2992" i="1"/>
  <c r="O2991" i="1"/>
  <c r="E2991" i="1"/>
  <c r="B2991" i="1"/>
  <c r="O2990" i="1"/>
  <c r="E2990" i="1"/>
  <c r="B2990" i="1"/>
  <c r="O2989" i="1"/>
  <c r="E2989" i="1"/>
  <c r="B2989" i="1"/>
  <c r="O2988" i="1"/>
  <c r="E2988" i="1"/>
  <c r="B2988" i="1"/>
  <c r="O2987" i="1"/>
  <c r="E2987" i="1"/>
  <c r="B2987" i="1"/>
  <c r="O2986" i="1"/>
  <c r="E2986" i="1"/>
  <c r="B2986" i="1"/>
  <c r="O2985" i="1"/>
  <c r="E2985" i="1"/>
  <c r="B2985" i="1"/>
  <c r="O2984" i="1"/>
  <c r="E2984" i="1"/>
  <c r="B2984" i="1"/>
  <c r="O2983" i="1"/>
  <c r="E2983" i="1"/>
  <c r="B2983" i="1"/>
  <c r="O2982" i="1"/>
  <c r="E2982" i="1"/>
  <c r="B2982" i="1"/>
  <c r="O2981" i="1"/>
  <c r="E2981" i="1"/>
  <c r="B2981" i="1"/>
  <c r="O2980" i="1"/>
  <c r="E2980" i="1"/>
  <c r="B2980" i="1"/>
  <c r="O2979" i="1"/>
  <c r="E2979" i="1"/>
  <c r="B2979" i="1"/>
  <c r="O2978" i="1"/>
  <c r="E2978" i="1"/>
  <c r="B2978" i="1"/>
  <c r="O2977" i="1"/>
  <c r="E2977" i="1"/>
  <c r="B2977" i="1"/>
  <c r="O2976" i="1"/>
  <c r="E2976" i="1"/>
  <c r="B2976" i="1"/>
  <c r="O2975" i="1"/>
  <c r="E2975" i="1"/>
  <c r="B2975" i="1"/>
  <c r="O2974" i="1"/>
  <c r="E2974" i="1"/>
  <c r="B2974" i="1"/>
  <c r="O2973" i="1"/>
  <c r="E2973" i="1"/>
  <c r="B2973" i="1"/>
  <c r="O2972" i="1"/>
  <c r="E2972" i="1"/>
  <c r="B2972" i="1"/>
  <c r="O2971" i="1"/>
  <c r="E2971" i="1"/>
  <c r="B2971" i="1"/>
  <c r="O2970" i="1"/>
  <c r="E2970" i="1"/>
  <c r="B2970" i="1"/>
  <c r="O2969" i="1"/>
  <c r="E2969" i="1"/>
  <c r="B2969" i="1"/>
  <c r="O2968" i="1"/>
  <c r="E2968" i="1"/>
  <c r="B2968" i="1"/>
  <c r="O2967" i="1"/>
  <c r="E2967" i="1"/>
  <c r="B2967" i="1"/>
  <c r="O2966" i="1"/>
  <c r="E2966" i="1"/>
  <c r="B2966" i="1"/>
  <c r="O2965" i="1"/>
  <c r="E2965" i="1"/>
  <c r="B2965" i="1"/>
  <c r="O2964" i="1"/>
  <c r="E2964" i="1"/>
  <c r="B2964" i="1"/>
  <c r="O2963" i="1"/>
  <c r="E2963" i="1"/>
  <c r="B2963" i="1"/>
  <c r="O2962" i="1"/>
  <c r="E2962" i="1"/>
  <c r="B2962" i="1"/>
  <c r="O2961" i="1"/>
  <c r="E2961" i="1"/>
  <c r="B2961" i="1"/>
  <c r="O2960" i="1"/>
  <c r="E2960" i="1"/>
  <c r="B2960" i="1"/>
  <c r="O2959" i="1"/>
  <c r="E2959" i="1"/>
  <c r="B2959" i="1"/>
  <c r="O2958" i="1"/>
  <c r="E2958" i="1"/>
  <c r="B2958" i="1"/>
  <c r="O2957" i="1"/>
  <c r="E2957" i="1"/>
  <c r="B2957" i="1"/>
  <c r="O2956" i="1"/>
  <c r="E2956" i="1"/>
  <c r="B2956" i="1"/>
  <c r="O2955" i="1"/>
  <c r="E2955" i="1"/>
  <c r="B2955" i="1"/>
  <c r="O2954" i="1"/>
  <c r="E2954" i="1"/>
  <c r="B2954" i="1"/>
  <c r="O2953" i="1"/>
  <c r="E2953" i="1"/>
  <c r="B2953" i="1"/>
  <c r="O2952" i="1"/>
  <c r="E2952" i="1"/>
  <c r="B2952" i="1"/>
  <c r="O2951" i="1"/>
  <c r="E2951" i="1"/>
  <c r="B2951" i="1"/>
  <c r="O2950" i="1"/>
  <c r="E2950" i="1"/>
  <c r="B2950" i="1"/>
  <c r="O2949" i="1"/>
  <c r="E2949" i="1"/>
  <c r="B2949" i="1"/>
  <c r="O2948" i="1"/>
  <c r="E2948" i="1"/>
  <c r="B2948" i="1"/>
  <c r="O2947" i="1"/>
  <c r="E2947" i="1"/>
  <c r="B2947" i="1"/>
  <c r="O2946" i="1"/>
  <c r="E2946" i="1"/>
  <c r="B2946" i="1"/>
  <c r="O2945" i="1"/>
  <c r="E2945" i="1"/>
  <c r="B2945" i="1"/>
  <c r="O2944" i="1"/>
  <c r="E2944" i="1"/>
  <c r="B2944" i="1"/>
  <c r="O2943" i="1"/>
  <c r="E2943" i="1"/>
  <c r="B2943" i="1"/>
  <c r="O2942" i="1"/>
  <c r="E2942" i="1"/>
  <c r="B2942" i="1"/>
  <c r="O2941" i="1"/>
  <c r="E2941" i="1"/>
  <c r="B2941" i="1"/>
  <c r="O2940" i="1"/>
  <c r="E2940" i="1"/>
  <c r="B2940" i="1"/>
  <c r="O2939" i="1"/>
  <c r="E2939" i="1"/>
  <c r="B2939" i="1"/>
  <c r="O2938" i="1"/>
  <c r="E2938" i="1"/>
  <c r="B2938" i="1"/>
  <c r="O2937" i="1"/>
  <c r="E2937" i="1"/>
  <c r="B2937" i="1"/>
  <c r="O2936" i="1"/>
  <c r="E2936" i="1"/>
  <c r="B2936" i="1"/>
  <c r="O2935" i="1"/>
  <c r="E2935" i="1"/>
  <c r="B2935" i="1"/>
  <c r="O2934" i="1"/>
  <c r="E2934" i="1"/>
  <c r="B2934" i="1"/>
  <c r="O2933" i="1"/>
  <c r="E2933" i="1"/>
  <c r="B2933" i="1"/>
  <c r="O2932" i="1"/>
  <c r="E2932" i="1"/>
  <c r="B2932" i="1"/>
  <c r="O2931" i="1"/>
  <c r="E2931" i="1"/>
  <c r="B2931" i="1"/>
  <c r="O2930" i="1"/>
  <c r="E2930" i="1"/>
  <c r="B2930" i="1"/>
  <c r="O2929" i="1"/>
  <c r="E2929" i="1"/>
  <c r="B2929" i="1"/>
  <c r="O2928" i="1"/>
  <c r="E2928" i="1"/>
  <c r="B2928" i="1"/>
  <c r="O2927" i="1"/>
  <c r="E2927" i="1"/>
  <c r="B2927" i="1"/>
  <c r="O2926" i="1"/>
  <c r="E2926" i="1"/>
  <c r="B2926" i="1"/>
  <c r="O2925" i="1"/>
  <c r="E2925" i="1"/>
  <c r="B2925" i="1"/>
  <c r="O2924" i="1"/>
  <c r="E2924" i="1"/>
  <c r="B2924" i="1"/>
  <c r="O2923" i="1"/>
  <c r="E2923" i="1"/>
  <c r="B2923" i="1"/>
  <c r="O2922" i="1"/>
  <c r="E2922" i="1"/>
  <c r="B2922" i="1"/>
  <c r="O2921" i="1"/>
  <c r="E2921" i="1"/>
  <c r="B2921" i="1"/>
  <c r="O2920" i="1"/>
  <c r="E2920" i="1"/>
  <c r="B2920" i="1"/>
  <c r="O2919" i="1"/>
  <c r="E2919" i="1"/>
  <c r="B2919" i="1"/>
  <c r="O2918" i="1"/>
  <c r="E2918" i="1"/>
  <c r="B2918" i="1"/>
  <c r="O2917" i="1"/>
  <c r="E2917" i="1"/>
  <c r="B2917" i="1"/>
  <c r="O2916" i="1"/>
  <c r="E2916" i="1"/>
  <c r="B2916" i="1"/>
  <c r="O2915" i="1"/>
  <c r="E2915" i="1"/>
  <c r="B2915" i="1"/>
  <c r="O2914" i="1"/>
  <c r="E2914" i="1"/>
  <c r="B2914" i="1"/>
  <c r="O2913" i="1"/>
  <c r="E2913" i="1"/>
  <c r="B2913" i="1"/>
  <c r="O2912" i="1"/>
  <c r="E2912" i="1"/>
  <c r="B2912" i="1"/>
  <c r="O2911" i="1"/>
  <c r="E2911" i="1"/>
  <c r="B2911" i="1"/>
  <c r="O2910" i="1"/>
  <c r="E2910" i="1"/>
  <c r="B2910" i="1"/>
  <c r="O2909" i="1"/>
  <c r="E2909" i="1"/>
  <c r="B2909" i="1"/>
  <c r="O2908" i="1"/>
  <c r="E2908" i="1"/>
  <c r="B2908" i="1"/>
  <c r="O2907" i="1"/>
  <c r="E2907" i="1"/>
  <c r="B2907" i="1"/>
  <c r="O2906" i="1"/>
  <c r="E2906" i="1"/>
  <c r="B2906" i="1"/>
  <c r="O2905" i="1"/>
  <c r="E2905" i="1"/>
  <c r="B2905" i="1"/>
  <c r="O2904" i="1"/>
  <c r="E2904" i="1"/>
  <c r="B2904" i="1"/>
  <c r="O2903" i="1"/>
  <c r="E2903" i="1"/>
  <c r="B2903" i="1"/>
  <c r="O2902" i="1"/>
  <c r="E2902" i="1"/>
  <c r="B2902" i="1"/>
  <c r="O2901" i="1"/>
  <c r="E2901" i="1"/>
  <c r="B2901" i="1"/>
  <c r="O2900" i="1"/>
  <c r="E2900" i="1"/>
  <c r="B2900" i="1"/>
  <c r="O2899" i="1"/>
  <c r="E2899" i="1"/>
  <c r="B2899" i="1"/>
  <c r="O2898" i="1"/>
  <c r="E2898" i="1"/>
  <c r="B2898" i="1"/>
  <c r="O2897" i="1"/>
  <c r="E2897" i="1"/>
  <c r="B2897" i="1"/>
  <c r="O2896" i="1"/>
  <c r="E2896" i="1"/>
  <c r="B2896" i="1"/>
  <c r="O2895" i="1"/>
  <c r="E2895" i="1"/>
  <c r="B2895" i="1"/>
  <c r="O2894" i="1"/>
  <c r="E2894" i="1"/>
  <c r="B2894" i="1"/>
  <c r="O2893" i="1"/>
  <c r="E2893" i="1"/>
  <c r="B2893" i="1"/>
  <c r="O2892" i="1"/>
  <c r="E2892" i="1"/>
  <c r="B2892" i="1"/>
  <c r="O2891" i="1"/>
  <c r="E2891" i="1"/>
  <c r="B2891" i="1"/>
  <c r="O2890" i="1"/>
  <c r="E2890" i="1"/>
  <c r="B2890" i="1"/>
  <c r="O2889" i="1"/>
  <c r="E2889" i="1"/>
  <c r="B2889" i="1"/>
  <c r="O2888" i="1"/>
  <c r="E2888" i="1"/>
  <c r="B2888" i="1"/>
  <c r="O2887" i="1"/>
  <c r="E2887" i="1"/>
  <c r="B2887" i="1"/>
  <c r="O2886" i="1"/>
  <c r="E2886" i="1"/>
  <c r="B2886" i="1"/>
  <c r="O2885" i="1"/>
  <c r="E2885" i="1"/>
  <c r="B2885" i="1"/>
  <c r="O2884" i="1"/>
  <c r="E2884" i="1"/>
  <c r="B2884" i="1"/>
  <c r="O2883" i="1"/>
  <c r="E2883" i="1"/>
  <c r="B2883" i="1"/>
  <c r="O2882" i="1"/>
  <c r="E2882" i="1"/>
  <c r="B2882" i="1"/>
  <c r="O2881" i="1"/>
  <c r="E2881" i="1"/>
  <c r="B2881" i="1"/>
  <c r="O2880" i="1"/>
  <c r="E2880" i="1"/>
  <c r="B2880" i="1"/>
  <c r="O2879" i="1"/>
  <c r="E2879" i="1"/>
  <c r="B2879" i="1"/>
  <c r="O2878" i="1"/>
  <c r="E2878" i="1"/>
  <c r="B2878" i="1"/>
  <c r="O2877" i="1"/>
  <c r="E2877" i="1"/>
  <c r="B2877" i="1"/>
  <c r="O2876" i="1"/>
  <c r="E2876" i="1"/>
  <c r="B2876" i="1"/>
  <c r="O2875" i="1"/>
  <c r="E2875" i="1"/>
  <c r="B2875" i="1"/>
  <c r="O2874" i="1"/>
  <c r="E2874" i="1"/>
  <c r="B2874" i="1"/>
  <c r="O2873" i="1"/>
  <c r="E2873" i="1"/>
  <c r="B2873" i="1"/>
  <c r="O2872" i="1"/>
  <c r="E2872" i="1"/>
  <c r="B2872" i="1"/>
  <c r="O2871" i="1"/>
  <c r="E2871" i="1"/>
  <c r="B2871" i="1"/>
  <c r="O2870" i="1"/>
  <c r="E2870" i="1"/>
  <c r="B2870" i="1"/>
  <c r="O2869" i="1"/>
  <c r="E2869" i="1"/>
  <c r="B2869" i="1"/>
  <c r="O2868" i="1"/>
  <c r="E2868" i="1"/>
  <c r="B2868" i="1"/>
  <c r="O2867" i="1"/>
  <c r="E2867" i="1"/>
  <c r="B2867" i="1"/>
  <c r="O2866" i="1"/>
  <c r="E2866" i="1"/>
  <c r="B2866" i="1"/>
  <c r="O2865" i="1"/>
  <c r="E2865" i="1"/>
  <c r="B2865" i="1"/>
  <c r="O2864" i="1"/>
  <c r="E2864" i="1"/>
  <c r="B2864" i="1"/>
  <c r="O2863" i="1"/>
  <c r="E2863" i="1"/>
  <c r="B2863" i="1"/>
  <c r="O2862" i="1"/>
  <c r="E2862" i="1"/>
  <c r="B2862" i="1"/>
  <c r="O2861" i="1"/>
  <c r="E2861" i="1"/>
  <c r="B2861" i="1"/>
  <c r="O2860" i="1"/>
  <c r="E2860" i="1"/>
  <c r="B2860" i="1"/>
  <c r="O2859" i="1"/>
  <c r="E2859" i="1"/>
  <c r="B2859" i="1"/>
  <c r="O2858" i="1"/>
  <c r="E2858" i="1"/>
  <c r="B2858" i="1"/>
  <c r="O2857" i="1"/>
  <c r="E2857" i="1"/>
  <c r="B2857" i="1"/>
  <c r="O2856" i="1"/>
  <c r="E2856" i="1"/>
  <c r="B2856" i="1"/>
  <c r="O2855" i="1"/>
  <c r="E2855" i="1"/>
  <c r="B2855" i="1"/>
  <c r="O2854" i="1"/>
  <c r="E2854" i="1"/>
  <c r="B2854" i="1"/>
  <c r="O2853" i="1"/>
  <c r="E2853" i="1"/>
  <c r="B2853" i="1"/>
  <c r="O2852" i="1"/>
  <c r="E2852" i="1"/>
  <c r="B2852" i="1"/>
  <c r="O2851" i="1"/>
  <c r="E2851" i="1"/>
  <c r="B2851" i="1"/>
  <c r="O2850" i="1"/>
  <c r="E2850" i="1"/>
  <c r="B2850" i="1"/>
  <c r="O2849" i="1"/>
  <c r="E2849" i="1"/>
  <c r="B2849" i="1"/>
  <c r="O2848" i="1"/>
  <c r="E2848" i="1"/>
  <c r="B2848" i="1"/>
  <c r="O2847" i="1"/>
  <c r="E2847" i="1"/>
  <c r="B2847" i="1"/>
  <c r="O2846" i="1"/>
  <c r="E2846" i="1"/>
  <c r="B2846" i="1"/>
  <c r="O2845" i="1"/>
  <c r="E2845" i="1"/>
  <c r="B2845" i="1"/>
  <c r="O2844" i="1"/>
  <c r="E2844" i="1"/>
  <c r="B2844" i="1"/>
  <c r="O2843" i="1"/>
  <c r="E2843" i="1"/>
  <c r="B2843" i="1"/>
  <c r="O2842" i="1"/>
  <c r="E2842" i="1"/>
  <c r="B2842" i="1"/>
  <c r="O2841" i="1"/>
  <c r="E2841" i="1"/>
  <c r="B2841" i="1"/>
  <c r="O2840" i="1"/>
  <c r="E2840" i="1"/>
  <c r="B2840" i="1"/>
  <c r="O2839" i="1"/>
  <c r="E2839" i="1"/>
  <c r="B2839" i="1"/>
  <c r="O2838" i="1"/>
  <c r="E2838" i="1"/>
  <c r="B2838" i="1"/>
  <c r="O2837" i="1"/>
  <c r="E2837" i="1"/>
  <c r="B2837" i="1"/>
  <c r="O2836" i="1"/>
  <c r="E2836" i="1"/>
  <c r="B2836" i="1"/>
  <c r="O2835" i="1"/>
  <c r="E2835" i="1"/>
  <c r="B2835" i="1"/>
  <c r="O2834" i="1"/>
  <c r="E2834" i="1"/>
  <c r="B2834" i="1"/>
  <c r="O2833" i="1"/>
  <c r="E2833" i="1"/>
  <c r="B2833" i="1"/>
  <c r="O2832" i="1"/>
  <c r="E2832" i="1"/>
  <c r="B2832" i="1"/>
  <c r="O2831" i="1"/>
  <c r="E2831" i="1"/>
  <c r="B2831" i="1"/>
  <c r="O2830" i="1"/>
  <c r="E2830" i="1"/>
  <c r="B2830" i="1"/>
  <c r="O2829" i="1"/>
  <c r="E2829" i="1"/>
  <c r="B2829" i="1"/>
  <c r="O2828" i="1"/>
  <c r="E2828" i="1"/>
  <c r="B2828" i="1"/>
  <c r="O2827" i="1"/>
  <c r="E2827" i="1"/>
  <c r="B2827" i="1"/>
  <c r="O2826" i="1"/>
  <c r="E2826" i="1"/>
  <c r="B2826" i="1"/>
  <c r="O2825" i="1"/>
  <c r="E2825" i="1"/>
  <c r="B2825" i="1"/>
  <c r="O2824" i="1"/>
  <c r="E2824" i="1"/>
  <c r="B2824" i="1"/>
  <c r="O2823" i="1"/>
  <c r="E2823" i="1"/>
  <c r="B2823" i="1"/>
  <c r="O2822" i="1"/>
  <c r="E2822" i="1"/>
  <c r="B2822" i="1"/>
  <c r="O2821" i="1"/>
  <c r="E2821" i="1"/>
  <c r="B2821" i="1"/>
  <c r="O2820" i="1"/>
  <c r="E2820" i="1"/>
  <c r="B2820" i="1"/>
  <c r="O2819" i="1"/>
  <c r="E2819" i="1"/>
  <c r="B2819" i="1"/>
  <c r="O2818" i="1"/>
  <c r="E2818" i="1"/>
  <c r="B2818" i="1"/>
  <c r="O2817" i="1"/>
  <c r="E2817" i="1"/>
  <c r="B2817" i="1"/>
  <c r="O2816" i="1"/>
  <c r="E2816" i="1"/>
  <c r="B2816" i="1"/>
  <c r="O2815" i="1"/>
  <c r="E2815" i="1"/>
  <c r="B2815" i="1"/>
  <c r="O2814" i="1"/>
  <c r="E2814" i="1"/>
  <c r="B2814" i="1"/>
  <c r="O2813" i="1"/>
  <c r="E2813" i="1"/>
  <c r="B2813" i="1"/>
  <c r="O2812" i="1"/>
  <c r="E2812" i="1"/>
  <c r="B2812" i="1"/>
  <c r="O2811" i="1"/>
  <c r="E2811" i="1"/>
  <c r="B2811" i="1"/>
  <c r="O2810" i="1"/>
  <c r="E2810" i="1"/>
  <c r="B2810" i="1"/>
  <c r="O2809" i="1"/>
  <c r="E2809" i="1"/>
  <c r="B2809" i="1"/>
  <c r="O2808" i="1"/>
  <c r="E2808" i="1"/>
  <c r="B2808" i="1"/>
  <c r="O2807" i="1"/>
  <c r="E2807" i="1"/>
  <c r="B2807" i="1"/>
  <c r="O2806" i="1"/>
  <c r="E2806" i="1"/>
  <c r="B2806" i="1"/>
  <c r="O2805" i="1"/>
  <c r="E2805" i="1"/>
  <c r="B2805" i="1"/>
  <c r="O2804" i="1"/>
  <c r="E2804" i="1"/>
  <c r="B2804" i="1"/>
  <c r="O2803" i="1"/>
  <c r="E2803" i="1"/>
  <c r="B2803" i="1"/>
  <c r="O2802" i="1"/>
  <c r="E2802" i="1"/>
  <c r="B2802" i="1"/>
  <c r="O2801" i="1"/>
  <c r="E2801" i="1"/>
  <c r="B2801" i="1"/>
  <c r="O2800" i="1"/>
  <c r="E2800" i="1"/>
  <c r="B2800" i="1"/>
  <c r="O2799" i="1"/>
  <c r="E2799" i="1"/>
  <c r="B2799" i="1"/>
  <c r="O2798" i="1"/>
  <c r="E2798" i="1"/>
  <c r="B2798" i="1"/>
  <c r="O2797" i="1"/>
  <c r="E2797" i="1"/>
  <c r="B2797" i="1"/>
  <c r="O2796" i="1"/>
  <c r="E2796" i="1"/>
  <c r="B2796" i="1"/>
  <c r="O2795" i="1"/>
  <c r="E2795" i="1"/>
  <c r="B2795" i="1"/>
  <c r="O2794" i="1"/>
  <c r="E2794" i="1"/>
  <c r="B2794" i="1"/>
  <c r="O2793" i="1"/>
  <c r="E2793" i="1"/>
  <c r="B2793" i="1"/>
  <c r="O2792" i="1"/>
  <c r="E2792" i="1"/>
  <c r="B2792" i="1"/>
  <c r="O2791" i="1"/>
  <c r="E2791" i="1"/>
  <c r="B2791" i="1"/>
  <c r="O2790" i="1"/>
  <c r="E2790" i="1"/>
  <c r="B2790" i="1"/>
  <c r="O2789" i="1"/>
  <c r="E2789" i="1"/>
  <c r="B2789" i="1"/>
  <c r="O2788" i="1"/>
  <c r="E2788" i="1"/>
  <c r="B2788" i="1"/>
  <c r="O2787" i="1"/>
  <c r="E2787" i="1"/>
  <c r="B2787" i="1"/>
  <c r="O2786" i="1"/>
  <c r="E2786" i="1"/>
  <c r="B2786" i="1"/>
  <c r="O2785" i="1"/>
  <c r="E2785" i="1"/>
  <c r="B2785" i="1"/>
  <c r="O2784" i="1"/>
  <c r="E2784" i="1"/>
  <c r="B2784" i="1"/>
  <c r="O2783" i="1"/>
  <c r="E2783" i="1"/>
  <c r="B2783" i="1"/>
  <c r="O2782" i="1"/>
  <c r="E2782" i="1"/>
  <c r="B2782" i="1"/>
  <c r="O2781" i="1"/>
  <c r="E2781" i="1"/>
  <c r="B2781" i="1"/>
  <c r="O2780" i="1"/>
  <c r="E2780" i="1"/>
  <c r="B2780" i="1"/>
  <c r="O2779" i="1"/>
  <c r="E2779" i="1"/>
  <c r="B2779" i="1"/>
  <c r="O2778" i="1"/>
  <c r="E2778" i="1"/>
  <c r="B2778" i="1"/>
  <c r="O2777" i="1"/>
  <c r="E2777" i="1"/>
  <c r="B2777" i="1"/>
  <c r="O2776" i="1"/>
  <c r="E2776" i="1"/>
  <c r="B2776" i="1"/>
  <c r="O2775" i="1"/>
  <c r="E2775" i="1"/>
  <c r="B2775" i="1"/>
  <c r="O2774" i="1"/>
  <c r="E2774" i="1"/>
  <c r="B2774" i="1"/>
  <c r="O2773" i="1"/>
  <c r="E2773" i="1"/>
  <c r="B2773" i="1"/>
  <c r="O2772" i="1"/>
  <c r="E2772" i="1"/>
  <c r="B2772" i="1"/>
  <c r="O2771" i="1"/>
  <c r="E2771" i="1"/>
  <c r="B2771" i="1"/>
  <c r="O2770" i="1"/>
  <c r="E2770" i="1"/>
  <c r="B2770" i="1"/>
  <c r="O2769" i="1"/>
  <c r="E2769" i="1"/>
  <c r="B2769" i="1"/>
  <c r="O2768" i="1"/>
  <c r="E2768" i="1"/>
  <c r="B2768" i="1"/>
  <c r="O2767" i="1"/>
  <c r="E2767" i="1"/>
  <c r="B2767" i="1"/>
  <c r="O2766" i="1"/>
  <c r="E2766" i="1"/>
  <c r="B2766" i="1"/>
  <c r="O2765" i="1"/>
  <c r="E2765" i="1"/>
  <c r="B2765" i="1"/>
  <c r="O2764" i="1"/>
  <c r="E2764" i="1"/>
  <c r="B2764" i="1"/>
  <c r="O2763" i="1"/>
  <c r="E2763" i="1"/>
  <c r="B2763" i="1"/>
  <c r="O2762" i="1"/>
  <c r="E2762" i="1"/>
  <c r="B2762" i="1"/>
  <c r="O2761" i="1"/>
  <c r="E2761" i="1"/>
  <c r="B2761" i="1"/>
  <c r="O2760" i="1"/>
  <c r="E2760" i="1"/>
  <c r="B2760" i="1"/>
  <c r="O2759" i="1"/>
  <c r="E2759" i="1"/>
  <c r="B2759" i="1"/>
  <c r="O2758" i="1"/>
  <c r="E2758" i="1"/>
  <c r="B2758" i="1"/>
  <c r="O2757" i="1"/>
  <c r="E2757" i="1"/>
  <c r="B2757" i="1"/>
  <c r="O2756" i="1"/>
  <c r="E2756" i="1"/>
  <c r="B2756" i="1"/>
  <c r="O2755" i="1"/>
  <c r="E2755" i="1"/>
  <c r="B2755" i="1"/>
  <c r="O2754" i="1"/>
  <c r="E2754" i="1"/>
  <c r="B2754" i="1"/>
  <c r="O2753" i="1"/>
  <c r="E2753" i="1"/>
  <c r="B2753" i="1"/>
  <c r="O2752" i="1"/>
  <c r="E2752" i="1"/>
  <c r="B2752" i="1"/>
  <c r="O2751" i="1"/>
  <c r="E2751" i="1"/>
  <c r="B2751" i="1"/>
  <c r="O2750" i="1"/>
  <c r="E2750" i="1"/>
  <c r="B2750" i="1"/>
  <c r="O2749" i="1"/>
  <c r="E2749" i="1"/>
  <c r="B2749" i="1"/>
  <c r="O2748" i="1"/>
  <c r="E2748" i="1"/>
  <c r="B2748" i="1"/>
  <c r="O2747" i="1"/>
  <c r="E2747" i="1"/>
  <c r="B2747" i="1"/>
  <c r="O2746" i="1"/>
  <c r="E2746" i="1"/>
  <c r="B2746" i="1"/>
  <c r="O2745" i="1"/>
  <c r="E2745" i="1"/>
  <c r="B2745" i="1"/>
  <c r="O2744" i="1"/>
  <c r="E2744" i="1"/>
  <c r="B2744" i="1"/>
  <c r="O2743" i="1"/>
  <c r="E2743" i="1"/>
  <c r="B2743" i="1"/>
  <c r="O2742" i="1"/>
  <c r="E2742" i="1"/>
  <c r="B2742" i="1"/>
  <c r="O2741" i="1"/>
  <c r="E2741" i="1"/>
  <c r="B2741" i="1"/>
  <c r="O2740" i="1"/>
  <c r="E2740" i="1"/>
  <c r="B2740" i="1"/>
  <c r="O2739" i="1"/>
  <c r="E2739" i="1"/>
  <c r="B2739" i="1"/>
  <c r="O2738" i="1"/>
  <c r="E2738" i="1"/>
  <c r="B2738" i="1"/>
  <c r="O2737" i="1"/>
  <c r="E2737" i="1"/>
  <c r="B2737" i="1"/>
  <c r="O2736" i="1"/>
  <c r="E2736" i="1"/>
  <c r="B2736" i="1"/>
  <c r="O2735" i="1"/>
  <c r="E2735" i="1"/>
  <c r="B2735" i="1"/>
  <c r="O2734" i="1"/>
  <c r="E2734" i="1"/>
  <c r="B2734" i="1"/>
  <c r="O2733" i="1"/>
  <c r="E2733" i="1"/>
  <c r="B2733" i="1"/>
  <c r="O2732" i="1"/>
  <c r="E2732" i="1"/>
  <c r="B2732" i="1"/>
  <c r="O2731" i="1"/>
  <c r="E2731" i="1"/>
  <c r="B2731" i="1"/>
  <c r="O2730" i="1"/>
  <c r="E2730" i="1"/>
  <c r="B2730" i="1"/>
  <c r="O2729" i="1"/>
  <c r="E2729" i="1"/>
  <c r="B2729" i="1"/>
  <c r="O2728" i="1"/>
  <c r="E2728" i="1"/>
  <c r="B2728" i="1"/>
  <c r="O2727" i="1"/>
  <c r="E2727" i="1"/>
  <c r="B2727" i="1"/>
  <c r="O2726" i="1"/>
  <c r="E2726" i="1"/>
  <c r="B2726" i="1"/>
  <c r="O2725" i="1"/>
  <c r="E2725" i="1"/>
  <c r="B2725" i="1"/>
  <c r="O2724" i="1"/>
  <c r="E2724" i="1"/>
  <c r="B2724" i="1"/>
  <c r="O2723" i="1"/>
  <c r="E2723" i="1"/>
  <c r="B2723" i="1"/>
  <c r="O2722" i="1"/>
  <c r="E2722" i="1"/>
  <c r="B2722" i="1"/>
  <c r="O2721" i="1"/>
  <c r="E2721" i="1"/>
  <c r="B2721" i="1"/>
  <c r="O2720" i="1"/>
  <c r="E2720" i="1"/>
  <c r="B2720" i="1"/>
  <c r="O2719" i="1"/>
  <c r="E2719" i="1"/>
  <c r="B2719" i="1"/>
  <c r="O2718" i="1"/>
  <c r="E2718" i="1"/>
  <c r="B2718" i="1"/>
  <c r="O2717" i="1"/>
  <c r="E2717" i="1"/>
  <c r="B2717" i="1"/>
  <c r="O2716" i="1"/>
  <c r="E2716" i="1"/>
  <c r="B2716" i="1"/>
  <c r="O2715" i="1"/>
  <c r="E2715" i="1"/>
  <c r="B2715" i="1"/>
  <c r="O2714" i="1"/>
  <c r="E2714" i="1"/>
  <c r="B2714" i="1"/>
  <c r="O2713" i="1"/>
  <c r="E2713" i="1"/>
  <c r="B2713" i="1"/>
  <c r="O2712" i="1"/>
  <c r="E2712" i="1"/>
  <c r="B2712" i="1"/>
  <c r="O2711" i="1"/>
  <c r="E2711" i="1"/>
  <c r="B2711" i="1"/>
  <c r="O2710" i="1"/>
  <c r="E2710" i="1"/>
  <c r="B2710" i="1"/>
  <c r="O2709" i="1"/>
  <c r="E2709" i="1"/>
  <c r="B2709" i="1"/>
  <c r="O2708" i="1"/>
  <c r="E2708" i="1"/>
  <c r="B2708" i="1"/>
  <c r="O2707" i="1"/>
  <c r="E2707" i="1"/>
  <c r="B2707" i="1"/>
  <c r="O2706" i="1"/>
  <c r="E2706" i="1"/>
  <c r="B2706" i="1"/>
  <c r="O2705" i="1"/>
  <c r="E2705" i="1"/>
  <c r="B2705" i="1"/>
  <c r="O2704" i="1"/>
  <c r="E2704" i="1"/>
  <c r="B2704" i="1"/>
  <c r="O2703" i="1"/>
  <c r="E2703" i="1"/>
  <c r="B2703" i="1"/>
  <c r="O2702" i="1"/>
  <c r="E2702" i="1"/>
  <c r="B2702" i="1"/>
  <c r="O2701" i="1"/>
  <c r="E2701" i="1"/>
  <c r="B2701" i="1"/>
  <c r="O2700" i="1"/>
  <c r="E2700" i="1"/>
  <c r="B2700" i="1"/>
  <c r="O2699" i="1"/>
  <c r="E2699" i="1"/>
  <c r="B2699" i="1"/>
  <c r="O2698" i="1"/>
  <c r="E2698" i="1"/>
  <c r="B2698" i="1"/>
  <c r="O2697" i="1"/>
  <c r="E2697" i="1"/>
  <c r="B2697" i="1"/>
  <c r="O2696" i="1"/>
  <c r="E2696" i="1"/>
  <c r="B2696" i="1"/>
  <c r="O2695" i="1"/>
  <c r="E2695" i="1"/>
  <c r="B2695" i="1"/>
  <c r="O2694" i="1"/>
  <c r="E2694" i="1"/>
  <c r="B2694" i="1"/>
  <c r="O2693" i="1"/>
  <c r="E2693" i="1"/>
  <c r="B2693" i="1"/>
  <c r="O2692" i="1"/>
  <c r="E2692" i="1"/>
  <c r="B2692" i="1"/>
  <c r="O2691" i="1"/>
  <c r="E2691" i="1"/>
  <c r="B2691" i="1"/>
  <c r="O2690" i="1"/>
  <c r="E2690" i="1"/>
  <c r="B2690" i="1"/>
  <c r="O2689" i="1"/>
  <c r="E2689" i="1"/>
  <c r="B2689" i="1"/>
  <c r="O2688" i="1"/>
  <c r="E2688" i="1"/>
  <c r="B2688" i="1"/>
  <c r="O2687" i="1"/>
  <c r="E2687" i="1"/>
  <c r="B2687" i="1"/>
  <c r="O2686" i="1"/>
  <c r="E2686" i="1"/>
  <c r="B2686" i="1"/>
  <c r="O2685" i="1"/>
  <c r="E2685" i="1"/>
  <c r="B2685" i="1"/>
  <c r="O2684" i="1"/>
  <c r="E2684" i="1"/>
  <c r="B2684" i="1"/>
  <c r="O2683" i="1"/>
  <c r="E2683" i="1"/>
  <c r="B2683" i="1"/>
  <c r="O2682" i="1"/>
  <c r="E2682" i="1"/>
  <c r="B2682" i="1"/>
  <c r="O2681" i="1"/>
  <c r="E2681" i="1"/>
  <c r="B2681" i="1"/>
  <c r="O2680" i="1"/>
  <c r="E2680" i="1"/>
  <c r="B2680" i="1"/>
  <c r="O2679" i="1"/>
  <c r="E2679" i="1"/>
  <c r="B2679" i="1"/>
  <c r="O2678" i="1"/>
  <c r="E2678" i="1"/>
  <c r="B2678" i="1"/>
  <c r="O2677" i="1"/>
  <c r="E2677" i="1"/>
  <c r="B2677" i="1"/>
  <c r="O2676" i="1"/>
  <c r="E2676" i="1"/>
  <c r="B2676" i="1"/>
  <c r="O2675" i="1"/>
  <c r="E2675" i="1"/>
  <c r="B2675" i="1"/>
  <c r="O2674" i="1"/>
  <c r="E2674" i="1"/>
  <c r="B2674" i="1"/>
  <c r="O2673" i="1"/>
  <c r="E2673" i="1"/>
  <c r="B2673" i="1"/>
  <c r="O2672" i="1"/>
  <c r="E2672" i="1"/>
  <c r="B2672" i="1"/>
  <c r="O2671" i="1"/>
  <c r="E2671" i="1"/>
  <c r="B2671" i="1"/>
  <c r="O2670" i="1"/>
  <c r="E2670" i="1"/>
  <c r="B2670" i="1"/>
  <c r="O2669" i="1"/>
  <c r="E2669" i="1"/>
  <c r="B2669" i="1"/>
  <c r="O2668" i="1"/>
  <c r="E2668" i="1"/>
  <c r="B2668" i="1"/>
  <c r="O2667" i="1"/>
  <c r="E2667" i="1"/>
  <c r="B2667" i="1"/>
  <c r="O2666" i="1"/>
  <c r="E2666" i="1"/>
  <c r="B2666" i="1"/>
  <c r="O2665" i="1"/>
  <c r="E2665" i="1"/>
  <c r="B2665" i="1"/>
  <c r="O2664" i="1"/>
  <c r="E2664" i="1"/>
  <c r="B2664" i="1"/>
  <c r="O2663" i="1"/>
  <c r="E2663" i="1"/>
  <c r="B2663" i="1"/>
  <c r="O2662" i="1"/>
  <c r="E2662" i="1"/>
  <c r="B2662" i="1"/>
  <c r="O2661" i="1"/>
  <c r="E2661" i="1"/>
  <c r="B2661" i="1"/>
  <c r="O2660" i="1"/>
  <c r="E2660" i="1"/>
  <c r="B2660" i="1"/>
  <c r="O2659" i="1"/>
  <c r="E2659" i="1"/>
  <c r="B2659" i="1"/>
  <c r="O2658" i="1"/>
  <c r="E2658" i="1"/>
  <c r="B2658" i="1"/>
  <c r="O2657" i="1"/>
  <c r="E2657" i="1"/>
  <c r="B2657" i="1"/>
  <c r="O2656" i="1"/>
  <c r="E2656" i="1"/>
  <c r="B2656" i="1"/>
  <c r="O2655" i="1"/>
  <c r="E2655" i="1"/>
  <c r="B2655" i="1"/>
  <c r="O2654" i="1"/>
  <c r="E2654" i="1"/>
  <c r="B2654" i="1"/>
  <c r="O2653" i="1"/>
  <c r="E2653" i="1"/>
  <c r="B2653" i="1"/>
  <c r="O2652" i="1"/>
  <c r="E2652" i="1"/>
  <c r="B2652" i="1"/>
  <c r="O2651" i="1"/>
  <c r="E2651" i="1"/>
  <c r="B2651" i="1"/>
  <c r="O2650" i="1"/>
  <c r="E2650" i="1"/>
  <c r="B2650" i="1"/>
  <c r="O2649" i="1"/>
  <c r="E2649" i="1"/>
  <c r="B2649" i="1"/>
  <c r="O2648" i="1"/>
  <c r="E2648" i="1"/>
  <c r="B2648" i="1"/>
  <c r="O2647" i="1"/>
  <c r="E2647" i="1"/>
  <c r="B2647" i="1"/>
  <c r="O2646" i="1"/>
  <c r="E2646" i="1"/>
  <c r="B2646" i="1"/>
  <c r="O2645" i="1"/>
  <c r="E2645" i="1"/>
  <c r="B2645" i="1"/>
  <c r="O2644" i="1"/>
  <c r="E2644" i="1"/>
  <c r="B2644" i="1"/>
  <c r="O2643" i="1"/>
  <c r="E2643" i="1"/>
  <c r="B2643" i="1"/>
  <c r="O2642" i="1"/>
  <c r="E2642" i="1"/>
  <c r="B2642" i="1"/>
  <c r="O2641" i="1"/>
  <c r="E2641" i="1"/>
  <c r="B2641" i="1"/>
  <c r="O2640" i="1"/>
  <c r="E2640" i="1"/>
  <c r="B2640" i="1"/>
  <c r="O2639" i="1"/>
  <c r="E2639" i="1"/>
  <c r="B2639" i="1"/>
  <c r="O2638" i="1"/>
  <c r="E2638" i="1"/>
  <c r="B2638" i="1"/>
  <c r="O2637" i="1"/>
  <c r="E2637" i="1"/>
  <c r="B2637" i="1"/>
  <c r="O2636" i="1"/>
  <c r="E2636" i="1"/>
  <c r="B2636" i="1"/>
  <c r="O2635" i="1"/>
  <c r="E2635" i="1"/>
  <c r="B2635" i="1"/>
  <c r="O2634" i="1"/>
  <c r="E2634" i="1"/>
  <c r="B2634" i="1"/>
  <c r="O2633" i="1"/>
  <c r="E2633" i="1"/>
  <c r="B2633" i="1"/>
  <c r="O2632" i="1"/>
  <c r="E2632" i="1"/>
  <c r="B2632" i="1"/>
  <c r="O2631" i="1"/>
  <c r="E2631" i="1"/>
  <c r="B2631" i="1"/>
  <c r="O2630" i="1"/>
  <c r="E2630" i="1"/>
  <c r="B2630" i="1"/>
  <c r="O2629" i="1"/>
  <c r="E2629" i="1"/>
  <c r="B2629" i="1"/>
  <c r="O2628" i="1"/>
  <c r="E2628" i="1"/>
  <c r="B2628" i="1"/>
  <c r="O2627" i="1"/>
  <c r="E2627" i="1"/>
  <c r="B2627" i="1"/>
  <c r="O2626" i="1"/>
  <c r="E2626" i="1"/>
  <c r="B2626" i="1"/>
  <c r="O2625" i="1"/>
  <c r="E2625" i="1"/>
  <c r="B2625" i="1"/>
  <c r="O2624" i="1"/>
  <c r="E2624" i="1"/>
  <c r="B2624" i="1"/>
  <c r="O2623" i="1"/>
  <c r="E2623" i="1"/>
  <c r="B2623" i="1"/>
  <c r="O2622" i="1"/>
  <c r="E2622" i="1"/>
  <c r="B2622" i="1"/>
  <c r="O2621" i="1"/>
  <c r="E2621" i="1"/>
  <c r="B2621" i="1"/>
  <c r="O2620" i="1"/>
  <c r="E2620" i="1"/>
  <c r="B2620" i="1"/>
  <c r="O2619" i="1"/>
  <c r="E2619" i="1"/>
  <c r="B2619" i="1"/>
  <c r="O2618" i="1"/>
  <c r="E2618" i="1"/>
  <c r="B2618" i="1"/>
  <c r="O2617" i="1"/>
  <c r="E2617" i="1"/>
  <c r="B2617" i="1"/>
  <c r="O2616" i="1"/>
  <c r="E2616" i="1"/>
  <c r="B2616" i="1"/>
  <c r="O2615" i="1"/>
  <c r="E2615" i="1"/>
  <c r="B2615" i="1"/>
  <c r="O2614" i="1"/>
  <c r="E2614" i="1"/>
  <c r="B2614" i="1"/>
  <c r="O2613" i="1"/>
  <c r="E2613" i="1"/>
  <c r="B2613" i="1"/>
  <c r="O2612" i="1"/>
  <c r="E2612" i="1"/>
  <c r="B2612" i="1"/>
  <c r="O2611" i="1"/>
  <c r="E2611" i="1"/>
  <c r="B2611" i="1"/>
  <c r="O2610" i="1"/>
  <c r="E2610" i="1"/>
  <c r="B2610" i="1"/>
  <c r="O2609" i="1"/>
  <c r="E2609" i="1"/>
  <c r="B2609" i="1"/>
  <c r="O2608" i="1"/>
  <c r="E2608" i="1"/>
  <c r="B2608" i="1"/>
  <c r="O2607" i="1"/>
  <c r="E2607" i="1"/>
  <c r="B2607" i="1"/>
  <c r="O2606" i="1"/>
  <c r="E2606" i="1"/>
  <c r="B2606" i="1"/>
  <c r="O2605" i="1"/>
  <c r="E2605" i="1"/>
  <c r="B2605" i="1"/>
  <c r="O2604" i="1"/>
  <c r="E2604" i="1"/>
  <c r="B2604" i="1"/>
  <c r="O2603" i="1"/>
  <c r="E2603" i="1"/>
  <c r="B2603" i="1"/>
  <c r="O2602" i="1"/>
  <c r="E2602" i="1"/>
  <c r="B2602" i="1"/>
  <c r="O2601" i="1"/>
  <c r="E2601" i="1"/>
  <c r="B2601" i="1"/>
  <c r="O2600" i="1"/>
  <c r="E2600" i="1"/>
  <c r="B2600" i="1"/>
  <c r="O2599" i="1"/>
  <c r="E2599" i="1"/>
  <c r="B2599" i="1"/>
  <c r="O2598" i="1"/>
  <c r="E2598" i="1"/>
  <c r="B2598" i="1"/>
  <c r="O2597" i="1"/>
  <c r="E2597" i="1"/>
  <c r="B2597" i="1"/>
  <c r="O2596" i="1"/>
  <c r="E2596" i="1"/>
  <c r="B2596" i="1"/>
  <c r="O2595" i="1"/>
  <c r="E2595" i="1"/>
  <c r="B2595" i="1"/>
  <c r="O2594" i="1"/>
  <c r="E2594" i="1"/>
  <c r="B2594" i="1"/>
  <c r="O2593" i="1"/>
  <c r="E2593" i="1"/>
  <c r="B2593" i="1"/>
  <c r="O2592" i="1"/>
  <c r="E2592" i="1"/>
  <c r="B2592" i="1"/>
  <c r="O2591" i="1"/>
  <c r="E2591" i="1"/>
  <c r="B2591" i="1"/>
  <c r="O2590" i="1"/>
  <c r="E2590" i="1"/>
  <c r="B2590" i="1"/>
  <c r="O2589" i="1"/>
  <c r="E2589" i="1"/>
  <c r="B2589" i="1"/>
  <c r="O2588" i="1"/>
  <c r="E2588" i="1"/>
  <c r="B2588" i="1"/>
  <c r="O2587" i="1"/>
  <c r="E2587" i="1"/>
  <c r="B2587" i="1"/>
  <c r="O2586" i="1"/>
  <c r="E2586" i="1"/>
  <c r="B2586" i="1"/>
  <c r="O2585" i="1"/>
  <c r="E2585" i="1"/>
  <c r="B2585" i="1"/>
  <c r="O2584" i="1"/>
  <c r="E2584" i="1"/>
  <c r="B2584" i="1"/>
  <c r="O2583" i="1"/>
  <c r="E2583" i="1"/>
  <c r="B2583" i="1"/>
  <c r="O2582" i="1"/>
  <c r="E2582" i="1"/>
  <c r="B2582" i="1"/>
  <c r="O2581" i="1"/>
  <c r="E2581" i="1"/>
  <c r="B2581" i="1"/>
  <c r="O2580" i="1"/>
  <c r="E2580" i="1"/>
  <c r="B2580" i="1"/>
  <c r="O2579" i="1"/>
  <c r="E2579" i="1"/>
  <c r="B2579" i="1"/>
  <c r="O2578" i="1"/>
  <c r="E2578" i="1"/>
  <c r="B2578" i="1"/>
  <c r="O2577" i="1"/>
  <c r="E2577" i="1"/>
  <c r="B2577" i="1"/>
  <c r="O2576" i="1"/>
  <c r="E2576" i="1"/>
  <c r="B2576" i="1"/>
  <c r="O2575" i="1"/>
  <c r="E2575" i="1"/>
  <c r="B2575" i="1"/>
  <c r="O2574" i="1"/>
  <c r="E2574" i="1"/>
  <c r="B2574" i="1"/>
  <c r="O2573" i="1"/>
  <c r="E2573" i="1"/>
  <c r="B2573" i="1"/>
  <c r="O2572" i="1"/>
  <c r="E2572" i="1"/>
  <c r="B2572" i="1"/>
  <c r="O2571" i="1"/>
  <c r="E2571" i="1"/>
  <c r="B2571" i="1"/>
  <c r="O2570" i="1"/>
  <c r="E2570" i="1"/>
  <c r="B2570" i="1"/>
  <c r="O2569" i="1"/>
  <c r="E2569" i="1"/>
  <c r="B2569" i="1"/>
  <c r="O2568" i="1"/>
  <c r="E2568" i="1"/>
  <c r="B2568" i="1"/>
  <c r="O2567" i="1"/>
  <c r="E2567" i="1"/>
  <c r="B2567" i="1"/>
  <c r="O2566" i="1"/>
  <c r="E2566" i="1"/>
  <c r="B2566" i="1"/>
  <c r="O2565" i="1"/>
  <c r="E2565" i="1"/>
  <c r="B2565" i="1"/>
  <c r="O2564" i="1"/>
  <c r="E2564" i="1"/>
  <c r="B2564" i="1"/>
  <c r="O2563" i="1"/>
  <c r="E2563" i="1"/>
  <c r="B2563" i="1"/>
  <c r="O2562" i="1"/>
  <c r="E2562" i="1"/>
  <c r="B2562" i="1"/>
  <c r="O2561" i="1"/>
  <c r="E2561" i="1"/>
  <c r="B2561" i="1"/>
  <c r="O2560" i="1"/>
  <c r="E2560" i="1"/>
  <c r="B2560" i="1"/>
  <c r="O2559" i="1"/>
  <c r="E2559" i="1"/>
  <c r="B2559" i="1"/>
  <c r="O2558" i="1"/>
  <c r="E2558" i="1"/>
  <c r="B2558" i="1"/>
  <c r="O2557" i="1"/>
  <c r="E2557" i="1"/>
  <c r="B2557" i="1"/>
  <c r="O2556" i="1"/>
  <c r="E2556" i="1"/>
  <c r="B2556" i="1"/>
  <c r="O2555" i="1"/>
  <c r="E2555" i="1"/>
  <c r="B2555" i="1"/>
  <c r="O2554" i="1"/>
  <c r="E2554" i="1"/>
  <c r="B2554" i="1"/>
  <c r="O2553" i="1"/>
  <c r="E2553" i="1"/>
  <c r="B2553" i="1"/>
  <c r="O2552" i="1"/>
  <c r="E2552" i="1"/>
  <c r="B2552" i="1"/>
  <c r="O2551" i="1"/>
  <c r="E2551" i="1"/>
  <c r="B2551" i="1"/>
  <c r="O2550" i="1"/>
  <c r="E2550" i="1"/>
  <c r="B2550" i="1"/>
  <c r="O2549" i="1"/>
  <c r="E2549" i="1"/>
  <c r="B2549" i="1"/>
  <c r="O2548" i="1"/>
  <c r="E2548" i="1"/>
  <c r="B2548" i="1"/>
  <c r="O2547" i="1"/>
  <c r="E2547" i="1"/>
  <c r="B2547" i="1"/>
  <c r="O2546" i="1"/>
  <c r="E2546" i="1"/>
  <c r="B2546" i="1"/>
  <c r="O2545" i="1"/>
  <c r="E2545" i="1"/>
  <c r="B2545" i="1"/>
  <c r="O2544" i="1"/>
  <c r="E2544" i="1"/>
  <c r="B2544" i="1"/>
  <c r="O2543" i="1"/>
  <c r="E2543" i="1"/>
  <c r="B2543" i="1"/>
  <c r="O2542" i="1"/>
  <c r="E2542" i="1"/>
  <c r="B2542" i="1"/>
  <c r="O2541" i="1"/>
  <c r="E2541" i="1"/>
  <c r="B2541" i="1"/>
  <c r="O2540" i="1"/>
  <c r="E2540" i="1"/>
  <c r="B2540" i="1"/>
  <c r="O2539" i="1"/>
  <c r="E2539" i="1"/>
  <c r="B2539" i="1"/>
  <c r="O2538" i="1"/>
  <c r="E2538" i="1"/>
  <c r="B2538" i="1"/>
  <c r="O2537" i="1"/>
  <c r="E2537" i="1"/>
  <c r="B2537" i="1"/>
  <c r="O2536" i="1"/>
  <c r="E2536" i="1"/>
  <c r="B2536" i="1"/>
  <c r="O2535" i="1"/>
  <c r="E2535" i="1"/>
  <c r="B2535" i="1"/>
  <c r="O2534" i="1"/>
  <c r="E2534" i="1"/>
  <c r="B2534" i="1"/>
  <c r="O2533" i="1"/>
  <c r="E2533" i="1"/>
  <c r="B2533" i="1"/>
  <c r="O2532" i="1"/>
  <c r="E2532" i="1"/>
  <c r="B2532" i="1"/>
  <c r="O2531" i="1"/>
  <c r="E2531" i="1"/>
  <c r="B2531" i="1"/>
  <c r="O2530" i="1"/>
  <c r="E2530" i="1"/>
  <c r="B2530" i="1"/>
  <c r="O2529" i="1"/>
  <c r="E2529" i="1"/>
  <c r="B2529" i="1"/>
  <c r="O2528" i="1"/>
  <c r="E2528" i="1"/>
  <c r="B2528" i="1"/>
  <c r="O2527" i="1"/>
  <c r="E2527" i="1"/>
  <c r="B2527" i="1"/>
  <c r="O2526" i="1"/>
  <c r="E2526" i="1"/>
  <c r="B2526" i="1"/>
  <c r="O2525" i="1"/>
  <c r="E2525" i="1"/>
  <c r="B2525" i="1"/>
  <c r="O2524" i="1"/>
  <c r="E2524" i="1"/>
  <c r="B2524" i="1"/>
  <c r="O2523" i="1"/>
  <c r="E2523" i="1"/>
  <c r="B2523" i="1"/>
  <c r="O2522" i="1"/>
  <c r="E2522" i="1"/>
  <c r="B2522" i="1"/>
  <c r="O2521" i="1"/>
  <c r="E2521" i="1"/>
  <c r="B2521" i="1"/>
  <c r="O2520" i="1"/>
  <c r="E2520" i="1"/>
  <c r="B2520" i="1"/>
  <c r="O2519" i="1"/>
  <c r="E2519" i="1"/>
  <c r="B2519" i="1"/>
  <c r="O2518" i="1"/>
  <c r="E2518" i="1"/>
  <c r="B2518" i="1"/>
  <c r="O2517" i="1"/>
  <c r="E2517" i="1"/>
  <c r="B2517" i="1"/>
  <c r="O2516" i="1"/>
  <c r="E2516" i="1"/>
  <c r="B2516" i="1"/>
  <c r="O2515" i="1"/>
  <c r="E2515" i="1"/>
  <c r="B2515" i="1"/>
  <c r="O2514" i="1"/>
  <c r="E2514" i="1"/>
  <c r="B2514" i="1"/>
  <c r="O2513" i="1"/>
  <c r="E2513" i="1"/>
  <c r="B2513" i="1"/>
  <c r="O2512" i="1"/>
  <c r="E2512" i="1"/>
  <c r="B2512" i="1"/>
  <c r="O2511" i="1"/>
  <c r="E2511" i="1"/>
  <c r="B2511" i="1"/>
  <c r="O2510" i="1"/>
  <c r="E2510" i="1"/>
  <c r="B2510" i="1"/>
  <c r="O2509" i="1"/>
  <c r="E2509" i="1"/>
  <c r="B2509" i="1"/>
  <c r="O2508" i="1"/>
  <c r="E2508" i="1"/>
  <c r="B2508" i="1"/>
  <c r="O2507" i="1"/>
  <c r="E2507" i="1"/>
  <c r="B2507" i="1"/>
  <c r="O2506" i="1"/>
  <c r="E2506" i="1"/>
  <c r="B2506" i="1"/>
  <c r="O2505" i="1"/>
  <c r="E2505" i="1"/>
  <c r="B2505" i="1"/>
  <c r="O2504" i="1"/>
  <c r="E2504" i="1"/>
  <c r="B2504" i="1"/>
  <c r="O2503" i="1"/>
  <c r="E2503" i="1"/>
  <c r="B2503" i="1"/>
  <c r="O2502" i="1"/>
  <c r="E2502" i="1"/>
  <c r="B2502" i="1"/>
  <c r="O2501" i="1"/>
  <c r="E2501" i="1"/>
  <c r="B2501" i="1"/>
  <c r="O2500" i="1"/>
  <c r="E2500" i="1"/>
  <c r="B2500" i="1"/>
  <c r="O2499" i="1"/>
  <c r="E2499" i="1"/>
  <c r="B2499" i="1"/>
  <c r="O2498" i="1"/>
  <c r="E2498" i="1"/>
  <c r="B2498" i="1"/>
  <c r="O2497" i="1"/>
  <c r="E2497" i="1"/>
  <c r="B2497" i="1"/>
  <c r="O2496" i="1"/>
  <c r="E2496" i="1"/>
  <c r="B2496" i="1"/>
  <c r="O2495" i="1"/>
  <c r="E2495" i="1"/>
  <c r="B2495" i="1"/>
  <c r="O2494" i="1"/>
  <c r="E2494" i="1"/>
  <c r="B2494" i="1"/>
  <c r="O2493" i="1"/>
  <c r="E2493" i="1"/>
  <c r="B2493" i="1"/>
  <c r="O2492" i="1"/>
  <c r="E2492" i="1"/>
  <c r="B2492" i="1"/>
  <c r="O2491" i="1"/>
  <c r="E2491" i="1"/>
  <c r="B2491" i="1"/>
  <c r="O2490" i="1"/>
  <c r="E2490" i="1"/>
  <c r="B2490" i="1"/>
  <c r="O2489" i="1"/>
  <c r="E2489" i="1"/>
  <c r="B2489" i="1"/>
  <c r="O2488" i="1"/>
  <c r="E2488" i="1"/>
  <c r="B2488" i="1"/>
  <c r="O2487" i="1"/>
  <c r="E2487" i="1"/>
  <c r="B2487" i="1"/>
  <c r="O2486" i="1"/>
  <c r="E2486" i="1"/>
  <c r="B2486" i="1"/>
  <c r="O2485" i="1"/>
  <c r="E2485" i="1"/>
  <c r="B2485" i="1"/>
  <c r="O2484" i="1"/>
  <c r="E2484" i="1"/>
  <c r="B2484" i="1"/>
  <c r="O2483" i="1"/>
  <c r="E2483" i="1"/>
  <c r="B2483" i="1"/>
  <c r="O2482" i="1"/>
  <c r="E2482" i="1"/>
  <c r="B2482" i="1"/>
  <c r="O2481" i="1"/>
  <c r="E2481" i="1"/>
  <c r="B2481" i="1"/>
  <c r="O2480" i="1"/>
  <c r="E2480" i="1"/>
  <c r="B2480" i="1"/>
  <c r="O2479" i="1"/>
  <c r="E2479" i="1"/>
  <c r="B2479" i="1"/>
  <c r="O2478" i="1"/>
  <c r="E2478" i="1"/>
  <c r="B2478" i="1"/>
  <c r="O2477" i="1"/>
  <c r="E2477" i="1"/>
  <c r="B2477" i="1"/>
  <c r="O2476" i="1"/>
  <c r="E2476" i="1"/>
  <c r="B2476" i="1"/>
  <c r="O2475" i="1"/>
  <c r="E2475" i="1"/>
  <c r="B2475" i="1"/>
  <c r="O2474" i="1"/>
  <c r="E2474" i="1"/>
  <c r="B2474" i="1"/>
  <c r="O2473" i="1"/>
  <c r="E2473" i="1"/>
  <c r="B2473" i="1"/>
  <c r="O2472" i="1"/>
  <c r="E2472" i="1"/>
  <c r="B2472" i="1"/>
  <c r="O2471" i="1"/>
  <c r="E2471" i="1"/>
  <c r="B2471" i="1"/>
  <c r="O2470" i="1"/>
  <c r="E2470" i="1"/>
  <c r="B2470" i="1"/>
  <c r="O2469" i="1"/>
  <c r="E2469" i="1"/>
  <c r="B2469" i="1"/>
  <c r="O2468" i="1"/>
  <c r="E2468" i="1"/>
  <c r="B2468" i="1"/>
  <c r="O2467" i="1"/>
  <c r="E2467" i="1"/>
  <c r="B2467" i="1"/>
  <c r="O2466" i="1"/>
  <c r="E2466" i="1"/>
  <c r="B2466" i="1"/>
  <c r="O2465" i="1"/>
  <c r="E2465" i="1"/>
  <c r="B2465" i="1"/>
  <c r="O2464" i="1"/>
  <c r="E2464" i="1"/>
  <c r="B2464" i="1"/>
  <c r="O2463" i="1"/>
  <c r="E2463" i="1"/>
  <c r="B2463" i="1"/>
  <c r="O2462" i="1"/>
  <c r="E2462" i="1"/>
  <c r="B2462" i="1"/>
  <c r="O2461" i="1"/>
  <c r="E2461" i="1"/>
  <c r="B2461" i="1"/>
  <c r="O2460" i="1"/>
  <c r="E2460" i="1"/>
  <c r="B2460" i="1"/>
  <c r="O2459" i="1"/>
  <c r="E2459" i="1"/>
  <c r="B2459" i="1"/>
  <c r="O2458" i="1"/>
  <c r="E2458" i="1"/>
  <c r="B2458" i="1"/>
  <c r="O2457" i="1"/>
  <c r="E2457" i="1"/>
  <c r="B2457" i="1"/>
  <c r="O2456" i="1"/>
  <c r="E2456" i="1"/>
  <c r="B2456" i="1"/>
  <c r="O2455" i="1"/>
  <c r="E2455" i="1"/>
  <c r="B2455" i="1"/>
  <c r="O2454" i="1"/>
  <c r="E2454" i="1"/>
  <c r="B2454" i="1"/>
  <c r="O2453" i="1"/>
  <c r="E2453" i="1"/>
  <c r="B2453" i="1"/>
  <c r="O2452" i="1"/>
  <c r="E2452" i="1"/>
  <c r="B2452" i="1"/>
  <c r="O2451" i="1"/>
  <c r="E2451" i="1"/>
  <c r="B2451" i="1"/>
  <c r="O2450" i="1"/>
  <c r="E2450" i="1"/>
  <c r="B2450" i="1"/>
  <c r="O2449" i="1"/>
  <c r="E2449" i="1"/>
  <c r="B2449" i="1"/>
  <c r="O2448" i="1"/>
  <c r="E2448" i="1"/>
  <c r="B2448" i="1"/>
  <c r="O2447" i="1"/>
  <c r="E2447" i="1"/>
  <c r="B2447" i="1"/>
  <c r="O2446" i="1"/>
  <c r="E2446" i="1"/>
  <c r="B2446" i="1"/>
  <c r="O2445" i="1"/>
  <c r="E2445" i="1"/>
  <c r="B2445" i="1"/>
  <c r="O2444" i="1"/>
  <c r="E2444" i="1"/>
  <c r="B2444" i="1"/>
  <c r="O2443" i="1"/>
  <c r="E2443" i="1"/>
  <c r="B2443" i="1"/>
  <c r="O2442" i="1"/>
  <c r="E2442" i="1"/>
  <c r="B2442" i="1"/>
  <c r="O2441" i="1"/>
  <c r="E2441" i="1"/>
  <c r="B2441" i="1"/>
  <c r="O2440" i="1"/>
  <c r="E2440" i="1"/>
  <c r="B2440" i="1"/>
  <c r="O2439" i="1"/>
  <c r="E2439" i="1"/>
  <c r="B2439" i="1"/>
  <c r="O2438" i="1"/>
  <c r="E2438" i="1"/>
  <c r="B2438" i="1"/>
  <c r="O2437" i="1"/>
  <c r="E2437" i="1"/>
  <c r="B2437" i="1"/>
  <c r="O2436" i="1"/>
  <c r="E2436" i="1"/>
  <c r="B2436" i="1"/>
  <c r="O2435" i="1"/>
  <c r="E2435" i="1"/>
  <c r="B2435" i="1"/>
  <c r="O2434" i="1"/>
  <c r="E2434" i="1"/>
  <c r="B2434" i="1"/>
  <c r="O2433" i="1"/>
  <c r="E2433" i="1"/>
  <c r="B2433" i="1"/>
  <c r="O2432" i="1"/>
  <c r="E2432" i="1"/>
  <c r="B2432" i="1"/>
  <c r="O2431" i="1"/>
  <c r="E2431" i="1"/>
  <c r="B2431" i="1"/>
  <c r="O2430" i="1"/>
  <c r="E2430" i="1"/>
  <c r="B2430" i="1"/>
  <c r="O2429" i="1"/>
  <c r="E2429" i="1"/>
  <c r="B2429" i="1"/>
  <c r="O2428" i="1"/>
  <c r="E2428" i="1"/>
  <c r="B2428" i="1"/>
  <c r="O2427" i="1"/>
  <c r="E2427" i="1"/>
  <c r="B2427" i="1"/>
  <c r="O2426" i="1"/>
  <c r="E2426" i="1"/>
  <c r="B2426" i="1"/>
  <c r="O2425" i="1"/>
  <c r="E2425" i="1"/>
  <c r="B2425" i="1"/>
  <c r="O2424" i="1"/>
  <c r="E2424" i="1"/>
  <c r="B2424" i="1"/>
  <c r="O2423" i="1"/>
  <c r="E2423" i="1"/>
  <c r="B2423" i="1"/>
  <c r="O2422" i="1"/>
  <c r="E2422" i="1"/>
  <c r="B2422" i="1"/>
  <c r="O2421" i="1"/>
  <c r="E2421" i="1"/>
  <c r="B2421" i="1"/>
  <c r="O2420" i="1"/>
  <c r="E2420" i="1"/>
  <c r="B2420" i="1"/>
  <c r="O2419" i="1"/>
  <c r="E2419" i="1"/>
  <c r="B2419" i="1"/>
  <c r="O2418" i="1"/>
  <c r="E2418" i="1"/>
  <c r="B2418" i="1"/>
  <c r="O2417" i="1"/>
  <c r="E2417" i="1"/>
  <c r="B2417" i="1"/>
  <c r="O2416" i="1"/>
  <c r="E2416" i="1"/>
  <c r="B2416" i="1"/>
  <c r="O2415" i="1"/>
  <c r="E2415" i="1"/>
  <c r="B2415" i="1"/>
  <c r="O2414" i="1"/>
  <c r="E2414" i="1"/>
  <c r="B2414" i="1"/>
  <c r="O2413" i="1"/>
  <c r="E2413" i="1"/>
  <c r="B2413" i="1"/>
  <c r="O2412" i="1"/>
  <c r="E2412" i="1"/>
  <c r="B2412" i="1"/>
  <c r="O2411" i="1"/>
  <c r="E2411" i="1"/>
  <c r="B2411" i="1"/>
  <c r="O2410" i="1"/>
  <c r="E2410" i="1"/>
  <c r="B2410" i="1"/>
  <c r="O2409" i="1"/>
  <c r="E2409" i="1"/>
  <c r="B2409" i="1"/>
  <c r="O2408" i="1"/>
  <c r="E2408" i="1"/>
  <c r="B2408" i="1"/>
  <c r="O2407" i="1"/>
  <c r="E2407" i="1"/>
  <c r="B2407" i="1"/>
  <c r="O2406" i="1"/>
  <c r="E2406" i="1"/>
  <c r="B2406" i="1"/>
  <c r="O2405" i="1"/>
  <c r="E2405" i="1"/>
  <c r="B2405" i="1"/>
  <c r="O2404" i="1"/>
  <c r="E2404" i="1"/>
  <c r="B2404" i="1"/>
  <c r="O2403" i="1"/>
  <c r="E2403" i="1"/>
  <c r="B2403" i="1"/>
  <c r="O2402" i="1"/>
  <c r="E2402" i="1"/>
  <c r="B2402" i="1"/>
  <c r="O2401" i="1"/>
  <c r="E2401" i="1"/>
  <c r="B2401" i="1"/>
  <c r="O2400" i="1"/>
  <c r="E2400" i="1"/>
  <c r="B2400" i="1"/>
  <c r="O2399" i="1"/>
  <c r="E2399" i="1"/>
  <c r="B2399" i="1"/>
  <c r="O2398" i="1"/>
  <c r="E2398" i="1"/>
  <c r="B2398" i="1"/>
  <c r="O2397" i="1"/>
  <c r="E2397" i="1"/>
  <c r="B2397" i="1"/>
  <c r="O2396" i="1"/>
  <c r="E2396" i="1"/>
  <c r="B2396" i="1"/>
  <c r="O2395" i="1"/>
  <c r="E2395" i="1"/>
  <c r="B2395" i="1"/>
  <c r="O2394" i="1"/>
  <c r="E2394" i="1"/>
  <c r="B2394" i="1"/>
  <c r="O2393" i="1"/>
  <c r="E2393" i="1"/>
  <c r="B2393" i="1"/>
  <c r="O2392" i="1"/>
  <c r="E2392" i="1"/>
  <c r="B2392" i="1"/>
  <c r="O2391" i="1"/>
  <c r="E2391" i="1"/>
  <c r="B2391" i="1"/>
  <c r="O2390" i="1"/>
  <c r="E2390" i="1"/>
  <c r="B2390" i="1"/>
  <c r="O2389" i="1"/>
  <c r="E2389" i="1"/>
  <c r="B2389" i="1"/>
  <c r="O2388" i="1"/>
  <c r="E2388" i="1"/>
  <c r="B2388" i="1"/>
  <c r="O2387" i="1"/>
  <c r="E2387" i="1"/>
  <c r="B2387" i="1"/>
  <c r="O2386" i="1"/>
  <c r="E2386" i="1"/>
  <c r="B2386" i="1"/>
  <c r="O2385" i="1"/>
  <c r="E2385" i="1"/>
  <c r="B2385" i="1"/>
  <c r="O2384" i="1"/>
  <c r="E2384" i="1"/>
  <c r="B2384" i="1"/>
  <c r="O2383" i="1"/>
  <c r="E2383" i="1"/>
  <c r="B2383" i="1"/>
  <c r="O2382" i="1"/>
  <c r="E2382" i="1"/>
  <c r="B2382" i="1"/>
  <c r="O2381" i="1"/>
  <c r="E2381" i="1"/>
  <c r="B2381" i="1"/>
  <c r="O2380" i="1"/>
  <c r="E2380" i="1"/>
  <c r="B2380" i="1"/>
  <c r="O2379" i="1"/>
  <c r="E2379" i="1"/>
  <c r="B2379" i="1"/>
  <c r="O2378" i="1"/>
  <c r="E2378" i="1"/>
  <c r="B2378" i="1"/>
  <c r="O2377" i="1"/>
  <c r="E2377" i="1"/>
  <c r="B2377" i="1"/>
  <c r="O2376" i="1"/>
  <c r="E2376" i="1"/>
  <c r="B2376" i="1"/>
  <c r="O2375" i="1"/>
  <c r="E2375" i="1"/>
  <c r="B2375" i="1"/>
  <c r="O2374" i="1"/>
  <c r="E2374" i="1"/>
  <c r="B2374" i="1"/>
  <c r="O2373" i="1"/>
  <c r="E2373" i="1"/>
  <c r="B2373" i="1"/>
  <c r="O2372" i="1"/>
  <c r="E2372" i="1"/>
  <c r="B2372" i="1"/>
  <c r="O2371" i="1"/>
  <c r="E2371" i="1"/>
  <c r="B2371" i="1"/>
  <c r="O2370" i="1"/>
  <c r="E2370" i="1"/>
  <c r="B2370" i="1"/>
  <c r="O2369" i="1"/>
  <c r="E2369" i="1"/>
  <c r="B2369" i="1"/>
  <c r="O2368" i="1"/>
  <c r="E2368" i="1"/>
  <c r="B2368" i="1"/>
  <c r="O2367" i="1"/>
  <c r="E2367" i="1"/>
  <c r="B2367" i="1"/>
  <c r="O2366" i="1"/>
  <c r="E2366" i="1"/>
  <c r="B2366" i="1"/>
  <c r="O2365" i="1"/>
  <c r="E2365" i="1"/>
  <c r="B2365" i="1"/>
  <c r="O2364" i="1"/>
  <c r="E2364" i="1"/>
  <c r="B2364" i="1"/>
  <c r="O2363" i="1"/>
  <c r="E2363" i="1"/>
  <c r="B2363" i="1"/>
  <c r="O2362" i="1"/>
  <c r="E2362" i="1"/>
  <c r="B2362" i="1"/>
  <c r="O2361" i="1"/>
  <c r="E2361" i="1"/>
  <c r="B2361" i="1"/>
  <c r="O2360" i="1"/>
  <c r="E2360" i="1"/>
  <c r="B2360" i="1"/>
  <c r="O2359" i="1"/>
  <c r="E2359" i="1"/>
  <c r="B2359" i="1"/>
  <c r="O2358" i="1"/>
  <c r="E2358" i="1"/>
  <c r="B2358" i="1"/>
  <c r="O2357" i="1"/>
  <c r="E2357" i="1"/>
  <c r="B2357" i="1"/>
  <c r="O2356" i="1"/>
  <c r="E2356" i="1"/>
  <c r="B2356" i="1"/>
  <c r="O2355" i="1"/>
  <c r="E2355" i="1"/>
  <c r="B2355" i="1"/>
  <c r="O2354" i="1"/>
  <c r="E2354" i="1"/>
  <c r="B2354" i="1"/>
  <c r="O2353" i="1"/>
  <c r="E2353" i="1"/>
  <c r="B2353" i="1"/>
  <c r="O2352" i="1"/>
  <c r="E2352" i="1"/>
  <c r="B2352" i="1"/>
  <c r="O2351" i="1"/>
  <c r="E2351" i="1"/>
  <c r="B2351" i="1"/>
  <c r="O2350" i="1"/>
  <c r="E2350" i="1"/>
  <c r="B2350" i="1"/>
  <c r="O2349" i="1"/>
  <c r="E2349" i="1"/>
  <c r="B2349" i="1"/>
  <c r="O2348" i="1"/>
  <c r="E2348" i="1"/>
  <c r="B2348" i="1"/>
  <c r="O2347" i="1"/>
  <c r="E2347" i="1"/>
  <c r="B2347" i="1"/>
  <c r="O2346" i="1"/>
  <c r="E2346" i="1"/>
  <c r="B2346" i="1"/>
  <c r="O2345" i="1"/>
  <c r="E2345" i="1"/>
  <c r="B2345" i="1"/>
  <c r="O2344" i="1"/>
  <c r="E2344" i="1"/>
  <c r="B2344" i="1"/>
  <c r="O2343" i="1"/>
  <c r="E2343" i="1"/>
  <c r="B2343" i="1"/>
  <c r="O2342" i="1"/>
  <c r="E2342" i="1"/>
  <c r="B2342" i="1"/>
  <c r="O2341" i="1"/>
  <c r="E2341" i="1"/>
  <c r="B2341" i="1"/>
  <c r="O2340" i="1"/>
  <c r="E2340" i="1"/>
  <c r="B2340" i="1"/>
  <c r="O2339" i="1"/>
  <c r="E2339" i="1"/>
  <c r="B2339" i="1"/>
  <c r="O2338" i="1"/>
  <c r="E2338" i="1"/>
  <c r="B2338" i="1"/>
  <c r="O2337" i="1"/>
  <c r="E2337" i="1"/>
  <c r="B2337" i="1"/>
  <c r="O2336" i="1"/>
  <c r="E2336" i="1"/>
  <c r="B2336" i="1"/>
  <c r="O2335" i="1"/>
  <c r="E2335" i="1"/>
  <c r="B2335" i="1"/>
  <c r="O2334" i="1"/>
  <c r="E2334" i="1"/>
  <c r="B2334" i="1"/>
  <c r="O2333" i="1"/>
  <c r="E2333" i="1"/>
  <c r="B2333" i="1"/>
  <c r="O2332" i="1"/>
  <c r="E2332" i="1"/>
  <c r="B2332" i="1"/>
  <c r="O2331" i="1"/>
  <c r="E2331" i="1"/>
  <c r="B2331" i="1"/>
  <c r="O2330" i="1"/>
  <c r="E2330" i="1"/>
  <c r="B2330" i="1"/>
  <c r="O2329" i="1"/>
  <c r="E2329" i="1"/>
  <c r="B2329" i="1"/>
  <c r="O2328" i="1"/>
  <c r="E2328" i="1"/>
  <c r="B2328" i="1"/>
  <c r="O2327" i="1"/>
  <c r="E2327" i="1"/>
  <c r="B2327" i="1"/>
  <c r="O2326" i="1"/>
  <c r="E2326" i="1"/>
  <c r="B2326" i="1"/>
  <c r="O2325" i="1"/>
  <c r="E2325" i="1"/>
  <c r="B2325" i="1"/>
  <c r="O2324" i="1"/>
  <c r="E2324" i="1"/>
  <c r="B2324" i="1"/>
  <c r="O2323" i="1"/>
  <c r="E2323" i="1"/>
  <c r="B2323" i="1"/>
  <c r="O2322" i="1"/>
  <c r="E2322" i="1"/>
  <c r="B2322" i="1"/>
  <c r="O2321" i="1"/>
  <c r="E2321" i="1"/>
  <c r="B2321" i="1"/>
  <c r="O2320" i="1"/>
  <c r="E2320" i="1"/>
  <c r="B2320" i="1"/>
  <c r="O2319" i="1"/>
  <c r="E2319" i="1"/>
  <c r="B2319" i="1"/>
  <c r="O2318" i="1"/>
  <c r="E2318" i="1"/>
  <c r="B2318" i="1"/>
  <c r="O2317" i="1"/>
  <c r="E2317" i="1"/>
  <c r="B2317" i="1"/>
  <c r="O2316" i="1"/>
  <c r="E2316" i="1"/>
  <c r="B2316" i="1"/>
  <c r="O2315" i="1"/>
  <c r="E2315" i="1"/>
  <c r="B2315" i="1"/>
  <c r="O2314" i="1"/>
  <c r="E2314" i="1"/>
  <c r="B2314" i="1"/>
  <c r="O2313" i="1"/>
  <c r="E2313" i="1"/>
  <c r="B2313" i="1"/>
  <c r="O2312" i="1"/>
  <c r="E2312" i="1"/>
  <c r="B2312" i="1"/>
  <c r="O2311" i="1"/>
  <c r="E2311" i="1"/>
  <c r="B2311" i="1"/>
  <c r="O2310" i="1"/>
  <c r="E2310" i="1"/>
  <c r="B2310" i="1"/>
  <c r="O2309" i="1"/>
  <c r="E2309" i="1"/>
  <c r="B2309" i="1"/>
  <c r="O2308" i="1"/>
  <c r="E2308" i="1"/>
  <c r="B2308" i="1"/>
  <c r="O2307" i="1"/>
  <c r="E2307" i="1"/>
  <c r="B2307" i="1"/>
  <c r="O2306" i="1"/>
  <c r="E2306" i="1"/>
  <c r="B2306" i="1"/>
  <c r="O2305" i="1"/>
  <c r="E2305" i="1"/>
  <c r="B2305" i="1"/>
  <c r="O2304" i="1"/>
  <c r="E2304" i="1"/>
  <c r="B2304" i="1"/>
  <c r="O2303" i="1"/>
  <c r="E2303" i="1"/>
  <c r="B2303" i="1"/>
  <c r="O2302" i="1"/>
  <c r="E2302" i="1"/>
  <c r="B2302" i="1"/>
  <c r="O2301" i="1"/>
  <c r="E2301" i="1"/>
  <c r="B2301" i="1"/>
  <c r="O2300" i="1"/>
  <c r="E2300" i="1"/>
  <c r="B2300" i="1"/>
  <c r="O2299" i="1"/>
  <c r="E2299" i="1"/>
  <c r="B2299" i="1"/>
  <c r="O2298" i="1"/>
  <c r="E2298" i="1"/>
  <c r="B2298" i="1"/>
  <c r="O2297" i="1"/>
  <c r="E2297" i="1"/>
  <c r="B2297" i="1"/>
  <c r="O2296" i="1"/>
  <c r="E2296" i="1"/>
  <c r="B2296" i="1"/>
  <c r="O2295" i="1"/>
  <c r="E2295" i="1"/>
  <c r="B2295" i="1"/>
  <c r="O2294" i="1"/>
  <c r="E2294" i="1"/>
  <c r="B2294" i="1"/>
  <c r="O2293" i="1"/>
  <c r="E2293" i="1"/>
  <c r="B2293" i="1"/>
  <c r="O2292" i="1"/>
  <c r="E2292" i="1"/>
  <c r="B2292" i="1"/>
  <c r="O2291" i="1"/>
  <c r="E2291" i="1"/>
  <c r="B2291" i="1"/>
  <c r="O2290" i="1"/>
  <c r="E2290" i="1"/>
  <c r="B2290" i="1"/>
  <c r="O2289" i="1"/>
  <c r="E2289" i="1"/>
  <c r="B2289" i="1"/>
  <c r="O2288" i="1"/>
  <c r="E2288" i="1"/>
  <c r="B2288" i="1"/>
  <c r="O2287" i="1"/>
  <c r="E2287" i="1"/>
  <c r="B2287" i="1"/>
  <c r="O2286" i="1"/>
  <c r="E2286" i="1"/>
  <c r="B2286" i="1"/>
  <c r="O2285" i="1"/>
  <c r="E2285" i="1"/>
  <c r="B2285" i="1"/>
  <c r="O2284" i="1"/>
  <c r="E2284" i="1"/>
  <c r="B2284" i="1"/>
  <c r="O2283" i="1"/>
  <c r="E2283" i="1"/>
  <c r="B2283" i="1"/>
  <c r="O2282" i="1"/>
  <c r="E2282" i="1"/>
  <c r="B2282" i="1"/>
  <c r="O2281" i="1"/>
  <c r="E2281" i="1"/>
  <c r="B2281" i="1"/>
  <c r="O2280" i="1"/>
  <c r="E2280" i="1"/>
  <c r="B2280" i="1"/>
  <c r="O2279" i="1"/>
  <c r="E2279" i="1"/>
  <c r="B2279" i="1"/>
  <c r="O2278" i="1"/>
  <c r="E2278" i="1"/>
  <c r="B2278" i="1"/>
  <c r="O2277" i="1"/>
  <c r="E2277" i="1"/>
  <c r="B2277" i="1"/>
  <c r="O2276" i="1"/>
  <c r="E2276" i="1"/>
  <c r="B2276" i="1"/>
  <c r="O2275" i="1"/>
  <c r="E2275" i="1"/>
  <c r="B2275" i="1"/>
  <c r="O2274" i="1"/>
  <c r="E2274" i="1"/>
  <c r="B2274" i="1"/>
  <c r="O2273" i="1"/>
  <c r="E2273" i="1"/>
  <c r="B2273" i="1"/>
  <c r="O2272" i="1"/>
  <c r="E2272" i="1"/>
  <c r="B2272" i="1"/>
  <c r="O2271" i="1"/>
  <c r="E2271" i="1"/>
  <c r="B2271" i="1"/>
  <c r="O2270" i="1"/>
  <c r="E2270" i="1"/>
  <c r="B2270" i="1"/>
  <c r="O2269" i="1"/>
  <c r="E2269" i="1"/>
  <c r="B2269" i="1"/>
  <c r="O2268" i="1"/>
  <c r="E2268" i="1"/>
  <c r="B2268" i="1"/>
  <c r="O2267" i="1"/>
  <c r="E2267" i="1"/>
  <c r="B2267" i="1"/>
  <c r="O2266" i="1"/>
  <c r="E2266" i="1"/>
  <c r="B2266" i="1"/>
  <c r="O2265" i="1"/>
  <c r="E2265" i="1"/>
  <c r="B2265" i="1"/>
  <c r="O2264" i="1"/>
  <c r="E2264" i="1"/>
  <c r="B2264" i="1"/>
  <c r="O2263" i="1"/>
  <c r="E2263" i="1"/>
  <c r="B2263" i="1"/>
  <c r="O2262" i="1"/>
  <c r="E2262" i="1"/>
  <c r="B2262" i="1"/>
  <c r="O2261" i="1"/>
  <c r="E2261" i="1"/>
  <c r="B2261" i="1"/>
  <c r="O2260" i="1"/>
  <c r="E2260" i="1"/>
  <c r="B2260" i="1"/>
  <c r="O2259" i="1"/>
  <c r="E2259" i="1"/>
  <c r="B2259" i="1"/>
  <c r="O2258" i="1"/>
  <c r="E2258" i="1"/>
  <c r="B2258" i="1"/>
  <c r="O2257" i="1"/>
  <c r="E2257" i="1"/>
  <c r="B2257" i="1"/>
  <c r="O2256" i="1"/>
  <c r="E2256" i="1"/>
  <c r="B2256" i="1"/>
  <c r="O2255" i="1"/>
  <c r="E2255" i="1"/>
  <c r="B2255" i="1"/>
  <c r="O2254" i="1"/>
  <c r="E2254" i="1"/>
  <c r="B2254" i="1"/>
  <c r="O2253" i="1"/>
  <c r="E2253" i="1"/>
  <c r="B2253" i="1"/>
  <c r="O2252" i="1"/>
  <c r="E2252" i="1"/>
  <c r="B2252" i="1"/>
  <c r="O2251" i="1"/>
  <c r="E2251" i="1"/>
  <c r="B2251" i="1"/>
  <c r="O2250" i="1"/>
  <c r="E2250" i="1"/>
  <c r="B2250" i="1"/>
  <c r="O2249" i="1"/>
  <c r="E2249" i="1"/>
  <c r="B2249" i="1"/>
  <c r="O2248" i="1"/>
  <c r="E2248" i="1"/>
  <c r="B2248" i="1"/>
  <c r="O2247" i="1"/>
  <c r="E2247" i="1"/>
  <c r="B2247" i="1"/>
  <c r="O2246" i="1"/>
  <c r="E2246" i="1"/>
  <c r="B2246" i="1"/>
  <c r="O2245" i="1"/>
  <c r="E2245" i="1"/>
  <c r="B2245" i="1"/>
  <c r="O2244" i="1"/>
  <c r="E2244" i="1"/>
  <c r="B2244" i="1"/>
  <c r="O2243" i="1"/>
  <c r="E2243" i="1"/>
  <c r="B2243" i="1"/>
  <c r="O2242" i="1"/>
  <c r="E2242" i="1"/>
  <c r="B2242" i="1"/>
  <c r="O2241" i="1"/>
  <c r="E2241" i="1"/>
  <c r="B2241" i="1"/>
  <c r="O2240" i="1"/>
  <c r="E2240" i="1"/>
  <c r="B2240" i="1"/>
  <c r="O2239" i="1"/>
  <c r="E2239" i="1"/>
  <c r="B2239" i="1"/>
  <c r="O2238" i="1"/>
  <c r="E2238" i="1"/>
  <c r="B2238" i="1"/>
  <c r="O2237" i="1"/>
  <c r="E2237" i="1"/>
  <c r="B2237" i="1"/>
  <c r="O2236" i="1"/>
  <c r="E2236" i="1"/>
  <c r="B2236" i="1"/>
  <c r="O2235" i="1"/>
  <c r="E2235" i="1"/>
  <c r="B2235" i="1"/>
  <c r="O2234" i="1"/>
  <c r="E2234" i="1"/>
  <c r="B2234" i="1"/>
  <c r="O2233" i="1"/>
  <c r="E2233" i="1"/>
  <c r="B2233" i="1"/>
  <c r="O2232" i="1"/>
  <c r="E2232" i="1"/>
  <c r="B2232" i="1"/>
  <c r="O2231" i="1"/>
  <c r="E2231" i="1"/>
  <c r="B2231" i="1"/>
  <c r="O2230" i="1"/>
  <c r="E2230" i="1"/>
  <c r="B2230" i="1"/>
  <c r="O2229" i="1"/>
  <c r="E2229" i="1"/>
  <c r="B2229" i="1"/>
  <c r="O2228" i="1"/>
  <c r="E2228" i="1"/>
  <c r="B2228" i="1"/>
  <c r="O2227" i="1"/>
  <c r="E2227" i="1"/>
  <c r="B2227" i="1"/>
  <c r="O2226" i="1"/>
  <c r="E2226" i="1"/>
  <c r="B2226" i="1"/>
  <c r="O2225" i="1"/>
  <c r="E2225" i="1"/>
  <c r="B2225" i="1"/>
  <c r="O2224" i="1"/>
  <c r="E2224" i="1"/>
  <c r="B2224" i="1"/>
  <c r="O2223" i="1"/>
  <c r="E2223" i="1"/>
  <c r="B2223" i="1"/>
  <c r="O2222" i="1"/>
  <c r="E2222" i="1"/>
  <c r="B2222" i="1"/>
  <c r="O2221" i="1"/>
  <c r="E2221" i="1"/>
  <c r="B2221" i="1"/>
  <c r="O2220" i="1"/>
  <c r="E2220" i="1"/>
  <c r="B2220" i="1"/>
  <c r="O2219" i="1"/>
  <c r="E2219" i="1"/>
  <c r="B2219" i="1"/>
  <c r="O2218" i="1"/>
  <c r="E2218" i="1"/>
  <c r="B2218" i="1"/>
  <c r="O2217" i="1"/>
  <c r="E2217" i="1"/>
  <c r="B2217" i="1"/>
  <c r="O2216" i="1"/>
  <c r="E2216" i="1"/>
  <c r="B2216" i="1"/>
  <c r="O2215" i="1"/>
  <c r="E2215" i="1"/>
  <c r="B2215" i="1"/>
  <c r="O2214" i="1"/>
  <c r="E2214" i="1"/>
  <c r="B2214" i="1"/>
  <c r="O2213" i="1"/>
  <c r="E2213" i="1"/>
  <c r="B2213" i="1"/>
  <c r="O2212" i="1"/>
  <c r="E2212" i="1"/>
  <c r="B2212" i="1"/>
  <c r="O2211" i="1"/>
  <c r="E2211" i="1"/>
  <c r="B2211" i="1"/>
  <c r="O2210" i="1"/>
  <c r="E2210" i="1"/>
  <c r="B2210" i="1"/>
  <c r="O2209" i="1"/>
  <c r="E2209" i="1"/>
  <c r="B2209" i="1"/>
  <c r="O2208" i="1"/>
  <c r="E2208" i="1"/>
  <c r="B2208" i="1"/>
  <c r="O2207" i="1"/>
  <c r="E2207" i="1"/>
  <c r="B2207" i="1"/>
  <c r="O2206" i="1"/>
  <c r="E2206" i="1"/>
  <c r="B2206" i="1"/>
  <c r="O2205" i="1"/>
  <c r="E2205" i="1"/>
  <c r="B2205" i="1"/>
  <c r="O2204" i="1"/>
  <c r="E2204" i="1"/>
  <c r="B2204" i="1"/>
  <c r="O2203" i="1"/>
  <c r="E2203" i="1"/>
  <c r="B2203" i="1"/>
  <c r="O2202" i="1"/>
  <c r="E2202" i="1"/>
  <c r="B2202" i="1"/>
  <c r="O2201" i="1"/>
  <c r="E2201" i="1"/>
  <c r="B2201" i="1"/>
  <c r="O2200" i="1"/>
  <c r="E2200" i="1"/>
  <c r="B2200" i="1"/>
  <c r="O2199" i="1"/>
  <c r="E2199" i="1"/>
  <c r="B2199" i="1"/>
  <c r="O2198" i="1"/>
  <c r="E2198" i="1"/>
  <c r="B2198" i="1"/>
  <c r="O2197" i="1"/>
  <c r="E2197" i="1"/>
  <c r="B2197" i="1"/>
  <c r="O2196" i="1"/>
  <c r="E2196" i="1"/>
  <c r="B2196" i="1"/>
  <c r="O2195" i="1"/>
  <c r="E2195" i="1"/>
  <c r="B2195" i="1"/>
  <c r="O2194" i="1"/>
  <c r="E2194" i="1"/>
  <c r="B2194" i="1"/>
  <c r="O2193" i="1"/>
  <c r="E2193" i="1"/>
  <c r="B2193" i="1"/>
  <c r="O2192" i="1"/>
  <c r="E2192" i="1"/>
  <c r="B2192" i="1"/>
  <c r="O2191" i="1"/>
  <c r="E2191" i="1"/>
  <c r="B2191" i="1"/>
  <c r="O2190" i="1"/>
  <c r="E2190" i="1"/>
  <c r="B2190" i="1"/>
  <c r="O2189" i="1"/>
  <c r="E2189" i="1"/>
  <c r="B2189" i="1"/>
  <c r="O2188" i="1"/>
  <c r="E2188" i="1"/>
  <c r="B2188" i="1"/>
  <c r="O2187" i="1"/>
  <c r="E2187" i="1"/>
  <c r="B2187" i="1"/>
  <c r="O2186" i="1"/>
  <c r="E2186" i="1"/>
  <c r="B2186" i="1"/>
  <c r="O2185" i="1"/>
  <c r="E2185" i="1"/>
  <c r="B2185" i="1"/>
  <c r="O2184" i="1"/>
  <c r="E2184" i="1"/>
  <c r="B2184" i="1"/>
  <c r="O2183" i="1"/>
  <c r="E2183" i="1"/>
  <c r="B2183" i="1"/>
  <c r="O2182" i="1"/>
  <c r="E2182" i="1"/>
  <c r="B2182" i="1"/>
  <c r="O2181" i="1"/>
  <c r="E2181" i="1"/>
  <c r="B2181" i="1"/>
  <c r="O2180" i="1"/>
  <c r="E2180" i="1"/>
  <c r="B2180" i="1"/>
  <c r="O2179" i="1"/>
  <c r="E2179" i="1"/>
  <c r="B2179" i="1"/>
  <c r="O2178" i="1"/>
  <c r="E2178" i="1"/>
  <c r="B2178" i="1"/>
  <c r="O2177" i="1"/>
  <c r="E2177" i="1"/>
  <c r="B2177" i="1"/>
  <c r="O2176" i="1"/>
  <c r="E2176" i="1"/>
  <c r="B2176" i="1"/>
  <c r="O2175" i="1"/>
  <c r="E2175" i="1"/>
  <c r="B2175" i="1"/>
  <c r="O2174" i="1"/>
  <c r="E2174" i="1"/>
  <c r="B2174" i="1"/>
  <c r="O2173" i="1"/>
  <c r="E2173" i="1"/>
  <c r="B2173" i="1"/>
  <c r="O2172" i="1"/>
  <c r="E2172" i="1"/>
  <c r="B2172" i="1"/>
  <c r="O2171" i="1"/>
  <c r="E2171" i="1"/>
  <c r="B2171" i="1"/>
  <c r="O2170" i="1"/>
  <c r="E2170" i="1"/>
  <c r="B2170" i="1"/>
  <c r="O2169" i="1"/>
  <c r="E2169" i="1"/>
  <c r="B2169" i="1"/>
  <c r="O2168" i="1"/>
  <c r="E2168" i="1"/>
  <c r="B2168" i="1"/>
  <c r="O2167" i="1"/>
  <c r="E2167" i="1"/>
  <c r="B2167" i="1"/>
  <c r="O2166" i="1"/>
  <c r="E2166" i="1"/>
  <c r="B2166" i="1"/>
  <c r="O2165" i="1"/>
  <c r="E2165" i="1"/>
  <c r="B2165" i="1"/>
  <c r="O2164" i="1"/>
  <c r="E2164" i="1"/>
  <c r="B2164" i="1"/>
  <c r="O2163" i="1"/>
  <c r="E2163" i="1"/>
  <c r="B2163" i="1"/>
  <c r="O2162" i="1"/>
  <c r="E2162" i="1"/>
  <c r="B2162" i="1"/>
  <c r="O2161" i="1"/>
  <c r="E2161" i="1"/>
  <c r="B2161" i="1"/>
  <c r="O2160" i="1"/>
  <c r="E2160" i="1"/>
  <c r="B2160" i="1"/>
  <c r="O2159" i="1"/>
  <c r="E2159" i="1"/>
  <c r="B2159" i="1"/>
  <c r="O2158" i="1"/>
  <c r="E2158" i="1"/>
  <c r="B2158" i="1"/>
  <c r="O2157" i="1"/>
  <c r="E2157" i="1"/>
  <c r="B2157" i="1"/>
  <c r="O2156" i="1"/>
  <c r="E2156" i="1"/>
  <c r="B2156" i="1"/>
  <c r="O2155" i="1"/>
  <c r="E2155" i="1"/>
  <c r="B2155" i="1"/>
  <c r="O2154" i="1"/>
  <c r="E2154" i="1"/>
  <c r="B2154" i="1"/>
  <c r="O2153" i="1"/>
  <c r="E2153" i="1"/>
  <c r="B2153" i="1"/>
  <c r="O2152" i="1"/>
  <c r="E2152" i="1"/>
  <c r="B2152" i="1"/>
  <c r="O2151" i="1"/>
  <c r="E2151" i="1"/>
  <c r="B2151" i="1"/>
  <c r="O2150" i="1"/>
  <c r="E2150" i="1"/>
  <c r="B2150" i="1"/>
  <c r="O2149" i="1"/>
  <c r="E2149" i="1"/>
  <c r="B2149" i="1"/>
  <c r="O2148" i="1"/>
  <c r="E2148" i="1"/>
  <c r="B2148" i="1"/>
  <c r="O2147" i="1"/>
  <c r="E2147" i="1"/>
  <c r="B2147" i="1"/>
  <c r="O2146" i="1"/>
  <c r="E2146" i="1"/>
  <c r="B2146" i="1"/>
  <c r="O2145" i="1"/>
  <c r="E2145" i="1"/>
  <c r="B2145" i="1"/>
  <c r="O2144" i="1"/>
  <c r="E2144" i="1"/>
  <c r="B2144" i="1"/>
  <c r="O2143" i="1"/>
  <c r="E2143" i="1"/>
  <c r="B2143" i="1"/>
  <c r="O2142" i="1"/>
  <c r="E2142" i="1"/>
  <c r="B2142" i="1"/>
  <c r="O2141" i="1"/>
  <c r="E2141" i="1"/>
  <c r="B2141" i="1"/>
  <c r="O2140" i="1"/>
  <c r="E2140" i="1"/>
  <c r="B2140" i="1"/>
  <c r="O2139" i="1"/>
  <c r="E2139" i="1"/>
  <c r="B2139" i="1"/>
  <c r="O2138" i="1"/>
  <c r="E2138" i="1"/>
  <c r="B2138" i="1"/>
  <c r="O2137" i="1"/>
  <c r="E2137" i="1"/>
  <c r="B2137" i="1"/>
  <c r="O2136" i="1"/>
  <c r="E2136" i="1"/>
  <c r="B2136" i="1"/>
  <c r="O2135" i="1"/>
  <c r="E2135" i="1"/>
  <c r="B2135" i="1"/>
  <c r="O2134" i="1"/>
  <c r="E2134" i="1"/>
  <c r="B2134" i="1"/>
  <c r="O2133" i="1"/>
  <c r="E2133" i="1"/>
  <c r="B2133" i="1"/>
  <c r="O2132" i="1"/>
  <c r="E2132" i="1"/>
  <c r="B2132" i="1"/>
  <c r="O2131" i="1"/>
  <c r="E2131" i="1"/>
  <c r="B2131" i="1"/>
  <c r="O2130" i="1"/>
  <c r="E2130" i="1"/>
  <c r="B2130" i="1"/>
  <c r="O2129" i="1"/>
  <c r="E2129" i="1"/>
  <c r="B2129" i="1"/>
  <c r="O2128" i="1"/>
  <c r="E2128" i="1"/>
  <c r="B2128" i="1"/>
  <c r="O2127" i="1"/>
  <c r="E2127" i="1"/>
  <c r="B2127" i="1"/>
  <c r="O2126" i="1"/>
  <c r="E2126" i="1"/>
  <c r="B2126" i="1"/>
  <c r="O2125" i="1"/>
  <c r="E2125" i="1"/>
  <c r="B2125" i="1"/>
  <c r="O2124" i="1"/>
  <c r="E2124" i="1"/>
  <c r="B2124" i="1"/>
  <c r="O2123" i="1"/>
  <c r="E2123" i="1"/>
  <c r="B2123" i="1"/>
  <c r="O2122" i="1"/>
  <c r="E2122" i="1"/>
  <c r="B2122" i="1"/>
  <c r="O2121" i="1"/>
  <c r="E2121" i="1"/>
  <c r="B2121" i="1"/>
  <c r="O2120" i="1"/>
  <c r="E2120" i="1"/>
  <c r="B2120" i="1"/>
  <c r="O2119" i="1"/>
  <c r="E2119" i="1"/>
  <c r="B2119" i="1"/>
  <c r="O2118" i="1"/>
  <c r="E2118" i="1"/>
  <c r="B2118" i="1"/>
  <c r="O2117" i="1"/>
  <c r="E2117" i="1"/>
  <c r="B2117" i="1"/>
  <c r="O2116" i="1"/>
  <c r="E2116" i="1"/>
  <c r="B2116" i="1"/>
  <c r="O2115" i="1"/>
  <c r="E2115" i="1"/>
  <c r="B2115" i="1"/>
  <c r="O2114" i="1"/>
  <c r="E2114" i="1"/>
  <c r="B2114" i="1"/>
  <c r="O2113" i="1"/>
  <c r="E2113" i="1"/>
  <c r="B2113" i="1"/>
  <c r="O2112" i="1"/>
  <c r="E2112" i="1"/>
  <c r="B2112" i="1"/>
  <c r="O2111" i="1"/>
  <c r="E2111" i="1"/>
  <c r="B2111" i="1"/>
  <c r="O2110" i="1"/>
  <c r="E2110" i="1"/>
  <c r="B2110" i="1"/>
  <c r="O2109" i="1"/>
  <c r="E2109" i="1"/>
  <c r="B2109" i="1"/>
  <c r="O2108" i="1"/>
  <c r="E2108" i="1"/>
  <c r="B2108" i="1"/>
  <c r="O2107" i="1"/>
  <c r="E2107" i="1"/>
  <c r="B2107" i="1"/>
  <c r="O2106" i="1"/>
  <c r="E2106" i="1"/>
  <c r="B2106" i="1"/>
  <c r="O2105" i="1"/>
  <c r="E2105" i="1"/>
  <c r="B2105" i="1"/>
  <c r="O2104" i="1"/>
  <c r="E2104" i="1"/>
  <c r="B2104" i="1"/>
  <c r="O2103" i="1"/>
  <c r="E2103" i="1"/>
  <c r="B2103" i="1"/>
  <c r="O2102" i="1"/>
  <c r="E2102" i="1"/>
  <c r="B2102" i="1"/>
  <c r="O2101" i="1"/>
  <c r="E2101" i="1"/>
  <c r="B2101" i="1"/>
  <c r="O2100" i="1"/>
  <c r="E2100" i="1"/>
  <c r="B2100" i="1"/>
  <c r="O2099" i="1"/>
  <c r="E2099" i="1"/>
  <c r="B2099" i="1"/>
  <c r="O2098" i="1"/>
  <c r="E2098" i="1"/>
  <c r="B2098" i="1"/>
  <c r="O2097" i="1"/>
  <c r="E2097" i="1"/>
  <c r="B2097" i="1"/>
  <c r="O2096" i="1"/>
  <c r="E2096" i="1"/>
  <c r="B2096" i="1"/>
  <c r="O2095" i="1"/>
  <c r="E2095" i="1"/>
  <c r="B2095" i="1"/>
  <c r="O2094" i="1"/>
  <c r="E2094" i="1"/>
  <c r="B2094" i="1"/>
  <c r="O2093" i="1"/>
  <c r="E2093" i="1"/>
  <c r="B2093" i="1"/>
  <c r="O2092" i="1"/>
  <c r="E2092" i="1"/>
  <c r="B2092" i="1"/>
  <c r="O2091" i="1"/>
  <c r="E2091" i="1"/>
  <c r="B2091" i="1"/>
  <c r="O2090" i="1"/>
  <c r="E2090" i="1"/>
  <c r="B2090" i="1"/>
  <c r="O2089" i="1"/>
  <c r="E2089" i="1"/>
  <c r="B2089" i="1"/>
  <c r="O2088" i="1"/>
  <c r="E2088" i="1"/>
  <c r="B2088" i="1"/>
  <c r="O2087" i="1"/>
  <c r="E2087" i="1"/>
  <c r="B2087" i="1"/>
  <c r="O2086" i="1"/>
  <c r="E2086" i="1"/>
  <c r="B2086" i="1"/>
  <c r="O2085" i="1"/>
  <c r="E2085" i="1"/>
  <c r="B2085" i="1"/>
  <c r="O2084" i="1"/>
  <c r="E2084" i="1"/>
  <c r="B2084" i="1"/>
  <c r="O2083" i="1"/>
  <c r="E2083" i="1"/>
  <c r="B2083" i="1"/>
  <c r="O2082" i="1"/>
  <c r="E2082" i="1"/>
  <c r="B2082" i="1"/>
  <c r="O2081" i="1"/>
  <c r="E2081" i="1"/>
  <c r="B2081" i="1"/>
  <c r="O2080" i="1"/>
  <c r="E2080" i="1"/>
  <c r="B2080" i="1"/>
  <c r="O2079" i="1"/>
  <c r="E2079" i="1"/>
  <c r="B2079" i="1"/>
  <c r="O2078" i="1"/>
  <c r="E2078" i="1"/>
  <c r="B2078" i="1"/>
  <c r="O2077" i="1"/>
  <c r="E2077" i="1"/>
  <c r="B2077" i="1"/>
  <c r="O2076" i="1"/>
  <c r="E2076" i="1"/>
  <c r="B2076" i="1"/>
  <c r="O2075" i="1"/>
  <c r="E2075" i="1"/>
  <c r="B2075" i="1"/>
  <c r="O2074" i="1"/>
  <c r="E2074" i="1"/>
  <c r="B2074" i="1"/>
  <c r="O2073" i="1"/>
  <c r="E2073" i="1"/>
  <c r="B2073" i="1"/>
  <c r="O2072" i="1"/>
  <c r="E2072" i="1"/>
  <c r="B2072" i="1"/>
  <c r="O2071" i="1"/>
  <c r="E2071" i="1"/>
  <c r="B2071" i="1"/>
  <c r="O2070" i="1"/>
  <c r="E2070" i="1"/>
  <c r="B2070" i="1"/>
  <c r="O2069" i="1"/>
  <c r="E2069" i="1"/>
  <c r="B2069" i="1"/>
  <c r="O2068" i="1"/>
  <c r="E2068" i="1"/>
  <c r="B2068" i="1"/>
  <c r="O2067" i="1"/>
  <c r="E2067" i="1"/>
  <c r="B2067" i="1"/>
  <c r="O2066" i="1"/>
  <c r="E2066" i="1"/>
  <c r="B2066" i="1"/>
  <c r="O2065" i="1"/>
  <c r="E2065" i="1"/>
  <c r="B2065" i="1"/>
  <c r="O2064" i="1"/>
  <c r="E2064" i="1"/>
  <c r="B2064" i="1"/>
  <c r="O2063" i="1"/>
  <c r="E2063" i="1"/>
  <c r="B2063" i="1"/>
  <c r="O2062" i="1"/>
  <c r="E2062" i="1"/>
  <c r="B2062" i="1"/>
  <c r="O2061" i="1"/>
  <c r="E2061" i="1"/>
  <c r="B2061" i="1"/>
  <c r="O2060" i="1"/>
  <c r="E2060" i="1"/>
  <c r="B2060" i="1"/>
  <c r="O2059" i="1"/>
  <c r="E2059" i="1"/>
  <c r="B2059" i="1"/>
  <c r="O2058" i="1"/>
  <c r="E2058" i="1"/>
  <c r="B2058" i="1"/>
  <c r="O2057" i="1"/>
  <c r="E2057" i="1"/>
  <c r="B2057" i="1"/>
  <c r="O2056" i="1"/>
  <c r="E2056" i="1"/>
  <c r="B2056" i="1"/>
  <c r="O2055" i="1"/>
  <c r="E2055" i="1"/>
  <c r="B2055" i="1"/>
  <c r="O2054" i="1"/>
  <c r="E2054" i="1"/>
  <c r="B2054" i="1"/>
  <c r="O2053" i="1"/>
  <c r="E2053" i="1"/>
  <c r="B2053" i="1"/>
  <c r="O2052" i="1"/>
  <c r="E2052" i="1"/>
  <c r="B2052" i="1"/>
  <c r="O2051" i="1"/>
  <c r="E2051" i="1"/>
  <c r="B2051" i="1"/>
  <c r="O2050" i="1"/>
  <c r="E2050" i="1"/>
  <c r="B2050" i="1"/>
  <c r="O2049" i="1"/>
  <c r="E2049" i="1"/>
  <c r="B2049" i="1"/>
  <c r="O2048" i="1"/>
  <c r="E2048" i="1"/>
  <c r="B2048" i="1"/>
  <c r="O2047" i="1"/>
  <c r="E2047" i="1"/>
  <c r="B2047" i="1"/>
  <c r="O2046" i="1"/>
  <c r="E2046" i="1"/>
  <c r="B2046" i="1"/>
  <c r="O2045" i="1"/>
  <c r="E2045" i="1"/>
  <c r="B2045" i="1"/>
  <c r="O2044" i="1"/>
  <c r="E2044" i="1"/>
  <c r="B2044" i="1"/>
  <c r="O2043" i="1"/>
  <c r="E2043" i="1"/>
  <c r="B2043" i="1"/>
  <c r="O2042" i="1"/>
  <c r="E2042" i="1"/>
  <c r="B2042" i="1"/>
  <c r="O2041" i="1"/>
  <c r="E2041" i="1"/>
  <c r="B2041" i="1"/>
  <c r="O2040" i="1"/>
  <c r="E2040" i="1"/>
  <c r="B2040" i="1"/>
  <c r="O2039" i="1"/>
  <c r="E2039" i="1"/>
  <c r="B2039" i="1"/>
  <c r="O2038" i="1"/>
  <c r="E2038" i="1"/>
  <c r="B2038" i="1"/>
  <c r="O2037" i="1"/>
  <c r="E2037" i="1"/>
  <c r="B2037" i="1"/>
  <c r="O2036" i="1"/>
  <c r="E2036" i="1"/>
  <c r="B2036" i="1"/>
  <c r="O2035" i="1"/>
  <c r="E2035" i="1"/>
  <c r="B2035" i="1"/>
  <c r="O2034" i="1"/>
  <c r="E2034" i="1"/>
  <c r="B2034" i="1"/>
  <c r="O2033" i="1"/>
  <c r="E2033" i="1"/>
  <c r="B2033" i="1"/>
  <c r="O2032" i="1"/>
  <c r="E2032" i="1"/>
  <c r="B2032" i="1"/>
  <c r="O2031" i="1"/>
  <c r="E2031" i="1"/>
  <c r="B2031" i="1"/>
  <c r="O2030" i="1"/>
  <c r="E2030" i="1"/>
  <c r="B2030" i="1"/>
  <c r="O2029" i="1"/>
  <c r="E2029" i="1"/>
  <c r="B2029" i="1"/>
  <c r="O2028" i="1"/>
  <c r="E2028" i="1"/>
  <c r="B2028" i="1"/>
  <c r="O2027" i="1"/>
  <c r="E2027" i="1"/>
  <c r="B2027" i="1"/>
  <c r="O2026" i="1"/>
  <c r="E2026" i="1"/>
  <c r="B2026" i="1"/>
  <c r="O2025" i="1"/>
  <c r="E2025" i="1"/>
  <c r="B2025" i="1"/>
  <c r="O2024" i="1"/>
  <c r="E2024" i="1"/>
  <c r="B2024" i="1"/>
  <c r="O2023" i="1"/>
  <c r="E2023" i="1"/>
  <c r="B2023" i="1"/>
  <c r="O2022" i="1"/>
  <c r="E2022" i="1"/>
  <c r="B2022" i="1"/>
  <c r="O2021" i="1"/>
  <c r="E2021" i="1"/>
  <c r="B2021" i="1"/>
  <c r="O2020" i="1"/>
  <c r="E2020" i="1"/>
  <c r="B2020" i="1"/>
  <c r="O2019" i="1"/>
  <c r="E2019" i="1"/>
  <c r="B2019" i="1"/>
  <c r="O2018" i="1"/>
  <c r="E2018" i="1"/>
  <c r="B2018" i="1"/>
  <c r="O2017" i="1"/>
  <c r="E2017" i="1"/>
  <c r="B2017" i="1"/>
  <c r="O2016" i="1"/>
  <c r="E2016" i="1"/>
  <c r="B2016" i="1"/>
  <c r="O2015" i="1"/>
  <c r="E2015" i="1"/>
  <c r="B2015" i="1"/>
  <c r="O2014" i="1"/>
  <c r="E2014" i="1"/>
  <c r="B2014" i="1"/>
  <c r="O2013" i="1"/>
  <c r="E2013" i="1"/>
  <c r="B2013" i="1"/>
  <c r="O2012" i="1"/>
  <c r="E2012" i="1"/>
  <c r="B2012" i="1"/>
  <c r="O2011" i="1"/>
  <c r="E2011" i="1"/>
  <c r="B2011" i="1"/>
  <c r="O2010" i="1"/>
  <c r="E2010" i="1"/>
  <c r="B2010" i="1"/>
  <c r="O2009" i="1"/>
  <c r="E2009" i="1"/>
  <c r="B2009" i="1"/>
  <c r="O2008" i="1"/>
  <c r="E2008" i="1"/>
  <c r="B2008" i="1"/>
  <c r="O2007" i="1"/>
  <c r="E2007" i="1"/>
  <c r="B2007" i="1"/>
  <c r="O2006" i="1"/>
  <c r="E2006" i="1"/>
  <c r="B2006" i="1"/>
  <c r="O2005" i="1"/>
  <c r="E2005" i="1"/>
  <c r="B2005" i="1"/>
  <c r="O2004" i="1"/>
  <c r="E2004" i="1"/>
  <c r="B2004" i="1"/>
  <c r="O2003" i="1"/>
  <c r="E2003" i="1"/>
  <c r="B2003" i="1"/>
  <c r="O2002" i="1"/>
  <c r="E2002" i="1"/>
  <c r="B2002" i="1"/>
  <c r="O2001" i="1"/>
  <c r="E2001" i="1"/>
  <c r="B2001" i="1"/>
  <c r="O2000" i="1"/>
  <c r="E2000" i="1"/>
  <c r="B2000" i="1"/>
  <c r="O1999" i="1"/>
  <c r="E1999" i="1"/>
  <c r="B1999" i="1"/>
  <c r="O1998" i="1"/>
  <c r="E1998" i="1"/>
  <c r="B1998" i="1"/>
  <c r="O1997" i="1"/>
  <c r="E1997" i="1"/>
  <c r="B1997" i="1"/>
  <c r="O1996" i="1"/>
  <c r="E1996" i="1"/>
  <c r="B1996" i="1"/>
  <c r="O1995" i="1"/>
  <c r="E1995" i="1"/>
  <c r="B1995" i="1"/>
  <c r="O1994" i="1"/>
  <c r="E1994" i="1"/>
  <c r="B1994" i="1"/>
  <c r="O1993" i="1"/>
  <c r="E1993" i="1"/>
  <c r="B1993" i="1"/>
  <c r="O1992" i="1"/>
  <c r="E1992" i="1"/>
  <c r="B1992" i="1"/>
  <c r="O1991" i="1"/>
  <c r="E1991" i="1"/>
  <c r="B1991" i="1"/>
  <c r="O1990" i="1"/>
  <c r="E1990" i="1"/>
  <c r="B1990" i="1"/>
  <c r="O1989" i="1"/>
  <c r="E1989" i="1"/>
  <c r="B1989" i="1"/>
  <c r="O1988" i="1"/>
  <c r="E1988" i="1"/>
  <c r="B1988" i="1"/>
  <c r="O1987" i="1"/>
  <c r="E1987" i="1"/>
  <c r="B1987" i="1"/>
  <c r="O1986" i="1"/>
  <c r="E1986" i="1"/>
  <c r="B1986" i="1"/>
  <c r="O1985" i="1"/>
  <c r="E1985" i="1"/>
  <c r="B1985" i="1"/>
  <c r="O1984" i="1"/>
  <c r="E1984" i="1"/>
  <c r="B1984" i="1"/>
  <c r="O1983" i="1"/>
  <c r="E1983" i="1"/>
  <c r="B1983" i="1"/>
  <c r="O1982" i="1"/>
  <c r="E1982" i="1"/>
  <c r="B1982" i="1"/>
  <c r="O1981" i="1"/>
  <c r="E1981" i="1"/>
  <c r="B1981" i="1"/>
  <c r="O1980" i="1"/>
  <c r="E1980" i="1"/>
  <c r="B1980" i="1"/>
  <c r="O1979" i="1"/>
  <c r="E1979" i="1"/>
  <c r="B1979" i="1"/>
  <c r="O1978" i="1"/>
  <c r="E1978" i="1"/>
  <c r="B1978" i="1"/>
  <c r="O1977" i="1"/>
  <c r="E1977" i="1"/>
  <c r="B1977" i="1"/>
  <c r="O1976" i="1"/>
  <c r="E1976" i="1"/>
  <c r="B1976" i="1"/>
  <c r="O1975" i="1"/>
  <c r="E1975" i="1"/>
  <c r="B1975" i="1"/>
  <c r="O1974" i="1"/>
  <c r="E1974" i="1"/>
  <c r="B1974" i="1"/>
  <c r="O1973" i="1"/>
  <c r="E1973" i="1"/>
  <c r="B1973" i="1"/>
  <c r="O1972" i="1"/>
  <c r="E1972" i="1"/>
  <c r="B1972" i="1"/>
  <c r="O1971" i="1"/>
  <c r="E1971" i="1"/>
  <c r="B1971" i="1"/>
  <c r="O1970" i="1"/>
  <c r="E1970" i="1"/>
  <c r="B1970" i="1"/>
  <c r="O1969" i="1"/>
  <c r="E1969" i="1"/>
  <c r="B1969" i="1"/>
  <c r="O1968" i="1"/>
  <c r="E1968" i="1"/>
  <c r="B1968" i="1"/>
  <c r="O1967" i="1"/>
  <c r="E1967" i="1"/>
  <c r="B1967" i="1"/>
  <c r="O1966" i="1"/>
  <c r="E1966" i="1"/>
  <c r="B1966" i="1"/>
  <c r="O1965" i="1"/>
  <c r="E1965" i="1"/>
  <c r="B1965" i="1"/>
  <c r="O1964" i="1"/>
  <c r="E1964" i="1"/>
  <c r="B1964" i="1"/>
  <c r="O1963" i="1"/>
  <c r="E1963" i="1"/>
  <c r="B1963" i="1"/>
  <c r="O1962" i="1"/>
  <c r="E1962" i="1"/>
  <c r="B1962" i="1"/>
  <c r="O1961" i="1"/>
  <c r="E1961" i="1"/>
  <c r="B1961" i="1"/>
  <c r="O1960" i="1"/>
  <c r="E1960" i="1"/>
  <c r="B1960" i="1"/>
  <c r="O1959" i="1"/>
  <c r="E1959" i="1"/>
  <c r="B1959" i="1"/>
  <c r="O1958" i="1"/>
  <c r="E1958" i="1"/>
  <c r="B1958" i="1"/>
  <c r="O1957" i="1"/>
  <c r="E1957" i="1"/>
  <c r="B1957" i="1"/>
  <c r="O1956" i="1"/>
  <c r="E1956" i="1"/>
  <c r="B1956" i="1"/>
  <c r="O1955" i="1"/>
  <c r="E1955" i="1"/>
  <c r="B1955" i="1"/>
  <c r="O1954" i="1"/>
  <c r="E1954" i="1"/>
  <c r="B1954" i="1"/>
  <c r="O1953" i="1"/>
  <c r="E1953" i="1"/>
  <c r="B1953" i="1"/>
  <c r="O1952" i="1"/>
  <c r="E1952" i="1"/>
  <c r="B1952" i="1"/>
  <c r="O1951" i="1"/>
  <c r="E1951" i="1"/>
  <c r="B1951" i="1"/>
  <c r="O1950" i="1"/>
  <c r="E1950" i="1"/>
  <c r="B1950" i="1"/>
  <c r="O1949" i="1"/>
  <c r="E1949" i="1"/>
  <c r="B1949" i="1"/>
  <c r="O1948" i="1"/>
  <c r="E1948" i="1"/>
  <c r="B1948" i="1"/>
  <c r="O1947" i="1"/>
  <c r="E1947" i="1"/>
  <c r="B1947" i="1"/>
  <c r="O1946" i="1"/>
  <c r="E1946" i="1"/>
  <c r="B1946" i="1"/>
  <c r="O1945" i="1"/>
  <c r="E1945" i="1"/>
  <c r="B1945" i="1"/>
  <c r="O1944" i="1"/>
  <c r="E1944" i="1"/>
  <c r="B1944" i="1"/>
  <c r="O1943" i="1"/>
  <c r="E1943" i="1"/>
  <c r="B1943" i="1"/>
  <c r="O1942" i="1"/>
  <c r="E1942" i="1"/>
  <c r="B1942" i="1"/>
  <c r="O1941" i="1"/>
  <c r="E1941" i="1"/>
  <c r="B1941" i="1"/>
  <c r="O1940" i="1"/>
  <c r="E1940" i="1"/>
  <c r="B1940" i="1"/>
  <c r="O1939" i="1"/>
  <c r="E1939" i="1"/>
  <c r="B1939" i="1"/>
  <c r="O1938" i="1"/>
  <c r="E1938" i="1"/>
  <c r="B1938" i="1"/>
  <c r="O1937" i="1"/>
  <c r="E1937" i="1"/>
  <c r="B1937" i="1"/>
  <c r="O1936" i="1"/>
  <c r="E1936" i="1"/>
  <c r="B1936" i="1"/>
  <c r="O1935" i="1"/>
  <c r="E1935" i="1"/>
  <c r="B1935" i="1"/>
  <c r="O1934" i="1"/>
  <c r="E1934" i="1"/>
  <c r="B1934" i="1"/>
  <c r="O1933" i="1"/>
  <c r="E1933" i="1"/>
  <c r="B1933" i="1"/>
  <c r="O1932" i="1"/>
  <c r="E1932" i="1"/>
  <c r="B1932" i="1"/>
  <c r="O1931" i="1"/>
  <c r="E1931" i="1"/>
  <c r="B1931" i="1"/>
  <c r="O1930" i="1"/>
  <c r="E1930" i="1"/>
  <c r="B1930" i="1"/>
  <c r="O1929" i="1"/>
  <c r="E1929" i="1"/>
  <c r="B1929" i="1"/>
  <c r="O1928" i="1"/>
  <c r="E1928" i="1"/>
  <c r="B1928" i="1"/>
  <c r="O1927" i="1"/>
  <c r="E1927" i="1"/>
  <c r="B1927" i="1"/>
  <c r="O1926" i="1"/>
  <c r="E1926" i="1"/>
  <c r="B1926" i="1"/>
  <c r="O1925" i="1"/>
  <c r="E1925" i="1"/>
  <c r="B1925" i="1"/>
  <c r="O1924" i="1"/>
  <c r="E1924" i="1"/>
  <c r="B1924" i="1"/>
  <c r="O1923" i="1"/>
  <c r="E1923" i="1"/>
  <c r="B1923" i="1"/>
  <c r="O1922" i="1"/>
  <c r="E1922" i="1"/>
  <c r="B1922" i="1"/>
  <c r="O1921" i="1"/>
  <c r="E1921" i="1"/>
  <c r="B1921" i="1"/>
  <c r="O1920" i="1"/>
  <c r="E1920" i="1"/>
  <c r="B1920" i="1"/>
  <c r="O1919" i="1"/>
  <c r="E1919" i="1"/>
  <c r="B1919" i="1"/>
  <c r="O1918" i="1"/>
  <c r="E1918" i="1"/>
  <c r="B1918" i="1"/>
  <c r="O1917" i="1"/>
  <c r="E1917" i="1"/>
  <c r="B1917" i="1"/>
  <c r="O1916" i="1"/>
  <c r="E1916" i="1"/>
  <c r="B1916" i="1"/>
  <c r="O1915" i="1"/>
  <c r="E1915" i="1"/>
  <c r="B1915" i="1"/>
  <c r="O1914" i="1"/>
  <c r="E1914" i="1"/>
  <c r="B1914" i="1"/>
  <c r="O1913" i="1"/>
  <c r="E1913" i="1"/>
  <c r="B1913" i="1"/>
  <c r="O1912" i="1"/>
  <c r="E1912" i="1"/>
  <c r="B1912" i="1"/>
  <c r="O1911" i="1"/>
  <c r="E1911" i="1"/>
  <c r="B1911" i="1"/>
  <c r="O1910" i="1"/>
  <c r="E1910" i="1"/>
  <c r="B1910" i="1"/>
  <c r="O1909" i="1"/>
  <c r="E1909" i="1"/>
  <c r="B1909" i="1"/>
  <c r="O1908" i="1"/>
  <c r="E1908" i="1"/>
  <c r="B1908" i="1"/>
  <c r="O1907" i="1"/>
  <c r="E1907" i="1"/>
  <c r="B1907" i="1"/>
  <c r="O1906" i="1"/>
  <c r="E1906" i="1"/>
  <c r="B1906" i="1"/>
  <c r="O1905" i="1"/>
  <c r="E1905" i="1"/>
  <c r="B1905" i="1"/>
  <c r="O1904" i="1"/>
  <c r="E1904" i="1"/>
  <c r="B1904" i="1"/>
  <c r="O1903" i="1"/>
  <c r="E1903" i="1"/>
  <c r="B1903" i="1"/>
  <c r="O1902" i="1"/>
  <c r="E1902" i="1"/>
  <c r="B1902" i="1"/>
  <c r="O1901" i="1"/>
  <c r="E1901" i="1"/>
  <c r="B1901" i="1"/>
  <c r="O1900" i="1"/>
  <c r="E1900" i="1"/>
  <c r="B1900" i="1"/>
  <c r="O1899" i="1"/>
  <c r="E1899" i="1"/>
  <c r="B1899" i="1"/>
  <c r="O1898" i="1"/>
  <c r="E1898" i="1"/>
  <c r="B1898" i="1"/>
  <c r="O1897" i="1"/>
  <c r="E1897" i="1"/>
  <c r="B1897" i="1"/>
  <c r="O1896" i="1"/>
  <c r="E1896" i="1"/>
  <c r="B1896" i="1"/>
  <c r="O1895" i="1"/>
  <c r="E1895" i="1"/>
  <c r="B1895" i="1"/>
  <c r="O1894" i="1"/>
  <c r="E1894" i="1"/>
  <c r="B1894" i="1"/>
  <c r="O1893" i="1"/>
  <c r="E1893" i="1"/>
  <c r="B1893" i="1"/>
  <c r="O1892" i="1"/>
  <c r="E1892" i="1"/>
  <c r="B1892" i="1"/>
  <c r="O1891" i="1"/>
  <c r="E1891" i="1"/>
  <c r="B1891" i="1"/>
  <c r="O1890" i="1"/>
  <c r="E1890" i="1"/>
  <c r="B1890" i="1"/>
  <c r="O1889" i="1"/>
  <c r="E1889" i="1"/>
  <c r="B1889" i="1"/>
  <c r="O1888" i="1"/>
  <c r="E1888" i="1"/>
  <c r="B1888" i="1"/>
  <c r="O1887" i="1"/>
  <c r="E1887" i="1"/>
  <c r="B1887" i="1"/>
  <c r="O1886" i="1"/>
  <c r="E1886" i="1"/>
  <c r="B1886" i="1"/>
  <c r="O1885" i="1"/>
  <c r="E1885" i="1"/>
  <c r="B1885" i="1"/>
  <c r="O1884" i="1"/>
  <c r="E1884" i="1"/>
  <c r="B1884" i="1"/>
  <c r="O1883" i="1"/>
  <c r="E1883" i="1"/>
  <c r="B1883" i="1"/>
  <c r="O1882" i="1"/>
  <c r="E1882" i="1"/>
  <c r="B1882" i="1"/>
  <c r="O1881" i="1"/>
  <c r="E1881" i="1"/>
  <c r="B1881" i="1"/>
  <c r="O1880" i="1"/>
  <c r="E1880" i="1"/>
  <c r="B1880" i="1"/>
  <c r="O1879" i="1"/>
  <c r="E1879" i="1"/>
  <c r="B1879" i="1"/>
  <c r="O1878" i="1"/>
  <c r="E1878" i="1"/>
  <c r="B1878" i="1"/>
  <c r="O1877" i="1"/>
  <c r="E1877" i="1"/>
  <c r="B1877" i="1"/>
  <c r="O1876" i="1"/>
  <c r="E1876" i="1"/>
  <c r="B1876" i="1"/>
  <c r="O1875" i="1"/>
  <c r="E1875" i="1"/>
  <c r="B1875" i="1"/>
  <c r="O1874" i="1"/>
  <c r="E1874" i="1"/>
  <c r="B1874" i="1"/>
  <c r="O1873" i="1"/>
  <c r="E1873" i="1"/>
  <c r="B1873" i="1"/>
  <c r="O1872" i="1"/>
  <c r="E1872" i="1"/>
  <c r="B1872" i="1"/>
  <c r="O1871" i="1"/>
  <c r="E1871" i="1"/>
  <c r="B1871" i="1"/>
  <c r="O1870" i="1"/>
  <c r="E1870" i="1"/>
  <c r="B1870" i="1"/>
  <c r="O1869" i="1"/>
  <c r="E1869" i="1"/>
  <c r="B1869" i="1"/>
  <c r="O1868" i="1"/>
  <c r="E1868" i="1"/>
  <c r="B1868" i="1"/>
  <c r="O1867" i="1"/>
  <c r="E1867" i="1"/>
  <c r="B1867" i="1"/>
  <c r="O1866" i="1"/>
  <c r="E1866" i="1"/>
  <c r="B1866" i="1"/>
  <c r="O1865" i="1"/>
  <c r="E1865" i="1"/>
  <c r="B1865" i="1"/>
  <c r="O1864" i="1"/>
  <c r="E1864" i="1"/>
  <c r="B1864" i="1"/>
  <c r="O1863" i="1"/>
  <c r="E1863" i="1"/>
  <c r="B1863" i="1"/>
  <c r="O1862" i="1"/>
  <c r="E1862" i="1"/>
  <c r="B1862" i="1"/>
  <c r="O1861" i="1"/>
  <c r="E1861" i="1"/>
  <c r="B1861" i="1"/>
  <c r="O1860" i="1"/>
  <c r="E1860" i="1"/>
  <c r="B1860" i="1"/>
  <c r="O1859" i="1"/>
  <c r="E1859" i="1"/>
  <c r="B1859" i="1"/>
  <c r="O1858" i="1"/>
  <c r="E1858" i="1"/>
  <c r="B1858" i="1"/>
  <c r="O1857" i="1"/>
  <c r="E1857" i="1"/>
  <c r="B1857" i="1"/>
  <c r="O1856" i="1"/>
  <c r="E1856" i="1"/>
  <c r="B1856" i="1"/>
  <c r="O1855" i="1"/>
  <c r="E1855" i="1"/>
  <c r="B1855" i="1"/>
  <c r="O1854" i="1"/>
  <c r="E1854" i="1"/>
  <c r="B1854" i="1"/>
  <c r="O1853" i="1"/>
  <c r="E1853" i="1"/>
  <c r="B1853" i="1"/>
  <c r="O1852" i="1"/>
  <c r="E1852" i="1"/>
  <c r="B1852" i="1"/>
  <c r="O1851" i="1"/>
  <c r="E1851" i="1"/>
  <c r="B1851" i="1"/>
  <c r="O1850" i="1"/>
  <c r="E1850" i="1"/>
  <c r="B1850" i="1"/>
  <c r="O1849" i="1"/>
  <c r="E1849" i="1"/>
  <c r="B1849" i="1"/>
  <c r="O1848" i="1"/>
  <c r="E1848" i="1"/>
  <c r="B1848" i="1"/>
  <c r="O1847" i="1"/>
  <c r="E1847" i="1"/>
  <c r="B1847" i="1"/>
  <c r="O1846" i="1"/>
  <c r="E1846" i="1"/>
  <c r="B1846" i="1"/>
  <c r="O1845" i="1"/>
  <c r="E1845" i="1"/>
  <c r="B1845" i="1"/>
  <c r="O1844" i="1"/>
  <c r="E1844" i="1"/>
  <c r="B1844" i="1"/>
  <c r="O1843" i="1"/>
  <c r="E1843" i="1"/>
  <c r="B1843" i="1"/>
  <c r="O1842" i="1"/>
  <c r="E1842" i="1"/>
  <c r="B1842" i="1"/>
  <c r="O1841" i="1"/>
  <c r="E1841" i="1"/>
  <c r="B1841" i="1"/>
  <c r="O1840" i="1"/>
  <c r="E1840" i="1"/>
  <c r="B1840" i="1"/>
  <c r="O1839" i="1"/>
  <c r="E1839" i="1"/>
  <c r="B1839" i="1"/>
  <c r="O1838" i="1"/>
  <c r="E1838" i="1"/>
  <c r="B1838" i="1"/>
  <c r="O1837" i="1"/>
  <c r="E1837" i="1"/>
  <c r="B1837" i="1"/>
  <c r="O1836" i="1"/>
  <c r="E1836" i="1"/>
  <c r="B1836" i="1"/>
  <c r="O1835" i="1"/>
  <c r="E1835" i="1"/>
  <c r="B1835" i="1"/>
  <c r="O1834" i="1"/>
  <c r="E1834" i="1"/>
  <c r="B1834" i="1"/>
  <c r="O1833" i="1"/>
  <c r="E1833" i="1"/>
  <c r="B1833" i="1"/>
  <c r="O1832" i="1"/>
  <c r="E1832" i="1"/>
  <c r="B1832" i="1"/>
  <c r="O1831" i="1"/>
  <c r="E1831" i="1"/>
  <c r="B1831" i="1"/>
  <c r="O1830" i="1"/>
  <c r="E1830" i="1"/>
  <c r="B1830" i="1"/>
  <c r="O1829" i="1"/>
  <c r="E1829" i="1"/>
  <c r="B1829" i="1"/>
  <c r="O1828" i="1"/>
  <c r="E1828" i="1"/>
  <c r="B1828" i="1"/>
  <c r="O1827" i="1"/>
  <c r="E1827" i="1"/>
  <c r="B1827" i="1"/>
  <c r="O1826" i="1"/>
  <c r="E1826" i="1"/>
  <c r="B1826" i="1"/>
  <c r="O1825" i="1"/>
  <c r="E1825" i="1"/>
  <c r="B1825" i="1"/>
  <c r="O1824" i="1"/>
  <c r="E1824" i="1"/>
  <c r="B1824" i="1"/>
  <c r="O1823" i="1"/>
  <c r="E1823" i="1"/>
  <c r="B1823" i="1"/>
  <c r="O1822" i="1"/>
  <c r="E1822" i="1"/>
  <c r="B1822" i="1"/>
  <c r="O1821" i="1"/>
  <c r="E1821" i="1"/>
  <c r="B1821" i="1"/>
  <c r="O1820" i="1"/>
  <c r="E1820" i="1"/>
  <c r="B1820" i="1"/>
  <c r="O1819" i="1"/>
  <c r="E1819" i="1"/>
  <c r="B1819" i="1"/>
  <c r="O1818" i="1"/>
  <c r="E1818" i="1"/>
  <c r="B1818" i="1"/>
  <c r="O1817" i="1"/>
  <c r="E1817" i="1"/>
  <c r="B1817" i="1"/>
  <c r="O1816" i="1"/>
  <c r="E1816" i="1"/>
  <c r="B1816" i="1"/>
  <c r="O1815" i="1"/>
  <c r="E1815" i="1"/>
  <c r="B1815" i="1"/>
  <c r="O1814" i="1"/>
  <c r="E1814" i="1"/>
  <c r="B1814" i="1"/>
  <c r="O1813" i="1"/>
  <c r="E1813" i="1"/>
  <c r="B1813" i="1"/>
  <c r="O1812" i="1"/>
  <c r="E1812" i="1"/>
  <c r="B1812" i="1"/>
  <c r="O1811" i="1"/>
  <c r="E1811" i="1"/>
  <c r="B1811" i="1"/>
  <c r="O1810" i="1"/>
  <c r="E1810" i="1"/>
  <c r="B1810" i="1"/>
  <c r="O1809" i="1"/>
  <c r="E1809" i="1"/>
  <c r="B1809" i="1"/>
  <c r="O1808" i="1"/>
  <c r="E1808" i="1"/>
  <c r="B1808" i="1"/>
  <c r="O1807" i="1"/>
  <c r="E1807" i="1"/>
  <c r="B1807" i="1"/>
  <c r="O1806" i="1"/>
  <c r="E1806" i="1"/>
  <c r="B1806" i="1"/>
  <c r="O1805" i="1"/>
  <c r="E1805" i="1"/>
  <c r="B1805" i="1"/>
  <c r="O1804" i="1"/>
  <c r="E1804" i="1"/>
  <c r="B1804" i="1"/>
  <c r="O1803" i="1"/>
  <c r="E1803" i="1"/>
  <c r="B1803" i="1"/>
  <c r="O1802" i="1"/>
  <c r="E1802" i="1"/>
  <c r="B1802" i="1"/>
  <c r="O1801" i="1"/>
  <c r="E1801" i="1"/>
  <c r="B1801" i="1"/>
  <c r="O1800" i="1"/>
  <c r="E1800" i="1"/>
  <c r="B1800" i="1"/>
  <c r="O1799" i="1"/>
  <c r="E1799" i="1"/>
  <c r="B1799" i="1"/>
  <c r="O1798" i="1"/>
  <c r="E1798" i="1"/>
  <c r="B1798" i="1"/>
  <c r="O1797" i="1"/>
  <c r="E1797" i="1"/>
  <c r="B1797" i="1"/>
  <c r="O1796" i="1"/>
  <c r="E1796" i="1"/>
  <c r="B1796" i="1"/>
  <c r="O1795" i="1"/>
  <c r="E1795" i="1"/>
  <c r="B1795" i="1"/>
  <c r="O1794" i="1"/>
  <c r="E1794" i="1"/>
  <c r="B1794" i="1"/>
  <c r="O1793" i="1"/>
  <c r="E1793" i="1"/>
  <c r="B1793" i="1"/>
  <c r="O1792" i="1"/>
  <c r="E1792" i="1"/>
  <c r="B1792" i="1"/>
  <c r="O1791" i="1"/>
  <c r="E1791" i="1"/>
  <c r="B1791" i="1"/>
  <c r="O1790" i="1"/>
  <c r="E1790" i="1"/>
  <c r="B1790" i="1"/>
  <c r="O1789" i="1"/>
  <c r="E1789" i="1"/>
  <c r="B1789" i="1"/>
  <c r="O1788" i="1"/>
  <c r="E1788" i="1"/>
  <c r="B1788" i="1"/>
  <c r="O1787" i="1"/>
  <c r="E1787" i="1"/>
  <c r="B1787" i="1"/>
  <c r="O1786" i="1"/>
  <c r="E1786" i="1"/>
  <c r="B1786" i="1"/>
  <c r="O1785" i="1"/>
  <c r="E1785" i="1"/>
  <c r="B1785" i="1"/>
  <c r="O1784" i="1"/>
  <c r="E1784" i="1"/>
  <c r="B1784" i="1"/>
  <c r="O1783" i="1"/>
  <c r="E1783" i="1"/>
  <c r="B1783" i="1"/>
  <c r="O1782" i="1"/>
  <c r="E1782" i="1"/>
  <c r="B1782" i="1"/>
  <c r="O1781" i="1"/>
  <c r="E1781" i="1"/>
  <c r="B1781" i="1"/>
  <c r="O1780" i="1"/>
  <c r="E1780" i="1"/>
  <c r="B1780" i="1"/>
  <c r="O1779" i="1"/>
  <c r="E1779" i="1"/>
  <c r="B1779" i="1"/>
  <c r="O1778" i="1"/>
  <c r="E1778" i="1"/>
  <c r="B1778" i="1"/>
  <c r="O1777" i="1"/>
  <c r="E1777" i="1"/>
  <c r="B1777" i="1"/>
  <c r="O1776" i="1"/>
  <c r="E1776" i="1"/>
  <c r="B1776" i="1"/>
  <c r="O1775" i="1"/>
  <c r="E1775" i="1"/>
  <c r="B1775" i="1"/>
  <c r="O1774" i="1"/>
  <c r="E1774" i="1"/>
  <c r="B1774" i="1"/>
  <c r="O1773" i="1"/>
  <c r="E1773" i="1"/>
  <c r="B1773" i="1"/>
  <c r="O1772" i="1"/>
  <c r="E1772" i="1"/>
  <c r="B1772" i="1"/>
  <c r="O1771" i="1"/>
  <c r="E1771" i="1"/>
  <c r="B1771" i="1"/>
  <c r="O1770" i="1"/>
  <c r="E1770" i="1"/>
  <c r="B1770" i="1"/>
  <c r="O1769" i="1"/>
  <c r="E1769" i="1"/>
  <c r="B1769" i="1"/>
  <c r="O1768" i="1"/>
  <c r="E1768" i="1"/>
  <c r="B1768" i="1"/>
  <c r="O1767" i="1"/>
  <c r="E1767" i="1"/>
  <c r="B1767" i="1"/>
  <c r="O1766" i="1"/>
  <c r="E1766" i="1"/>
  <c r="B1766" i="1"/>
  <c r="O1765" i="1"/>
  <c r="E1765" i="1"/>
  <c r="B1765" i="1"/>
  <c r="O1764" i="1"/>
  <c r="E1764" i="1"/>
  <c r="B1764" i="1"/>
  <c r="O1763" i="1"/>
  <c r="E1763" i="1"/>
  <c r="B1763" i="1"/>
  <c r="O1762" i="1"/>
  <c r="E1762" i="1"/>
  <c r="B1762" i="1"/>
  <c r="O1761" i="1"/>
  <c r="E1761" i="1"/>
  <c r="B1761" i="1"/>
  <c r="O1760" i="1"/>
  <c r="E1760" i="1"/>
  <c r="B1760" i="1"/>
  <c r="O1759" i="1"/>
  <c r="E1759" i="1"/>
  <c r="B1759" i="1"/>
  <c r="O1758" i="1"/>
  <c r="E1758" i="1"/>
  <c r="B1758" i="1"/>
  <c r="O1757" i="1"/>
  <c r="E1757" i="1"/>
  <c r="B1757" i="1"/>
  <c r="O1756" i="1"/>
  <c r="E1756" i="1"/>
  <c r="B1756" i="1"/>
  <c r="O1755" i="1"/>
  <c r="E1755" i="1"/>
  <c r="B1755" i="1"/>
  <c r="O1754" i="1"/>
  <c r="E1754" i="1"/>
  <c r="B1754" i="1"/>
  <c r="O1753" i="1"/>
  <c r="E1753" i="1"/>
  <c r="B1753" i="1"/>
  <c r="O1752" i="1"/>
  <c r="E1752" i="1"/>
  <c r="B1752" i="1"/>
  <c r="O1751" i="1"/>
  <c r="E1751" i="1"/>
  <c r="B1751" i="1"/>
  <c r="O1750" i="1"/>
  <c r="E1750" i="1"/>
  <c r="B1750" i="1"/>
  <c r="O1749" i="1"/>
  <c r="E1749" i="1"/>
  <c r="B1749" i="1"/>
  <c r="O1748" i="1"/>
  <c r="E1748" i="1"/>
  <c r="B1748" i="1"/>
  <c r="O1747" i="1"/>
  <c r="E1747" i="1"/>
  <c r="B1747" i="1"/>
  <c r="O1746" i="1"/>
  <c r="E1746" i="1"/>
  <c r="B1746" i="1"/>
  <c r="O1745" i="1"/>
  <c r="E1745" i="1"/>
  <c r="B1745" i="1"/>
  <c r="O1744" i="1"/>
  <c r="E1744" i="1"/>
  <c r="B1744" i="1"/>
  <c r="O1743" i="1"/>
  <c r="E1743" i="1"/>
  <c r="B1743" i="1"/>
  <c r="O1742" i="1"/>
  <c r="E1742" i="1"/>
  <c r="B1742" i="1"/>
  <c r="O1741" i="1"/>
  <c r="E1741" i="1"/>
  <c r="B1741" i="1"/>
  <c r="O1740" i="1"/>
  <c r="E1740" i="1"/>
  <c r="B1740" i="1"/>
  <c r="O1739" i="1"/>
  <c r="E1739" i="1"/>
  <c r="B1739" i="1"/>
  <c r="O1738" i="1"/>
  <c r="E1738" i="1"/>
  <c r="B1738" i="1"/>
  <c r="O1737" i="1"/>
  <c r="E1737" i="1"/>
  <c r="B1737" i="1"/>
  <c r="O1736" i="1"/>
  <c r="E1736" i="1"/>
  <c r="B1736" i="1"/>
  <c r="O1735" i="1"/>
  <c r="E1735" i="1"/>
  <c r="B1735" i="1"/>
  <c r="O1734" i="1"/>
  <c r="E1734" i="1"/>
  <c r="B1734" i="1"/>
  <c r="O1733" i="1"/>
  <c r="E1733" i="1"/>
  <c r="B1733" i="1"/>
  <c r="O1732" i="1"/>
  <c r="E1732" i="1"/>
  <c r="B1732" i="1"/>
  <c r="O1731" i="1"/>
  <c r="E1731" i="1"/>
  <c r="B1731" i="1"/>
  <c r="O1730" i="1"/>
  <c r="E1730" i="1"/>
  <c r="B1730" i="1"/>
  <c r="O1729" i="1"/>
  <c r="E1729" i="1"/>
  <c r="B1729" i="1"/>
  <c r="O1728" i="1"/>
  <c r="E1728" i="1"/>
  <c r="B1728" i="1"/>
  <c r="O1727" i="1"/>
  <c r="E1727" i="1"/>
  <c r="B1727" i="1"/>
  <c r="O1726" i="1"/>
  <c r="E1726" i="1"/>
  <c r="B1726" i="1"/>
  <c r="O1725" i="1"/>
  <c r="E1725" i="1"/>
  <c r="B1725" i="1"/>
  <c r="O1724" i="1"/>
  <c r="E1724" i="1"/>
  <c r="B1724" i="1"/>
  <c r="O1723" i="1"/>
  <c r="E1723" i="1"/>
  <c r="B1723" i="1"/>
  <c r="O1722" i="1"/>
  <c r="E1722" i="1"/>
  <c r="B1722" i="1"/>
  <c r="O1721" i="1"/>
  <c r="E1721" i="1"/>
  <c r="B1721" i="1"/>
  <c r="O1720" i="1"/>
  <c r="E1720" i="1"/>
  <c r="B1720" i="1"/>
  <c r="O1719" i="1"/>
  <c r="E1719" i="1"/>
  <c r="B1719" i="1"/>
  <c r="O1718" i="1"/>
  <c r="E1718" i="1"/>
  <c r="B1718" i="1"/>
  <c r="O1717" i="1"/>
  <c r="E1717" i="1"/>
  <c r="B1717" i="1"/>
  <c r="O1716" i="1"/>
  <c r="E1716" i="1"/>
  <c r="B1716" i="1"/>
  <c r="O1715" i="1"/>
  <c r="E1715" i="1"/>
  <c r="B1715" i="1"/>
  <c r="O1714" i="1"/>
  <c r="E1714" i="1"/>
  <c r="B1714" i="1"/>
  <c r="O1713" i="1"/>
  <c r="E1713" i="1"/>
  <c r="B1713" i="1"/>
  <c r="O1712" i="1"/>
  <c r="E1712" i="1"/>
  <c r="B1712" i="1"/>
  <c r="O1711" i="1"/>
  <c r="E1711" i="1"/>
  <c r="B1711" i="1"/>
  <c r="O1710" i="1"/>
  <c r="E1710" i="1"/>
  <c r="B1710" i="1"/>
  <c r="O1709" i="1"/>
  <c r="E1709" i="1"/>
  <c r="B1709" i="1"/>
  <c r="O1708" i="1"/>
  <c r="E1708" i="1"/>
  <c r="B1708" i="1"/>
  <c r="O1707" i="1"/>
  <c r="E1707" i="1"/>
  <c r="B1707" i="1"/>
  <c r="O1706" i="1"/>
  <c r="E1706" i="1"/>
  <c r="B1706" i="1"/>
  <c r="O1705" i="1"/>
  <c r="E1705" i="1"/>
  <c r="B1705" i="1"/>
  <c r="O1704" i="1"/>
  <c r="E1704" i="1"/>
  <c r="B1704" i="1"/>
  <c r="O1703" i="1"/>
  <c r="E1703" i="1"/>
  <c r="B1703" i="1"/>
  <c r="O1702" i="1"/>
  <c r="E1702" i="1"/>
  <c r="B1702" i="1"/>
  <c r="O1701" i="1"/>
  <c r="E1701" i="1"/>
  <c r="B1701" i="1"/>
  <c r="O1700" i="1"/>
  <c r="E1700" i="1"/>
  <c r="B1700" i="1"/>
  <c r="O1699" i="1"/>
  <c r="E1699" i="1"/>
  <c r="B1699" i="1"/>
  <c r="O1698" i="1"/>
  <c r="E1698" i="1"/>
  <c r="B1698" i="1"/>
  <c r="O1697" i="1"/>
  <c r="E1697" i="1"/>
  <c r="B1697" i="1"/>
  <c r="O1696" i="1"/>
  <c r="E1696" i="1"/>
  <c r="B1696" i="1"/>
  <c r="O1695" i="1"/>
  <c r="E1695" i="1"/>
  <c r="B1695" i="1"/>
  <c r="O1694" i="1"/>
  <c r="E1694" i="1"/>
  <c r="B1694" i="1"/>
  <c r="O1693" i="1"/>
  <c r="E1693" i="1"/>
  <c r="B1693" i="1"/>
  <c r="O1692" i="1"/>
  <c r="E1692" i="1"/>
  <c r="B1692" i="1"/>
  <c r="O1691" i="1"/>
  <c r="E1691" i="1"/>
  <c r="B1691" i="1"/>
  <c r="O1690" i="1"/>
  <c r="E1690" i="1"/>
  <c r="B1690" i="1"/>
  <c r="O1689" i="1"/>
  <c r="E1689" i="1"/>
  <c r="B1689" i="1"/>
  <c r="O1688" i="1"/>
  <c r="E1688" i="1"/>
  <c r="B1688" i="1"/>
  <c r="O1687" i="1"/>
  <c r="E1687" i="1"/>
  <c r="B1687" i="1"/>
  <c r="O1686" i="1"/>
  <c r="E1686" i="1"/>
  <c r="B1686" i="1"/>
  <c r="O1685" i="1"/>
  <c r="E1685" i="1"/>
  <c r="B1685" i="1"/>
  <c r="O1684" i="1"/>
  <c r="E1684" i="1"/>
  <c r="B1684" i="1"/>
  <c r="O1683" i="1"/>
  <c r="E1683" i="1"/>
  <c r="B1683" i="1"/>
  <c r="O1682" i="1"/>
  <c r="E1682" i="1"/>
  <c r="B1682" i="1"/>
  <c r="O1681" i="1"/>
  <c r="E1681" i="1"/>
  <c r="B1681" i="1"/>
  <c r="O1680" i="1"/>
  <c r="E1680" i="1"/>
  <c r="B1680" i="1"/>
  <c r="O1679" i="1"/>
  <c r="E1679" i="1"/>
  <c r="B1679" i="1"/>
  <c r="O1678" i="1"/>
  <c r="E1678" i="1"/>
  <c r="B1678" i="1"/>
  <c r="O1677" i="1"/>
  <c r="E1677" i="1"/>
  <c r="B1677" i="1"/>
  <c r="O1676" i="1"/>
  <c r="E1676" i="1"/>
  <c r="B1676" i="1"/>
  <c r="O1675" i="1"/>
  <c r="E1675" i="1"/>
  <c r="B1675" i="1"/>
  <c r="O1674" i="1"/>
  <c r="E1674" i="1"/>
  <c r="B1674" i="1"/>
  <c r="O1673" i="1"/>
  <c r="E1673" i="1"/>
  <c r="B1673" i="1"/>
  <c r="O1672" i="1"/>
  <c r="E1672" i="1"/>
  <c r="B1672" i="1"/>
  <c r="O1671" i="1"/>
  <c r="E1671" i="1"/>
  <c r="B1671" i="1"/>
  <c r="O1670" i="1"/>
  <c r="E1670" i="1"/>
  <c r="B1670" i="1"/>
  <c r="O1669" i="1"/>
  <c r="E1669" i="1"/>
  <c r="B1669" i="1"/>
  <c r="O1668" i="1"/>
  <c r="E1668" i="1"/>
  <c r="B1668" i="1"/>
  <c r="O1667" i="1"/>
  <c r="E1667" i="1"/>
  <c r="B1667" i="1"/>
  <c r="O1666" i="1"/>
  <c r="E1666" i="1"/>
  <c r="B1666" i="1"/>
  <c r="O1665" i="1"/>
  <c r="E1665" i="1"/>
  <c r="B1665" i="1"/>
  <c r="O1664" i="1"/>
  <c r="E1664" i="1"/>
  <c r="B1664" i="1"/>
  <c r="O1663" i="1"/>
  <c r="E1663" i="1"/>
  <c r="B1663" i="1"/>
  <c r="O1662" i="1"/>
  <c r="E1662" i="1"/>
  <c r="B1662" i="1"/>
  <c r="O1661" i="1"/>
  <c r="E1661" i="1"/>
  <c r="B1661" i="1"/>
  <c r="O1660" i="1"/>
  <c r="E1660" i="1"/>
  <c r="B1660" i="1"/>
  <c r="O1659" i="1"/>
  <c r="E1659" i="1"/>
  <c r="B1659" i="1"/>
  <c r="O1658" i="1"/>
  <c r="E1658" i="1"/>
  <c r="B1658" i="1"/>
  <c r="O1657" i="1"/>
  <c r="E1657" i="1"/>
  <c r="B1657" i="1"/>
  <c r="O1656" i="1"/>
  <c r="E1656" i="1"/>
  <c r="B1656" i="1"/>
  <c r="O1655" i="1"/>
  <c r="E1655" i="1"/>
  <c r="B1655" i="1"/>
  <c r="O1654" i="1"/>
  <c r="E1654" i="1"/>
  <c r="B1654" i="1"/>
  <c r="O1653" i="1"/>
  <c r="E1653" i="1"/>
  <c r="B1653" i="1"/>
  <c r="O1652" i="1"/>
  <c r="E1652" i="1"/>
  <c r="B1652" i="1"/>
  <c r="O1651" i="1"/>
  <c r="E1651" i="1"/>
  <c r="B1651" i="1"/>
  <c r="O1650" i="1"/>
  <c r="E1650" i="1"/>
  <c r="B1650" i="1"/>
  <c r="O1649" i="1"/>
  <c r="E1649" i="1"/>
  <c r="B1649" i="1"/>
  <c r="O1648" i="1"/>
  <c r="E1648" i="1"/>
  <c r="B1648" i="1"/>
  <c r="O1647" i="1"/>
  <c r="E1647" i="1"/>
  <c r="B1647" i="1"/>
  <c r="O1646" i="1"/>
  <c r="E1646" i="1"/>
  <c r="B1646" i="1"/>
  <c r="O1645" i="1"/>
  <c r="E1645" i="1"/>
  <c r="B1645" i="1"/>
  <c r="O1644" i="1"/>
  <c r="E1644" i="1"/>
  <c r="B1644" i="1"/>
  <c r="O1643" i="1"/>
  <c r="E1643" i="1"/>
  <c r="B1643" i="1"/>
  <c r="O1642" i="1"/>
  <c r="E1642" i="1"/>
  <c r="B1642" i="1"/>
  <c r="O1641" i="1"/>
  <c r="E1641" i="1"/>
  <c r="B1641" i="1"/>
  <c r="O1640" i="1"/>
  <c r="E1640" i="1"/>
  <c r="B1640" i="1"/>
  <c r="O1639" i="1"/>
  <c r="E1639" i="1"/>
  <c r="B1639" i="1"/>
  <c r="O1638" i="1"/>
  <c r="E1638" i="1"/>
  <c r="B1638" i="1"/>
  <c r="O1637" i="1"/>
  <c r="E1637" i="1"/>
  <c r="B1637" i="1"/>
  <c r="O1636" i="1"/>
  <c r="E1636" i="1"/>
  <c r="B1636" i="1"/>
  <c r="O1635" i="1"/>
  <c r="E1635" i="1"/>
  <c r="B1635" i="1"/>
  <c r="O1634" i="1"/>
  <c r="E1634" i="1"/>
  <c r="B1634" i="1"/>
  <c r="O1633" i="1"/>
  <c r="E1633" i="1"/>
  <c r="B1633" i="1"/>
  <c r="O1632" i="1"/>
  <c r="E1632" i="1"/>
  <c r="B1632" i="1"/>
  <c r="O1631" i="1"/>
  <c r="E1631" i="1"/>
  <c r="B1631" i="1"/>
  <c r="O1630" i="1"/>
  <c r="E1630" i="1"/>
  <c r="B1630" i="1"/>
  <c r="O1629" i="1"/>
  <c r="E1629" i="1"/>
  <c r="B1629" i="1"/>
  <c r="O1628" i="1"/>
  <c r="E1628" i="1"/>
  <c r="B1628" i="1"/>
  <c r="O1627" i="1"/>
  <c r="E1627" i="1"/>
  <c r="B1627" i="1"/>
  <c r="O1626" i="1"/>
  <c r="E1626" i="1"/>
  <c r="B1626" i="1"/>
  <c r="O1625" i="1"/>
  <c r="E1625" i="1"/>
  <c r="B1625" i="1"/>
  <c r="O1624" i="1"/>
  <c r="E1624" i="1"/>
  <c r="B1624" i="1"/>
  <c r="O1623" i="1"/>
  <c r="E1623" i="1"/>
  <c r="B1623" i="1"/>
  <c r="O1622" i="1"/>
  <c r="E1622" i="1"/>
  <c r="B1622" i="1"/>
  <c r="O1621" i="1"/>
  <c r="E1621" i="1"/>
  <c r="B1621" i="1"/>
  <c r="O1620" i="1"/>
  <c r="E1620" i="1"/>
  <c r="B1620" i="1"/>
  <c r="O1619" i="1"/>
  <c r="E1619" i="1"/>
  <c r="B1619" i="1"/>
  <c r="O1618" i="1"/>
  <c r="E1618" i="1"/>
  <c r="B1618" i="1"/>
  <c r="O1617" i="1"/>
  <c r="E1617" i="1"/>
  <c r="B1617" i="1"/>
  <c r="O1616" i="1"/>
  <c r="E1616" i="1"/>
  <c r="B1616" i="1"/>
  <c r="O1615" i="1"/>
  <c r="E1615" i="1"/>
  <c r="B1615" i="1"/>
  <c r="O1614" i="1"/>
  <c r="E1614" i="1"/>
  <c r="B1614" i="1"/>
  <c r="O1613" i="1"/>
  <c r="E1613" i="1"/>
  <c r="B1613" i="1"/>
  <c r="O1612" i="1"/>
  <c r="E1612" i="1"/>
  <c r="B1612" i="1"/>
  <c r="O1611" i="1"/>
  <c r="E1611" i="1"/>
  <c r="B1611" i="1"/>
  <c r="O1610" i="1"/>
  <c r="E1610" i="1"/>
  <c r="B1610" i="1"/>
  <c r="O1609" i="1"/>
  <c r="E1609" i="1"/>
  <c r="B1609" i="1"/>
  <c r="O1608" i="1"/>
  <c r="E1608" i="1"/>
  <c r="B1608" i="1"/>
  <c r="O1607" i="1"/>
  <c r="E1607" i="1"/>
  <c r="B1607" i="1"/>
  <c r="O1606" i="1"/>
  <c r="E1606" i="1"/>
  <c r="B1606" i="1"/>
  <c r="O1605" i="1"/>
  <c r="E1605" i="1"/>
  <c r="B1605" i="1"/>
  <c r="O1604" i="1"/>
  <c r="E1604" i="1"/>
  <c r="B1604" i="1"/>
  <c r="O1603" i="1"/>
  <c r="E1603" i="1"/>
  <c r="B1603" i="1"/>
  <c r="O1602" i="1"/>
  <c r="E1602" i="1"/>
  <c r="B1602" i="1"/>
  <c r="O1601" i="1"/>
  <c r="E1601" i="1"/>
  <c r="B1601" i="1"/>
  <c r="O1600" i="1"/>
  <c r="E1600" i="1"/>
  <c r="B1600" i="1"/>
  <c r="O1599" i="1"/>
  <c r="E1599" i="1"/>
  <c r="B1599" i="1"/>
  <c r="O1598" i="1"/>
  <c r="E1598" i="1"/>
  <c r="B1598" i="1"/>
  <c r="O1597" i="1"/>
  <c r="E1597" i="1"/>
  <c r="B1597" i="1"/>
  <c r="O1596" i="1"/>
  <c r="E1596" i="1"/>
  <c r="B1596" i="1"/>
  <c r="O1595" i="1"/>
  <c r="E1595" i="1"/>
  <c r="B1595" i="1"/>
  <c r="O1594" i="1"/>
  <c r="E1594" i="1"/>
  <c r="B1594" i="1"/>
  <c r="O1593" i="1"/>
  <c r="E1593" i="1"/>
  <c r="B1593" i="1"/>
  <c r="O1592" i="1"/>
  <c r="E1592" i="1"/>
  <c r="B1592" i="1"/>
  <c r="O1591" i="1"/>
  <c r="E1591" i="1"/>
  <c r="B1591" i="1"/>
  <c r="O1590" i="1"/>
  <c r="E1590" i="1"/>
  <c r="B1590" i="1"/>
  <c r="O1589" i="1"/>
  <c r="E1589" i="1"/>
  <c r="B1589" i="1"/>
  <c r="O1588" i="1"/>
  <c r="E1588" i="1"/>
  <c r="B1588" i="1"/>
  <c r="O1587" i="1"/>
  <c r="E1587" i="1"/>
  <c r="B1587" i="1"/>
  <c r="O1586" i="1"/>
  <c r="E1586" i="1"/>
  <c r="B1586" i="1"/>
  <c r="O1585" i="1"/>
  <c r="E1585" i="1"/>
  <c r="B1585" i="1"/>
  <c r="O1584" i="1"/>
  <c r="E1584" i="1"/>
  <c r="B1584" i="1"/>
  <c r="O1583" i="1"/>
  <c r="E1583" i="1"/>
  <c r="B1583" i="1"/>
  <c r="O1582" i="1"/>
  <c r="E1582" i="1"/>
  <c r="B1582" i="1"/>
  <c r="O1581" i="1"/>
  <c r="E1581" i="1"/>
  <c r="B1581" i="1"/>
  <c r="O1580" i="1"/>
  <c r="E1580" i="1"/>
  <c r="B1580" i="1"/>
  <c r="O1579" i="1"/>
  <c r="E1579" i="1"/>
  <c r="B1579" i="1"/>
  <c r="O1578" i="1"/>
  <c r="E1578" i="1"/>
  <c r="B1578" i="1"/>
  <c r="O1577" i="1"/>
  <c r="E1577" i="1"/>
  <c r="B1577" i="1"/>
  <c r="O1576" i="1"/>
  <c r="E1576" i="1"/>
  <c r="B1576" i="1"/>
  <c r="O1575" i="1"/>
  <c r="E1575" i="1"/>
  <c r="B1575" i="1"/>
  <c r="O1574" i="1"/>
  <c r="E1574" i="1"/>
  <c r="B1574" i="1"/>
  <c r="O1573" i="1"/>
  <c r="E1573" i="1"/>
  <c r="B1573" i="1"/>
  <c r="O1572" i="1"/>
  <c r="E1572" i="1"/>
  <c r="B1572" i="1"/>
  <c r="O1571" i="1"/>
  <c r="E1571" i="1"/>
  <c r="B1571" i="1"/>
  <c r="O1570" i="1"/>
  <c r="E1570" i="1"/>
  <c r="B1570" i="1"/>
  <c r="O1569" i="1"/>
  <c r="E1569" i="1"/>
  <c r="B1569" i="1"/>
  <c r="O1568" i="1"/>
  <c r="E1568" i="1"/>
  <c r="B1568" i="1"/>
  <c r="O1567" i="1"/>
  <c r="E1567" i="1"/>
  <c r="B1567" i="1"/>
  <c r="O1566" i="1"/>
  <c r="E1566" i="1"/>
  <c r="B1566" i="1"/>
  <c r="O1565" i="1"/>
  <c r="E1565" i="1"/>
  <c r="B1565" i="1"/>
  <c r="O1564" i="1"/>
  <c r="E1564" i="1"/>
  <c r="B1564" i="1"/>
  <c r="O1563" i="1"/>
  <c r="E1563" i="1"/>
  <c r="B1563" i="1"/>
  <c r="O1562" i="1"/>
  <c r="E1562" i="1"/>
  <c r="B1562" i="1"/>
  <c r="O1561" i="1"/>
  <c r="E1561" i="1"/>
  <c r="B1561" i="1"/>
  <c r="O1560" i="1"/>
  <c r="E1560" i="1"/>
  <c r="B1560" i="1"/>
  <c r="O1559" i="1"/>
  <c r="E1559" i="1"/>
  <c r="B1559" i="1"/>
  <c r="O1558" i="1"/>
  <c r="E1558" i="1"/>
  <c r="B1558" i="1"/>
  <c r="O1557" i="1"/>
  <c r="E1557" i="1"/>
  <c r="B1557" i="1"/>
  <c r="O1556" i="1"/>
  <c r="E1556" i="1"/>
  <c r="B1556" i="1"/>
  <c r="O1555" i="1"/>
  <c r="E1555" i="1"/>
  <c r="B1555" i="1"/>
  <c r="O1554" i="1"/>
  <c r="E1554" i="1"/>
  <c r="B1554" i="1"/>
  <c r="O1553" i="1"/>
  <c r="E1553" i="1"/>
  <c r="B1553" i="1"/>
  <c r="O1552" i="1"/>
  <c r="E1552" i="1"/>
  <c r="B1552" i="1"/>
  <c r="O1551" i="1"/>
  <c r="E1551" i="1"/>
  <c r="B1551" i="1"/>
  <c r="O1550" i="1"/>
  <c r="E1550" i="1"/>
  <c r="B1550" i="1"/>
  <c r="O1549" i="1"/>
  <c r="E1549" i="1"/>
  <c r="B1549" i="1"/>
  <c r="O1548" i="1"/>
  <c r="E1548" i="1"/>
  <c r="B1548" i="1"/>
  <c r="O1547" i="1"/>
  <c r="E1547" i="1"/>
  <c r="B1547" i="1"/>
  <c r="O1546" i="1"/>
  <c r="E1546" i="1"/>
  <c r="B1546" i="1"/>
  <c r="O1545" i="1"/>
  <c r="E1545" i="1"/>
  <c r="B1545" i="1"/>
  <c r="O1544" i="1"/>
  <c r="E1544" i="1"/>
  <c r="B1544" i="1"/>
  <c r="O1543" i="1"/>
  <c r="E1543" i="1"/>
  <c r="B1543" i="1"/>
  <c r="O1542" i="1"/>
  <c r="E1542" i="1"/>
  <c r="B1542" i="1"/>
  <c r="O1541" i="1"/>
  <c r="E1541" i="1"/>
  <c r="B1541" i="1"/>
  <c r="O1540" i="1"/>
  <c r="E1540" i="1"/>
  <c r="B1540" i="1"/>
  <c r="O1539" i="1"/>
  <c r="E1539" i="1"/>
  <c r="B1539" i="1"/>
  <c r="O1538" i="1"/>
  <c r="E1538" i="1"/>
  <c r="B1538" i="1"/>
  <c r="O1537" i="1"/>
  <c r="E1537" i="1"/>
  <c r="B1537" i="1"/>
  <c r="O1536" i="1"/>
  <c r="E1536" i="1"/>
  <c r="B1536" i="1"/>
  <c r="O1535" i="1"/>
  <c r="E1535" i="1"/>
  <c r="B1535" i="1"/>
  <c r="O1534" i="1"/>
  <c r="E1534" i="1"/>
  <c r="B1534" i="1"/>
  <c r="O1533" i="1"/>
  <c r="E1533" i="1"/>
  <c r="B1533" i="1"/>
  <c r="O1532" i="1"/>
  <c r="E1532" i="1"/>
  <c r="B1532" i="1"/>
  <c r="O1531" i="1"/>
  <c r="E1531" i="1"/>
  <c r="B1531" i="1"/>
  <c r="O1530" i="1"/>
  <c r="E1530" i="1"/>
  <c r="B1530" i="1"/>
  <c r="O1529" i="1"/>
  <c r="E1529" i="1"/>
  <c r="B1529" i="1"/>
  <c r="O1528" i="1"/>
  <c r="E1528" i="1"/>
  <c r="B1528" i="1"/>
  <c r="O1527" i="1"/>
  <c r="E1527" i="1"/>
  <c r="B1527" i="1"/>
  <c r="O1526" i="1"/>
  <c r="E1526" i="1"/>
  <c r="B1526" i="1"/>
  <c r="O1525" i="1"/>
  <c r="E1525" i="1"/>
  <c r="B1525" i="1"/>
  <c r="O1524" i="1"/>
  <c r="E1524" i="1"/>
  <c r="B1524" i="1"/>
  <c r="O1523" i="1"/>
  <c r="E1523" i="1"/>
  <c r="B1523" i="1"/>
  <c r="O1522" i="1"/>
  <c r="E1522" i="1"/>
  <c r="B1522" i="1"/>
  <c r="O1521" i="1"/>
  <c r="E1521" i="1"/>
  <c r="B1521" i="1"/>
  <c r="O1520" i="1"/>
  <c r="E1520" i="1"/>
  <c r="B1520" i="1"/>
  <c r="O1519" i="1"/>
  <c r="E1519" i="1"/>
  <c r="B1519" i="1"/>
  <c r="O1518" i="1"/>
  <c r="E1518" i="1"/>
  <c r="B1518" i="1"/>
  <c r="O1517" i="1"/>
  <c r="E1517" i="1"/>
  <c r="B1517" i="1"/>
  <c r="O1516" i="1"/>
  <c r="E1516" i="1"/>
  <c r="B1516" i="1"/>
  <c r="O1515" i="1"/>
  <c r="E1515" i="1"/>
  <c r="B1515" i="1"/>
  <c r="O1514" i="1"/>
  <c r="E1514" i="1"/>
  <c r="B1514" i="1"/>
  <c r="O1513" i="1"/>
  <c r="E1513" i="1"/>
  <c r="B1513" i="1"/>
  <c r="O1512" i="1"/>
  <c r="E1512" i="1"/>
  <c r="B1512" i="1"/>
  <c r="O1511" i="1"/>
  <c r="E1511" i="1"/>
  <c r="B1511" i="1"/>
  <c r="O1510" i="1"/>
  <c r="E1510" i="1"/>
  <c r="B1510" i="1"/>
  <c r="O1509" i="1"/>
  <c r="E1509" i="1"/>
  <c r="B1509" i="1"/>
  <c r="O1508" i="1"/>
  <c r="E1508" i="1"/>
  <c r="B1508" i="1"/>
  <c r="O1507" i="1"/>
  <c r="E1507" i="1"/>
  <c r="B1507" i="1"/>
  <c r="O1506" i="1"/>
  <c r="E1506" i="1"/>
  <c r="B1506" i="1"/>
  <c r="O1505" i="1"/>
  <c r="E1505" i="1"/>
  <c r="B1505" i="1"/>
  <c r="O1504" i="1"/>
  <c r="E1504" i="1"/>
  <c r="B1504" i="1"/>
  <c r="O1503" i="1"/>
  <c r="E1503" i="1"/>
  <c r="B1503" i="1"/>
  <c r="O1502" i="1"/>
  <c r="E1502" i="1"/>
  <c r="B1502" i="1"/>
  <c r="O1501" i="1"/>
  <c r="E1501" i="1"/>
  <c r="B1501" i="1"/>
  <c r="O1500" i="1"/>
  <c r="E1500" i="1"/>
  <c r="B1500" i="1"/>
  <c r="O1499" i="1"/>
  <c r="E1499" i="1"/>
  <c r="B1499" i="1"/>
  <c r="O1498" i="1"/>
  <c r="E1498" i="1"/>
  <c r="B1498" i="1"/>
  <c r="O1497" i="1"/>
  <c r="E1497" i="1"/>
  <c r="B1497" i="1"/>
  <c r="O1496" i="1"/>
  <c r="E1496" i="1"/>
  <c r="B1496" i="1"/>
  <c r="O1495" i="1"/>
  <c r="E1495" i="1"/>
  <c r="B1495" i="1"/>
  <c r="O1494" i="1"/>
  <c r="E1494" i="1"/>
  <c r="B1494" i="1"/>
  <c r="O1493" i="1"/>
  <c r="E1493" i="1"/>
  <c r="B1493" i="1"/>
  <c r="O1492" i="1"/>
  <c r="E1492" i="1"/>
  <c r="B1492" i="1"/>
  <c r="O1491" i="1"/>
  <c r="E1491" i="1"/>
  <c r="B1491" i="1"/>
  <c r="O1490" i="1"/>
  <c r="E1490" i="1"/>
  <c r="B1490" i="1"/>
  <c r="O1489" i="1"/>
  <c r="E1489" i="1"/>
  <c r="B1489" i="1"/>
  <c r="O1488" i="1"/>
  <c r="E1488" i="1"/>
  <c r="B1488" i="1"/>
  <c r="O1487" i="1"/>
  <c r="E1487" i="1"/>
  <c r="B1487" i="1"/>
  <c r="O1486" i="1"/>
  <c r="E1486" i="1"/>
  <c r="B1486" i="1"/>
  <c r="O1485" i="1"/>
  <c r="E1485" i="1"/>
  <c r="B1485" i="1"/>
  <c r="O1484" i="1"/>
  <c r="E1484" i="1"/>
  <c r="B1484" i="1"/>
  <c r="O1483" i="1"/>
  <c r="E1483" i="1"/>
  <c r="B1483" i="1"/>
  <c r="O1482" i="1"/>
  <c r="E1482" i="1"/>
  <c r="B1482" i="1"/>
  <c r="O1481" i="1"/>
  <c r="E1481" i="1"/>
  <c r="B1481" i="1"/>
  <c r="O1480" i="1"/>
  <c r="E1480" i="1"/>
  <c r="B1480" i="1"/>
  <c r="O1479" i="1"/>
  <c r="E1479" i="1"/>
  <c r="B1479" i="1"/>
  <c r="O1478" i="1"/>
  <c r="E1478" i="1"/>
  <c r="B1478" i="1"/>
  <c r="O1477" i="1"/>
  <c r="E1477" i="1"/>
  <c r="B1477" i="1"/>
  <c r="O1476" i="1"/>
  <c r="E1476" i="1"/>
  <c r="B1476" i="1"/>
  <c r="O1475" i="1"/>
  <c r="E1475" i="1"/>
  <c r="B1475" i="1"/>
  <c r="O1474" i="1"/>
  <c r="E1474" i="1"/>
  <c r="B1474" i="1"/>
  <c r="O1473" i="1"/>
  <c r="E1473" i="1"/>
  <c r="B1473" i="1"/>
  <c r="O1472" i="1"/>
  <c r="E1472" i="1"/>
  <c r="B1472" i="1"/>
  <c r="O1471" i="1"/>
  <c r="E1471" i="1"/>
  <c r="B1471" i="1"/>
  <c r="O1470" i="1"/>
  <c r="E1470" i="1"/>
  <c r="B1470" i="1"/>
  <c r="O1469" i="1"/>
  <c r="E1469" i="1"/>
  <c r="B1469" i="1"/>
  <c r="O1468" i="1"/>
  <c r="E1468" i="1"/>
  <c r="B1468" i="1"/>
  <c r="O1467" i="1"/>
  <c r="E1467" i="1"/>
  <c r="B1467" i="1"/>
  <c r="O1466" i="1"/>
  <c r="E1466" i="1"/>
  <c r="B1466" i="1"/>
  <c r="O1465" i="1"/>
  <c r="E1465" i="1"/>
  <c r="B1465" i="1"/>
  <c r="O1464" i="1"/>
  <c r="E1464" i="1"/>
  <c r="B1464" i="1"/>
  <c r="O1463" i="1"/>
  <c r="E1463" i="1"/>
  <c r="B1463" i="1"/>
  <c r="O1462" i="1"/>
  <c r="E1462" i="1"/>
  <c r="B1462" i="1"/>
  <c r="O1461" i="1"/>
  <c r="E1461" i="1"/>
  <c r="B1461" i="1"/>
  <c r="O1460" i="1"/>
  <c r="E1460" i="1"/>
  <c r="B1460" i="1"/>
  <c r="O1459" i="1"/>
  <c r="E1459" i="1"/>
  <c r="B1459" i="1"/>
  <c r="O1458" i="1"/>
  <c r="E1458" i="1"/>
  <c r="B1458" i="1"/>
  <c r="O1457" i="1"/>
  <c r="E1457" i="1"/>
  <c r="B1457" i="1"/>
  <c r="O1456" i="1"/>
  <c r="E1456" i="1"/>
  <c r="B1456" i="1"/>
  <c r="O1455" i="1"/>
  <c r="E1455" i="1"/>
  <c r="B1455" i="1"/>
  <c r="O1454" i="1"/>
  <c r="E1454" i="1"/>
  <c r="B1454" i="1"/>
  <c r="O1453" i="1"/>
  <c r="E1453" i="1"/>
  <c r="B1453" i="1"/>
  <c r="O1452" i="1"/>
  <c r="E1452" i="1"/>
  <c r="B1452" i="1"/>
  <c r="O1451" i="1"/>
  <c r="E1451" i="1"/>
  <c r="B1451" i="1"/>
  <c r="O1450" i="1"/>
  <c r="E1450" i="1"/>
  <c r="B1450" i="1"/>
  <c r="O1449" i="1"/>
  <c r="E1449" i="1"/>
  <c r="B1449" i="1"/>
  <c r="O1448" i="1"/>
  <c r="E1448" i="1"/>
  <c r="B1448" i="1"/>
  <c r="O1447" i="1"/>
  <c r="E1447" i="1"/>
  <c r="B1447" i="1"/>
  <c r="O1446" i="1"/>
  <c r="E1446" i="1"/>
  <c r="B1446" i="1"/>
  <c r="O1445" i="1"/>
  <c r="E1445" i="1"/>
  <c r="B1445" i="1"/>
  <c r="O1444" i="1"/>
  <c r="E1444" i="1"/>
  <c r="B1444" i="1"/>
  <c r="O1443" i="1"/>
  <c r="E1443" i="1"/>
  <c r="B1443" i="1"/>
  <c r="O1442" i="1"/>
  <c r="E1442" i="1"/>
  <c r="B1442" i="1"/>
  <c r="O1441" i="1"/>
  <c r="E1441" i="1"/>
  <c r="B1441" i="1"/>
  <c r="O1440" i="1"/>
  <c r="E1440" i="1"/>
  <c r="B1440" i="1"/>
  <c r="O1439" i="1"/>
  <c r="E1439" i="1"/>
  <c r="B1439" i="1"/>
  <c r="O1438" i="1"/>
  <c r="E1438" i="1"/>
  <c r="B1438" i="1"/>
  <c r="O1437" i="1"/>
  <c r="E1437" i="1"/>
  <c r="B1437" i="1"/>
  <c r="O1436" i="1"/>
  <c r="E1436" i="1"/>
  <c r="B1436" i="1"/>
  <c r="O1435" i="1"/>
  <c r="E1435" i="1"/>
  <c r="B1435" i="1"/>
  <c r="O1434" i="1"/>
  <c r="E1434" i="1"/>
  <c r="B1434" i="1"/>
  <c r="O1433" i="1"/>
  <c r="E1433" i="1"/>
  <c r="B1433" i="1"/>
  <c r="O1432" i="1"/>
  <c r="E1432" i="1"/>
  <c r="B1432" i="1"/>
  <c r="O1431" i="1"/>
  <c r="E1431" i="1"/>
  <c r="B1431" i="1"/>
  <c r="O1430" i="1"/>
  <c r="E1430" i="1"/>
  <c r="B1430" i="1"/>
  <c r="O1429" i="1"/>
  <c r="E1429" i="1"/>
  <c r="B1429" i="1"/>
  <c r="O1428" i="1"/>
  <c r="E1428" i="1"/>
  <c r="B1428" i="1"/>
  <c r="O1427" i="1"/>
  <c r="E1427" i="1"/>
  <c r="B1427" i="1"/>
  <c r="O1426" i="1"/>
  <c r="E1426" i="1"/>
  <c r="B1426" i="1"/>
  <c r="O1425" i="1"/>
  <c r="E1425" i="1"/>
  <c r="B1425" i="1"/>
  <c r="O1424" i="1"/>
  <c r="E1424" i="1"/>
  <c r="B1424" i="1"/>
  <c r="O1423" i="1"/>
  <c r="E1423" i="1"/>
  <c r="B1423" i="1"/>
  <c r="O1422" i="1"/>
  <c r="E1422" i="1"/>
  <c r="B1422" i="1"/>
  <c r="O1421" i="1"/>
  <c r="E1421" i="1"/>
  <c r="B1421" i="1"/>
  <c r="O1420" i="1"/>
  <c r="E1420" i="1"/>
  <c r="B1420" i="1"/>
  <c r="O1419" i="1"/>
  <c r="E1419" i="1"/>
  <c r="B1419" i="1"/>
  <c r="O1418" i="1"/>
  <c r="E1418" i="1"/>
  <c r="B1418" i="1"/>
  <c r="O1417" i="1"/>
  <c r="E1417" i="1"/>
  <c r="B1417" i="1"/>
  <c r="O1416" i="1"/>
  <c r="E1416" i="1"/>
  <c r="B1416" i="1"/>
  <c r="O1415" i="1"/>
  <c r="E1415" i="1"/>
  <c r="B1415" i="1"/>
  <c r="O1414" i="1"/>
  <c r="E1414" i="1"/>
  <c r="B1414" i="1"/>
  <c r="O1413" i="1"/>
  <c r="E1413" i="1"/>
  <c r="B1413" i="1"/>
  <c r="O1412" i="1"/>
  <c r="E1412" i="1"/>
  <c r="B1412" i="1"/>
  <c r="O1411" i="1"/>
  <c r="E1411" i="1"/>
  <c r="B1411" i="1"/>
  <c r="O1410" i="1"/>
  <c r="E1410" i="1"/>
  <c r="B1410" i="1"/>
  <c r="O1409" i="1"/>
  <c r="E1409" i="1"/>
  <c r="B1409" i="1"/>
  <c r="O1408" i="1"/>
  <c r="E1408" i="1"/>
  <c r="B1408" i="1"/>
  <c r="O1407" i="1"/>
  <c r="E1407" i="1"/>
  <c r="B1407" i="1"/>
  <c r="O1406" i="1"/>
  <c r="E1406" i="1"/>
  <c r="B1406" i="1"/>
  <c r="O1405" i="1"/>
  <c r="E1405" i="1"/>
  <c r="B1405" i="1"/>
  <c r="O1404" i="1"/>
  <c r="E1404" i="1"/>
  <c r="B1404" i="1"/>
  <c r="O1403" i="1"/>
  <c r="E1403" i="1"/>
  <c r="B1403" i="1"/>
  <c r="O1402" i="1"/>
  <c r="E1402" i="1"/>
  <c r="B1402" i="1"/>
  <c r="O1401" i="1"/>
  <c r="E1401" i="1"/>
  <c r="B1401" i="1"/>
  <c r="O1400" i="1"/>
  <c r="E1400" i="1"/>
  <c r="B1400" i="1"/>
  <c r="O1399" i="1"/>
  <c r="E1399" i="1"/>
  <c r="B1399" i="1"/>
  <c r="O1398" i="1"/>
  <c r="E1398" i="1"/>
  <c r="B1398" i="1"/>
  <c r="O1397" i="1"/>
  <c r="E1397" i="1"/>
  <c r="B1397" i="1"/>
  <c r="O1396" i="1"/>
  <c r="E1396" i="1"/>
  <c r="B1396" i="1"/>
  <c r="O1395" i="1"/>
  <c r="E1395" i="1"/>
  <c r="B1395" i="1"/>
  <c r="O1394" i="1"/>
  <c r="E1394" i="1"/>
  <c r="B1394" i="1"/>
  <c r="O1393" i="1"/>
  <c r="E1393" i="1"/>
  <c r="B1393" i="1"/>
  <c r="O1392" i="1"/>
  <c r="E1392" i="1"/>
  <c r="B1392" i="1"/>
  <c r="O1391" i="1"/>
  <c r="E1391" i="1"/>
  <c r="B1391" i="1"/>
  <c r="O1390" i="1"/>
  <c r="E1390" i="1"/>
  <c r="B1390" i="1"/>
  <c r="O1389" i="1"/>
  <c r="E1389" i="1"/>
  <c r="B1389" i="1"/>
  <c r="O1388" i="1"/>
  <c r="E1388" i="1"/>
  <c r="B1388" i="1"/>
  <c r="O1387" i="1"/>
  <c r="E1387" i="1"/>
  <c r="B1387" i="1"/>
  <c r="O1386" i="1"/>
  <c r="E1386" i="1"/>
  <c r="B1386" i="1"/>
  <c r="O1385" i="1"/>
  <c r="E1385" i="1"/>
  <c r="B1385" i="1"/>
  <c r="O1384" i="1"/>
  <c r="E1384" i="1"/>
  <c r="B1384" i="1"/>
  <c r="O1383" i="1"/>
  <c r="E1383" i="1"/>
  <c r="B1383" i="1"/>
  <c r="O1382" i="1"/>
  <c r="E1382" i="1"/>
  <c r="B1382" i="1"/>
  <c r="O1381" i="1"/>
  <c r="E1381" i="1"/>
  <c r="B1381" i="1"/>
  <c r="O1380" i="1"/>
  <c r="E1380" i="1"/>
  <c r="B1380" i="1"/>
  <c r="O1379" i="1"/>
  <c r="E1379" i="1"/>
  <c r="B1379" i="1"/>
  <c r="O1378" i="1"/>
  <c r="E1378" i="1"/>
  <c r="B1378" i="1"/>
  <c r="O1377" i="1"/>
  <c r="E1377" i="1"/>
  <c r="B1377" i="1"/>
  <c r="O1376" i="1"/>
  <c r="E1376" i="1"/>
  <c r="B1376" i="1"/>
  <c r="O1375" i="1"/>
  <c r="E1375" i="1"/>
  <c r="B1375" i="1"/>
  <c r="O1374" i="1"/>
  <c r="E1374" i="1"/>
  <c r="B1374" i="1"/>
  <c r="O1373" i="1"/>
  <c r="E1373" i="1"/>
  <c r="B1373" i="1"/>
  <c r="O1372" i="1"/>
  <c r="E1372" i="1"/>
  <c r="B1372" i="1"/>
  <c r="O1371" i="1"/>
  <c r="E1371" i="1"/>
  <c r="B1371" i="1"/>
  <c r="O1370" i="1"/>
  <c r="E1370" i="1"/>
  <c r="B1370" i="1"/>
  <c r="O1369" i="1"/>
  <c r="E1369" i="1"/>
  <c r="B1369" i="1"/>
  <c r="O1368" i="1"/>
  <c r="E1368" i="1"/>
  <c r="B1368" i="1"/>
  <c r="O1367" i="1"/>
  <c r="E1367" i="1"/>
  <c r="B1367" i="1"/>
  <c r="O1366" i="1"/>
  <c r="E1366" i="1"/>
  <c r="B1366" i="1"/>
  <c r="O1365" i="1"/>
  <c r="E1365" i="1"/>
  <c r="B1365" i="1"/>
  <c r="O1364" i="1"/>
  <c r="E1364" i="1"/>
  <c r="B1364" i="1"/>
  <c r="O1363" i="1"/>
  <c r="E1363" i="1"/>
  <c r="B1363" i="1"/>
  <c r="O1362" i="1"/>
  <c r="E1362" i="1"/>
  <c r="B1362" i="1"/>
  <c r="O1361" i="1"/>
  <c r="E1361" i="1"/>
  <c r="B1361" i="1"/>
  <c r="O1360" i="1"/>
  <c r="E1360" i="1"/>
  <c r="B1360" i="1"/>
  <c r="O1359" i="1"/>
  <c r="E1359" i="1"/>
  <c r="B1359" i="1"/>
  <c r="O1358" i="1"/>
  <c r="E1358" i="1"/>
  <c r="B1358" i="1"/>
  <c r="O1357" i="1"/>
  <c r="E1357" i="1"/>
  <c r="B1357" i="1"/>
  <c r="O1356" i="1"/>
  <c r="E1356" i="1"/>
  <c r="B1356" i="1"/>
  <c r="O1355" i="1"/>
  <c r="E1355" i="1"/>
  <c r="B1355" i="1"/>
  <c r="O1354" i="1"/>
  <c r="E1354" i="1"/>
  <c r="B1354" i="1"/>
  <c r="O1353" i="1"/>
  <c r="E1353" i="1"/>
  <c r="B1353" i="1"/>
  <c r="O1352" i="1"/>
  <c r="E1352" i="1"/>
  <c r="B1352" i="1"/>
  <c r="O1351" i="1"/>
  <c r="E1351" i="1"/>
  <c r="B1351" i="1"/>
  <c r="O1350" i="1"/>
  <c r="E1350" i="1"/>
  <c r="B1350" i="1"/>
  <c r="O1349" i="1"/>
  <c r="E1349" i="1"/>
  <c r="B1349" i="1"/>
  <c r="O1348" i="1"/>
  <c r="E1348" i="1"/>
  <c r="B1348" i="1"/>
  <c r="O1347" i="1"/>
  <c r="E1347" i="1"/>
  <c r="B1347" i="1"/>
  <c r="O1346" i="1"/>
  <c r="E1346" i="1"/>
  <c r="B1346" i="1"/>
  <c r="O1345" i="1"/>
  <c r="E1345" i="1"/>
  <c r="B1345" i="1"/>
  <c r="O1344" i="1"/>
  <c r="E1344" i="1"/>
  <c r="B1344" i="1"/>
  <c r="O1343" i="1"/>
  <c r="E1343" i="1"/>
  <c r="B1343" i="1"/>
  <c r="O1342" i="1"/>
  <c r="E1342" i="1"/>
  <c r="B1342" i="1"/>
  <c r="O1341" i="1"/>
  <c r="E1341" i="1"/>
  <c r="B1341" i="1"/>
  <c r="O1340" i="1"/>
  <c r="E1340" i="1"/>
  <c r="B1340" i="1"/>
  <c r="O1339" i="1"/>
  <c r="E1339" i="1"/>
  <c r="B1339" i="1"/>
  <c r="O1338" i="1"/>
  <c r="E1338" i="1"/>
  <c r="B1338" i="1"/>
  <c r="O1337" i="1"/>
  <c r="E1337" i="1"/>
  <c r="B1337" i="1"/>
  <c r="O1336" i="1"/>
  <c r="E1336" i="1"/>
  <c r="B1336" i="1"/>
  <c r="O1335" i="1"/>
  <c r="E1335" i="1"/>
  <c r="B1335" i="1"/>
  <c r="O1334" i="1"/>
  <c r="E1334" i="1"/>
  <c r="B1334" i="1"/>
  <c r="O1333" i="1"/>
  <c r="E1333" i="1"/>
  <c r="B1333" i="1"/>
  <c r="O1332" i="1"/>
  <c r="E1332" i="1"/>
  <c r="B1332" i="1"/>
  <c r="O1331" i="1"/>
  <c r="E1331" i="1"/>
  <c r="B1331" i="1"/>
  <c r="O1330" i="1"/>
  <c r="E1330" i="1"/>
  <c r="B1330" i="1"/>
  <c r="O1329" i="1"/>
  <c r="E1329" i="1"/>
  <c r="B1329" i="1"/>
  <c r="O1328" i="1"/>
  <c r="E1328" i="1"/>
  <c r="B1328" i="1"/>
  <c r="O1327" i="1"/>
  <c r="E1327" i="1"/>
  <c r="B1327" i="1"/>
  <c r="O1326" i="1"/>
  <c r="E1326" i="1"/>
  <c r="B1326" i="1"/>
  <c r="O1325" i="1"/>
  <c r="E1325" i="1"/>
  <c r="B1325" i="1"/>
  <c r="O1324" i="1"/>
  <c r="E1324" i="1"/>
  <c r="B1324" i="1"/>
  <c r="O1323" i="1"/>
  <c r="E1323" i="1"/>
  <c r="B1323" i="1"/>
  <c r="O1322" i="1"/>
  <c r="E1322" i="1"/>
  <c r="B1322" i="1"/>
  <c r="O1321" i="1"/>
  <c r="E1321" i="1"/>
  <c r="B1321" i="1"/>
  <c r="O1320" i="1"/>
  <c r="E1320" i="1"/>
  <c r="B1320" i="1"/>
  <c r="O1319" i="1"/>
  <c r="E1319" i="1"/>
  <c r="B1319" i="1"/>
  <c r="O1318" i="1"/>
  <c r="E1318" i="1"/>
  <c r="B1318" i="1"/>
  <c r="O1317" i="1"/>
  <c r="E1317" i="1"/>
  <c r="B1317" i="1"/>
  <c r="O1316" i="1"/>
  <c r="E1316" i="1"/>
  <c r="B1316" i="1"/>
  <c r="O1315" i="1"/>
  <c r="E1315" i="1"/>
  <c r="B1315" i="1"/>
  <c r="O1314" i="1"/>
  <c r="E1314" i="1"/>
  <c r="B1314" i="1"/>
  <c r="O1313" i="1"/>
  <c r="E1313" i="1"/>
  <c r="B1313" i="1"/>
  <c r="O1312" i="1"/>
  <c r="E1312" i="1"/>
  <c r="B1312" i="1"/>
  <c r="O1311" i="1"/>
  <c r="E1311" i="1"/>
  <c r="B1311" i="1"/>
  <c r="O1310" i="1"/>
  <c r="E1310" i="1"/>
  <c r="B1310" i="1"/>
  <c r="O1309" i="1"/>
  <c r="E1309" i="1"/>
  <c r="B1309" i="1"/>
  <c r="O1308" i="1"/>
  <c r="E1308" i="1"/>
  <c r="B1308" i="1"/>
  <c r="O1307" i="1"/>
  <c r="E1307" i="1"/>
  <c r="B1307" i="1"/>
  <c r="O1306" i="1"/>
  <c r="E1306" i="1"/>
  <c r="B1306" i="1"/>
  <c r="O1305" i="1"/>
  <c r="E1305" i="1"/>
  <c r="B1305" i="1"/>
  <c r="O1304" i="1"/>
  <c r="E1304" i="1"/>
  <c r="B1304" i="1"/>
  <c r="O1303" i="1"/>
  <c r="E1303" i="1"/>
  <c r="B1303" i="1"/>
  <c r="O1302" i="1"/>
  <c r="E1302" i="1"/>
  <c r="B1302" i="1"/>
  <c r="O1301" i="1"/>
  <c r="E1301" i="1"/>
  <c r="B1301" i="1"/>
  <c r="O1300" i="1"/>
  <c r="E1300" i="1"/>
  <c r="B1300" i="1"/>
  <c r="O1299" i="1"/>
  <c r="E1299" i="1"/>
  <c r="B1299" i="1"/>
  <c r="O1298" i="1"/>
  <c r="E1298" i="1"/>
  <c r="B1298" i="1"/>
  <c r="O1297" i="1"/>
  <c r="E1297" i="1"/>
  <c r="B1297" i="1"/>
  <c r="O1296" i="1"/>
  <c r="E1296" i="1"/>
  <c r="B1296" i="1"/>
  <c r="O1295" i="1"/>
  <c r="E1295" i="1"/>
  <c r="B1295" i="1"/>
  <c r="O1294" i="1"/>
  <c r="E1294" i="1"/>
  <c r="B1294" i="1"/>
  <c r="O1293" i="1"/>
  <c r="E1293" i="1"/>
  <c r="B1293" i="1"/>
  <c r="O1292" i="1"/>
  <c r="E1292" i="1"/>
  <c r="B1292" i="1"/>
  <c r="O1291" i="1"/>
  <c r="E1291" i="1"/>
  <c r="B1291" i="1"/>
  <c r="O1290" i="1"/>
  <c r="E1290" i="1"/>
  <c r="B1290" i="1"/>
  <c r="O1289" i="1"/>
  <c r="E1289" i="1"/>
  <c r="B1289" i="1"/>
  <c r="O1288" i="1"/>
  <c r="E1288" i="1"/>
  <c r="B1288" i="1"/>
  <c r="O1287" i="1"/>
  <c r="E1287" i="1"/>
  <c r="B1287" i="1"/>
  <c r="O1286" i="1"/>
  <c r="E1286" i="1"/>
  <c r="B1286" i="1"/>
  <c r="O1285" i="1"/>
  <c r="E1285" i="1"/>
  <c r="B1285" i="1"/>
  <c r="O1284" i="1"/>
  <c r="E1284" i="1"/>
  <c r="B1284" i="1"/>
  <c r="O1283" i="1"/>
  <c r="E1283" i="1"/>
  <c r="B1283" i="1"/>
  <c r="O1282" i="1"/>
  <c r="E1282" i="1"/>
  <c r="B1282" i="1"/>
  <c r="O1281" i="1"/>
  <c r="E1281" i="1"/>
  <c r="B1281" i="1"/>
  <c r="O1280" i="1"/>
  <c r="E1280" i="1"/>
  <c r="B1280" i="1"/>
  <c r="O1279" i="1"/>
  <c r="E1279" i="1"/>
  <c r="B1279" i="1"/>
  <c r="O1278" i="1"/>
  <c r="E1278" i="1"/>
  <c r="B1278" i="1"/>
  <c r="O1277" i="1"/>
  <c r="E1277" i="1"/>
  <c r="B1277" i="1"/>
  <c r="O1276" i="1"/>
  <c r="E1276" i="1"/>
  <c r="B1276" i="1"/>
  <c r="O1275" i="1"/>
  <c r="E1275" i="1"/>
  <c r="B1275" i="1"/>
  <c r="O1274" i="1"/>
  <c r="E1274" i="1"/>
  <c r="B1274" i="1"/>
  <c r="O1273" i="1"/>
  <c r="E1273" i="1"/>
  <c r="B1273" i="1"/>
  <c r="O1272" i="1"/>
  <c r="E1272" i="1"/>
  <c r="B1272" i="1"/>
  <c r="O1271" i="1"/>
  <c r="E1271" i="1"/>
  <c r="B1271" i="1"/>
  <c r="O1270" i="1"/>
  <c r="E1270" i="1"/>
  <c r="B1270" i="1"/>
  <c r="O1269" i="1"/>
  <c r="E1269" i="1"/>
  <c r="B1269" i="1"/>
  <c r="O1268" i="1"/>
  <c r="E1268" i="1"/>
  <c r="B1268" i="1"/>
  <c r="O1267" i="1"/>
  <c r="E1267" i="1"/>
  <c r="B1267" i="1"/>
  <c r="O1266" i="1"/>
  <c r="E1266" i="1"/>
  <c r="B1266" i="1"/>
  <c r="O1265" i="1"/>
  <c r="E1265" i="1"/>
  <c r="B1265" i="1"/>
  <c r="O1264" i="1"/>
  <c r="E1264" i="1"/>
  <c r="B1264" i="1"/>
  <c r="O1263" i="1"/>
  <c r="E1263" i="1"/>
  <c r="B1263" i="1"/>
  <c r="O1262" i="1"/>
  <c r="E1262" i="1"/>
  <c r="B1262" i="1"/>
  <c r="O1261" i="1"/>
  <c r="E1261" i="1"/>
  <c r="B1261" i="1"/>
  <c r="O1260" i="1"/>
  <c r="E1260" i="1"/>
  <c r="B1260" i="1"/>
  <c r="O1259" i="1"/>
  <c r="E1259" i="1"/>
  <c r="B1259" i="1"/>
  <c r="O1258" i="1"/>
  <c r="E1258" i="1"/>
  <c r="B1258" i="1"/>
  <c r="O1257" i="1"/>
  <c r="E1257" i="1"/>
  <c r="B1257" i="1"/>
  <c r="O1256" i="1"/>
  <c r="E1256" i="1"/>
  <c r="B1256" i="1"/>
  <c r="O1255" i="1"/>
  <c r="E1255" i="1"/>
  <c r="B1255" i="1"/>
  <c r="O1254" i="1"/>
  <c r="E1254" i="1"/>
  <c r="B1254" i="1"/>
  <c r="O1253" i="1"/>
  <c r="E1253" i="1"/>
  <c r="B1253" i="1"/>
  <c r="O1252" i="1"/>
  <c r="E1252" i="1"/>
  <c r="B1252" i="1"/>
  <c r="O1251" i="1"/>
  <c r="E1251" i="1"/>
  <c r="B1251" i="1"/>
  <c r="O1250" i="1"/>
  <c r="E1250" i="1"/>
  <c r="B1250" i="1"/>
  <c r="O1249" i="1"/>
  <c r="E1249" i="1"/>
  <c r="B1249" i="1"/>
  <c r="O1248" i="1"/>
  <c r="E1248" i="1"/>
  <c r="B1248" i="1"/>
  <c r="O1247" i="1"/>
  <c r="E1247" i="1"/>
  <c r="B1247" i="1"/>
  <c r="O1246" i="1"/>
  <c r="E1246" i="1"/>
  <c r="B1246" i="1"/>
  <c r="O1245" i="1"/>
  <c r="E1245" i="1"/>
  <c r="B1245" i="1"/>
  <c r="O1244" i="1"/>
  <c r="E1244" i="1"/>
  <c r="B1244" i="1"/>
  <c r="O1243" i="1"/>
  <c r="E1243" i="1"/>
  <c r="B1243" i="1"/>
  <c r="O1242" i="1"/>
  <c r="E1242" i="1"/>
  <c r="B1242" i="1"/>
  <c r="O1241" i="1"/>
  <c r="E1241" i="1"/>
  <c r="B1241" i="1"/>
  <c r="O1240" i="1"/>
  <c r="E1240" i="1"/>
  <c r="B1240" i="1"/>
  <c r="O1239" i="1"/>
  <c r="E1239" i="1"/>
  <c r="B1239" i="1"/>
  <c r="O1238" i="1"/>
  <c r="E1238" i="1"/>
  <c r="B1238" i="1"/>
  <c r="O1237" i="1"/>
  <c r="E1237" i="1"/>
  <c r="B1237" i="1"/>
  <c r="O1236" i="1"/>
  <c r="E1236" i="1"/>
  <c r="B1236" i="1"/>
  <c r="O1235" i="1"/>
  <c r="E1235" i="1"/>
  <c r="B1235" i="1"/>
  <c r="O1234" i="1"/>
  <c r="E1234" i="1"/>
  <c r="B1234" i="1"/>
  <c r="O1233" i="1"/>
  <c r="E1233" i="1"/>
  <c r="B1233" i="1"/>
  <c r="O1232" i="1"/>
  <c r="E1232" i="1"/>
  <c r="B1232" i="1"/>
  <c r="O1231" i="1"/>
  <c r="E1231" i="1"/>
  <c r="B1231" i="1"/>
  <c r="O1230" i="1"/>
  <c r="E1230" i="1"/>
  <c r="B1230" i="1"/>
  <c r="O1229" i="1"/>
  <c r="E1229" i="1"/>
  <c r="B1229" i="1"/>
  <c r="O1228" i="1"/>
  <c r="E1228" i="1"/>
  <c r="B1228" i="1"/>
  <c r="O1227" i="1"/>
  <c r="E1227" i="1"/>
  <c r="B1227" i="1"/>
  <c r="O1226" i="1"/>
  <c r="E1226" i="1"/>
  <c r="B1226" i="1"/>
  <c r="O1225" i="1"/>
  <c r="E1225" i="1"/>
  <c r="B1225" i="1"/>
  <c r="O1224" i="1"/>
  <c r="E1224" i="1"/>
  <c r="B1224" i="1"/>
  <c r="O1223" i="1"/>
  <c r="E1223" i="1"/>
  <c r="B1223" i="1"/>
  <c r="O1222" i="1"/>
  <c r="E1222" i="1"/>
  <c r="B1222" i="1"/>
  <c r="O1221" i="1"/>
  <c r="E1221" i="1"/>
  <c r="B1221" i="1"/>
  <c r="O1220" i="1"/>
  <c r="E1220" i="1"/>
  <c r="B1220" i="1"/>
  <c r="O1219" i="1"/>
  <c r="E1219" i="1"/>
  <c r="B1219" i="1"/>
  <c r="O1218" i="1"/>
  <c r="E1218" i="1"/>
  <c r="B1218" i="1"/>
  <c r="O1217" i="1"/>
  <c r="E1217" i="1"/>
  <c r="B1217" i="1"/>
  <c r="O1216" i="1"/>
  <c r="E1216" i="1"/>
  <c r="B1216" i="1"/>
  <c r="O1215" i="1"/>
  <c r="E1215" i="1"/>
  <c r="B1215" i="1"/>
  <c r="O1214" i="1"/>
  <c r="E1214" i="1"/>
  <c r="B1214" i="1"/>
  <c r="O1213" i="1"/>
  <c r="E1213" i="1"/>
  <c r="B1213" i="1"/>
  <c r="O1212" i="1"/>
  <c r="E1212" i="1"/>
  <c r="B1212" i="1"/>
  <c r="O1211" i="1"/>
  <c r="E1211" i="1"/>
  <c r="B1211" i="1"/>
  <c r="O1210" i="1"/>
  <c r="E1210" i="1"/>
  <c r="B1210" i="1"/>
  <c r="O1209" i="1"/>
  <c r="E1209" i="1"/>
  <c r="B1209" i="1"/>
  <c r="O1208" i="1"/>
  <c r="E1208" i="1"/>
  <c r="B1208" i="1"/>
  <c r="O1207" i="1"/>
  <c r="E1207" i="1"/>
  <c r="B1207" i="1"/>
  <c r="O1206" i="1"/>
  <c r="E1206" i="1"/>
  <c r="B1206" i="1"/>
  <c r="O1205" i="1"/>
  <c r="E1205" i="1"/>
  <c r="B1205" i="1"/>
  <c r="O1204" i="1"/>
  <c r="E1204" i="1"/>
  <c r="B1204" i="1"/>
  <c r="O1203" i="1"/>
  <c r="E1203" i="1"/>
  <c r="B1203" i="1"/>
  <c r="O1202" i="1"/>
  <c r="E1202" i="1"/>
  <c r="B1202" i="1"/>
  <c r="O1201" i="1"/>
  <c r="E1201" i="1"/>
  <c r="B1201" i="1"/>
  <c r="O1200" i="1"/>
  <c r="E1200" i="1"/>
  <c r="B1200" i="1"/>
  <c r="O1199" i="1"/>
  <c r="E1199" i="1"/>
  <c r="B1199" i="1"/>
  <c r="O1198" i="1"/>
  <c r="E1198" i="1"/>
  <c r="B1198" i="1"/>
  <c r="O1197" i="1"/>
  <c r="E1197" i="1"/>
  <c r="B1197" i="1"/>
  <c r="O1196" i="1"/>
  <c r="E1196" i="1"/>
  <c r="B1196" i="1"/>
  <c r="O1195" i="1"/>
  <c r="E1195" i="1"/>
  <c r="B1195" i="1"/>
  <c r="O1194" i="1"/>
  <c r="E1194" i="1"/>
  <c r="B1194" i="1"/>
  <c r="O1193" i="1"/>
  <c r="E1193" i="1"/>
  <c r="B1193" i="1"/>
  <c r="O1192" i="1"/>
  <c r="E1192" i="1"/>
  <c r="B1192" i="1"/>
  <c r="O1191" i="1"/>
  <c r="E1191" i="1"/>
  <c r="B1191" i="1"/>
  <c r="O1190" i="1"/>
  <c r="E1190" i="1"/>
  <c r="B1190" i="1"/>
  <c r="O1189" i="1"/>
  <c r="E1189" i="1"/>
  <c r="B1189" i="1"/>
  <c r="O1188" i="1"/>
  <c r="E1188" i="1"/>
  <c r="B1188" i="1"/>
  <c r="O1187" i="1"/>
  <c r="E1187" i="1"/>
  <c r="B1187" i="1"/>
  <c r="O1186" i="1"/>
  <c r="E1186" i="1"/>
  <c r="B1186" i="1"/>
  <c r="O1185" i="1"/>
  <c r="E1185" i="1"/>
  <c r="B1185" i="1"/>
  <c r="O1184" i="1"/>
  <c r="E1184" i="1"/>
  <c r="B1184" i="1"/>
  <c r="O1183" i="1"/>
  <c r="E1183" i="1"/>
  <c r="B1183" i="1"/>
  <c r="O1182" i="1"/>
  <c r="E1182" i="1"/>
  <c r="B1182" i="1"/>
  <c r="O1181" i="1"/>
  <c r="E1181" i="1"/>
  <c r="B1181" i="1"/>
  <c r="O1180" i="1"/>
  <c r="E1180" i="1"/>
  <c r="B1180" i="1"/>
  <c r="O1179" i="1"/>
  <c r="E1179" i="1"/>
  <c r="B1179" i="1"/>
  <c r="O1178" i="1"/>
  <c r="E1178" i="1"/>
  <c r="B1178" i="1"/>
  <c r="O1177" i="1"/>
  <c r="E1177" i="1"/>
  <c r="B1177" i="1"/>
  <c r="O1176" i="1"/>
  <c r="E1176" i="1"/>
  <c r="B1176" i="1"/>
  <c r="O1175" i="1"/>
  <c r="E1175" i="1"/>
  <c r="B1175" i="1"/>
  <c r="O1174" i="1"/>
  <c r="E1174" i="1"/>
  <c r="B1174" i="1"/>
  <c r="O1173" i="1"/>
  <c r="E1173" i="1"/>
  <c r="B1173" i="1"/>
  <c r="O1172" i="1"/>
  <c r="E1172" i="1"/>
  <c r="B1172" i="1"/>
  <c r="O1171" i="1"/>
  <c r="E1171" i="1"/>
  <c r="B1171" i="1"/>
  <c r="O1170" i="1"/>
  <c r="E1170" i="1"/>
  <c r="B1170" i="1"/>
  <c r="O1169" i="1"/>
  <c r="E1169" i="1"/>
  <c r="B1169" i="1"/>
  <c r="O1168" i="1"/>
  <c r="E1168" i="1"/>
  <c r="B1168" i="1"/>
  <c r="O1167" i="1"/>
  <c r="E1167" i="1"/>
  <c r="B1167" i="1"/>
  <c r="O1166" i="1"/>
  <c r="E1166" i="1"/>
  <c r="B1166" i="1"/>
  <c r="O1165" i="1"/>
  <c r="E1165" i="1"/>
  <c r="B1165" i="1"/>
  <c r="O1164" i="1"/>
  <c r="E1164" i="1"/>
  <c r="B1164" i="1"/>
  <c r="O1163" i="1"/>
  <c r="E1163" i="1"/>
  <c r="B1163" i="1"/>
  <c r="O1162" i="1"/>
  <c r="E1162" i="1"/>
  <c r="B1162" i="1"/>
  <c r="O1161" i="1"/>
  <c r="E1161" i="1"/>
  <c r="B1161" i="1"/>
  <c r="O1160" i="1"/>
  <c r="E1160" i="1"/>
  <c r="B1160" i="1"/>
  <c r="O1159" i="1"/>
  <c r="E1159" i="1"/>
  <c r="B1159" i="1"/>
  <c r="O1158" i="1"/>
  <c r="E1158" i="1"/>
  <c r="B1158" i="1"/>
  <c r="O1157" i="1"/>
  <c r="E1157" i="1"/>
  <c r="B1157" i="1"/>
  <c r="O1156" i="1"/>
  <c r="E1156" i="1"/>
  <c r="B1156" i="1"/>
  <c r="O1155" i="1"/>
  <c r="E1155" i="1"/>
  <c r="B1155" i="1"/>
  <c r="O1154" i="1"/>
  <c r="E1154" i="1"/>
  <c r="B1154" i="1"/>
  <c r="O1153" i="1"/>
  <c r="E1153" i="1"/>
  <c r="B1153" i="1"/>
  <c r="O1152" i="1"/>
  <c r="E1152" i="1"/>
  <c r="B1152" i="1"/>
  <c r="O1151" i="1"/>
  <c r="E1151" i="1"/>
  <c r="B1151" i="1"/>
  <c r="O1150" i="1"/>
  <c r="E1150" i="1"/>
  <c r="B1150" i="1"/>
  <c r="O1149" i="1"/>
  <c r="E1149" i="1"/>
  <c r="B1149" i="1"/>
  <c r="O1148" i="1"/>
  <c r="E1148" i="1"/>
  <c r="B1148" i="1"/>
  <c r="O1147" i="1"/>
  <c r="E1147" i="1"/>
  <c r="B1147" i="1"/>
  <c r="O1146" i="1"/>
  <c r="E1146" i="1"/>
  <c r="B1146" i="1"/>
  <c r="O1145" i="1"/>
  <c r="E1145" i="1"/>
  <c r="B1145" i="1"/>
  <c r="O1144" i="1"/>
  <c r="E1144" i="1"/>
  <c r="B1144" i="1"/>
  <c r="O1143" i="1"/>
  <c r="E1143" i="1"/>
  <c r="B1143" i="1"/>
  <c r="O1142" i="1"/>
  <c r="E1142" i="1"/>
  <c r="B1142" i="1"/>
  <c r="O1141" i="1"/>
  <c r="E1141" i="1"/>
  <c r="B1141" i="1"/>
  <c r="O1140" i="1"/>
  <c r="E1140" i="1"/>
  <c r="B1140" i="1"/>
  <c r="O1139" i="1"/>
  <c r="E1139" i="1"/>
  <c r="B1139" i="1"/>
  <c r="O1138" i="1"/>
  <c r="E1138" i="1"/>
  <c r="B1138" i="1"/>
  <c r="O1137" i="1"/>
  <c r="E1137" i="1"/>
  <c r="B1137" i="1"/>
  <c r="O1136" i="1"/>
  <c r="E1136" i="1"/>
  <c r="B1136" i="1"/>
  <c r="O1135" i="1"/>
  <c r="E1135" i="1"/>
  <c r="B1135" i="1"/>
  <c r="O1134" i="1"/>
  <c r="E1134" i="1"/>
  <c r="B1134" i="1"/>
  <c r="O1133" i="1"/>
  <c r="E1133" i="1"/>
  <c r="B1133" i="1"/>
  <c r="O1132" i="1"/>
  <c r="E1132" i="1"/>
  <c r="B1132" i="1"/>
  <c r="O1131" i="1"/>
  <c r="E1131" i="1"/>
  <c r="B1131" i="1"/>
  <c r="O1130" i="1"/>
  <c r="E1130" i="1"/>
  <c r="B1130" i="1"/>
  <c r="O1129" i="1"/>
  <c r="E1129" i="1"/>
  <c r="B1129" i="1"/>
  <c r="O1128" i="1"/>
  <c r="E1128" i="1"/>
  <c r="B1128" i="1"/>
  <c r="O1127" i="1"/>
  <c r="E1127" i="1"/>
  <c r="B1127" i="1"/>
  <c r="O1126" i="1"/>
  <c r="E1126" i="1"/>
  <c r="B1126" i="1"/>
  <c r="O1125" i="1"/>
  <c r="E1125" i="1"/>
  <c r="B1125" i="1"/>
  <c r="O1124" i="1"/>
  <c r="E1124" i="1"/>
  <c r="B1124" i="1"/>
  <c r="O1123" i="1"/>
  <c r="E1123" i="1"/>
  <c r="B1123" i="1"/>
  <c r="O1122" i="1"/>
  <c r="E1122" i="1"/>
  <c r="B1122" i="1"/>
  <c r="O1121" i="1"/>
  <c r="E1121" i="1"/>
  <c r="B1121" i="1"/>
  <c r="O1120" i="1"/>
  <c r="E1120" i="1"/>
  <c r="B1120" i="1"/>
  <c r="O1119" i="1"/>
  <c r="E1119" i="1"/>
  <c r="B1119" i="1"/>
  <c r="O1118" i="1"/>
  <c r="E1118" i="1"/>
  <c r="B1118" i="1"/>
  <c r="O1117" i="1"/>
  <c r="E1117" i="1"/>
  <c r="B1117" i="1"/>
  <c r="O1116" i="1"/>
  <c r="E1116" i="1"/>
  <c r="B1116" i="1"/>
  <c r="O1115" i="1"/>
  <c r="E1115" i="1"/>
  <c r="B1115" i="1"/>
  <c r="O1114" i="1"/>
  <c r="E1114" i="1"/>
  <c r="B1114" i="1"/>
  <c r="O1113" i="1"/>
  <c r="E1113" i="1"/>
  <c r="B1113" i="1"/>
  <c r="O1112" i="1"/>
  <c r="E1112" i="1"/>
  <c r="B1112" i="1"/>
  <c r="O1111" i="1"/>
  <c r="E1111" i="1"/>
  <c r="B1111" i="1"/>
  <c r="O1110" i="1"/>
  <c r="E1110" i="1"/>
  <c r="B1110" i="1"/>
  <c r="O1109" i="1"/>
  <c r="E1109" i="1"/>
  <c r="B1109" i="1"/>
  <c r="O1108" i="1"/>
  <c r="E1108" i="1"/>
  <c r="B1108" i="1"/>
  <c r="O1107" i="1"/>
  <c r="E1107" i="1"/>
  <c r="B1107" i="1"/>
  <c r="O1106" i="1"/>
  <c r="E1106" i="1"/>
  <c r="B1106" i="1"/>
  <c r="O1105" i="1"/>
  <c r="E1105" i="1"/>
  <c r="B1105" i="1"/>
  <c r="O1104" i="1"/>
  <c r="E1104" i="1"/>
  <c r="B1104" i="1"/>
  <c r="O1103" i="1"/>
  <c r="E1103" i="1"/>
  <c r="B1103" i="1"/>
  <c r="O1102" i="1"/>
  <c r="E1102" i="1"/>
  <c r="B1102" i="1"/>
  <c r="O1101" i="1"/>
  <c r="E1101" i="1"/>
  <c r="B1101" i="1"/>
  <c r="O1100" i="1"/>
  <c r="E1100" i="1"/>
  <c r="B1100" i="1"/>
  <c r="O1099" i="1"/>
  <c r="E1099" i="1"/>
  <c r="B1099" i="1"/>
  <c r="O1098" i="1"/>
  <c r="E1098" i="1"/>
  <c r="B1098" i="1"/>
  <c r="O1097" i="1"/>
  <c r="E1097" i="1"/>
  <c r="B1097" i="1"/>
  <c r="O1096" i="1"/>
  <c r="E1096" i="1"/>
  <c r="B1096" i="1"/>
  <c r="O1095" i="1"/>
  <c r="E1095" i="1"/>
  <c r="B1095" i="1"/>
  <c r="O1094" i="1"/>
  <c r="E1094" i="1"/>
  <c r="B1094" i="1"/>
  <c r="O1093" i="1"/>
  <c r="E1093" i="1"/>
  <c r="B1093" i="1"/>
  <c r="O1092" i="1"/>
  <c r="E1092" i="1"/>
  <c r="B1092" i="1"/>
  <c r="O1091" i="1"/>
  <c r="E1091" i="1"/>
  <c r="B1091" i="1"/>
  <c r="O1090" i="1"/>
  <c r="E1090" i="1"/>
  <c r="B1090" i="1"/>
  <c r="O1089" i="1"/>
  <c r="E1089" i="1"/>
  <c r="B1089" i="1"/>
  <c r="O1088" i="1"/>
  <c r="E1088" i="1"/>
  <c r="B1088" i="1"/>
  <c r="O1087" i="1"/>
  <c r="E1087" i="1"/>
  <c r="B1087" i="1"/>
  <c r="O1086" i="1"/>
  <c r="E1086" i="1"/>
  <c r="B1086" i="1"/>
  <c r="O1085" i="1"/>
  <c r="E1085" i="1"/>
  <c r="B1085" i="1"/>
  <c r="O1084" i="1"/>
  <c r="E1084" i="1"/>
  <c r="B1084" i="1"/>
  <c r="O1083" i="1"/>
  <c r="E1083" i="1"/>
  <c r="B1083" i="1"/>
  <c r="O1082" i="1"/>
  <c r="E1082" i="1"/>
  <c r="B1082" i="1"/>
  <c r="O1081" i="1"/>
  <c r="E1081" i="1"/>
  <c r="B1081" i="1"/>
  <c r="O1080" i="1"/>
  <c r="E1080" i="1"/>
  <c r="B1080" i="1"/>
  <c r="O1079" i="1"/>
  <c r="E1079" i="1"/>
  <c r="B1079" i="1"/>
  <c r="O1078" i="1"/>
  <c r="E1078" i="1"/>
  <c r="B1078" i="1"/>
  <c r="O1077" i="1"/>
  <c r="E1077" i="1"/>
  <c r="B1077" i="1"/>
  <c r="O1076" i="1"/>
  <c r="E1076" i="1"/>
  <c r="B1076" i="1"/>
  <c r="O1075" i="1"/>
  <c r="E1075" i="1"/>
  <c r="B1075" i="1"/>
  <c r="O1074" i="1"/>
  <c r="E1074" i="1"/>
  <c r="B1074" i="1"/>
  <c r="O1073" i="1"/>
  <c r="E1073" i="1"/>
  <c r="B1073" i="1"/>
  <c r="O1072" i="1"/>
  <c r="E1072" i="1"/>
  <c r="B1072" i="1"/>
  <c r="O1071" i="1"/>
  <c r="E1071" i="1"/>
  <c r="B1071" i="1"/>
  <c r="O1070" i="1"/>
  <c r="E1070" i="1"/>
  <c r="B1070" i="1"/>
  <c r="O1069" i="1"/>
  <c r="E1069" i="1"/>
  <c r="B1069" i="1"/>
  <c r="O1068" i="1"/>
  <c r="E1068" i="1"/>
  <c r="B1068" i="1"/>
  <c r="O1067" i="1"/>
  <c r="E1067" i="1"/>
  <c r="B1067" i="1"/>
  <c r="O1066" i="1"/>
  <c r="E1066" i="1"/>
  <c r="B1066" i="1"/>
  <c r="O1065" i="1"/>
  <c r="E1065" i="1"/>
  <c r="B1065" i="1"/>
  <c r="O1064" i="1"/>
  <c r="E1064" i="1"/>
  <c r="B1064" i="1"/>
  <c r="O1063" i="1"/>
  <c r="E1063" i="1"/>
  <c r="B1063" i="1"/>
  <c r="O1062" i="1"/>
  <c r="E1062" i="1"/>
  <c r="B1062" i="1"/>
  <c r="O1061" i="1"/>
  <c r="E1061" i="1"/>
  <c r="B1061" i="1"/>
  <c r="O1060" i="1"/>
  <c r="E1060" i="1"/>
  <c r="B1060" i="1"/>
  <c r="O1059" i="1"/>
  <c r="E1059" i="1"/>
  <c r="B1059" i="1"/>
  <c r="O1058" i="1"/>
  <c r="E1058" i="1"/>
  <c r="B1058" i="1"/>
  <c r="O1057" i="1"/>
  <c r="E1057" i="1"/>
  <c r="B1057" i="1"/>
  <c r="O1056" i="1"/>
  <c r="E1056" i="1"/>
  <c r="B1056" i="1"/>
  <c r="O1055" i="1"/>
  <c r="E1055" i="1"/>
  <c r="B1055" i="1"/>
  <c r="O1054" i="1"/>
  <c r="E1054" i="1"/>
  <c r="B1054" i="1"/>
  <c r="O1053" i="1"/>
  <c r="E1053" i="1"/>
  <c r="B1053" i="1"/>
  <c r="O1052" i="1"/>
  <c r="E1052" i="1"/>
  <c r="B1052" i="1"/>
  <c r="O1051" i="1"/>
  <c r="E1051" i="1"/>
  <c r="B1051" i="1"/>
  <c r="O1050" i="1"/>
  <c r="E1050" i="1"/>
  <c r="B1050" i="1"/>
  <c r="O1049" i="1"/>
  <c r="E1049" i="1"/>
  <c r="B1049" i="1"/>
  <c r="O1048" i="1"/>
  <c r="E1048" i="1"/>
  <c r="B1048" i="1"/>
  <c r="O1047" i="1"/>
  <c r="E1047" i="1"/>
  <c r="B1047" i="1"/>
  <c r="O1046" i="1"/>
  <c r="E1046" i="1"/>
  <c r="B1046" i="1"/>
  <c r="O1045" i="1"/>
  <c r="E1045" i="1"/>
  <c r="B1045" i="1"/>
  <c r="O1044" i="1"/>
  <c r="E1044" i="1"/>
  <c r="B1044" i="1"/>
  <c r="O1043" i="1"/>
  <c r="E1043" i="1"/>
  <c r="B1043" i="1"/>
  <c r="O1042" i="1"/>
  <c r="E1042" i="1"/>
  <c r="B1042" i="1"/>
  <c r="O1041" i="1"/>
  <c r="E1041" i="1"/>
  <c r="B1041" i="1"/>
  <c r="O1040" i="1"/>
  <c r="E1040" i="1"/>
  <c r="B1040" i="1"/>
  <c r="O1039" i="1"/>
  <c r="E1039" i="1"/>
  <c r="B1039" i="1"/>
  <c r="O1038" i="1"/>
  <c r="E1038" i="1"/>
  <c r="B1038" i="1"/>
  <c r="O1037" i="1"/>
  <c r="E1037" i="1"/>
  <c r="B1037" i="1"/>
  <c r="O1036" i="1"/>
  <c r="E1036" i="1"/>
  <c r="B1036" i="1"/>
  <c r="O1035" i="1"/>
  <c r="E1035" i="1"/>
  <c r="B1035" i="1"/>
  <c r="O1034" i="1"/>
  <c r="E1034" i="1"/>
  <c r="B1034" i="1"/>
  <c r="O1033" i="1"/>
  <c r="E1033" i="1"/>
  <c r="B1033" i="1"/>
  <c r="O1032" i="1"/>
  <c r="E1032" i="1"/>
  <c r="B1032" i="1"/>
  <c r="O1031" i="1"/>
  <c r="E1031" i="1"/>
  <c r="B1031" i="1"/>
  <c r="O1030" i="1"/>
  <c r="E1030" i="1"/>
  <c r="B1030" i="1"/>
  <c r="O1029" i="1"/>
  <c r="E1029" i="1"/>
  <c r="B1029" i="1"/>
  <c r="O1028" i="1"/>
  <c r="E1028" i="1"/>
  <c r="B1028" i="1"/>
  <c r="O1027" i="1"/>
  <c r="E1027" i="1"/>
  <c r="B1027" i="1"/>
  <c r="O1026" i="1"/>
  <c r="E1026" i="1"/>
  <c r="B1026" i="1"/>
  <c r="O1025" i="1"/>
  <c r="E1025" i="1"/>
  <c r="B1025" i="1"/>
  <c r="O1024" i="1"/>
  <c r="E1024" i="1"/>
  <c r="B1024" i="1"/>
  <c r="O1023" i="1"/>
  <c r="E1023" i="1"/>
  <c r="B1023" i="1"/>
  <c r="O1022" i="1"/>
  <c r="E1022" i="1"/>
  <c r="B1022" i="1"/>
  <c r="O1021" i="1"/>
  <c r="E1021" i="1"/>
  <c r="B1021" i="1"/>
  <c r="O1020" i="1"/>
  <c r="E1020" i="1"/>
  <c r="B1020" i="1"/>
  <c r="O1019" i="1"/>
  <c r="E1019" i="1"/>
  <c r="B1019" i="1"/>
  <c r="O1018" i="1"/>
  <c r="E1018" i="1"/>
  <c r="B1018" i="1"/>
  <c r="O1017" i="1"/>
  <c r="E1017" i="1"/>
  <c r="B1017" i="1"/>
  <c r="O1016" i="1"/>
  <c r="E1016" i="1"/>
  <c r="B1016" i="1"/>
  <c r="O1015" i="1"/>
  <c r="E1015" i="1"/>
  <c r="B1015" i="1"/>
  <c r="O1014" i="1"/>
  <c r="E1014" i="1"/>
  <c r="B1014" i="1"/>
  <c r="O1013" i="1"/>
  <c r="E1013" i="1"/>
  <c r="B1013" i="1"/>
  <c r="O1012" i="1"/>
  <c r="E1012" i="1"/>
  <c r="B1012" i="1"/>
  <c r="O1011" i="1"/>
  <c r="E1011" i="1"/>
  <c r="B1011" i="1"/>
  <c r="O1010" i="1"/>
  <c r="E1010" i="1"/>
  <c r="B1010" i="1"/>
  <c r="O1009" i="1"/>
  <c r="E1009" i="1"/>
  <c r="B1009" i="1"/>
  <c r="O1008" i="1"/>
  <c r="E1008" i="1"/>
  <c r="B1008" i="1"/>
  <c r="O1007" i="1"/>
  <c r="E1007" i="1"/>
  <c r="B1007" i="1"/>
  <c r="O1006" i="1"/>
  <c r="E1006" i="1"/>
  <c r="B1006" i="1"/>
  <c r="O1005" i="1"/>
  <c r="E1005" i="1"/>
  <c r="B1005" i="1"/>
  <c r="O1004" i="1"/>
  <c r="E1004" i="1"/>
  <c r="B1004" i="1"/>
  <c r="O1003" i="1"/>
  <c r="E1003" i="1"/>
  <c r="B1003" i="1"/>
  <c r="O1002" i="1"/>
  <c r="E1002" i="1"/>
  <c r="B1002" i="1"/>
  <c r="O1001" i="1"/>
  <c r="E1001" i="1"/>
  <c r="B1001" i="1"/>
  <c r="O1000" i="1"/>
  <c r="E1000" i="1"/>
  <c r="B1000" i="1"/>
  <c r="O999" i="1"/>
  <c r="E999" i="1"/>
  <c r="B999" i="1"/>
  <c r="O998" i="1"/>
  <c r="E998" i="1"/>
  <c r="B998" i="1"/>
  <c r="O997" i="1"/>
  <c r="E997" i="1"/>
  <c r="B997" i="1"/>
  <c r="O996" i="1"/>
  <c r="E996" i="1"/>
  <c r="B996" i="1"/>
  <c r="O995" i="1"/>
  <c r="E995" i="1"/>
  <c r="B995" i="1"/>
  <c r="O994" i="1"/>
  <c r="E994" i="1"/>
  <c r="B994" i="1"/>
  <c r="O993" i="1"/>
  <c r="E993" i="1"/>
  <c r="B993" i="1"/>
  <c r="O992" i="1"/>
  <c r="E992" i="1"/>
  <c r="B992" i="1"/>
  <c r="O991" i="1"/>
  <c r="E991" i="1"/>
  <c r="B991" i="1"/>
  <c r="O990" i="1"/>
  <c r="E990" i="1"/>
  <c r="B990" i="1"/>
  <c r="O989" i="1"/>
  <c r="E989" i="1"/>
  <c r="B989" i="1"/>
  <c r="O988" i="1"/>
  <c r="E988" i="1"/>
  <c r="B988" i="1"/>
  <c r="O987" i="1"/>
  <c r="E987" i="1"/>
  <c r="B987" i="1"/>
  <c r="O986" i="1"/>
  <c r="E986" i="1"/>
  <c r="B986" i="1"/>
  <c r="O985" i="1"/>
  <c r="E985" i="1"/>
  <c r="B985" i="1"/>
  <c r="O984" i="1"/>
  <c r="E984" i="1"/>
  <c r="B984" i="1"/>
  <c r="O983" i="1"/>
  <c r="E983" i="1"/>
  <c r="B983" i="1"/>
  <c r="O982" i="1"/>
  <c r="E982" i="1"/>
  <c r="B982" i="1"/>
  <c r="O981" i="1"/>
  <c r="E981" i="1"/>
  <c r="B981" i="1"/>
  <c r="O980" i="1"/>
  <c r="E980" i="1"/>
  <c r="B980" i="1"/>
  <c r="O979" i="1"/>
  <c r="E979" i="1"/>
  <c r="B979" i="1"/>
  <c r="O978" i="1"/>
  <c r="E978" i="1"/>
  <c r="B978" i="1"/>
  <c r="O977" i="1"/>
  <c r="E977" i="1"/>
  <c r="B977" i="1"/>
  <c r="O976" i="1"/>
  <c r="E976" i="1"/>
  <c r="B976" i="1"/>
  <c r="O975" i="1"/>
  <c r="E975" i="1"/>
  <c r="B975" i="1"/>
  <c r="O974" i="1"/>
  <c r="E974" i="1"/>
  <c r="B974" i="1"/>
  <c r="O973" i="1"/>
  <c r="E973" i="1"/>
  <c r="B973" i="1"/>
  <c r="O972" i="1"/>
  <c r="E972" i="1"/>
  <c r="B972" i="1"/>
  <c r="O971" i="1"/>
  <c r="E971" i="1"/>
  <c r="B971" i="1"/>
  <c r="O970" i="1"/>
  <c r="E970" i="1"/>
  <c r="B970" i="1"/>
  <c r="O969" i="1"/>
  <c r="E969" i="1"/>
  <c r="B969" i="1"/>
  <c r="O968" i="1"/>
  <c r="E968" i="1"/>
  <c r="B968" i="1"/>
  <c r="O967" i="1"/>
  <c r="E967" i="1"/>
  <c r="B967" i="1"/>
  <c r="O966" i="1"/>
  <c r="E966" i="1"/>
  <c r="B966" i="1"/>
  <c r="O965" i="1"/>
  <c r="E965" i="1"/>
  <c r="B965" i="1"/>
  <c r="O964" i="1"/>
  <c r="E964" i="1"/>
  <c r="B964" i="1"/>
  <c r="O963" i="1"/>
  <c r="E963" i="1"/>
  <c r="B963" i="1"/>
  <c r="O962" i="1"/>
  <c r="E962" i="1"/>
  <c r="B962" i="1"/>
  <c r="O961" i="1"/>
  <c r="E961" i="1"/>
  <c r="B961" i="1"/>
  <c r="O960" i="1"/>
  <c r="E960" i="1"/>
  <c r="B960" i="1"/>
  <c r="O959" i="1"/>
  <c r="E959" i="1"/>
  <c r="B959" i="1"/>
  <c r="O958" i="1"/>
  <c r="E958" i="1"/>
  <c r="B958" i="1"/>
  <c r="O957" i="1"/>
  <c r="E957" i="1"/>
  <c r="B957" i="1"/>
  <c r="O956" i="1"/>
  <c r="E956" i="1"/>
  <c r="B956" i="1"/>
  <c r="O955" i="1"/>
  <c r="E955" i="1"/>
  <c r="B955" i="1"/>
  <c r="O954" i="1"/>
  <c r="E954" i="1"/>
  <c r="B954" i="1"/>
  <c r="O953" i="1"/>
  <c r="E953" i="1"/>
  <c r="B953" i="1"/>
  <c r="O952" i="1"/>
  <c r="E952" i="1"/>
  <c r="B952" i="1"/>
  <c r="O951" i="1"/>
  <c r="E951" i="1"/>
  <c r="B951" i="1"/>
  <c r="O950" i="1"/>
  <c r="E950" i="1"/>
  <c r="B950" i="1"/>
  <c r="O949" i="1"/>
  <c r="E949" i="1"/>
  <c r="B949" i="1"/>
  <c r="O948" i="1"/>
  <c r="E948" i="1"/>
  <c r="B948" i="1"/>
  <c r="O947" i="1"/>
  <c r="E947" i="1"/>
  <c r="B947" i="1"/>
  <c r="O946" i="1"/>
  <c r="E946" i="1"/>
  <c r="B946" i="1"/>
  <c r="O945" i="1"/>
  <c r="E945" i="1"/>
  <c r="B945" i="1"/>
  <c r="O944" i="1"/>
  <c r="E944" i="1"/>
  <c r="B944" i="1"/>
  <c r="O943" i="1"/>
  <c r="E943" i="1"/>
  <c r="B943" i="1"/>
  <c r="O942" i="1"/>
  <c r="E942" i="1"/>
  <c r="B942" i="1"/>
  <c r="O941" i="1"/>
  <c r="E941" i="1"/>
  <c r="B941" i="1"/>
  <c r="O940" i="1"/>
  <c r="E940" i="1"/>
  <c r="B940" i="1"/>
  <c r="O939" i="1"/>
  <c r="E939" i="1"/>
  <c r="B939" i="1"/>
  <c r="O938" i="1"/>
  <c r="E938" i="1"/>
  <c r="B938" i="1"/>
  <c r="O937" i="1"/>
  <c r="E937" i="1"/>
  <c r="B937" i="1"/>
  <c r="O936" i="1"/>
  <c r="E936" i="1"/>
  <c r="B936" i="1"/>
  <c r="O935" i="1"/>
  <c r="E935" i="1"/>
  <c r="B935" i="1"/>
  <c r="O934" i="1"/>
  <c r="E934" i="1"/>
  <c r="B934" i="1"/>
  <c r="O933" i="1"/>
  <c r="E933" i="1"/>
  <c r="B933" i="1"/>
  <c r="O932" i="1"/>
  <c r="E932" i="1"/>
  <c r="B932" i="1"/>
  <c r="O931" i="1"/>
  <c r="E931" i="1"/>
  <c r="B931" i="1"/>
  <c r="O930" i="1"/>
  <c r="E930" i="1"/>
  <c r="B930" i="1"/>
  <c r="O929" i="1"/>
  <c r="E929" i="1"/>
  <c r="B929" i="1"/>
  <c r="O928" i="1"/>
  <c r="E928" i="1"/>
  <c r="B928" i="1"/>
  <c r="O927" i="1"/>
  <c r="E927" i="1"/>
  <c r="B927" i="1"/>
  <c r="O926" i="1"/>
  <c r="E926" i="1"/>
  <c r="B926" i="1"/>
  <c r="O925" i="1"/>
  <c r="E925" i="1"/>
  <c r="B925" i="1"/>
  <c r="O924" i="1"/>
  <c r="E924" i="1"/>
  <c r="B924" i="1"/>
  <c r="O923" i="1"/>
  <c r="E923" i="1"/>
  <c r="B923" i="1"/>
  <c r="O922" i="1"/>
  <c r="E922" i="1"/>
  <c r="B922" i="1"/>
  <c r="O921" i="1"/>
  <c r="E921" i="1"/>
  <c r="B921" i="1"/>
  <c r="O920" i="1"/>
  <c r="E920" i="1"/>
  <c r="B920" i="1"/>
  <c r="O919" i="1"/>
  <c r="E919" i="1"/>
  <c r="B919" i="1"/>
  <c r="O918" i="1"/>
  <c r="E918" i="1"/>
  <c r="B918" i="1"/>
  <c r="O917" i="1"/>
  <c r="E917" i="1"/>
  <c r="B917" i="1"/>
  <c r="O916" i="1"/>
  <c r="E916" i="1"/>
  <c r="B916" i="1"/>
  <c r="O915" i="1"/>
  <c r="E915" i="1"/>
  <c r="B915" i="1"/>
  <c r="O914" i="1"/>
  <c r="E914" i="1"/>
  <c r="B914" i="1"/>
  <c r="O913" i="1"/>
  <c r="E913" i="1"/>
  <c r="B913" i="1"/>
  <c r="O912" i="1"/>
  <c r="E912" i="1"/>
  <c r="B912" i="1"/>
  <c r="O911" i="1"/>
  <c r="E911" i="1"/>
  <c r="B911" i="1"/>
  <c r="O910" i="1"/>
  <c r="E910" i="1"/>
  <c r="B910" i="1"/>
  <c r="O909" i="1"/>
  <c r="E909" i="1"/>
  <c r="B909" i="1"/>
  <c r="O908" i="1"/>
  <c r="E908" i="1"/>
  <c r="B908" i="1"/>
  <c r="O907" i="1"/>
  <c r="E907" i="1"/>
  <c r="B907" i="1"/>
  <c r="O906" i="1"/>
  <c r="E906" i="1"/>
  <c r="B906" i="1"/>
  <c r="O905" i="1"/>
  <c r="E905" i="1"/>
  <c r="B905" i="1"/>
  <c r="O904" i="1"/>
  <c r="E904" i="1"/>
  <c r="B904" i="1"/>
  <c r="O903" i="1"/>
  <c r="E903" i="1"/>
  <c r="B903" i="1"/>
  <c r="O902" i="1"/>
  <c r="E902" i="1"/>
  <c r="B902" i="1"/>
  <c r="O901" i="1"/>
  <c r="E901" i="1"/>
  <c r="B901" i="1"/>
  <c r="O900" i="1"/>
  <c r="E900" i="1"/>
  <c r="B900" i="1"/>
  <c r="O899" i="1"/>
  <c r="E899" i="1"/>
  <c r="B899" i="1"/>
  <c r="O898" i="1"/>
  <c r="E898" i="1"/>
  <c r="B898" i="1"/>
  <c r="O897" i="1"/>
  <c r="E897" i="1"/>
  <c r="B897" i="1"/>
  <c r="O896" i="1"/>
  <c r="E896" i="1"/>
  <c r="B896" i="1"/>
  <c r="O895" i="1"/>
  <c r="E895" i="1"/>
  <c r="B895" i="1"/>
  <c r="O894" i="1"/>
  <c r="E894" i="1"/>
  <c r="B894" i="1"/>
  <c r="O893" i="1"/>
  <c r="E893" i="1"/>
  <c r="B893" i="1"/>
  <c r="O892" i="1"/>
  <c r="E892" i="1"/>
  <c r="B892" i="1"/>
  <c r="O891" i="1"/>
  <c r="E891" i="1"/>
  <c r="B891" i="1"/>
  <c r="O890" i="1"/>
  <c r="E890" i="1"/>
  <c r="B890" i="1"/>
  <c r="O889" i="1"/>
  <c r="E889" i="1"/>
  <c r="B889" i="1"/>
  <c r="O888" i="1"/>
  <c r="E888" i="1"/>
  <c r="B888" i="1"/>
  <c r="O887" i="1"/>
  <c r="E887" i="1"/>
  <c r="B887" i="1"/>
  <c r="O886" i="1"/>
  <c r="E886" i="1"/>
  <c r="B886" i="1"/>
  <c r="O885" i="1"/>
  <c r="E885" i="1"/>
  <c r="B885" i="1"/>
  <c r="O884" i="1"/>
  <c r="E884" i="1"/>
  <c r="B884" i="1"/>
  <c r="O883" i="1"/>
  <c r="E883" i="1"/>
  <c r="B883" i="1"/>
  <c r="O882" i="1"/>
  <c r="E882" i="1"/>
  <c r="B882" i="1"/>
  <c r="O881" i="1"/>
  <c r="E881" i="1"/>
  <c r="B881" i="1"/>
  <c r="O880" i="1"/>
  <c r="E880" i="1"/>
  <c r="B880" i="1"/>
  <c r="O879" i="1"/>
  <c r="E879" i="1"/>
  <c r="B879" i="1"/>
  <c r="O878" i="1"/>
  <c r="E878" i="1"/>
  <c r="B878" i="1"/>
  <c r="O877" i="1"/>
  <c r="E877" i="1"/>
  <c r="B877" i="1"/>
  <c r="O876" i="1"/>
  <c r="E876" i="1"/>
  <c r="B876" i="1"/>
  <c r="O875" i="1"/>
  <c r="E875" i="1"/>
  <c r="B875" i="1"/>
  <c r="O874" i="1"/>
  <c r="E874" i="1"/>
  <c r="B874" i="1"/>
  <c r="O873" i="1"/>
  <c r="E873" i="1"/>
  <c r="B873" i="1"/>
  <c r="O872" i="1"/>
  <c r="E872" i="1"/>
  <c r="B872" i="1"/>
  <c r="O871" i="1"/>
  <c r="E871" i="1"/>
  <c r="B871" i="1"/>
  <c r="O870" i="1"/>
  <c r="E870" i="1"/>
  <c r="B870" i="1"/>
  <c r="O869" i="1"/>
  <c r="E869" i="1"/>
  <c r="B869" i="1"/>
  <c r="O868" i="1"/>
  <c r="E868" i="1"/>
  <c r="B868" i="1"/>
  <c r="O867" i="1"/>
  <c r="E867" i="1"/>
  <c r="B867" i="1"/>
  <c r="O866" i="1"/>
  <c r="E866" i="1"/>
  <c r="B866" i="1"/>
  <c r="O865" i="1"/>
  <c r="E865" i="1"/>
  <c r="B865" i="1"/>
  <c r="O864" i="1"/>
  <c r="E864" i="1"/>
  <c r="B864" i="1"/>
  <c r="O863" i="1"/>
  <c r="E863" i="1"/>
  <c r="B863" i="1"/>
  <c r="O862" i="1"/>
  <c r="E862" i="1"/>
  <c r="B862" i="1"/>
  <c r="O861" i="1"/>
  <c r="E861" i="1"/>
  <c r="B861" i="1"/>
  <c r="O860" i="1"/>
  <c r="E860" i="1"/>
  <c r="B860" i="1"/>
  <c r="O859" i="1"/>
  <c r="E859" i="1"/>
  <c r="B859" i="1"/>
  <c r="O858" i="1"/>
  <c r="E858" i="1"/>
  <c r="B858" i="1"/>
  <c r="O857" i="1"/>
  <c r="E857" i="1"/>
  <c r="B857" i="1"/>
  <c r="O856" i="1"/>
  <c r="E856" i="1"/>
  <c r="B856" i="1"/>
  <c r="O855" i="1"/>
  <c r="E855" i="1"/>
  <c r="B855" i="1"/>
  <c r="O854" i="1"/>
  <c r="E854" i="1"/>
  <c r="B854" i="1"/>
  <c r="O853" i="1"/>
  <c r="E853" i="1"/>
  <c r="B853" i="1"/>
  <c r="O852" i="1"/>
  <c r="E852" i="1"/>
  <c r="B852" i="1"/>
  <c r="O851" i="1"/>
  <c r="E851" i="1"/>
  <c r="B851" i="1"/>
  <c r="O850" i="1"/>
  <c r="E850" i="1"/>
  <c r="B850" i="1"/>
  <c r="O849" i="1"/>
  <c r="E849" i="1"/>
  <c r="B849" i="1"/>
  <c r="O848" i="1"/>
  <c r="E848" i="1"/>
  <c r="B848" i="1"/>
  <c r="O847" i="1"/>
  <c r="E847" i="1"/>
  <c r="B847" i="1"/>
  <c r="O846" i="1"/>
  <c r="E846" i="1"/>
  <c r="B846" i="1"/>
  <c r="O845" i="1"/>
  <c r="E845" i="1"/>
  <c r="B845" i="1"/>
  <c r="O844" i="1"/>
  <c r="E844" i="1"/>
  <c r="B844" i="1"/>
  <c r="O843" i="1"/>
  <c r="E843" i="1"/>
  <c r="B843" i="1"/>
  <c r="O842" i="1"/>
  <c r="E842" i="1"/>
  <c r="B842" i="1"/>
  <c r="O841" i="1"/>
  <c r="E841" i="1"/>
  <c r="B841" i="1"/>
  <c r="O840" i="1"/>
  <c r="E840" i="1"/>
  <c r="B840" i="1"/>
  <c r="O839" i="1"/>
  <c r="E839" i="1"/>
  <c r="B839" i="1"/>
  <c r="O838" i="1"/>
  <c r="E838" i="1"/>
  <c r="B838" i="1"/>
  <c r="O837" i="1"/>
  <c r="E837" i="1"/>
  <c r="B837" i="1"/>
  <c r="O836" i="1"/>
  <c r="E836" i="1"/>
  <c r="B836" i="1"/>
  <c r="O835" i="1"/>
  <c r="E835" i="1"/>
  <c r="B835" i="1"/>
  <c r="O834" i="1"/>
  <c r="E834" i="1"/>
  <c r="B834" i="1"/>
  <c r="O833" i="1"/>
  <c r="E833" i="1"/>
  <c r="B833" i="1"/>
  <c r="O832" i="1"/>
  <c r="E832" i="1"/>
  <c r="B832" i="1"/>
  <c r="O831" i="1"/>
  <c r="E831" i="1"/>
  <c r="B831" i="1"/>
  <c r="O830" i="1"/>
  <c r="E830" i="1"/>
  <c r="B830" i="1"/>
  <c r="O829" i="1"/>
  <c r="E829" i="1"/>
  <c r="B829" i="1"/>
  <c r="O828" i="1"/>
  <c r="E828" i="1"/>
  <c r="B828" i="1"/>
  <c r="O827" i="1"/>
  <c r="E827" i="1"/>
  <c r="B827" i="1"/>
  <c r="O826" i="1"/>
  <c r="E826" i="1"/>
  <c r="B826" i="1"/>
  <c r="O825" i="1"/>
  <c r="E825" i="1"/>
  <c r="B825" i="1"/>
  <c r="O824" i="1"/>
  <c r="E824" i="1"/>
  <c r="B824" i="1"/>
  <c r="O823" i="1"/>
  <c r="E823" i="1"/>
  <c r="B823" i="1"/>
  <c r="O822" i="1"/>
  <c r="E822" i="1"/>
  <c r="B822" i="1"/>
  <c r="O821" i="1"/>
  <c r="E821" i="1"/>
  <c r="B821" i="1"/>
  <c r="O820" i="1"/>
  <c r="E820" i="1"/>
  <c r="B820" i="1"/>
  <c r="O819" i="1"/>
  <c r="E819" i="1"/>
  <c r="B819" i="1"/>
  <c r="O818" i="1"/>
  <c r="E818" i="1"/>
  <c r="B818" i="1"/>
  <c r="O817" i="1"/>
  <c r="E817" i="1"/>
  <c r="B817" i="1"/>
  <c r="O816" i="1"/>
  <c r="E816" i="1"/>
  <c r="B816" i="1"/>
  <c r="O815" i="1"/>
  <c r="E815" i="1"/>
  <c r="B815" i="1"/>
  <c r="O814" i="1"/>
  <c r="E814" i="1"/>
  <c r="B814" i="1"/>
  <c r="O813" i="1"/>
  <c r="E813" i="1"/>
  <c r="B813" i="1"/>
  <c r="O812" i="1"/>
  <c r="E812" i="1"/>
  <c r="B812" i="1"/>
  <c r="O811" i="1"/>
  <c r="E811" i="1"/>
  <c r="B811" i="1"/>
  <c r="O810" i="1"/>
  <c r="E810" i="1"/>
  <c r="B810" i="1"/>
  <c r="O809" i="1"/>
  <c r="E809" i="1"/>
  <c r="B809" i="1"/>
  <c r="O808" i="1"/>
  <c r="E808" i="1"/>
  <c r="B808" i="1"/>
  <c r="O807" i="1"/>
  <c r="E807" i="1"/>
  <c r="B807" i="1"/>
  <c r="O806" i="1"/>
  <c r="E806" i="1"/>
  <c r="B806" i="1"/>
  <c r="O805" i="1"/>
  <c r="E805" i="1"/>
  <c r="B805" i="1"/>
  <c r="O804" i="1"/>
  <c r="E804" i="1"/>
  <c r="B804" i="1"/>
  <c r="O803" i="1"/>
  <c r="E803" i="1"/>
  <c r="B803" i="1"/>
  <c r="O802" i="1"/>
  <c r="E802" i="1"/>
  <c r="B802" i="1"/>
  <c r="O801" i="1"/>
  <c r="E801" i="1"/>
  <c r="B801" i="1"/>
  <c r="O800" i="1"/>
  <c r="E800" i="1"/>
  <c r="B800" i="1"/>
  <c r="O799" i="1"/>
  <c r="E799" i="1"/>
  <c r="B799" i="1"/>
  <c r="O798" i="1"/>
  <c r="E798" i="1"/>
  <c r="B798" i="1"/>
  <c r="O797" i="1"/>
  <c r="E797" i="1"/>
  <c r="B797" i="1"/>
  <c r="O796" i="1"/>
  <c r="E796" i="1"/>
  <c r="B796" i="1"/>
  <c r="O795" i="1"/>
  <c r="E795" i="1"/>
  <c r="B795" i="1"/>
  <c r="O794" i="1"/>
  <c r="E794" i="1"/>
  <c r="B794" i="1"/>
  <c r="O793" i="1"/>
  <c r="E793" i="1"/>
  <c r="B793" i="1"/>
  <c r="O792" i="1"/>
  <c r="E792" i="1"/>
  <c r="B792" i="1"/>
  <c r="O791" i="1"/>
  <c r="E791" i="1"/>
  <c r="B791" i="1"/>
  <c r="O790" i="1"/>
  <c r="E790" i="1"/>
  <c r="B790" i="1"/>
  <c r="O789" i="1"/>
  <c r="E789" i="1"/>
  <c r="B789" i="1"/>
  <c r="O788" i="1"/>
  <c r="E788" i="1"/>
  <c r="B788" i="1"/>
  <c r="O787" i="1"/>
  <c r="E787" i="1"/>
  <c r="B787" i="1"/>
  <c r="O786" i="1"/>
  <c r="E786" i="1"/>
  <c r="B786" i="1"/>
  <c r="O785" i="1"/>
  <c r="E785" i="1"/>
  <c r="B785" i="1"/>
  <c r="O784" i="1"/>
  <c r="E784" i="1"/>
  <c r="B784" i="1"/>
  <c r="O783" i="1"/>
  <c r="E783" i="1"/>
  <c r="B783" i="1"/>
  <c r="O782" i="1"/>
  <c r="E782" i="1"/>
  <c r="B782" i="1"/>
  <c r="O781" i="1"/>
  <c r="E781" i="1"/>
  <c r="B781" i="1"/>
  <c r="O780" i="1"/>
  <c r="E780" i="1"/>
  <c r="B780" i="1"/>
  <c r="O779" i="1"/>
  <c r="E779" i="1"/>
  <c r="B779" i="1"/>
  <c r="O778" i="1"/>
  <c r="E778" i="1"/>
  <c r="B778" i="1"/>
  <c r="O777" i="1"/>
  <c r="E777" i="1"/>
  <c r="B777" i="1"/>
  <c r="O776" i="1"/>
  <c r="E776" i="1"/>
  <c r="B776" i="1"/>
  <c r="O775" i="1"/>
  <c r="E775" i="1"/>
  <c r="B775" i="1"/>
  <c r="O774" i="1"/>
  <c r="E774" i="1"/>
  <c r="B774" i="1"/>
  <c r="O773" i="1"/>
  <c r="E773" i="1"/>
  <c r="B773" i="1"/>
  <c r="O772" i="1"/>
  <c r="E772" i="1"/>
  <c r="B772" i="1"/>
  <c r="O771" i="1"/>
  <c r="E771" i="1"/>
  <c r="B771" i="1"/>
  <c r="O770" i="1"/>
  <c r="E770" i="1"/>
  <c r="B770" i="1"/>
  <c r="O769" i="1"/>
  <c r="E769" i="1"/>
  <c r="B769" i="1"/>
  <c r="O768" i="1"/>
  <c r="E768" i="1"/>
  <c r="B768" i="1"/>
  <c r="O767" i="1"/>
  <c r="E767" i="1"/>
  <c r="B767" i="1"/>
  <c r="O766" i="1"/>
  <c r="E766" i="1"/>
  <c r="B766" i="1"/>
  <c r="O765" i="1"/>
  <c r="E765" i="1"/>
  <c r="B765" i="1"/>
  <c r="O764" i="1"/>
  <c r="E764" i="1"/>
  <c r="B764" i="1"/>
  <c r="O763" i="1"/>
  <c r="E763" i="1"/>
  <c r="B763" i="1"/>
  <c r="O762" i="1"/>
  <c r="E762" i="1"/>
  <c r="B762" i="1"/>
  <c r="O761" i="1"/>
  <c r="E761" i="1"/>
  <c r="B761" i="1"/>
  <c r="O760" i="1"/>
  <c r="E760" i="1"/>
  <c r="B760" i="1"/>
  <c r="O759" i="1"/>
  <c r="E759" i="1"/>
  <c r="B759" i="1"/>
  <c r="O758" i="1"/>
  <c r="E758" i="1"/>
  <c r="B758" i="1"/>
  <c r="O757" i="1"/>
  <c r="E757" i="1"/>
  <c r="B757" i="1"/>
  <c r="O756" i="1"/>
  <c r="E756" i="1"/>
  <c r="B756" i="1"/>
  <c r="O755" i="1"/>
  <c r="E755" i="1"/>
  <c r="B755" i="1"/>
  <c r="O754" i="1"/>
  <c r="E754" i="1"/>
  <c r="B754" i="1"/>
  <c r="O753" i="1"/>
  <c r="E753" i="1"/>
  <c r="B753" i="1"/>
  <c r="O752" i="1"/>
  <c r="E752" i="1"/>
  <c r="B752" i="1"/>
  <c r="O751" i="1"/>
  <c r="E751" i="1"/>
  <c r="B751" i="1"/>
  <c r="O750" i="1"/>
  <c r="E750" i="1"/>
  <c r="B750" i="1"/>
  <c r="O749" i="1"/>
  <c r="E749" i="1"/>
  <c r="B749" i="1"/>
  <c r="O748" i="1"/>
  <c r="E748" i="1"/>
  <c r="B748" i="1"/>
  <c r="O747" i="1"/>
  <c r="E747" i="1"/>
  <c r="B747" i="1"/>
  <c r="O746" i="1"/>
  <c r="E746" i="1"/>
  <c r="B746" i="1"/>
  <c r="O745" i="1"/>
  <c r="E745" i="1"/>
  <c r="B745" i="1"/>
  <c r="O744" i="1"/>
  <c r="E744" i="1"/>
  <c r="B744" i="1"/>
  <c r="O743" i="1"/>
  <c r="E743" i="1"/>
  <c r="B743" i="1"/>
  <c r="O742" i="1"/>
  <c r="E742" i="1"/>
  <c r="B742" i="1"/>
  <c r="O741" i="1"/>
  <c r="E741" i="1"/>
  <c r="B741" i="1"/>
  <c r="O740" i="1"/>
  <c r="E740" i="1"/>
  <c r="B740" i="1"/>
  <c r="O739" i="1"/>
  <c r="E739" i="1"/>
  <c r="B739" i="1"/>
  <c r="O738" i="1"/>
  <c r="E738" i="1"/>
  <c r="B738" i="1"/>
  <c r="O737" i="1"/>
  <c r="E737" i="1"/>
  <c r="B737" i="1"/>
  <c r="O736" i="1"/>
  <c r="E736" i="1"/>
  <c r="B736" i="1"/>
  <c r="O735" i="1"/>
  <c r="E735" i="1"/>
  <c r="B735" i="1"/>
  <c r="O734" i="1"/>
  <c r="E734" i="1"/>
  <c r="B734" i="1"/>
  <c r="O733" i="1"/>
  <c r="E733" i="1"/>
  <c r="B733" i="1"/>
  <c r="O732" i="1"/>
  <c r="E732" i="1"/>
  <c r="B732" i="1"/>
  <c r="O731" i="1"/>
  <c r="E731" i="1"/>
  <c r="B731" i="1"/>
  <c r="O730" i="1"/>
  <c r="E730" i="1"/>
  <c r="B730" i="1"/>
  <c r="O729" i="1"/>
  <c r="E729" i="1"/>
  <c r="B729" i="1"/>
  <c r="O728" i="1"/>
  <c r="E728" i="1"/>
  <c r="B728" i="1"/>
  <c r="O727" i="1"/>
  <c r="E727" i="1"/>
  <c r="B727" i="1"/>
  <c r="O726" i="1"/>
  <c r="E726" i="1"/>
  <c r="B726" i="1"/>
  <c r="O725" i="1"/>
  <c r="E725" i="1"/>
  <c r="B725" i="1"/>
  <c r="O724" i="1"/>
  <c r="E724" i="1"/>
  <c r="B724" i="1"/>
  <c r="O723" i="1"/>
  <c r="E723" i="1"/>
  <c r="B723" i="1"/>
  <c r="O722" i="1"/>
  <c r="E722" i="1"/>
  <c r="B722" i="1"/>
  <c r="O721" i="1"/>
  <c r="E721" i="1"/>
  <c r="B721" i="1"/>
  <c r="O720" i="1"/>
  <c r="E720" i="1"/>
  <c r="B720" i="1"/>
  <c r="O719" i="1"/>
  <c r="E719" i="1"/>
  <c r="B719" i="1"/>
  <c r="O718" i="1"/>
  <c r="E718" i="1"/>
  <c r="B718" i="1"/>
  <c r="O717" i="1"/>
  <c r="E717" i="1"/>
  <c r="B717" i="1"/>
  <c r="O716" i="1"/>
  <c r="E716" i="1"/>
  <c r="B716" i="1"/>
  <c r="O715" i="1"/>
  <c r="E715" i="1"/>
  <c r="B715" i="1"/>
  <c r="O714" i="1"/>
  <c r="E714" i="1"/>
  <c r="B714" i="1"/>
  <c r="O713" i="1"/>
  <c r="E713" i="1"/>
  <c r="B713" i="1"/>
  <c r="O712" i="1"/>
  <c r="E712" i="1"/>
  <c r="B712" i="1"/>
  <c r="O711" i="1"/>
  <c r="E711" i="1"/>
  <c r="B711" i="1"/>
  <c r="O710" i="1"/>
  <c r="E710" i="1"/>
  <c r="B710" i="1"/>
  <c r="O709" i="1"/>
  <c r="E709" i="1"/>
  <c r="B709" i="1"/>
  <c r="O708" i="1"/>
  <c r="E708" i="1"/>
  <c r="B708" i="1"/>
  <c r="O707" i="1"/>
  <c r="E707" i="1"/>
  <c r="B707" i="1"/>
  <c r="O706" i="1"/>
  <c r="E706" i="1"/>
  <c r="B706" i="1"/>
  <c r="O705" i="1"/>
  <c r="E705" i="1"/>
  <c r="B705" i="1"/>
  <c r="O704" i="1"/>
  <c r="E704" i="1"/>
  <c r="B704" i="1"/>
  <c r="O703" i="1"/>
  <c r="E703" i="1"/>
  <c r="B703" i="1"/>
  <c r="O702" i="1"/>
  <c r="E702" i="1"/>
  <c r="B702" i="1"/>
  <c r="O701" i="1"/>
  <c r="E701" i="1"/>
  <c r="B701" i="1"/>
  <c r="O700" i="1"/>
  <c r="E700" i="1"/>
  <c r="B700" i="1"/>
  <c r="O699" i="1"/>
  <c r="E699" i="1"/>
  <c r="B699" i="1"/>
  <c r="O698" i="1"/>
  <c r="E698" i="1"/>
  <c r="B698" i="1"/>
  <c r="O697" i="1"/>
  <c r="E697" i="1"/>
  <c r="B697" i="1"/>
  <c r="O696" i="1"/>
  <c r="E696" i="1"/>
  <c r="B696" i="1"/>
  <c r="O695" i="1"/>
  <c r="E695" i="1"/>
  <c r="B695" i="1"/>
  <c r="O694" i="1"/>
  <c r="E694" i="1"/>
  <c r="B694" i="1"/>
  <c r="O693" i="1"/>
  <c r="E693" i="1"/>
  <c r="B693" i="1"/>
  <c r="O692" i="1"/>
  <c r="E692" i="1"/>
  <c r="B692" i="1"/>
  <c r="O691" i="1"/>
  <c r="E691" i="1"/>
  <c r="B691" i="1"/>
  <c r="O690" i="1"/>
  <c r="E690" i="1"/>
  <c r="B690" i="1"/>
  <c r="O689" i="1"/>
  <c r="E689" i="1"/>
  <c r="B689" i="1"/>
  <c r="O688" i="1"/>
  <c r="E688" i="1"/>
  <c r="B688" i="1"/>
  <c r="O687" i="1"/>
  <c r="E687" i="1"/>
  <c r="B687" i="1"/>
  <c r="O686" i="1"/>
  <c r="E686" i="1"/>
  <c r="B686" i="1"/>
  <c r="O685" i="1"/>
  <c r="E685" i="1"/>
  <c r="B685" i="1"/>
  <c r="O684" i="1"/>
  <c r="E684" i="1"/>
  <c r="B684" i="1"/>
  <c r="O683" i="1"/>
  <c r="E683" i="1"/>
  <c r="B683" i="1"/>
  <c r="O682" i="1"/>
  <c r="E682" i="1"/>
  <c r="B682" i="1"/>
  <c r="O681" i="1"/>
  <c r="E681" i="1"/>
  <c r="B681" i="1"/>
  <c r="O680" i="1"/>
  <c r="E680" i="1"/>
  <c r="B680" i="1"/>
  <c r="O679" i="1"/>
  <c r="E679" i="1"/>
  <c r="B679" i="1"/>
  <c r="O678" i="1"/>
  <c r="E678" i="1"/>
  <c r="B678" i="1"/>
  <c r="O677" i="1"/>
  <c r="E677" i="1"/>
  <c r="B677" i="1"/>
  <c r="O676" i="1"/>
  <c r="E676" i="1"/>
  <c r="B676" i="1"/>
  <c r="O675" i="1"/>
  <c r="E675" i="1"/>
  <c r="B675" i="1"/>
  <c r="O674" i="1"/>
  <c r="E674" i="1"/>
  <c r="B674" i="1"/>
  <c r="O673" i="1"/>
  <c r="E673" i="1"/>
  <c r="B673" i="1"/>
  <c r="O672" i="1"/>
  <c r="E672" i="1"/>
  <c r="B672" i="1"/>
  <c r="O671" i="1"/>
  <c r="E671" i="1"/>
  <c r="B671" i="1"/>
  <c r="O670" i="1"/>
  <c r="E670" i="1"/>
  <c r="B670" i="1"/>
  <c r="O669" i="1"/>
  <c r="E669" i="1"/>
  <c r="B669" i="1"/>
  <c r="O668" i="1"/>
  <c r="E668" i="1"/>
  <c r="B668" i="1"/>
  <c r="O667" i="1"/>
  <c r="E667" i="1"/>
  <c r="B667" i="1"/>
  <c r="O666" i="1"/>
  <c r="E666" i="1"/>
  <c r="B666" i="1"/>
  <c r="O665" i="1"/>
  <c r="E665" i="1"/>
  <c r="B665" i="1"/>
  <c r="O664" i="1"/>
  <c r="E664" i="1"/>
  <c r="B664" i="1"/>
  <c r="O663" i="1"/>
  <c r="E663" i="1"/>
  <c r="B663" i="1"/>
  <c r="O662" i="1"/>
  <c r="E662" i="1"/>
  <c r="B662" i="1"/>
  <c r="O661" i="1"/>
  <c r="E661" i="1"/>
  <c r="B661" i="1"/>
  <c r="O660" i="1"/>
  <c r="E660" i="1"/>
  <c r="B660" i="1"/>
  <c r="O659" i="1"/>
  <c r="E659" i="1"/>
  <c r="B659" i="1"/>
  <c r="O658" i="1"/>
  <c r="E658" i="1"/>
  <c r="B658" i="1"/>
  <c r="O657" i="1"/>
  <c r="E657" i="1"/>
  <c r="B657" i="1"/>
  <c r="O656" i="1"/>
  <c r="E656" i="1"/>
  <c r="B656" i="1"/>
  <c r="O655" i="1"/>
  <c r="E655" i="1"/>
  <c r="B655" i="1"/>
  <c r="O654" i="1"/>
  <c r="E654" i="1"/>
  <c r="B654" i="1"/>
  <c r="O653" i="1"/>
  <c r="E653" i="1"/>
  <c r="B653" i="1"/>
  <c r="O652" i="1"/>
  <c r="E652" i="1"/>
  <c r="B652" i="1"/>
  <c r="O651" i="1"/>
  <c r="E651" i="1"/>
  <c r="B651" i="1"/>
  <c r="O650" i="1"/>
  <c r="E650" i="1"/>
  <c r="B650" i="1"/>
  <c r="O649" i="1"/>
  <c r="E649" i="1"/>
  <c r="B649" i="1"/>
  <c r="O648" i="1"/>
  <c r="E648" i="1"/>
  <c r="B648" i="1"/>
  <c r="O647" i="1"/>
  <c r="E647" i="1"/>
  <c r="B647" i="1"/>
  <c r="O646" i="1"/>
  <c r="E646" i="1"/>
  <c r="B646" i="1"/>
  <c r="O645" i="1"/>
  <c r="E645" i="1"/>
  <c r="B645" i="1"/>
  <c r="O644" i="1"/>
  <c r="E644" i="1"/>
  <c r="B644" i="1"/>
  <c r="O643" i="1"/>
  <c r="E643" i="1"/>
  <c r="B643" i="1"/>
  <c r="O642" i="1"/>
  <c r="E642" i="1"/>
  <c r="B642" i="1"/>
  <c r="O641" i="1"/>
  <c r="E641" i="1"/>
  <c r="B641" i="1"/>
  <c r="O640" i="1"/>
  <c r="E640" i="1"/>
  <c r="B640" i="1"/>
  <c r="O639" i="1"/>
  <c r="E639" i="1"/>
  <c r="B639" i="1"/>
  <c r="O638" i="1"/>
  <c r="E638" i="1"/>
  <c r="B638" i="1"/>
  <c r="O637" i="1"/>
  <c r="E637" i="1"/>
  <c r="B637" i="1"/>
  <c r="O636" i="1"/>
  <c r="E636" i="1"/>
  <c r="B636" i="1"/>
  <c r="O635" i="1"/>
  <c r="E635" i="1"/>
  <c r="B635" i="1"/>
  <c r="O634" i="1"/>
  <c r="E634" i="1"/>
  <c r="B634" i="1"/>
  <c r="O633" i="1"/>
  <c r="E633" i="1"/>
  <c r="B633" i="1"/>
  <c r="O632" i="1"/>
  <c r="E632" i="1"/>
  <c r="B632" i="1"/>
  <c r="O631" i="1"/>
  <c r="E631" i="1"/>
  <c r="B631" i="1"/>
  <c r="O630" i="1"/>
  <c r="E630" i="1"/>
  <c r="B630" i="1"/>
  <c r="O629" i="1"/>
  <c r="E629" i="1"/>
  <c r="B629" i="1"/>
  <c r="O628" i="1"/>
  <c r="E628" i="1"/>
  <c r="B628" i="1"/>
  <c r="O627" i="1"/>
  <c r="E627" i="1"/>
  <c r="B627" i="1"/>
  <c r="O626" i="1"/>
  <c r="E626" i="1"/>
  <c r="B626" i="1"/>
  <c r="O625" i="1"/>
  <c r="E625" i="1"/>
  <c r="B625" i="1"/>
  <c r="O624" i="1"/>
  <c r="E624" i="1"/>
  <c r="B624" i="1"/>
  <c r="O623" i="1"/>
  <c r="E623" i="1"/>
  <c r="B623" i="1"/>
  <c r="O622" i="1"/>
  <c r="E622" i="1"/>
  <c r="B622" i="1"/>
  <c r="O621" i="1"/>
  <c r="E621" i="1"/>
  <c r="B621" i="1"/>
  <c r="O620" i="1"/>
  <c r="E620" i="1"/>
  <c r="B620" i="1"/>
  <c r="O619" i="1"/>
  <c r="E619" i="1"/>
  <c r="B619" i="1"/>
  <c r="O618" i="1"/>
  <c r="E618" i="1"/>
  <c r="B618" i="1"/>
  <c r="O617" i="1"/>
  <c r="E617" i="1"/>
  <c r="B617" i="1"/>
  <c r="O616" i="1"/>
  <c r="E616" i="1"/>
  <c r="B616" i="1"/>
  <c r="O615" i="1"/>
  <c r="E615" i="1"/>
  <c r="B615" i="1"/>
  <c r="O614" i="1"/>
  <c r="E614" i="1"/>
  <c r="B614" i="1"/>
  <c r="O613" i="1"/>
  <c r="E613" i="1"/>
  <c r="B613" i="1"/>
  <c r="O612" i="1"/>
  <c r="E612" i="1"/>
  <c r="B612" i="1"/>
  <c r="O611" i="1"/>
  <c r="E611" i="1"/>
  <c r="B611" i="1"/>
  <c r="O610" i="1"/>
  <c r="E610" i="1"/>
  <c r="B610" i="1"/>
  <c r="O609" i="1"/>
  <c r="E609" i="1"/>
  <c r="B609" i="1"/>
  <c r="O608" i="1"/>
  <c r="E608" i="1"/>
  <c r="B608" i="1"/>
  <c r="O607" i="1"/>
  <c r="E607" i="1"/>
  <c r="B607" i="1"/>
  <c r="O606" i="1"/>
  <c r="E606" i="1"/>
  <c r="B606" i="1"/>
  <c r="O605" i="1"/>
  <c r="E605" i="1"/>
  <c r="B605" i="1"/>
  <c r="O604" i="1"/>
  <c r="E604" i="1"/>
  <c r="B604" i="1"/>
  <c r="O603" i="1"/>
  <c r="E603" i="1"/>
  <c r="B603" i="1"/>
  <c r="O602" i="1"/>
  <c r="E602" i="1"/>
  <c r="B602" i="1"/>
  <c r="O601" i="1"/>
  <c r="E601" i="1"/>
  <c r="B601" i="1"/>
  <c r="O600" i="1"/>
  <c r="E600" i="1"/>
  <c r="B600" i="1"/>
  <c r="O599" i="1"/>
  <c r="E599" i="1"/>
  <c r="B599" i="1"/>
  <c r="O598" i="1"/>
  <c r="E598" i="1"/>
  <c r="B598" i="1"/>
  <c r="O597" i="1"/>
  <c r="E597" i="1"/>
  <c r="B597" i="1"/>
  <c r="O596" i="1"/>
  <c r="E596" i="1"/>
  <c r="B596" i="1"/>
  <c r="O595" i="1"/>
  <c r="E595" i="1"/>
  <c r="B595" i="1"/>
  <c r="O594" i="1"/>
  <c r="E594" i="1"/>
  <c r="B594" i="1"/>
  <c r="O593" i="1"/>
  <c r="E593" i="1"/>
  <c r="B593" i="1"/>
  <c r="O592" i="1"/>
  <c r="E592" i="1"/>
  <c r="B592" i="1"/>
  <c r="O591" i="1"/>
  <c r="E591" i="1"/>
  <c r="B591" i="1"/>
  <c r="O590" i="1"/>
  <c r="E590" i="1"/>
  <c r="B590" i="1"/>
  <c r="O589" i="1"/>
  <c r="E589" i="1"/>
  <c r="B589" i="1"/>
  <c r="O588" i="1"/>
  <c r="E588" i="1"/>
  <c r="B588" i="1"/>
  <c r="O587" i="1"/>
  <c r="E587" i="1"/>
  <c r="B587" i="1"/>
  <c r="O586" i="1"/>
  <c r="E586" i="1"/>
  <c r="B586" i="1"/>
  <c r="O585" i="1"/>
  <c r="E585" i="1"/>
  <c r="B585" i="1"/>
  <c r="O584" i="1"/>
  <c r="E584" i="1"/>
  <c r="B584" i="1"/>
  <c r="O583" i="1"/>
  <c r="E583" i="1"/>
  <c r="B583" i="1"/>
  <c r="O582" i="1"/>
  <c r="E582" i="1"/>
  <c r="B582" i="1"/>
  <c r="O581" i="1"/>
  <c r="E581" i="1"/>
  <c r="B581" i="1"/>
  <c r="O580" i="1"/>
  <c r="E580" i="1"/>
  <c r="B580" i="1"/>
  <c r="O579" i="1"/>
  <c r="E579" i="1"/>
  <c r="B579" i="1"/>
  <c r="O578" i="1"/>
  <c r="E578" i="1"/>
  <c r="B578" i="1"/>
  <c r="O577" i="1"/>
  <c r="E577" i="1"/>
  <c r="B577" i="1"/>
  <c r="O576" i="1"/>
  <c r="E576" i="1"/>
  <c r="B576" i="1"/>
  <c r="O575" i="1"/>
  <c r="E575" i="1"/>
  <c r="B575" i="1"/>
  <c r="O574" i="1"/>
  <c r="E574" i="1"/>
  <c r="B574" i="1"/>
  <c r="O573" i="1"/>
  <c r="E573" i="1"/>
  <c r="B573" i="1"/>
  <c r="O572" i="1"/>
  <c r="E572" i="1"/>
  <c r="B572" i="1"/>
  <c r="O571" i="1"/>
  <c r="E571" i="1"/>
  <c r="B571" i="1"/>
  <c r="O570" i="1"/>
  <c r="E570" i="1"/>
  <c r="B570" i="1"/>
  <c r="O569" i="1"/>
  <c r="E569" i="1"/>
  <c r="B569" i="1"/>
  <c r="O568" i="1"/>
  <c r="E568" i="1"/>
  <c r="B568" i="1"/>
  <c r="O567" i="1"/>
  <c r="E567" i="1"/>
  <c r="B567" i="1"/>
  <c r="O566" i="1"/>
  <c r="E566" i="1"/>
  <c r="B566" i="1"/>
  <c r="O565" i="1"/>
  <c r="E565" i="1"/>
  <c r="B565" i="1"/>
  <c r="O564" i="1"/>
  <c r="E564" i="1"/>
  <c r="B564" i="1"/>
  <c r="O563" i="1"/>
  <c r="E563" i="1"/>
  <c r="B563" i="1"/>
  <c r="O562" i="1"/>
  <c r="E562" i="1"/>
  <c r="B562" i="1"/>
  <c r="O561" i="1"/>
  <c r="E561" i="1"/>
  <c r="B561" i="1"/>
  <c r="O560" i="1"/>
  <c r="E560" i="1"/>
  <c r="B560" i="1"/>
  <c r="O559" i="1"/>
  <c r="E559" i="1"/>
  <c r="B559" i="1"/>
  <c r="O558" i="1"/>
  <c r="E558" i="1"/>
  <c r="B558" i="1"/>
  <c r="O557" i="1"/>
  <c r="E557" i="1"/>
  <c r="B557" i="1"/>
  <c r="O556" i="1"/>
  <c r="E556" i="1"/>
  <c r="B556" i="1"/>
  <c r="O555" i="1"/>
  <c r="E555" i="1"/>
  <c r="B555" i="1"/>
  <c r="O554" i="1"/>
  <c r="E554" i="1"/>
  <c r="B554" i="1"/>
  <c r="O553" i="1"/>
  <c r="E553" i="1"/>
  <c r="B553" i="1"/>
  <c r="O552" i="1"/>
  <c r="E552" i="1"/>
  <c r="B552" i="1"/>
  <c r="O551" i="1"/>
  <c r="E551" i="1"/>
  <c r="B551" i="1"/>
  <c r="O550" i="1"/>
  <c r="E550" i="1"/>
  <c r="B550" i="1"/>
  <c r="O549" i="1"/>
  <c r="E549" i="1"/>
  <c r="B549" i="1"/>
  <c r="O548" i="1"/>
  <c r="E548" i="1"/>
  <c r="B548" i="1"/>
  <c r="O547" i="1"/>
  <c r="E547" i="1"/>
  <c r="B547" i="1"/>
  <c r="O546" i="1"/>
  <c r="E546" i="1"/>
  <c r="B546" i="1"/>
  <c r="O545" i="1"/>
  <c r="E545" i="1"/>
  <c r="B545" i="1"/>
  <c r="O544" i="1"/>
  <c r="E544" i="1"/>
  <c r="B544" i="1"/>
  <c r="O543" i="1"/>
  <c r="E543" i="1"/>
  <c r="B543" i="1"/>
  <c r="O542" i="1"/>
  <c r="E542" i="1"/>
  <c r="B542" i="1"/>
  <c r="O541" i="1"/>
  <c r="E541" i="1"/>
  <c r="B541" i="1"/>
  <c r="O540" i="1"/>
  <c r="E540" i="1"/>
  <c r="B540" i="1"/>
  <c r="O539" i="1"/>
  <c r="E539" i="1"/>
  <c r="B539" i="1"/>
  <c r="O538" i="1"/>
  <c r="E538" i="1"/>
  <c r="B538" i="1"/>
  <c r="O537" i="1"/>
  <c r="E537" i="1"/>
  <c r="B537" i="1"/>
  <c r="O536" i="1"/>
  <c r="E536" i="1"/>
  <c r="B536" i="1"/>
  <c r="O535" i="1"/>
  <c r="E535" i="1"/>
  <c r="B535" i="1"/>
  <c r="O534" i="1"/>
  <c r="E534" i="1"/>
  <c r="B534" i="1"/>
  <c r="O533" i="1"/>
  <c r="E533" i="1"/>
  <c r="B533" i="1"/>
  <c r="O532" i="1"/>
  <c r="E532" i="1"/>
  <c r="B532" i="1"/>
  <c r="O531" i="1"/>
  <c r="E531" i="1"/>
  <c r="B531" i="1"/>
  <c r="O530" i="1"/>
  <c r="E530" i="1"/>
  <c r="B530" i="1"/>
  <c r="O529" i="1"/>
  <c r="E529" i="1"/>
  <c r="B529" i="1"/>
  <c r="O528" i="1"/>
  <c r="E528" i="1"/>
  <c r="B528" i="1"/>
  <c r="O527" i="1"/>
  <c r="E527" i="1"/>
  <c r="B527" i="1"/>
  <c r="O526" i="1"/>
  <c r="E526" i="1"/>
  <c r="B526" i="1"/>
  <c r="O525" i="1"/>
  <c r="E525" i="1"/>
  <c r="B525" i="1"/>
  <c r="O524" i="1"/>
  <c r="E524" i="1"/>
  <c r="B524" i="1"/>
  <c r="O523" i="1"/>
  <c r="E523" i="1"/>
  <c r="B523" i="1"/>
  <c r="O522" i="1"/>
  <c r="E522" i="1"/>
  <c r="B522" i="1"/>
  <c r="O521" i="1"/>
  <c r="E521" i="1"/>
  <c r="B521" i="1"/>
  <c r="O520" i="1"/>
  <c r="E520" i="1"/>
  <c r="B520" i="1"/>
  <c r="O519" i="1"/>
  <c r="E519" i="1"/>
  <c r="B519" i="1"/>
  <c r="O518" i="1"/>
  <c r="E518" i="1"/>
  <c r="B518" i="1"/>
  <c r="O517" i="1"/>
  <c r="E517" i="1"/>
  <c r="B517" i="1"/>
  <c r="O516" i="1"/>
  <c r="E516" i="1"/>
  <c r="B516" i="1"/>
  <c r="O515" i="1"/>
  <c r="E515" i="1"/>
  <c r="B515" i="1"/>
  <c r="O514" i="1"/>
  <c r="E514" i="1"/>
  <c r="B514" i="1"/>
  <c r="O513" i="1"/>
  <c r="E513" i="1"/>
  <c r="B513" i="1"/>
  <c r="O512" i="1"/>
  <c r="E512" i="1"/>
  <c r="B512" i="1"/>
  <c r="O511" i="1"/>
  <c r="E511" i="1"/>
  <c r="B511" i="1"/>
  <c r="O510" i="1"/>
  <c r="E510" i="1"/>
  <c r="B510" i="1"/>
  <c r="O509" i="1"/>
  <c r="E509" i="1"/>
  <c r="B509" i="1"/>
  <c r="O508" i="1"/>
  <c r="E508" i="1"/>
  <c r="B508" i="1"/>
  <c r="O507" i="1"/>
  <c r="E507" i="1"/>
  <c r="B507" i="1"/>
  <c r="O506" i="1"/>
  <c r="E506" i="1"/>
  <c r="B506" i="1"/>
  <c r="O505" i="1"/>
  <c r="E505" i="1"/>
  <c r="B505" i="1"/>
  <c r="O504" i="1"/>
  <c r="E504" i="1"/>
  <c r="B504" i="1"/>
  <c r="O503" i="1"/>
  <c r="E503" i="1"/>
  <c r="B503" i="1"/>
  <c r="O502" i="1"/>
  <c r="E502" i="1"/>
  <c r="B502" i="1"/>
  <c r="O501" i="1"/>
  <c r="E501" i="1"/>
  <c r="B501" i="1"/>
  <c r="O500" i="1"/>
  <c r="E500" i="1"/>
  <c r="B500" i="1"/>
  <c r="O499" i="1"/>
  <c r="E499" i="1"/>
  <c r="B499" i="1"/>
  <c r="O498" i="1"/>
  <c r="E498" i="1"/>
  <c r="B498" i="1"/>
  <c r="O497" i="1"/>
  <c r="E497" i="1"/>
  <c r="B497" i="1"/>
  <c r="O496" i="1"/>
  <c r="E496" i="1"/>
  <c r="B496" i="1"/>
  <c r="O495" i="1"/>
  <c r="E495" i="1"/>
  <c r="B495" i="1"/>
  <c r="O494" i="1"/>
  <c r="E494" i="1"/>
  <c r="B494" i="1"/>
  <c r="O493" i="1"/>
  <c r="E493" i="1"/>
  <c r="B493" i="1"/>
  <c r="O492" i="1"/>
  <c r="E492" i="1"/>
  <c r="B492" i="1"/>
  <c r="O491" i="1"/>
  <c r="E491" i="1"/>
  <c r="B491" i="1"/>
  <c r="O490" i="1"/>
  <c r="E490" i="1"/>
  <c r="B490" i="1"/>
  <c r="O489" i="1"/>
  <c r="E489" i="1"/>
  <c r="B489" i="1"/>
  <c r="O488" i="1"/>
  <c r="E488" i="1"/>
  <c r="B488" i="1"/>
  <c r="O487" i="1"/>
  <c r="E487" i="1"/>
  <c r="B487" i="1"/>
  <c r="O486" i="1"/>
  <c r="E486" i="1"/>
  <c r="B486" i="1"/>
  <c r="O485" i="1"/>
  <c r="E485" i="1"/>
  <c r="B485" i="1"/>
  <c r="O484" i="1"/>
  <c r="E484" i="1"/>
  <c r="B484" i="1"/>
  <c r="O483" i="1"/>
  <c r="E483" i="1"/>
  <c r="B483" i="1"/>
  <c r="O482" i="1"/>
  <c r="E482" i="1"/>
  <c r="B482" i="1"/>
  <c r="O481" i="1"/>
  <c r="E481" i="1"/>
  <c r="B481" i="1"/>
  <c r="O480" i="1"/>
  <c r="E480" i="1"/>
  <c r="B480" i="1"/>
  <c r="O479" i="1"/>
  <c r="E479" i="1"/>
  <c r="B479" i="1"/>
  <c r="O478" i="1"/>
  <c r="E478" i="1"/>
  <c r="B478" i="1"/>
  <c r="O477" i="1"/>
  <c r="E477" i="1"/>
  <c r="B477" i="1"/>
  <c r="O476" i="1"/>
  <c r="E476" i="1"/>
  <c r="B476" i="1"/>
  <c r="O475" i="1"/>
  <c r="E475" i="1"/>
  <c r="B475" i="1"/>
  <c r="O474" i="1"/>
  <c r="E474" i="1"/>
  <c r="B474" i="1"/>
  <c r="O473" i="1"/>
  <c r="E473" i="1"/>
  <c r="B473" i="1"/>
  <c r="O472" i="1"/>
  <c r="E472" i="1"/>
  <c r="B472" i="1"/>
  <c r="O471" i="1"/>
  <c r="E471" i="1"/>
  <c r="B471" i="1"/>
  <c r="O470" i="1"/>
  <c r="E470" i="1"/>
  <c r="B470" i="1"/>
  <c r="O469" i="1"/>
  <c r="E469" i="1"/>
  <c r="B469" i="1"/>
  <c r="O468" i="1"/>
  <c r="E468" i="1"/>
  <c r="B468" i="1"/>
  <c r="O467" i="1"/>
  <c r="E467" i="1"/>
  <c r="B467" i="1"/>
  <c r="O466" i="1"/>
  <c r="E466" i="1"/>
  <c r="B466" i="1"/>
  <c r="O465" i="1"/>
  <c r="E465" i="1"/>
  <c r="B465" i="1"/>
  <c r="O464" i="1"/>
  <c r="E464" i="1"/>
  <c r="B464" i="1"/>
  <c r="O463" i="1"/>
  <c r="E463" i="1"/>
  <c r="B463" i="1"/>
  <c r="O462" i="1"/>
  <c r="E462" i="1"/>
  <c r="B462" i="1"/>
  <c r="O461" i="1"/>
  <c r="E461" i="1"/>
  <c r="B461" i="1"/>
  <c r="O460" i="1"/>
  <c r="E460" i="1"/>
  <c r="B460" i="1"/>
  <c r="O459" i="1"/>
  <c r="E459" i="1"/>
  <c r="B459" i="1"/>
  <c r="O458" i="1"/>
  <c r="E458" i="1"/>
  <c r="B458" i="1"/>
  <c r="O457" i="1"/>
  <c r="E457" i="1"/>
  <c r="B457" i="1"/>
  <c r="O456" i="1"/>
  <c r="E456" i="1"/>
  <c r="B456" i="1"/>
  <c r="O455" i="1"/>
  <c r="E455" i="1"/>
  <c r="B455" i="1"/>
  <c r="O454" i="1"/>
  <c r="E454" i="1"/>
  <c r="B454" i="1"/>
  <c r="O453" i="1"/>
  <c r="E453" i="1"/>
  <c r="B453" i="1"/>
  <c r="O452" i="1"/>
  <c r="E452" i="1"/>
  <c r="B452" i="1"/>
  <c r="O451" i="1"/>
  <c r="E451" i="1"/>
  <c r="B451" i="1"/>
  <c r="O450" i="1"/>
  <c r="E450" i="1"/>
  <c r="B450" i="1"/>
  <c r="O449" i="1"/>
  <c r="E449" i="1"/>
  <c r="B449" i="1"/>
  <c r="O448" i="1"/>
  <c r="E448" i="1"/>
  <c r="B448" i="1"/>
  <c r="O447" i="1"/>
  <c r="E447" i="1"/>
  <c r="B447" i="1"/>
  <c r="O446" i="1"/>
  <c r="E446" i="1"/>
  <c r="B446" i="1"/>
  <c r="O445" i="1"/>
  <c r="E445" i="1"/>
  <c r="B445" i="1"/>
  <c r="O444" i="1"/>
  <c r="E444" i="1"/>
  <c r="B444" i="1"/>
  <c r="O443" i="1"/>
  <c r="E443" i="1"/>
  <c r="B443" i="1"/>
  <c r="O442" i="1"/>
  <c r="E442" i="1"/>
  <c r="B442" i="1"/>
  <c r="O441" i="1"/>
  <c r="E441" i="1"/>
  <c r="B441" i="1"/>
  <c r="O440" i="1"/>
  <c r="E440" i="1"/>
  <c r="B440" i="1"/>
  <c r="O439" i="1"/>
  <c r="E439" i="1"/>
  <c r="B439" i="1"/>
  <c r="O438" i="1"/>
  <c r="E438" i="1"/>
  <c r="B438" i="1"/>
  <c r="O437" i="1"/>
  <c r="E437" i="1"/>
  <c r="B437" i="1"/>
  <c r="O436" i="1"/>
  <c r="E436" i="1"/>
  <c r="B436" i="1"/>
  <c r="O435" i="1"/>
  <c r="E435" i="1"/>
  <c r="B435" i="1"/>
  <c r="O434" i="1"/>
  <c r="E434" i="1"/>
  <c r="B434" i="1"/>
  <c r="O433" i="1"/>
  <c r="E433" i="1"/>
  <c r="B433" i="1"/>
  <c r="O432" i="1"/>
  <c r="E432" i="1"/>
  <c r="B432" i="1"/>
  <c r="O431" i="1"/>
  <c r="E431" i="1"/>
  <c r="B431" i="1"/>
  <c r="O430" i="1"/>
  <c r="E430" i="1"/>
  <c r="B430" i="1"/>
  <c r="O429" i="1"/>
  <c r="E429" i="1"/>
  <c r="B429" i="1"/>
  <c r="O428" i="1"/>
  <c r="E428" i="1"/>
  <c r="B428" i="1"/>
  <c r="O427" i="1"/>
  <c r="E427" i="1"/>
  <c r="B427" i="1"/>
  <c r="O426" i="1"/>
  <c r="E426" i="1"/>
  <c r="B426" i="1"/>
  <c r="O425" i="1"/>
  <c r="E425" i="1"/>
  <c r="B425" i="1"/>
  <c r="O424" i="1"/>
  <c r="E424" i="1"/>
  <c r="B424" i="1"/>
  <c r="O423" i="1"/>
  <c r="E423" i="1"/>
  <c r="B423" i="1"/>
  <c r="O422" i="1"/>
  <c r="E422" i="1"/>
  <c r="B422" i="1"/>
  <c r="O421" i="1"/>
  <c r="E421" i="1"/>
  <c r="B421" i="1"/>
  <c r="O420" i="1"/>
  <c r="E420" i="1"/>
  <c r="B420" i="1"/>
  <c r="O419" i="1"/>
  <c r="E419" i="1"/>
  <c r="B419" i="1"/>
  <c r="O418" i="1"/>
  <c r="E418" i="1"/>
  <c r="B418" i="1"/>
  <c r="O417" i="1"/>
  <c r="E417" i="1"/>
  <c r="B417" i="1"/>
  <c r="O416" i="1"/>
  <c r="E416" i="1"/>
  <c r="B416" i="1"/>
  <c r="O415" i="1"/>
  <c r="E415" i="1"/>
  <c r="B415" i="1"/>
  <c r="O414" i="1"/>
  <c r="E414" i="1"/>
  <c r="B414" i="1"/>
  <c r="O413" i="1"/>
  <c r="E413" i="1"/>
  <c r="B413" i="1"/>
  <c r="O412" i="1"/>
  <c r="E412" i="1"/>
  <c r="B412" i="1"/>
  <c r="O411" i="1"/>
  <c r="E411" i="1"/>
  <c r="B411" i="1"/>
  <c r="O410" i="1"/>
  <c r="E410" i="1"/>
  <c r="B410" i="1"/>
  <c r="O409" i="1"/>
  <c r="E409" i="1"/>
  <c r="B409" i="1"/>
  <c r="O408" i="1"/>
  <c r="E408" i="1"/>
  <c r="B408" i="1"/>
  <c r="O407" i="1"/>
  <c r="E407" i="1"/>
  <c r="B407" i="1"/>
  <c r="O406" i="1"/>
  <c r="E406" i="1"/>
  <c r="B406" i="1"/>
  <c r="O405" i="1"/>
  <c r="E405" i="1"/>
  <c r="B405" i="1"/>
  <c r="O404" i="1"/>
  <c r="E404" i="1"/>
  <c r="B404" i="1"/>
  <c r="O403" i="1"/>
  <c r="E403" i="1"/>
  <c r="B403" i="1"/>
  <c r="O402" i="1"/>
  <c r="E402" i="1"/>
  <c r="B402" i="1"/>
  <c r="O401" i="1"/>
  <c r="E401" i="1"/>
  <c r="B401" i="1"/>
  <c r="O400" i="1"/>
  <c r="E400" i="1"/>
  <c r="B400" i="1"/>
  <c r="O399" i="1"/>
  <c r="E399" i="1"/>
  <c r="B399" i="1"/>
  <c r="O398" i="1"/>
  <c r="E398" i="1"/>
  <c r="B398" i="1"/>
  <c r="O397" i="1"/>
  <c r="E397" i="1"/>
  <c r="B397" i="1"/>
  <c r="O396" i="1"/>
  <c r="E396" i="1"/>
  <c r="B396" i="1"/>
  <c r="O395" i="1"/>
  <c r="E395" i="1"/>
  <c r="B395" i="1"/>
  <c r="O394" i="1"/>
  <c r="E394" i="1"/>
  <c r="B394" i="1"/>
  <c r="O393" i="1"/>
  <c r="E393" i="1"/>
  <c r="B393" i="1"/>
  <c r="O392" i="1"/>
  <c r="E392" i="1"/>
  <c r="B392" i="1"/>
  <c r="O391" i="1"/>
  <c r="E391" i="1"/>
  <c r="B391" i="1"/>
  <c r="O390" i="1"/>
  <c r="E390" i="1"/>
  <c r="B390" i="1"/>
  <c r="O389" i="1"/>
  <c r="E389" i="1"/>
  <c r="B389" i="1"/>
  <c r="O388" i="1"/>
  <c r="E388" i="1"/>
  <c r="B388" i="1"/>
  <c r="O387" i="1"/>
  <c r="E387" i="1"/>
  <c r="B387" i="1"/>
  <c r="O386" i="1"/>
  <c r="E386" i="1"/>
  <c r="B386" i="1"/>
  <c r="O385" i="1"/>
  <c r="E385" i="1"/>
  <c r="B385" i="1"/>
  <c r="O384" i="1"/>
  <c r="E384" i="1"/>
  <c r="B384" i="1"/>
  <c r="O383" i="1"/>
  <c r="E383" i="1"/>
  <c r="B383" i="1"/>
  <c r="O382" i="1"/>
  <c r="E382" i="1"/>
  <c r="B382" i="1"/>
  <c r="O381" i="1"/>
  <c r="E381" i="1"/>
  <c r="B381" i="1"/>
  <c r="O380" i="1"/>
  <c r="E380" i="1"/>
  <c r="B380" i="1"/>
  <c r="O379" i="1"/>
  <c r="E379" i="1"/>
  <c r="B379" i="1"/>
  <c r="O378" i="1"/>
  <c r="E378" i="1"/>
  <c r="B378" i="1"/>
  <c r="O377" i="1"/>
  <c r="E377" i="1"/>
  <c r="B377" i="1"/>
  <c r="O376" i="1"/>
  <c r="E376" i="1"/>
  <c r="B376" i="1"/>
  <c r="O375" i="1"/>
  <c r="E375" i="1"/>
  <c r="B375" i="1"/>
  <c r="O374" i="1"/>
  <c r="E374" i="1"/>
  <c r="B374" i="1"/>
  <c r="O373" i="1"/>
  <c r="E373" i="1"/>
  <c r="B373" i="1"/>
  <c r="O372" i="1"/>
  <c r="E372" i="1"/>
  <c r="B372" i="1"/>
  <c r="O371" i="1"/>
  <c r="E371" i="1"/>
  <c r="B371" i="1"/>
  <c r="O370" i="1"/>
  <c r="E370" i="1"/>
  <c r="B370" i="1"/>
  <c r="O369" i="1"/>
  <c r="E369" i="1"/>
  <c r="B369" i="1"/>
  <c r="O368" i="1"/>
  <c r="E368" i="1"/>
  <c r="B368" i="1"/>
  <c r="O367" i="1"/>
  <c r="E367" i="1"/>
  <c r="B367" i="1"/>
  <c r="O366" i="1"/>
  <c r="E366" i="1"/>
  <c r="B366" i="1"/>
  <c r="O365" i="1"/>
  <c r="E365" i="1"/>
  <c r="B365" i="1"/>
  <c r="O364" i="1"/>
  <c r="E364" i="1"/>
  <c r="B364" i="1"/>
  <c r="O363" i="1"/>
  <c r="E363" i="1"/>
  <c r="B363" i="1"/>
  <c r="O362" i="1"/>
  <c r="E362" i="1"/>
  <c r="B362" i="1"/>
  <c r="O361" i="1"/>
  <c r="E361" i="1"/>
  <c r="B361" i="1"/>
  <c r="O360" i="1"/>
  <c r="E360" i="1"/>
  <c r="B360" i="1"/>
  <c r="O359" i="1"/>
  <c r="E359" i="1"/>
  <c r="B359" i="1"/>
  <c r="O358" i="1"/>
  <c r="E358" i="1"/>
  <c r="B358" i="1"/>
  <c r="O357" i="1"/>
  <c r="E357" i="1"/>
  <c r="B357" i="1"/>
  <c r="O356" i="1"/>
  <c r="E356" i="1"/>
  <c r="B356" i="1"/>
  <c r="O355" i="1"/>
  <c r="E355" i="1"/>
  <c r="B355" i="1"/>
  <c r="O354" i="1"/>
  <c r="E354" i="1"/>
  <c r="B354" i="1"/>
  <c r="O353" i="1"/>
  <c r="E353" i="1"/>
  <c r="B353" i="1"/>
  <c r="O352" i="1"/>
  <c r="E352" i="1"/>
  <c r="B352" i="1"/>
  <c r="O351" i="1"/>
  <c r="E351" i="1"/>
  <c r="B351" i="1"/>
  <c r="O350" i="1"/>
  <c r="E350" i="1"/>
  <c r="B350" i="1"/>
  <c r="O349" i="1"/>
  <c r="E349" i="1"/>
  <c r="B349" i="1"/>
  <c r="O348" i="1"/>
  <c r="E348" i="1"/>
  <c r="B348" i="1"/>
  <c r="O347" i="1"/>
  <c r="E347" i="1"/>
  <c r="B347" i="1"/>
  <c r="O346" i="1"/>
  <c r="E346" i="1"/>
  <c r="B346" i="1"/>
  <c r="O345" i="1"/>
  <c r="E345" i="1"/>
  <c r="B345" i="1"/>
  <c r="O344" i="1"/>
  <c r="E344" i="1"/>
  <c r="B344" i="1"/>
  <c r="O343" i="1"/>
  <c r="E343" i="1"/>
  <c r="B343" i="1"/>
  <c r="O342" i="1"/>
  <c r="E342" i="1"/>
  <c r="B342" i="1"/>
  <c r="O341" i="1"/>
  <c r="E341" i="1"/>
  <c r="B341" i="1"/>
  <c r="O340" i="1"/>
  <c r="E340" i="1"/>
  <c r="B340" i="1"/>
  <c r="O339" i="1"/>
  <c r="E339" i="1"/>
  <c r="B339" i="1"/>
  <c r="O338" i="1"/>
  <c r="E338" i="1"/>
  <c r="B338" i="1"/>
  <c r="O337" i="1"/>
  <c r="E337" i="1"/>
  <c r="B337" i="1"/>
  <c r="O336" i="1"/>
  <c r="E336" i="1"/>
  <c r="B336" i="1"/>
  <c r="O335" i="1"/>
  <c r="E335" i="1"/>
  <c r="B335" i="1"/>
  <c r="O334" i="1"/>
  <c r="E334" i="1"/>
  <c r="B334" i="1"/>
  <c r="O333" i="1"/>
  <c r="E333" i="1"/>
  <c r="B333" i="1"/>
  <c r="O332" i="1"/>
  <c r="E332" i="1"/>
  <c r="B332" i="1"/>
  <c r="O331" i="1"/>
  <c r="E331" i="1"/>
  <c r="B331" i="1"/>
  <c r="O330" i="1"/>
  <c r="E330" i="1"/>
  <c r="B330" i="1"/>
  <c r="O329" i="1"/>
  <c r="E329" i="1"/>
  <c r="B329" i="1"/>
  <c r="O328" i="1"/>
  <c r="E328" i="1"/>
  <c r="B328" i="1"/>
  <c r="O327" i="1"/>
  <c r="E327" i="1"/>
  <c r="B327" i="1"/>
  <c r="O326" i="1"/>
  <c r="E326" i="1"/>
  <c r="B326" i="1"/>
  <c r="O325" i="1"/>
  <c r="E325" i="1"/>
  <c r="B325" i="1"/>
  <c r="O324" i="1"/>
  <c r="E324" i="1"/>
  <c r="B324" i="1"/>
  <c r="O323" i="1"/>
  <c r="E323" i="1"/>
  <c r="B323" i="1"/>
  <c r="O322" i="1"/>
  <c r="E322" i="1"/>
  <c r="B322" i="1"/>
  <c r="O321" i="1"/>
  <c r="E321" i="1"/>
  <c r="B321" i="1"/>
  <c r="O320" i="1"/>
  <c r="E320" i="1"/>
  <c r="B320" i="1"/>
  <c r="O319" i="1"/>
  <c r="E319" i="1"/>
  <c r="B319" i="1"/>
  <c r="O318" i="1"/>
  <c r="E318" i="1"/>
  <c r="B318" i="1"/>
  <c r="O317" i="1"/>
  <c r="E317" i="1"/>
  <c r="B317" i="1"/>
  <c r="O316" i="1"/>
  <c r="E316" i="1"/>
  <c r="B316" i="1"/>
  <c r="O315" i="1"/>
  <c r="E315" i="1"/>
  <c r="B315" i="1"/>
  <c r="O314" i="1"/>
  <c r="E314" i="1"/>
  <c r="B314" i="1"/>
  <c r="O313" i="1"/>
  <c r="E313" i="1"/>
  <c r="B313" i="1"/>
  <c r="O312" i="1"/>
  <c r="E312" i="1"/>
  <c r="B312" i="1"/>
  <c r="O311" i="1"/>
  <c r="E311" i="1"/>
  <c r="B311" i="1"/>
  <c r="O310" i="1"/>
  <c r="E310" i="1"/>
  <c r="B310" i="1"/>
  <c r="O309" i="1"/>
  <c r="E309" i="1"/>
  <c r="B309" i="1"/>
  <c r="O308" i="1"/>
  <c r="E308" i="1"/>
  <c r="B308" i="1"/>
  <c r="O307" i="1"/>
  <c r="E307" i="1"/>
  <c r="B307" i="1"/>
  <c r="O306" i="1"/>
  <c r="E306" i="1"/>
  <c r="B306" i="1"/>
  <c r="O305" i="1"/>
  <c r="E305" i="1"/>
  <c r="B305" i="1"/>
  <c r="O304" i="1"/>
  <c r="E304" i="1"/>
  <c r="B304" i="1"/>
  <c r="O303" i="1"/>
  <c r="E303" i="1"/>
  <c r="B303" i="1"/>
  <c r="O302" i="1"/>
  <c r="E302" i="1"/>
  <c r="B302" i="1"/>
  <c r="O301" i="1"/>
  <c r="E301" i="1"/>
  <c r="B301" i="1"/>
  <c r="O300" i="1"/>
  <c r="E300" i="1"/>
  <c r="B300" i="1"/>
  <c r="O299" i="1"/>
  <c r="E299" i="1"/>
  <c r="B299" i="1"/>
  <c r="O298" i="1"/>
  <c r="E298" i="1"/>
  <c r="B298" i="1"/>
  <c r="O297" i="1"/>
  <c r="E297" i="1"/>
  <c r="B297" i="1"/>
  <c r="O296" i="1"/>
  <c r="E296" i="1"/>
  <c r="B296" i="1"/>
  <c r="O295" i="1"/>
  <c r="E295" i="1"/>
  <c r="B295" i="1"/>
  <c r="O294" i="1"/>
  <c r="E294" i="1"/>
  <c r="B294" i="1"/>
  <c r="O293" i="1"/>
  <c r="E293" i="1"/>
  <c r="B293" i="1"/>
  <c r="O292" i="1"/>
  <c r="E292" i="1"/>
  <c r="B292" i="1"/>
  <c r="O291" i="1"/>
  <c r="E291" i="1"/>
  <c r="B291" i="1"/>
  <c r="O290" i="1"/>
  <c r="E290" i="1"/>
  <c r="B290" i="1"/>
  <c r="O289" i="1"/>
  <c r="E289" i="1"/>
  <c r="B289" i="1"/>
  <c r="O288" i="1"/>
  <c r="E288" i="1"/>
  <c r="B288" i="1"/>
  <c r="O287" i="1"/>
  <c r="E287" i="1"/>
  <c r="B287" i="1"/>
  <c r="O286" i="1"/>
  <c r="E286" i="1"/>
  <c r="B286" i="1"/>
  <c r="O285" i="1"/>
  <c r="E285" i="1"/>
  <c r="B285" i="1"/>
  <c r="O284" i="1"/>
  <c r="E284" i="1"/>
  <c r="B284" i="1"/>
  <c r="O283" i="1"/>
  <c r="E283" i="1"/>
  <c r="B283" i="1"/>
  <c r="O282" i="1"/>
  <c r="E282" i="1"/>
  <c r="B282" i="1"/>
  <c r="O281" i="1"/>
  <c r="E281" i="1"/>
  <c r="B281" i="1"/>
  <c r="O280" i="1"/>
  <c r="E280" i="1"/>
  <c r="B280" i="1"/>
  <c r="O279" i="1"/>
  <c r="E279" i="1"/>
  <c r="B279" i="1"/>
  <c r="O278" i="1"/>
  <c r="E278" i="1"/>
  <c r="B278" i="1"/>
  <c r="O277" i="1"/>
  <c r="E277" i="1"/>
  <c r="B277" i="1"/>
  <c r="O276" i="1"/>
  <c r="E276" i="1"/>
  <c r="B276" i="1"/>
  <c r="O275" i="1"/>
  <c r="E275" i="1"/>
  <c r="B275" i="1"/>
  <c r="O274" i="1"/>
  <c r="E274" i="1"/>
  <c r="B274" i="1"/>
  <c r="O273" i="1"/>
  <c r="E273" i="1"/>
  <c r="B273" i="1"/>
  <c r="O272" i="1"/>
  <c r="E272" i="1"/>
  <c r="B272" i="1"/>
  <c r="O271" i="1"/>
  <c r="E271" i="1"/>
  <c r="B271" i="1"/>
  <c r="O270" i="1"/>
  <c r="E270" i="1"/>
  <c r="B270" i="1"/>
  <c r="O269" i="1"/>
  <c r="E269" i="1"/>
  <c r="B269" i="1"/>
  <c r="O268" i="1"/>
  <c r="E268" i="1"/>
  <c r="B268" i="1"/>
  <c r="O267" i="1"/>
  <c r="E267" i="1"/>
  <c r="B267" i="1"/>
  <c r="O266" i="1"/>
  <c r="E266" i="1"/>
  <c r="B266" i="1"/>
  <c r="O265" i="1"/>
  <c r="E265" i="1"/>
  <c r="B265" i="1"/>
  <c r="O264" i="1"/>
  <c r="E264" i="1"/>
  <c r="B264" i="1"/>
  <c r="O263" i="1"/>
  <c r="E263" i="1"/>
  <c r="B263" i="1"/>
  <c r="O262" i="1"/>
  <c r="E262" i="1"/>
  <c r="B262" i="1"/>
  <c r="O261" i="1"/>
  <c r="E261" i="1"/>
  <c r="B261" i="1"/>
  <c r="O260" i="1"/>
  <c r="E260" i="1"/>
  <c r="B260" i="1"/>
  <c r="O259" i="1"/>
  <c r="E259" i="1"/>
  <c r="B259" i="1"/>
  <c r="O258" i="1"/>
  <c r="E258" i="1"/>
  <c r="B258" i="1"/>
  <c r="O257" i="1"/>
  <c r="E257" i="1"/>
  <c r="B257" i="1"/>
  <c r="O256" i="1"/>
  <c r="E256" i="1"/>
  <c r="B256" i="1"/>
  <c r="O255" i="1"/>
  <c r="E255" i="1"/>
  <c r="B255" i="1"/>
  <c r="O254" i="1"/>
  <c r="E254" i="1"/>
  <c r="B254" i="1"/>
  <c r="O253" i="1"/>
  <c r="E253" i="1"/>
  <c r="B253" i="1"/>
  <c r="O252" i="1"/>
  <c r="E252" i="1"/>
  <c r="B252" i="1"/>
  <c r="O251" i="1"/>
  <c r="E251" i="1"/>
  <c r="B251" i="1"/>
  <c r="O250" i="1"/>
  <c r="E250" i="1"/>
  <c r="B250" i="1"/>
  <c r="O249" i="1"/>
  <c r="E249" i="1"/>
  <c r="B249" i="1"/>
  <c r="O248" i="1"/>
  <c r="E248" i="1"/>
  <c r="B248" i="1"/>
  <c r="O247" i="1"/>
  <c r="E247" i="1"/>
  <c r="B247" i="1"/>
  <c r="O246" i="1"/>
  <c r="E246" i="1"/>
  <c r="B246" i="1"/>
  <c r="O245" i="1"/>
  <c r="E245" i="1"/>
  <c r="B245" i="1"/>
  <c r="O244" i="1"/>
  <c r="E244" i="1"/>
  <c r="B244" i="1"/>
  <c r="O243" i="1"/>
  <c r="E243" i="1"/>
  <c r="B243" i="1"/>
  <c r="O242" i="1"/>
  <c r="E242" i="1"/>
  <c r="B242" i="1"/>
  <c r="O241" i="1"/>
  <c r="E241" i="1"/>
  <c r="B241" i="1"/>
  <c r="O240" i="1"/>
  <c r="E240" i="1"/>
  <c r="B240" i="1"/>
  <c r="O239" i="1"/>
  <c r="E239" i="1"/>
  <c r="B239" i="1"/>
  <c r="O238" i="1"/>
  <c r="E238" i="1"/>
  <c r="B238" i="1"/>
  <c r="O237" i="1"/>
  <c r="E237" i="1"/>
  <c r="B237" i="1"/>
  <c r="O236" i="1"/>
  <c r="E236" i="1"/>
  <c r="B236" i="1"/>
  <c r="O235" i="1"/>
  <c r="E235" i="1"/>
  <c r="B235" i="1"/>
  <c r="O234" i="1"/>
  <c r="E234" i="1"/>
  <c r="B234" i="1"/>
  <c r="O233" i="1"/>
  <c r="E233" i="1"/>
  <c r="B233" i="1"/>
  <c r="O232" i="1"/>
  <c r="E232" i="1"/>
  <c r="B232" i="1"/>
  <c r="O231" i="1"/>
  <c r="E231" i="1"/>
  <c r="B231" i="1"/>
  <c r="O230" i="1"/>
  <c r="E230" i="1"/>
  <c r="B230" i="1"/>
  <c r="O229" i="1"/>
  <c r="E229" i="1"/>
  <c r="B229" i="1"/>
  <c r="O228" i="1"/>
  <c r="E228" i="1"/>
  <c r="B228" i="1"/>
  <c r="O227" i="1"/>
  <c r="E227" i="1"/>
  <c r="B227" i="1"/>
  <c r="O226" i="1"/>
  <c r="E226" i="1"/>
  <c r="B226" i="1"/>
  <c r="O225" i="1"/>
  <c r="E225" i="1"/>
  <c r="B225" i="1"/>
  <c r="O224" i="1"/>
  <c r="E224" i="1"/>
  <c r="B224" i="1"/>
  <c r="O223" i="1"/>
  <c r="E223" i="1"/>
  <c r="B223" i="1"/>
  <c r="O222" i="1"/>
  <c r="E222" i="1"/>
  <c r="B222" i="1"/>
  <c r="O221" i="1"/>
  <c r="E221" i="1"/>
  <c r="B221" i="1"/>
  <c r="O220" i="1"/>
  <c r="E220" i="1"/>
  <c r="B220" i="1"/>
  <c r="O219" i="1"/>
  <c r="E219" i="1"/>
  <c r="B219" i="1"/>
  <c r="O218" i="1"/>
  <c r="E218" i="1"/>
  <c r="B218" i="1"/>
  <c r="O217" i="1"/>
  <c r="E217" i="1"/>
  <c r="B217" i="1"/>
  <c r="O216" i="1"/>
  <c r="E216" i="1"/>
  <c r="B216" i="1"/>
  <c r="O215" i="1"/>
  <c r="E215" i="1"/>
  <c r="B215" i="1"/>
  <c r="O214" i="1"/>
  <c r="E214" i="1"/>
  <c r="B214" i="1"/>
  <c r="O213" i="1"/>
  <c r="E213" i="1"/>
  <c r="B213" i="1"/>
  <c r="O212" i="1"/>
  <c r="E212" i="1"/>
  <c r="B212" i="1"/>
  <c r="O211" i="1"/>
  <c r="E211" i="1"/>
  <c r="B211" i="1"/>
  <c r="O210" i="1"/>
  <c r="E210" i="1"/>
  <c r="B210" i="1"/>
  <c r="O209" i="1"/>
  <c r="E209" i="1"/>
  <c r="B209" i="1"/>
  <c r="O208" i="1"/>
  <c r="E208" i="1"/>
  <c r="B208" i="1"/>
  <c r="O207" i="1"/>
  <c r="E207" i="1"/>
  <c r="B207" i="1"/>
  <c r="O206" i="1"/>
  <c r="E206" i="1"/>
  <c r="B206" i="1"/>
  <c r="O205" i="1"/>
  <c r="E205" i="1"/>
  <c r="B205" i="1"/>
  <c r="O204" i="1"/>
  <c r="E204" i="1"/>
  <c r="B204" i="1"/>
  <c r="O203" i="1"/>
  <c r="E203" i="1"/>
  <c r="B203" i="1"/>
  <c r="O202" i="1"/>
  <c r="E202" i="1"/>
  <c r="B202" i="1"/>
  <c r="O201" i="1"/>
  <c r="E201" i="1"/>
  <c r="B201" i="1"/>
  <c r="O200" i="1"/>
  <c r="E200" i="1"/>
  <c r="B200" i="1"/>
  <c r="O199" i="1"/>
  <c r="E199" i="1"/>
  <c r="B199" i="1"/>
  <c r="O198" i="1"/>
  <c r="E198" i="1"/>
  <c r="B198" i="1"/>
  <c r="O197" i="1"/>
  <c r="E197" i="1"/>
  <c r="B197" i="1"/>
  <c r="O196" i="1"/>
  <c r="E196" i="1"/>
  <c r="B196" i="1"/>
  <c r="O195" i="1"/>
  <c r="E195" i="1"/>
  <c r="B195" i="1"/>
  <c r="O194" i="1"/>
  <c r="E194" i="1"/>
  <c r="B194" i="1"/>
  <c r="O193" i="1"/>
  <c r="E193" i="1"/>
  <c r="B193" i="1"/>
  <c r="O192" i="1"/>
  <c r="E192" i="1"/>
  <c r="B192" i="1"/>
  <c r="O191" i="1"/>
  <c r="E191" i="1"/>
  <c r="B191" i="1"/>
  <c r="O190" i="1"/>
  <c r="E190" i="1"/>
  <c r="B190" i="1"/>
  <c r="O189" i="1"/>
  <c r="E189" i="1"/>
  <c r="B189" i="1"/>
  <c r="O188" i="1"/>
  <c r="E188" i="1"/>
  <c r="B188" i="1"/>
  <c r="O187" i="1"/>
  <c r="E187" i="1"/>
  <c r="B187" i="1"/>
  <c r="O186" i="1"/>
  <c r="E186" i="1"/>
  <c r="B186" i="1"/>
  <c r="O185" i="1"/>
  <c r="E185" i="1"/>
  <c r="B185" i="1"/>
  <c r="O184" i="1"/>
  <c r="E184" i="1"/>
  <c r="B184" i="1"/>
  <c r="O183" i="1"/>
  <c r="E183" i="1"/>
  <c r="B183" i="1"/>
  <c r="O182" i="1"/>
  <c r="E182" i="1"/>
  <c r="B182" i="1"/>
  <c r="O181" i="1"/>
  <c r="E181" i="1"/>
  <c r="B181" i="1"/>
  <c r="O180" i="1"/>
  <c r="E180" i="1"/>
  <c r="B180" i="1"/>
  <c r="O179" i="1"/>
  <c r="E179" i="1"/>
  <c r="B179" i="1"/>
  <c r="O178" i="1"/>
  <c r="E178" i="1"/>
  <c r="B178" i="1"/>
  <c r="O177" i="1"/>
  <c r="E177" i="1"/>
  <c r="B177" i="1"/>
  <c r="O176" i="1"/>
  <c r="E176" i="1"/>
  <c r="B176" i="1"/>
  <c r="O175" i="1"/>
  <c r="E175" i="1"/>
  <c r="B175" i="1"/>
  <c r="O174" i="1"/>
  <c r="E174" i="1"/>
  <c r="B174" i="1"/>
  <c r="O173" i="1"/>
  <c r="E173" i="1"/>
  <c r="B173" i="1"/>
  <c r="O172" i="1"/>
  <c r="E172" i="1"/>
  <c r="B172" i="1"/>
  <c r="O171" i="1"/>
  <c r="E171" i="1"/>
  <c r="B171" i="1"/>
  <c r="O170" i="1"/>
  <c r="E170" i="1"/>
  <c r="B170" i="1"/>
  <c r="O169" i="1"/>
  <c r="E169" i="1"/>
  <c r="B169" i="1"/>
  <c r="O168" i="1"/>
  <c r="E168" i="1"/>
  <c r="B168" i="1"/>
  <c r="O167" i="1"/>
  <c r="E167" i="1"/>
  <c r="B167" i="1"/>
  <c r="O166" i="1"/>
  <c r="E166" i="1"/>
  <c r="B166" i="1"/>
  <c r="O165" i="1"/>
  <c r="E165" i="1"/>
  <c r="B165" i="1"/>
  <c r="O164" i="1"/>
  <c r="E164" i="1"/>
  <c r="B164" i="1"/>
  <c r="O163" i="1"/>
  <c r="E163" i="1"/>
  <c r="B163" i="1"/>
  <c r="O162" i="1"/>
  <c r="E162" i="1"/>
  <c r="B162" i="1"/>
  <c r="O161" i="1"/>
  <c r="E161" i="1"/>
  <c r="B161" i="1"/>
  <c r="O160" i="1"/>
  <c r="E160" i="1"/>
  <c r="B160" i="1"/>
  <c r="O159" i="1"/>
  <c r="E159" i="1"/>
  <c r="B159" i="1"/>
  <c r="O158" i="1"/>
  <c r="E158" i="1"/>
  <c r="B158" i="1"/>
  <c r="O157" i="1"/>
  <c r="E157" i="1"/>
  <c r="B157" i="1"/>
  <c r="O156" i="1"/>
  <c r="E156" i="1"/>
  <c r="B156" i="1"/>
  <c r="O155" i="1"/>
  <c r="E155" i="1"/>
  <c r="B155" i="1"/>
  <c r="O154" i="1"/>
  <c r="E154" i="1"/>
  <c r="B154" i="1"/>
  <c r="O153" i="1"/>
  <c r="E153" i="1"/>
  <c r="B153" i="1"/>
  <c r="O152" i="1"/>
  <c r="E152" i="1"/>
  <c r="B152" i="1"/>
  <c r="O151" i="1"/>
  <c r="E151" i="1"/>
  <c r="B151" i="1"/>
  <c r="O150" i="1"/>
  <c r="E150" i="1"/>
  <c r="B150" i="1"/>
  <c r="O149" i="1"/>
  <c r="E149" i="1"/>
  <c r="B149" i="1"/>
  <c r="O148" i="1"/>
  <c r="E148" i="1"/>
  <c r="B148" i="1"/>
  <c r="O147" i="1"/>
  <c r="E147" i="1"/>
  <c r="B147" i="1"/>
  <c r="O146" i="1"/>
  <c r="E146" i="1"/>
  <c r="B146" i="1"/>
  <c r="O145" i="1"/>
  <c r="E145" i="1"/>
  <c r="B145" i="1"/>
  <c r="O144" i="1"/>
  <c r="E144" i="1"/>
  <c r="B144" i="1"/>
  <c r="O143" i="1"/>
  <c r="E143" i="1"/>
  <c r="B143" i="1"/>
  <c r="O142" i="1"/>
  <c r="E142" i="1"/>
  <c r="B142" i="1"/>
  <c r="O141" i="1"/>
  <c r="E141" i="1"/>
  <c r="B141" i="1"/>
  <c r="O140" i="1"/>
  <c r="E140" i="1"/>
  <c r="B140" i="1"/>
  <c r="O139" i="1"/>
  <c r="E139" i="1"/>
  <c r="B139" i="1"/>
  <c r="O138" i="1"/>
  <c r="E138" i="1"/>
  <c r="B138" i="1"/>
  <c r="O137" i="1"/>
  <c r="E137" i="1"/>
  <c r="B137" i="1"/>
  <c r="O136" i="1"/>
  <c r="E136" i="1"/>
  <c r="B136" i="1"/>
  <c r="O135" i="1"/>
  <c r="E135" i="1"/>
  <c r="B135" i="1"/>
  <c r="O134" i="1"/>
  <c r="E134" i="1"/>
  <c r="B134" i="1"/>
  <c r="O133" i="1"/>
  <c r="E133" i="1"/>
  <c r="B133" i="1"/>
  <c r="O132" i="1"/>
  <c r="E132" i="1"/>
  <c r="B132" i="1"/>
  <c r="O131" i="1"/>
  <c r="E131" i="1"/>
  <c r="B131" i="1"/>
  <c r="O130" i="1"/>
  <c r="E130" i="1"/>
  <c r="B130" i="1"/>
  <c r="O129" i="1"/>
  <c r="E129" i="1"/>
  <c r="B129" i="1"/>
  <c r="O128" i="1"/>
  <c r="E128" i="1"/>
  <c r="B128" i="1"/>
  <c r="O127" i="1"/>
  <c r="E127" i="1"/>
  <c r="B127" i="1"/>
  <c r="O126" i="1"/>
  <c r="E126" i="1"/>
  <c r="B126" i="1"/>
  <c r="O125" i="1"/>
  <c r="E125" i="1"/>
  <c r="B125" i="1"/>
  <c r="O124" i="1"/>
  <c r="E124" i="1"/>
  <c r="B124" i="1"/>
  <c r="O123" i="1"/>
  <c r="E123" i="1"/>
  <c r="B123" i="1"/>
  <c r="O122" i="1"/>
  <c r="E122" i="1"/>
  <c r="B122" i="1"/>
  <c r="O121" i="1"/>
  <c r="E121" i="1"/>
  <c r="B121" i="1"/>
  <c r="O120" i="1"/>
  <c r="E120" i="1"/>
  <c r="B120" i="1"/>
  <c r="O119" i="1"/>
  <c r="E119" i="1"/>
  <c r="B119" i="1"/>
  <c r="O118" i="1"/>
  <c r="E118" i="1"/>
  <c r="B118" i="1"/>
  <c r="O117" i="1"/>
  <c r="E117" i="1"/>
  <c r="B117" i="1"/>
  <c r="O116" i="1"/>
  <c r="E116" i="1"/>
  <c r="B116" i="1"/>
  <c r="O115" i="1"/>
  <c r="E115" i="1"/>
  <c r="B115" i="1"/>
  <c r="O114" i="1"/>
  <c r="E114" i="1"/>
  <c r="B114" i="1"/>
  <c r="O113" i="1"/>
  <c r="E113" i="1"/>
  <c r="B113" i="1"/>
  <c r="O112" i="1"/>
  <c r="E112" i="1"/>
  <c r="B112" i="1"/>
  <c r="O111" i="1"/>
  <c r="E111" i="1"/>
  <c r="B111" i="1"/>
  <c r="O110" i="1"/>
  <c r="E110" i="1"/>
  <c r="B110" i="1"/>
  <c r="O109" i="1"/>
  <c r="E109" i="1"/>
  <c r="B109" i="1"/>
  <c r="O108" i="1"/>
  <c r="E108" i="1"/>
  <c r="B108" i="1"/>
  <c r="O107" i="1"/>
  <c r="E107" i="1"/>
  <c r="B107" i="1"/>
  <c r="O106" i="1"/>
  <c r="E106" i="1"/>
  <c r="B106" i="1"/>
  <c r="O105" i="1"/>
  <c r="E105" i="1"/>
  <c r="B105" i="1"/>
  <c r="O104" i="1"/>
  <c r="E104" i="1"/>
  <c r="B104" i="1"/>
  <c r="O103" i="1"/>
  <c r="E103" i="1"/>
  <c r="B103" i="1"/>
  <c r="O102" i="1"/>
  <c r="E102" i="1"/>
  <c r="B102" i="1"/>
  <c r="O101" i="1"/>
  <c r="E101" i="1"/>
  <c r="B101" i="1"/>
  <c r="O100" i="1"/>
  <c r="E100" i="1"/>
  <c r="B100" i="1"/>
  <c r="O99" i="1"/>
  <c r="E99" i="1"/>
  <c r="B99" i="1"/>
  <c r="O98" i="1"/>
  <c r="E98" i="1"/>
  <c r="B98" i="1"/>
  <c r="O97" i="1"/>
  <c r="E97" i="1"/>
  <c r="B97" i="1"/>
  <c r="O96" i="1"/>
  <c r="E96" i="1"/>
  <c r="B96" i="1"/>
  <c r="O95" i="1"/>
  <c r="E95" i="1"/>
  <c r="B95" i="1"/>
  <c r="O94" i="1"/>
  <c r="E94" i="1"/>
  <c r="B94" i="1"/>
  <c r="O93" i="1"/>
  <c r="E93" i="1"/>
  <c r="B93" i="1"/>
  <c r="O92" i="1"/>
  <c r="E92" i="1"/>
  <c r="B92" i="1"/>
  <c r="O91" i="1"/>
  <c r="E91" i="1"/>
  <c r="B91" i="1"/>
  <c r="O90" i="1"/>
  <c r="E90" i="1"/>
  <c r="B90" i="1"/>
  <c r="O89" i="1"/>
  <c r="E89" i="1"/>
  <c r="B89" i="1"/>
  <c r="O88" i="1"/>
  <c r="E88" i="1"/>
  <c r="B88" i="1"/>
  <c r="O87" i="1"/>
  <c r="E87" i="1"/>
  <c r="B87" i="1"/>
  <c r="O86" i="1"/>
  <c r="E86" i="1"/>
  <c r="B86" i="1"/>
  <c r="O85" i="1"/>
  <c r="E85" i="1"/>
  <c r="B85" i="1"/>
  <c r="O84" i="1"/>
  <c r="E84" i="1"/>
  <c r="B84" i="1"/>
  <c r="O83" i="1"/>
  <c r="E83" i="1"/>
  <c r="B83" i="1"/>
  <c r="O82" i="1"/>
  <c r="E82" i="1"/>
  <c r="B82" i="1"/>
  <c r="O81" i="1"/>
  <c r="E81" i="1"/>
  <c r="B81" i="1"/>
  <c r="O80" i="1"/>
  <c r="E80" i="1"/>
  <c r="B80" i="1"/>
  <c r="O79" i="1"/>
  <c r="E79" i="1"/>
  <c r="B79" i="1"/>
  <c r="O78" i="1"/>
  <c r="E78" i="1"/>
  <c r="B78" i="1"/>
  <c r="O77" i="1"/>
  <c r="E77" i="1"/>
  <c r="B77" i="1"/>
  <c r="O76" i="1"/>
  <c r="E76" i="1"/>
  <c r="B76" i="1"/>
  <c r="O75" i="1"/>
  <c r="E75" i="1"/>
  <c r="B75" i="1"/>
  <c r="O74" i="1"/>
  <c r="E74" i="1"/>
  <c r="B74" i="1"/>
  <c r="O73" i="1"/>
  <c r="E73" i="1"/>
  <c r="B73" i="1"/>
  <c r="O72" i="1"/>
  <c r="E72" i="1"/>
  <c r="B72" i="1"/>
  <c r="O71" i="1"/>
  <c r="E71" i="1"/>
  <c r="B71" i="1"/>
  <c r="O70" i="1"/>
  <c r="E70" i="1"/>
  <c r="B70" i="1"/>
  <c r="O69" i="1"/>
  <c r="E69" i="1"/>
  <c r="B69" i="1"/>
  <c r="O68" i="1"/>
  <c r="E68" i="1"/>
  <c r="B68" i="1"/>
  <c r="O67" i="1"/>
  <c r="E67" i="1"/>
  <c r="B67" i="1"/>
  <c r="O66" i="1"/>
  <c r="E66" i="1"/>
  <c r="B66" i="1"/>
  <c r="O65" i="1"/>
  <c r="E65" i="1"/>
  <c r="B65" i="1"/>
  <c r="O64" i="1"/>
  <c r="E64" i="1"/>
  <c r="B64" i="1"/>
  <c r="O63" i="1"/>
  <c r="E63" i="1"/>
  <c r="B63" i="1"/>
  <c r="O62" i="1"/>
  <c r="E62" i="1"/>
  <c r="B62" i="1"/>
  <c r="O61" i="1"/>
  <c r="E61" i="1"/>
  <c r="B61" i="1"/>
  <c r="O60" i="1"/>
  <c r="E60" i="1"/>
  <c r="B60" i="1"/>
  <c r="O59" i="1"/>
  <c r="E59" i="1"/>
  <c r="B59" i="1"/>
  <c r="O58" i="1"/>
  <c r="E58" i="1"/>
  <c r="B58" i="1"/>
  <c r="O57" i="1"/>
  <c r="E57" i="1"/>
  <c r="B57" i="1"/>
  <c r="O56" i="1"/>
  <c r="E56" i="1"/>
  <c r="B56" i="1"/>
  <c r="O55" i="1"/>
  <c r="E55" i="1"/>
  <c r="B55" i="1"/>
  <c r="O54" i="1"/>
  <c r="E54" i="1"/>
  <c r="B54" i="1"/>
  <c r="O53" i="1"/>
  <c r="E53" i="1"/>
  <c r="B53" i="1"/>
  <c r="O52" i="1"/>
  <c r="E52" i="1"/>
  <c r="B52" i="1"/>
  <c r="O51" i="1"/>
  <c r="E51" i="1"/>
  <c r="B51" i="1"/>
  <c r="O50" i="1"/>
  <c r="E50" i="1"/>
  <c r="B50" i="1"/>
  <c r="O49" i="1"/>
  <c r="E49" i="1"/>
  <c r="B49" i="1"/>
  <c r="O48" i="1"/>
  <c r="E48" i="1"/>
  <c r="B48" i="1"/>
  <c r="O47" i="1"/>
  <c r="E47" i="1"/>
  <c r="B47" i="1"/>
  <c r="O46" i="1"/>
  <c r="E46" i="1"/>
  <c r="B46" i="1"/>
  <c r="O45" i="1"/>
  <c r="E45" i="1"/>
  <c r="B45" i="1"/>
  <c r="O44" i="1"/>
  <c r="E44" i="1"/>
  <c r="B44" i="1"/>
  <c r="O43" i="1"/>
  <c r="E43" i="1"/>
  <c r="B43" i="1"/>
  <c r="O42" i="1"/>
  <c r="E42" i="1"/>
  <c r="B42" i="1"/>
  <c r="O41" i="1"/>
  <c r="E41" i="1"/>
  <c r="B41" i="1"/>
  <c r="O40" i="1"/>
  <c r="E40" i="1"/>
  <c r="B40" i="1"/>
  <c r="O39" i="1"/>
  <c r="E39" i="1"/>
  <c r="B39" i="1"/>
  <c r="O38" i="1"/>
  <c r="E38" i="1"/>
  <c r="B38" i="1"/>
  <c r="O37" i="1"/>
  <c r="E37" i="1"/>
  <c r="B37" i="1"/>
  <c r="O36" i="1"/>
  <c r="E36" i="1"/>
  <c r="B36" i="1"/>
  <c r="O35" i="1"/>
  <c r="E35" i="1"/>
  <c r="B35" i="1"/>
  <c r="O34" i="1"/>
  <c r="E34" i="1"/>
  <c r="B34" i="1"/>
  <c r="O33" i="1"/>
  <c r="E33" i="1"/>
  <c r="B33" i="1"/>
  <c r="O32" i="1"/>
  <c r="E32" i="1"/>
  <c r="B32" i="1"/>
  <c r="O31" i="1"/>
  <c r="E31" i="1"/>
  <c r="B31" i="1"/>
  <c r="O30" i="1"/>
  <c r="E30" i="1"/>
  <c r="B30" i="1"/>
  <c r="O29" i="1"/>
  <c r="E29" i="1"/>
  <c r="B29" i="1"/>
  <c r="O28" i="1"/>
  <c r="E28" i="1"/>
  <c r="B28" i="1"/>
  <c r="O27" i="1"/>
  <c r="E27" i="1"/>
  <c r="B27" i="1"/>
  <c r="O26" i="1"/>
  <c r="E26" i="1"/>
  <c r="B26" i="1"/>
  <c r="O25" i="1"/>
  <c r="E25" i="1"/>
  <c r="B25" i="1"/>
  <c r="O24" i="1"/>
  <c r="E24" i="1"/>
  <c r="B24" i="1"/>
  <c r="O23" i="1"/>
  <c r="E23" i="1"/>
  <c r="B23" i="1"/>
  <c r="O22" i="1"/>
  <c r="E22" i="1"/>
  <c r="B22" i="1"/>
  <c r="O21" i="1"/>
  <c r="E21" i="1"/>
  <c r="B21" i="1"/>
  <c r="O20" i="1"/>
  <c r="E20" i="1"/>
  <c r="B20" i="1"/>
  <c r="O19" i="1"/>
  <c r="E19" i="1"/>
  <c r="B19" i="1"/>
  <c r="O18" i="1"/>
  <c r="E18" i="1"/>
  <c r="B18" i="1"/>
  <c r="O17" i="1"/>
  <c r="E17" i="1"/>
  <c r="B17" i="1"/>
  <c r="O16" i="1"/>
  <c r="E16" i="1"/>
  <c r="B16" i="1"/>
  <c r="O15" i="1"/>
  <c r="E15" i="1"/>
  <c r="B15" i="1"/>
  <c r="O14" i="1"/>
  <c r="E14" i="1"/>
  <c r="B14" i="1"/>
  <c r="O13" i="1"/>
  <c r="E13" i="1"/>
  <c r="B13" i="1"/>
  <c r="O12" i="1"/>
  <c r="E12" i="1"/>
  <c r="B12" i="1"/>
  <c r="O11" i="1"/>
  <c r="E11" i="1"/>
  <c r="B11" i="1"/>
  <c r="O10" i="1"/>
  <c r="E10" i="1"/>
  <c r="B10" i="1"/>
  <c r="O9" i="1"/>
  <c r="E9" i="1"/>
  <c r="B9" i="1"/>
  <c r="O8" i="1"/>
  <c r="E8" i="1"/>
  <c r="B8" i="1"/>
  <c r="O7" i="1"/>
  <c r="E7" i="1"/>
  <c r="B7" i="1"/>
  <c r="O6" i="1"/>
  <c r="E6" i="1"/>
  <c r="B6" i="1"/>
  <c r="O5" i="1"/>
  <c r="E5" i="1"/>
  <c r="B5" i="1"/>
  <c r="O4" i="1"/>
  <c r="E4" i="1"/>
  <c r="B4" i="1"/>
  <c r="O3" i="1"/>
  <c r="E3" i="1"/>
  <c r="B3" i="1"/>
  <c r="O2" i="1"/>
  <c r="E2" i="1"/>
  <c r="B2" i="1"/>
</calcChain>
</file>

<file path=xl/sharedStrings.xml><?xml version="1.0" encoding="utf-8"?>
<sst xmlns="http://schemas.openxmlformats.org/spreadsheetml/2006/main" count="24400" uniqueCount="4086">
  <si>
    <t>Date</t>
  </si>
  <si>
    <t>Screen Name</t>
  </si>
  <si>
    <t>Full Name</t>
  </si>
  <si>
    <t>Tweet Text</t>
  </si>
  <si>
    <t>Tweet ID</t>
  </si>
  <si>
    <t>App</t>
  </si>
  <si>
    <t>Followers</t>
  </si>
  <si>
    <t>Follows</t>
  </si>
  <si>
    <t>Retweets</t>
  </si>
  <si>
    <t>Favorites</t>
  </si>
  <si>
    <t>Verfied</t>
  </si>
  <si>
    <t>User Since</t>
  </si>
  <si>
    <t>Location</t>
  </si>
  <si>
    <t>Bio</t>
  </si>
  <si>
    <t>Profile Image</t>
  </si>
  <si>
    <t>Google Maps</t>
  </si>
  <si>
    <t>Sergio Fajardo</t>
  </si>
  <si>
    <t>Twitter for Android</t>
  </si>
  <si>
    <t>No</t>
  </si>
  <si>
    <t>Colombia</t>
  </si>
  <si>
    <t>Twitter for iPhone</t>
  </si>
  <si>
    <t>Periscope</t>
  </si>
  <si>
    <t>Ph.D. en Matemáticas. Univ. of Wisconsin-Madison. Excandidato presidencial 2018. Gobernador de Antioquia 2012-2015. Alcalde de Medellín 2004-2007.</t>
  </si>
  <si>
    <t>Twitter Web App</t>
  </si>
  <si>
    <t>RT @ProfFeynman: To those who do not know mathematics it is difficult to get across a real feeling as to the beauty, the deepest beauty, of…</t>
  </si>
  <si>
    <t>RT @ProfFeynman: "Mathematics is the language in which God has written the universe." -- Galileo Galilei (1564 - 1642) 🧠 https://t.co/vSeo…</t>
  </si>
  <si>
    <t>RT @andresaguirrem: Este es un día especial para mí: hace 20 años la Junta de @HPTU me informó que había sido designado para dirigir el hos…</t>
  </si>
  <si>
    <t>RT @Uniandes: #ClaseALaCalle "Es preocupante la generalización de la corrupción, no todos los políticos son corruptos, tener esa visión hac…</t>
  </si>
  <si>
    <t>RT @LeopoldoTweets: El llamado al diálogo que hacen (hacemos) 576 profesores a líderes y gobierno https://t.co/pLnOa761rl</t>
  </si>
  <si>
    <t>RT @ivanmarulanda: Esta fue mi intervención en las #ComisionesIIIConjuntas. Lo hice con vehemencia porque este Proyecto Tributario del Gobi…</t>
  </si>
  <si>
    <t>RT @afajardoa: La primera vez me molestó porque me señalaron: “el violador eras tú”. Y yo no soy un violador. Luego, entendí que necesitaba…</t>
  </si>
  <si>
    <t>La educación es el Pilar fundamental para luchar contra las desigualdades. Mientras no sea el gran proyecto de tran… https://t.co/zzshYnKLoo</t>
  </si>
  <si>
    <t>Vamos a marchar. #4DElParoSigue https://t.co/DNTP1wUP58</t>
  </si>
  <si>
    <t>Hoy voy a marchar para ratificar el sentido de la protesta social, una expresión legítima de la ciudadanía. En este… https://t.co/U8PK3rVcGp</t>
  </si>
  <si>
    <t>RT @compromisociu: ¡Acá estamos! en las calles con @sergio_fajardo e @ivanmarulanda porque sabemos que no hay futuro, no hay nación si no h…</t>
  </si>
  <si>
    <t>A mi llegada a la Plaza de Bolívar acepté la invitación de Cristian López, un joven de 22 años que reclama un país… https://t.co/87RPUWkHUV</t>
  </si>
  <si>
    <t>RT @compromisociu: Con alegría, en paz y con toda la energía seguimos en las calles para que nos escuchen, para construir una Colombia dist…</t>
  </si>
  <si>
    <t>RT @Juan_Florez: La fuerza moral de la legítima protesta ciudadana radica en su carácter no violento. Nada bueno ha traído la violencia a l…</t>
  </si>
  <si>
    <t>RT @slondonouribe: Un gravísimo error de análisis político ha llevado al Presidente y al Gobierno a subestimar las marchas y el descontento…</t>
  </si>
  <si>
    <t>RT @ivanmarulanda: Después de la nefasta aprobación del proyecto tributario del Gobierno, el compromiso era hoy en las calles con la gente.…</t>
  </si>
  <si>
    <t>RT @ClubReporteros: .@MabelLaraNews digna mujer colombiana👏 “Mi mamá me enseñó a amar mi negritud. Desde ahí veo que hay que hacer visible…</t>
  </si>
  <si>
    <t>RT @cataortizcamara: La mujer destacada de hoy es Ángela Restrepo, una de las científicas más importante de Colombia y pionera en el estudi…</t>
  </si>
  <si>
    <t>RT @afajardoa: El gobierno lo logró después de mucho intentarlo: ya la ciudadanía confía más en la FARC que en ellos mismos. Según la encue…</t>
  </si>
  <si>
    <t>Ayer caminé con Iván. Personas de todo tipo y en todos lados se acercaban a abrazarlo y agradecerle su discurso. Le… https://t.co/I9HjDhROzI</t>
  </si>
  <si>
    <t>RT @AdrianaLucia: ¿Ser imagen de Fontur es un delito, es ilegal? La lista de los artistas que hemos sido imagen para la promoción del país…</t>
  </si>
  <si>
    <t>RT @RevistaSemana: #PremiosLíderes | @ACREESCOL (Asociación Colombiana De Representantes Estudiantiles De La Educación Superior) Por contr…</t>
  </si>
  <si>
    <t>RT @compromisociu: Gracias a todos nuestros voluntarios en su día, ellos tienen el corazón tricolor y le dan vida a nuestro movimiento. htt…</t>
  </si>
  <si>
    <t>RT @dany_matu: ¡Infinitas gracias! Hoy es mi última sesión como Concejal de Medellín, me voy con el ♥️ lleno de amor, gratitud y felicidad.…</t>
  </si>
  <si>
    <t>"Por su liderazgo colectivo como agente de cambio social" la Asociación Colombiana de Representantes Estudiantile… https://t.co/4EKx19tijv</t>
  </si>
  <si>
    <t>Hablaron los sabios, tenemos que escuchar con atención. La anterior misión empezó con emoción y terminó en frustrac… https://t.co/7It56RGRLC</t>
  </si>
  <si>
    <t>"Mala tos le siento al perro" es una expresión campesina que anticipa los males por venir a partir del primer sínto… https://t.co/arkGg5E2gV</t>
  </si>
  <si>
    <t>RT @cesaralo: Nuestro congeso: Aprueba ley Andrés Felipe Arias, buena para mucho bandido, hunde los proyectos anticorrupción y de meritocra…</t>
  </si>
  <si>
    <t>RT @compromisociu: Personas como @ivanmarulanda reivindican la política. En Compromiso nos sentimos orgullosos de construir con él, de segu…</t>
  </si>
  <si>
    <t>RT @mapaho4: El pueblo no se rinde, carajo! https://t.co/a9vFkAHk6d</t>
  </si>
  <si>
    <t>RT @ClaudiaLopez: La nueva Colombia, la de la reconciliación entre generaciones, liderada por jóvenes y mujeres es imparable! ¡Y es una f…</t>
  </si>
  <si>
    <t>Un dato que nos recuerda que no podemos bajar la guardia. El cáncer de Colombia: la corrupción. Una empresa crimin… https://t.co/IjRBbRVbW2</t>
  </si>
  <si>
    <t>RT @ClaudiaLopez: Alejandro Gómez @AlejandroGL2014 es médico y especialista en salud y finanzas de EAFIT. Fue director de Salud Pública en…</t>
  </si>
  <si>
    <t>RT @ClaudiaLopez: Carolina Urrutia es politóloga con Maestria en Políticas Públicas en Harvard. Fue Subdirectora de Desarrollo Sostenible e…</t>
  </si>
  <si>
    <t>RT @EdnaBonillaSeba: Gracias a la Alcaldesa @ClaudiaLopez. Con educación transformaremos nuestra amada Bogotá. Necesitamos que nuestras niñ…</t>
  </si>
  <si>
    <t>RT @hectorabadf: Esta tarde presento en Medellín "Lo que fue presente", los diarios que llevé entre 1985 y 2006. Los invito. https://t.co/k…</t>
  </si>
  <si>
    <t>RT @ClaudiaLopez: Nicolás Montero es antropólogo, actor y director de teatro formado en los Andes y el Central School of Speech and Drama e…</t>
  </si>
  <si>
    <t>En Colombia tenemos un gran reto como sociedad en materia de Derechos Humanos. Que sea el día para recordar que la… https://t.co/0ww9bOTv9s</t>
  </si>
  <si>
    <t>RT @ivanmarulanda: Colombia es el único país en donde la #ReformaTributaria no toca la concentración de la riqueza, y eso sucede porque los…</t>
  </si>
  <si>
    <t>RT @ClaudiaLopez: Adriana Córdoba es Trabajadora Social con posgrados en Planeación Urbana/Regional de la ESAP y Los Andes. Ha trabajado e…</t>
  </si>
  <si>
    <t>RT @TIME: .@GretaThunberg is TIME's 2019 Person of the Year #TIMEPOY https://t.co/YZ7U6Up76v https://t.co/SWALBfeGl6</t>
  </si>
  <si>
    <t>RT @MantillaIgnacio: Ordenando hoy mi biblioteca me encontré esta joya: qué grato recuerdo tengo de este obsequio del Prof. Takeuchi con el…</t>
  </si>
  <si>
    <t>RT @DanielSamperO: ¿En qué momento Colombia se convirtió en un país en que un estudiante muere por un disparo del Esmad y corren videos de…</t>
  </si>
  <si>
    <t>RT @riveraalzate: Ayer tuvimos una excelente reunión con @sergio_fajardo y el Equipo Distrital de @compromisobog para conversar sobre las p…</t>
  </si>
  <si>
    <t>RT @DanielSamperO: Absolutamente genial esta oda a la cacerola de @juanospinamusic, (con ayuda en la letra de @leopoldotweets)... Se ganó m…</t>
  </si>
  <si>
    <t>RT @manuel_rodb: Esta es una calumnia: no tengo ningún contrato ni con la administración distrital, ni con el gobierno nacional. Ni lo tend…</t>
  </si>
  <si>
    <t>RT @Juan_Florez: ¿Y qué los jóvenes no tiene ninguna razón para protestar? Miren estos indicadores oficiales de Bogotá: tasa de desempleo j…</t>
  </si>
  <si>
    <t>Que sean muy felices!. https://t.co/nKnEXf6ciU</t>
  </si>
  <si>
    <t>RT @hectorabadf: En @elespectador me hicieron la primera entrevista sobre "Lo que fue presente", mis diarios: https://t.co/mVUcGxQLH2</t>
  </si>
  <si>
    <t>RT @ivanmarulanda: Bienvenido Senador y profesor @AntanasMockus. Estamos muy felices de tenerlo nuevamente aquí con nosotros ¡Cuánta falta…</t>
  </si>
  <si>
    <t>RT @ccexterior: En plena reunión con todos los nodos de @compromisociu , planeando el #2020 @sergio_fajardo @saramoreno1 @pcolmenares #SePu…</t>
  </si>
  <si>
    <t>RT @pmarsupia: Fantástico artículo sobre una de las mayores joyas de la Lógica: el Teorema de Incompletitud de Gödel https://t.co/Linzl3MWR2</t>
  </si>
  <si>
    <t>RT @ClaudiaLopez: ¡Rumbo al momento más feliz de mi vida! ¡Te amo mi Angelica divina! ¡Gracias por existir y por amarme siempre. Te promet…</t>
  </si>
  <si>
    <t>Esta es la JEP que honra la justicia transicional. Felicitaciones. Muy buena explicación de @elespectador https://t.co/HR1PFaKJtY</t>
  </si>
  <si>
    <t>RT @MauriceArmitage: Cali debe tener más humanidad. Y la única forma es con equidad, logrando que los niños de los colegios públicos obteng…</t>
  </si>
  <si>
    <t>RT @AbadColorado: En Dabeiba, mayo 92, fue mi primer registro de la guerra, la que siempre pierden los mismos; hijos de campesinos o person…</t>
  </si>
  <si>
    <t>RT @compromisociu: Compartimos fotos de G. Segal (El viaje que nunca termina). Reflejan vulnerabilidad de quienes buscan un mejor futuro (m…</t>
  </si>
  <si>
    <t>RT @agaviriau: Los mercenarios del odio de esta red me producen más tristeza que rabia. Un poco de desazón también. El fanatismo político e…</t>
  </si>
  <si>
    <t>María José Pizarro dio una buena lección ayer en el congreso. Las reglas son para cumplirlas. Sus explicaciones son serias y creíbles.</t>
  </si>
  <si>
    <t>RT @ZuluagaCamila: Les comparto una conversación que sostuve con un congresista cuyo nombre omito, puesto que acepté ya sus disculpas. Sin…</t>
  </si>
  <si>
    <t>RT @Juan_Florez: Encuesta de los periodistas especializados en Bogotá me seleccionó como mejor concejal 2019. Agradezco a quienes trabajaro…</t>
  </si>
  <si>
    <t>RT @slondonouribe: Es un despropósito y una irresponsabilidad construir un autódromo con dineros públicos en un Departamento como Antioquia…</t>
  </si>
  <si>
    <t>RT @hectorabadf: Grabé con mi voz "El olvido que seremos". El audiolibro está en varias plataformas. Esta, en Audible, es una: https://t.c…</t>
  </si>
  <si>
    <t>Tremendo libro. Lo leí con un nudo en el estómago, de principio a fin. Sin saltarme una sola palabra. Un libro dulc… https://t.co/3CuPoSWR1j</t>
  </si>
  <si>
    <t>RT @manuel_rodb: "La próxima década pasará a la historia como una en la que se jugó el futuro del cambio climático (...), el futuro de la e…</t>
  </si>
  <si>
    <t>RT @ProfFeynman: "When one teaches, two learn." -- Robert Heinlein 🧠</t>
  </si>
  <si>
    <t>RT @fidelcanoco: En las actuales circunstancias la salida populista es posible. Sobre todo si sigue el pacto diabólico en el que la dirigen…</t>
  </si>
  <si>
    <t>RT @arenasgermanjfc: Ciencia y Libertad, eso son los fines que las directivas y docentes de la @UdeMedellin_ defraudaron al graduar @Julian…</t>
  </si>
  <si>
    <t>En minutos en @NoticiasCaracol hablaré sobre el cambio que empezó a darse el pasado #21N, sobre la importancia de… https://t.co/ilwI5vICrj</t>
  </si>
  <si>
    <t>RT @AbadColorado: Mi testimonio de nueva generación de “Alzados en almas”. Es 22/12 desde Medellín, marchando, resistiendo y cantando por u…</t>
  </si>
  <si>
    <t>RT @fdbedout: En Tumaco asesinan en Navidad a #LucyVillarreal salía de un taller con niños. Quieren que los crímenes sean rutina, que se co…</t>
  </si>
  <si>
    <t>RT @afajardoa: Lucy, recordar a María del Pilar... Nombrar el dolor... "Es que ya habían asesinado a Temístocles Machado, ¿quién se acuerd…</t>
  </si>
  <si>
    <t>Se termina un año tremendo, movido e histórico. Colombia está cambiando y nosotros tenemos el reto de construir y e… https://t.co/6c5S3rY2Um</t>
  </si>
  <si>
    <t>RT @JCardenasRey: Julian Silva Cala (@JulianSilvaCala), Abogado y Politólogo con especialización en Gestión Regional del Desarrollo de la @…</t>
  </si>
  <si>
    <t>¡Es una barbaridad lo que pretenden hacer en Jericó! La riqueza del suroeste no es ni será la explotación minera. T… https://t.co/X1DsorE166</t>
  </si>
  <si>
    <t>RT @FelipRamirez_: #FelizDomingo La educación es el motor para la transformación. Siempre lo hemos concebido así y se ha demostrado en much…</t>
  </si>
  <si>
    <t>RT @PabloRamirezU: Viví (más que sobreviví) diez años más de los esperados. El vídeo es para ustedes, y para Pablo en el futuro. Por si lo…</t>
  </si>
  <si>
    <t>Camino a Chiquinquirá. Un saludo de fin de año a tantas personas con quienes compartimos sueños y luchas. El recuer… https://t.co/ioxHS9L1Gm</t>
  </si>
  <si>
    <t>RT @afajardoa: Que el 2020 nos traiga la sabiduría de la joven Elena -que se pone brava y contenta pero se le pasa rápido, sin apegos- y de…</t>
  </si>
  <si>
    <t>RT @DCoronell: Senador Petro, @ClaudiaLopez pudo ganar sin usted y contra usted. Usted hizo todo lo posible para que perdiera sin importar…</t>
  </si>
  <si>
    <t>Hasta siempre Oneida. Nos harás falta! https://t.co/qeQwyg8H84</t>
  </si>
  <si>
    <t>RT @mateocardonah: Se nos fue la mujer más berraca que he conocido. Incansable, alegre, soñadora, conversadora, entregada, servicial, incon…</t>
  </si>
  <si>
    <t>Claudia López, la política más importante en la historia reciente de Colombia enfrenta el reto más grande de su vid… https://t.co/DUM2Ll7k46</t>
  </si>
  <si>
    <t>RT @danielduquev: ¡Lo logramos! @CamiloCalleO desde hoy representará a todas esas personas de Antioquia que sueñan con una sociedad más jus…</t>
  </si>
  <si>
    <t>RT @saramoreno1: Palmira ha estado abrumada por la corrupción y la violencia. ¡Hoy empieza un nuevo camino! Óscar Escobar (@SoyOscarEscob…</t>
  </si>
  <si>
    <t>RT @compromisociu: #Villavicencio empieza a escribir la página de la transformación con @harmanfelipe en la alcaldía. ¡Los mejores deseos e…</t>
  </si>
  <si>
    <t>RT @compromisociu: Empieza una etapa histórica para #Fusagasugá. Con @JairoHortua en la alcaldía, empieza una verdadera transformación #Con…</t>
  </si>
  <si>
    <t>RT @compromisociu: En el Huila, @Luisedussan es el nuevo Gobernador. ¡Felicitaciones y todos los éxitos en su gestión! #GobernadoresCC htt…</t>
  </si>
  <si>
    <t>RT @compromisociu: Equipazo en el Valle 💥 Claro que #SePuede hacer política diferente. Vamos con toda. . @PaolaArenas51 Diputada del Valle…</t>
  </si>
  <si>
    <t>RT @compromisociu: ¡En #Cúcuta también estamos felices! El nuevo alcalde de esta ciudad es un hombre honesto y que va de frente contra la c…</t>
  </si>
  <si>
    <t>RT @compromisociu: ¡Vamos con toda en #Medellín y #Antioquia! Felices de saber que @danielduquev, desde el Concejo y @CamiloCalleO, desde l…</t>
  </si>
  <si>
    <t>RT @compromisociu: En #Manizales celebramos la posesión de @Julianelpolit como concejal. Un hombre que tiene claro lo que significa hacer p…</t>
  </si>
  <si>
    <t>RT @compromisociu: ¡Grande, #Palmira! Logró demostrar el poder ciudadano por encima del poder de las maquinarias. Un logro sin precedentes.…</t>
  </si>
  <si>
    <t>RT @ValleConFajardo: “Un día lo soñamos, hoy lo logramos” @alvarosalinasp, nuevo Concejal de Palmira. Con @SoyOscarEscobar caminamos por t…</t>
  </si>
  <si>
    <t>RT @ValleConFajardo: Se posesionó @SoyOscarEscobar como Alcalde de Palmira. Soñamos con transformar la sociedad, planeamos, salimos a la…</t>
  </si>
  <si>
    <t>RT @compromisociu: En #Boyacá, @RamiroBarraganA es el nuevo gobernador y el encargado de hacer que el departamento siga avanzando. Un hombr…</t>
  </si>
  <si>
    <t>RT @mfajardoa: Una de las mejores películas que vi el año pasado. ¡Obra maestra sobre la desigualdad! Lista para pelearme las entradas y ve…</t>
  </si>
  <si>
    <t>RT @mfajardoa: Arranca el 2020. Algunos medios solo hablan del Papa, Duque habla de las "buenas cifras" de su gob y otros tantos preocupado…</t>
  </si>
  <si>
    <t>1. Primera tarea de los nuevos gobernantes: luchar contra la corrupción. Es la batalla más difícil. La primera con… https://t.co/aFRum89iQW</t>
  </si>
  <si>
    <t>2. Los corruptos están al acecho de las "oportunidades" con los nuevos gobernantes. Primero usan las lisonjas direc… https://t.co/2LK6cu6TRo</t>
  </si>
  <si>
    <t>RT @manuel_rodb: La deforestación es de lejos el problema ambiental más grave de Colombia. En 2020, desde la sociedad civil debemos hacer u…</t>
  </si>
  <si>
    <t>RT @CamiloCalleO: Muy orgulloso de representar los principios de @compromisociu en la @asambleadeant #SePuede https://t.co/mkSUWdx9Xv</t>
  </si>
  <si>
    <t>3. La contralorías son muy apetecidas. Puestos bien remunerados, ojos que no ven cuando se necesitan la oscuridad d… https://t.co/1aOKOUeuDp</t>
  </si>
  <si>
    <t>RT @DanielSamperO: Al líder social Leyner Palacios de Bojayá le dieron dos horas para salir del pueblo... Ayúdenme a RT. #SOSLeynerPalacios</t>
  </si>
  <si>
    <t>Para leer https://t.co/DiFqzjnBZB</t>
  </si>
  <si>
    <t>RT @ProfFeynman: Things that schools don't teach: 🧠 • Emotional behaviour • Financial management • Relationship building • Developing the…</t>
  </si>
  <si>
    <t>RT @riveraalzate: La Bancada @PartidoVerdeCoL del @ConcejoDeBogota me nombró como Vocero para los primeros cuatros meses de 2020. Me honr…</t>
  </si>
  <si>
    <t>RT @GerardMartinG: Poco que ver con el cable; mucho que ver con el PUI. Hay que saber diferenciar entre correlación y impacto. https://t.co…</t>
  </si>
  <si>
    <t>RT @manuel_rodb: En la alcaldía de @ClaudiaLopez se volteará "la ecuación de la anterior administración, que partía de la visión urbanís…</t>
  </si>
  <si>
    <t>RT @SilvaMoyano: La depresión es una enfermedad, no una elección. Es un puto infierno al que sobrevives a diario. La ignorancia al rededor…</t>
  </si>
  <si>
    <t>RT @CesarPachonAgro: Atención! Anoche en #Putumayo asesinaron a Gloria Ocampo, otra líder social que silencian en nuestro país. El hecho oc…</t>
  </si>
  <si>
    <t>RT @ONU_es: La reducción de un 10% en el gasto militar permitiría que 9,5 millones más de niños asistan a la escuela. La educación es el a…</t>
  </si>
  <si>
    <t>RT @Danielsuarezvoz: La clave para atacar la violencia es entenderla: ¿de dónde viene? ¿Quién la justifica y cómo? ¿Cómo se reproduce? ¿Cóm…</t>
  </si>
  <si>
    <t>RT @manuel_rodb: Que en Santa Marta el 81% de la población no cuente con servicio de acueducto o que el que reciben sea pésimo, que el 24…</t>
  </si>
  <si>
    <t>Atención, lo que ocurre en Palmira es increíble. Funcionarios del gobierno anterior, de libre nombramiento y remoci… https://t.co/WS5mSTp5VM</t>
  </si>
  <si>
    <t>RT @dany_matu: Hace unos meses hablaba como Concejal, hoy como ciudadana y con orgullo, al lado de una mujer que inspira como @rocio_pineda…</t>
  </si>
  <si>
    <t>RT @AlejoPalacioRes: En el Concejo de Medellín quieren pactar la elección del Contralor repartiendo puestos. Hoy @danielduquev lo denunció.…</t>
  </si>
  <si>
    <t>RT @escovars: Se equivocan los que circunscriben las labores femeninas únicamente en las labores domésticas. Yo lavo, plancho, cocino, soy…</t>
  </si>
  <si>
    <t>La JEP es fundamental para construir la paz en Colombia. Como dijo Patricia Linares, el primer paso consiste en enc… https://t.co/MADs2Nv9tS</t>
  </si>
  <si>
    <t>RT @colinita: Hoy le cumplimos a la Reserva, a los bogotanos y bogotanas.</t>
  </si>
  <si>
    <t>¿Cuántos más? https://t.co/4LPHldsWxa</t>
  </si>
  <si>
    <t>RT @danielduquev: Voté en blanco, ya les cuento por qué. Con 11 votos queda como Contralora Diana Carolina Torres, los 10 votos restantes f…</t>
  </si>
  <si>
    <t>Una reflexión seria para estos tiempos cuando construir confianza es la primera obligación de los nuevos gobernant… https://t.co/Soif0P9nCc</t>
  </si>
  <si>
    <t>Esto apenas comienza, el camino es largo. @ClaudiaLopez arrancó bien. https://t.co/64EbRpiny6</t>
  </si>
  <si>
    <t>Sabidurías ancestrales https://t.co/OlXW8FYRHG</t>
  </si>
  <si>
    <t>RT @MJDuzan: Una democracia no puede vivir en el miedo. Repudiamos estas amenazas. Por eso preguntamos: quiénes son las Águilas negras? Por…</t>
  </si>
  <si>
    <t>RT @ClaudiaLopez: Mil gracias por sus expresiones de solidaridad. Las tales Aguilas Negras no son un grupo armado sino una fuerza de hostig…</t>
  </si>
  <si>
    <t>No es tarde para decirle adiós al Caimán quien hoy descansa en el cielo de los grandes arqueros. Mi primer ídolo en… https://t.co/mqKA8U4vvf</t>
  </si>
  <si>
    <t>RT @manuel_rodb: No se lo pierda. Mañana, Alejandro Gaviria, rector de @Uniandes y Cristián Samper, Presidente de @TheWCS, inauguran la C…</t>
  </si>
  <si>
    <t>RT @ivanmarulanda: !Qué dolor la falta de Antanas Mockus en el Senado! Nuestra bancada Verde sentirá en el alma su ausencia. Mi abrazo frat…</t>
  </si>
  <si>
    <t>Nos comió la corrupción https://t.co/NQIt9mKJGF vía @elespectador</t>
  </si>
  <si>
    <t>RT @AlejoPalacioRes: Gracias al Tribunal Superior de Bogotá José Félix Lafaurie no podrá seguir descalificando a sus opositores a través de…</t>
  </si>
  <si>
    <t>Diomedes Santiago un amigo barranquillero que se nos fue. Acompañamos a su familia en el dolor. Nos hará falta. Que… https://t.co/VrLtma7YX3</t>
  </si>
  <si>
    <t>RT @ClaudiaLopez: Esta pugnacidad y saboteo permanente entre Petro y Peñalosa a costa del bienestar de Bogotá fue derrotado contundentement…</t>
  </si>
  <si>
    <t>RT @alvaroforero: La principal función de los gobiernos es entender su época/pueblo (diagnóstico), convertirlo en programas y reformas resp…</t>
  </si>
  <si>
    <t>RT @Osgazu: Luego de dialogar en Tumaco con líderes desplazados por violencia derivada de lucha por control del territorio entre actores de…</t>
  </si>
  <si>
    <t>RT @danielduquev: Porque queremos una sociedad en la que el agua valga más que el oro y el cobre #JericóSinMinería</t>
  </si>
  <si>
    <t>RT @compromisobog: Nuestro Equipo Distrital se reunió con el Concejal Martín @riveraalzate para alinear el trabajo de este año con su equip…</t>
  </si>
  <si>
    <t>Hace tres años participé en @ForosSemana, comencé diciendo que el país estaba indignado; hay qué ver lo que ha pro… https://t.co/7bUuwdWMaB</t>
  </si>
  <si>
    <t>RT @UNESCO_es: El Holocausto empezó con palabras. Usemos la educación para desmontar el discurso del odio y prevenir los genocidios. Hoy…</t>
  </si>
  <si>
    <t>RT @compromisociu: Ya estamos en el #ForoColombia2020 con @sergio_fajardo, quién participará en el panel: Protesta social ¿Cómo conciliar l…</t>
  </si>
  <si>
    <t>RT @RevistaSemana: @asantosrubino @SemanaRural @migravenezuela @NancyPatricia_G @MauricioCard @sergio_fajardo "Colombia no le ha apostado a…</t>
  </si>
  <si>
    <t>RT @ForosSemana: @sergio_fajardo #ForoColombia2020 | "Aparecieron tres palabras como nunca habían aparecido antes: en Colombia la percepció…</t>
  </si>
  <si>
    <t>RT @ForosSemana: #ForoColombia2020 | "Colombia no ha podido pasar la página. Esa Colombia sigue siendo cada vez más una Colombia que esta d…</t>
  </si>
  <si>
    <t>RT @compromisociu: #ForoColombia2020 | "En Colombia, la corrupción ya significa para muchos: me están robando las oportunidades. Ya no es c…</t>
  </si>
  <si>
    <t>RT @RevistaSemana: @asantosrubino @SemanaRural @migravenezuela @NancyPatricia_G @MauricioCard @sergio_fajardo "Vamos a luchar contra las de…</t>
  </si>
  <si>
    <t>RT @RevistaDinero: "Este es un sistema corrupto y este sistema corrupto se convierte en una desconfianza en las instituciones de nuestro pa…</t>
  </si>
  <si>
    <t>RT @RevistaDinero: "La gente está cansada de la desigualdad. Cada vez entienden más que la riqueza está acumulada en muy pocas personas y e…</t>
  </si>
  <si>
    <t>RT @compromisociu: Colombia hoy es una Colombia joven. Es una generación con incertidumbre y con capacidad para actuar sobre los temas que…</t>
  </si>
  <si>
    <t>El país hace tres años estaba fragmentado, indignado. Hoy se ha profundizado. La corrupción y las desigualdades soc… https://t.co/pL78KFsZYB</t>
  </si>
  <si>
    <t>RT @VickyDavilaH: Videos: Una ballena de aleta, en vía de extinción, fue avistada por primera vez en el Caribe colombiano. Es impactante la…</t>
  </si>
  <si>
    <t>RT @JFValenciaF: Vereda Quebradona, en el corregimiento Palocabildo de Jericó, aquí, donde nace el agua y todo es verde, Anglo Gold quiere…</t>
  </si>
  <si>
    <t>RT @sandraborda: Cuando la incompetencia y la terquedad terminan convertidas en pura y física payasada https://t.co/qy0fZyn4iq</t>
  </si>
  <si>
    <t>RT @compromisociu: #ForoColombia2020 | “La gente empieza a entender lo que significan las desigualdades profundas que tiene nuestro país. Y…</t>
  </si>
  <si>
    <t>Las últimas encuestas evidencian que desempleo, corrupción y educación son los principales problemas del país. Esta… https://t.co/1alKGK0SaX</t>
  </si>
  <si>
    <t>RT @Citytv: 🐋 Video registra a ballena nunca antes vista en el Caribe colombiano. Es la segunda de mayor tamaño en el mundo, ¿cuánto mide e…</t>
  </si>
  <si>
    <t>RT @arbelaezjuanm: Mi papá le hicieron trasplante de corazón en la Clínica Cardio Vid Calle 78b #75-21 en Medellin y está necesitando sangr…</t>
  </si>
  <si>
    <t>Sabemos que los jóvenes de #Bolívar tienen mucho por decir sobre su región y el país, y como estaremos en Cartagena… https://t.co/EueH3GIJ5D</t>
  </si>
  <si>
    <t>Jericó es un pueblo entrañable en las montañas del suroeste antioqueño. Si llega la minería lo van a destruir. No.… https://t.co/Y4IgiqT1Kl</t>
  </si>
  <si>
    <t>Así se hace. La lucha contra la corrupción es diaria y dura. Los corruptos, de todas las condiciones, van a atacar… https://t.co/pUj80mHKOt</t>
  </si>
  <si>
    <t>El Caribe es la tierra de la creatividad. En particular, el Atlántico. El talento es abundante. El departamento se… https://t.co/FxZ2FjcvXJ</t>
  </si>
  <si>
    <t>Felicitaciones. El trabajo de Fedesarrollo es sinónimo de seriedad y rigor. Larga vida. https://t.co/E6DgQQ3tqo</t>
  </si>
  <si>
    <t>Héroes silenciosos. Se puede. Estudiante creó plataforma educativa para escuelas rurales https://t.co/1OsH0yce3W #udea vía @udea</t>
  </si>
  <si>
    <t>RT @jbedoyalima: Edita Garrido, sobreviviente de la masacre de El Salado (Montes de María), me ha pedido que les comparta este mensaje. Por…</t>
  </si>
  <si>
    <t>Siempre será posible tramitar y discutir las diferencias si se parte del respeto y la decencia. Hoy tuvimos una bue… https://t.co/x2ytBYD4UB</t>
  </si>
  <si>
    <t>RT @MauriceArmitage: Apreciados caleños, quiero anunciarles que acabamos de ganarnos un premio del @BancoMundial por el trabajo que hicimos…</t>
  </si>
  <si>
    <t>Un articulo divertido. "Soy doctora en matemáticas y no sé dividir con tres cifras ni sé calcular a mano una raíz… https://t.co/39KahVFiAl</t>
  </si>
  <si>
    <t>RT @compromisociu: La paz empieza con la educación. En los centros educativos construimos una visión del mundo y aprendemos a ser diferente…</t>
  </si>
  <si>
    <t>RT @compromisociu: ¡Este año será emocionante!, vamos a recorrer junto a @sergio_fajardo las regiones del país y a conversar con los protag…</t>
  </si>
  <si>
    <t>RT @Gerardoperezh: Juan Pablo era un joven que solo quería vivir. Su desaparición y muerte nos hace sentir vacíos, nos asesina a todos.…</t>
  </si>
  <si>
    <t>Un 1 de febrero entró por primera vez una mujer a estudiar a una universidad en Colombia. Gerda Westendorp fue médi… https://t.co/MsahvHLSbP</t>
  </si>
  <si>
    <t>La decencia no se improvisa. Se tiene o no se tiene. Bien Egan https://t.co/oJ1UCaQPnq</t>
  </si>
  <si>
    <t>¿Cómo funciona el cerebro de los corruptos? La ciencia nos ayuda a entender este tema. Este artículo vale la pena.… https://t.co/HAk6QTBRGi</t>
  </si>
  <si>
    <t>RT @FelicianoValen: A esta hora recibimos el cuerpo de nuestro guardia indígena asesinado en Santander de Quilichao Cauca. !pese a la muert…</t>
  </si>
  <si>
    <t>RT @RSilvaRomero: Sacan a Colombia de la más importante red internacional de memoria https://t.co/trUMhUDIKo</t>
  </si>
  <si>
    <t>Patético. Todavía desconociendo que en Colombia hemos tenido conflicto armado. Así, no se puede. Qué vergüenza. https://t.co/woCFORwbrb</t>
  </si>
  <si>
    <t>Llegamos a Cartagena. Tierra de talento y creatividad. https://t.co/NSkSOnhIS1</t>
  </si>
  <si>
    <t>RT @compromisociu: #Cartagena | "Este es un país cada vez más centralista y las soluciones deben venir desde las regiones. Por eso estamos…</t>
  </si>
  <si>
    <t>¿Cómo convertimos la educación en un tema central de la sociedad colombiana?. Debemos hacer de la educación el proy… https://t.co/4dPdRKhSLu</t>
  </si>
  <si>
    <t>RT @compromisociu: #Bolívar | Ellos, el motor de esta transformación en Bolívar. Gracias por ser parte de este sueño llamado Compromiso. 🇨🇴…</t>
  </si>
  <si>
    <t>Desde el mejor colegio de Bolívar, Soledad Acosta de Samper, les cuento cómo fue nuestro primer día de gira en… https://t.co/zrldV52L6z</t>
  </si>
  <si>
    <t>RT @compromisociu: #FelizMiércoles desde #Cartagena. La desigualdad no es falta de capacidades, sino falta de oportunidades. Ese es el muro…</t>
  </si>
  <si>
    <t>RT @compromisociu: #Cartagena | Lo que nos une a nosotros son principios y una convicción profunda de que la política de este país #SePuede…</t>
  </si>
  <si>
    <t>RT @HGomezBuendia: #FuerzasOpuestas ↔ El clientelismo normalmente se define como el intercambio de favores particulares a cambio de apoyos…</t>
  </si>
  <si>
    <t>RT @AlejoPalacioRes: Una vez más aparecen panfletos de las águilas negras donde nos amenazan por defender nuestros derechos. Infundir miedo…</t>
  </si>
  <si>
    <t>RT @compromisociu: Para entender una región, hay que entender a su gente,su vida, sus razones, sus sueños. Saber escuchar. Caminamos las ca…</t>
  </si>
  <si>
    <t>Giselly Landázuri, representa a Bolívar en salto triple y además, es politóloga. Gracias al deporte pudo estudiar.… https://t.co/rNzPFof0Ko</t>
  </si>
  <si>
    <t>RT @compromisociu: #Cartagena | Madrugamos con @sergio_fajardo a contarles qué vinimos a hacer en la heróica y cómo nos ha ido. Estamos en…</t>
  </si>
  <si>
    <t>#AlAire por @lafm hablando de nuestra gira por Colombia y de la situación del país. Sigan entrevista en vivo aquí.… https://t.co/5ZEGvODYZR</t>
  </si>
  <si>
    <t>RT @lafm: #AlAireEnLaFM Sergio Fajardo, candidato a la Presidencia https://t.co/eyTGBdxAeD #MePasoALaFM https://t.co/1gk3idWTmL</t>
  </si>
  <si>
    <t>RT @compromisociu: #Cartagena | "Una cosa es estar en Bogotá montando tuit, insultando a todo el mundo y otra es estar en Cartagena escucha…</t>
  </si>
  <si>
    <t>Vamos cerrando nuestra gira por Cartagena. Un espacio para escuchar diferentes visiones de región y país que nos de… https://t.co/cPlJdtDB2n</t>
  </si>
  <si>
    <t>RT @compromisociu: #Cartagena | El medio ambiente es una condición necesaria para el desarrollo. #Bolívar enfrenta unos retos importantes e…</t>
  </si>
  <si>
    <t>RT @farfalev: Con esta foto tan elegante, hoy salí con mi primera columna en @ELTIEMPO. Voy a hablar de los temas que trabajamos en @linter…</t>
  </si>
  <si>
    <t>RT @GisellyLandazur: @sergio_fajardo Muchas gracias por la confianza y el espacio de conversación, @sergio_fajardo Gracias por escuchar a l…</t>
  </si>
  <si>
    <t>RT @SalcedoRamos: Que a Aida Merlano no deba creérsele todo lo que diga no implica que haya que dejar de investigar sus señalamientos hasta…</t>
  </si>
  <si>
    <t>RT @ArielAnaliza: Esta entrevista que me hizo @VickyDavilaH hace unas semanas advertí todo lo que pasaría en el caso Aida Merlano... le peg…</t>
  </si>
  <si>
    <t>RT @ParquesColombia: Parques Nacionales Naturales de Colombia lamenta y rechaza el asesinato de Yamid Alonso Silva Torres, guardaparque del…</t>
  </si>
  <si>
    <t>Bogotá en las mejores manos. Ideas claras, una ruta clara y una gran capacidad para construir. https://t.co/nnq2ahOe5v</t>
  </si>
  <si>
    <t>RT @ACREESCOL: Desde ACREES condenamos amenazas a @AlejoPalacioRes, @JenniferPedraz y todos los líderes y lideresas sociales, reiteramos r…</t>
  </si>
  <si>
    <t>RT @ProfFeynman: Things that schools should teach: 🧠 • Emotional behaviour • Financial management • Relationship building • Developing the…</t>
  </si>
  <si>
    <t>¡Tuvimos una gira extraordinaria en #Cartagena! Las regiones y su gente son las protagonistas y por eso, es… https://t.co/k4I1JDIwcR</t>
  </si>
  <si>
    <t>RT @ClaudiaLopez: @sergio_fajardo @compromisociu Gracias querido Sergio. Verte, conversar y contar con tu amistad y consejo siempre me ca…</t>
  </si>
  <si>
    <t>RT @EspinosaRadio: El profesor @mgarciavillegas recuerda en esta muy buena entrevista lo que es, tal vez, nuestro peor fracaso: que los hij…</t>
  </si>
  <si>
    <t>RT @CeciliaLopezM: Comparto con ustedes la entrevista de Maria Isabel Rueda sobre la economía del cuidado. Muchas gracias a Maria Isabel po…</t>
  </si>
  <si>
    <t>RT @RevistaSemana: El senador @ivanmarulanda le envió una carta a @IvanDuque, en la que cuestiona que no haya desautorizado al comandante d…</t>
  </si>
  <si>
    <t>RT @colombiahoy: Comfama acaba de publicar esta colección de artículos y conferencias sobre la historia de Medellín y sobre los duros años…</t>
  </si>
  <si>
    <t>RT @UN: The world needs science, and science needs women 👩‍🔬🧪 On Tuesday's #WomenInScience Day, @UN_Women explains why: https://t.co/fcvD…</t>
  </si>
  <si>
    <t>¡Seguimos recorriendo Colombia! Retos y perspectivas del Gobierno Municipal son los temas que tratamos hoy con… https://t.co/WnZI3K8K9r</t>
  </si>
  <si>
    <t>RT @SoyOscarEscobar: Conocer diferentes perspectivas del gobierno municipal nos permite gobernar para todos los palmiranos. #PalmiraPaLant…</t>
  </si>
  <si>
    <t>RT @fernandoposada_: Pueden defender como quieran a las tales 'bodegas' en redes, sean de izquierda o derecha. Lo cierto es que debe ser mu…</t>
  </si>
  <si>
    <t>RT @cboteromarino: Ojalá todos los servidores públicos entendieran que tienen tres deberes especiales: el de ser más tolerantes a la crític…</t>
  </si>
  <si>
    <t>RT @compromisociu: Hoy en Palmira con @SoyOscarEscobar y en Jamundí con @FelipRamirez_, será una jornada de trabajo emocionante. Alcaldes…</t>
  </si>
  <si>
    <t>RT @cataortizcamara: Una de mis cosas favoritas de @sergio_fajardo es que es profesor. Hoy acompañándolo por el #Valle a compartir su exper…</t>
  </si>
  <si>
    <t>RT @cataortizcamara: Ya son quince años construyendo y aprendiendo con @sergio_fajardo. ¡Qué satisfacción ahora tener gobernantes en el #Va…</t>
  </si>
  <si>
    <t>RT @compromisociu: Empezamos nuestra reunión de Compromiso Ciudadano en #Valledelcauca con un homenaje a la vida de Oneida García, una muje…</t>
  </si>
  <si>
    <t>RT @BarackObama: Thirty years on, I remember the hope we all felt watching Mandela’s release from prison. The gift of a new way of seeing.…</t>
  </si>
  <si>
    <t>RT @fdbedout: Cuando la noticia de un gobierno es el asesor de Comunicaciones, algo está fallando en las comunicaciones de ese gobierno.</t>
  </si>
  <si>
    <t>Para escuchar hay que estar presentes, por eso la importancia de recorrer las regiones. Después de una fructífera r… https://t.co/ARIu1e95N3</t>
  </si>
  <si>
    <t>Estamos en la etapa que más me gusta y es la de escuchar a la gente. Colombia es un país centralizado que desprecia… https://t.co/fbVlDx9QnS</t>
  </si>
  <si>
    <t>Conversé con el equipo de @TocaStereo1053 y les conté que estamos en una de las partes más emocionantes de este pro… https://t.co/rXCf1nlMg1</t>
  </si>
  <si>
    <t>RT @piedadcordoba: He leído los trinos de @SofiGomezU y he visto su video, veo una persona triste y arrepentida. Negarle la posibilidad d…</t>
  </si>
  <si>
    <t>RT @MujeresConfiar: La economía feminista se ha hecho preguntas que la economía no había planteado. Por ejemplo: ¿quién le hacía la cena a…</t>
  </si>
  <si>
    <t>RT @slondonouribe: La costumbre de informarse o comunicarse exclusivamente por redes está matando el contexto, y la muerte del contexto es,…</t>
  </si>
  <si>
    <t>RT @Juan_Florez: El régimen que lleva décadas controlando el país está podrido hasta la médula. Ningún maquillaje lo arreglará. Solo una de…</t>
  </si>
  <si>
    <t>Un diálogo productivo con el equipo de @compromisociu Tolima, motor de la transformación en ese departamento. Revis… https://t.co/ZWfDlDDZ5a</t>
  </si>
  <si>
    <t>Ocho días, cinco municipios. ¡Mañana rumbo a Villavicencio! https://t.co/emYnoiLjjA</t>
  </si>
  <si>
    <t>RT @JuanitaGoe: Hoy celebramos el legado de mi mamá. 🙏🏽 Me enseñó la curiosidad por aprender, me hizo feminista por ósmosis, me transmitió…</t>
  </si>
  <si>
    <t>Naím explica la esencia de la batalla política colombiana: pasar la página requiere una alternativa que enfrente la… https://t.co/KwfG6ns8Es</t>
  </si>
  <si>
    <t>Se puede gobernar diferente y hacerlo bien, liderando transformaciones, dándole un sentido eficiente a lo público y… https://t.co/louwGcMdb4</t>
  </si>
  <si>
    <t>Mi cuaderno de anotaciones en el recorrido por Colombia. Seguro que a muchos les va a gustar y me van a enviar mens… https://t.co/CTi66Vix9H</t>
  </si>
  <si>
    <t>Comparto entrevista con @LlanoSieteDias realizada durante mi visita a Villavicencio donde me reuní con equipo de la… https://t.co/c8aAYReMOk</t>
  </si>
  <si>
    <t>Conocí a Miguel Ángel, su historia personal. Un joven vulnerable que había sufrido lo indecible pero que encontró u… https://t.co/aSif6NwJfJ</t>
  </si>
  <si>
    <t>RT @julioprofenet: 11 años después de abrir mi primer canal en YouTube, me siento feliz de haber ayudado a estudiantes de diferentes países…</t>
  </si>
  <si>
    <t>RT @stevenarce: No deje ir lo que usted sabe que no podrá recuperar.</t>
  </si>
  <si>
    <t>RT @NatGeo: Diego Calderón was researching birds in a remote area of Colombia when he was kidnapped by FARC. Now, he’s returning to meet fo…</t>
  </si>
  <si>
    <t>El caso de Aida es historia conocida: el clientelismo es la puerta de entrada a la corrupción, pagan para llegar y… https://t.co/ktvFFXgQrb</t>
  </si>
  <si>
    <t>RT @alemEmbajador: Qué mensajes nos dejan los cuerpos encontrados? Que nos veamos a los ojos, que aceptemos realidades. Que parientes hagan…</t>
  </si>
  <si>
    <t>Aida, hija putativa del clientelismo https://t.co/QxIPAVHOFL</t>
  </si>
  <si>
    <t>RT @ArielAnaliza: 1. Los 9 congresistas de la casa Char 2. Los distritos electorales como en la época paramilitar 3. Temor al fraude electo…</t>
  </si>
  <si>
    <t>RT @RiverPlate: La sonrisa del 🔟🤟🏼 https://t.co/rshY7ZVV9A</t>
  </si>
  <si>
    <t>RT @slondonouribe: Mi reflexión sobre la memoria, la verdad y la necesidad de nuevas narrativas para la construcción de un país diferente.…</t>
  </si>
  <si>
    <t>RT @compromisociu: Nos reunimos con el concejal, @riveraalzate, el edil de Suba, @jaime5524 y nuestro equipo de @compromisobog. Grandes rep…</t>
  </si>
  <si>
    <t>El Soledad Acosta de Samper es el mejor colegio público de Cartagena y Bolívar. Luis Alfonso Ramírez es el rector y… https://t.co/lcYyKHtsxG</t>
  </si>
  <si>
    <t>RT @ClaudiaLopez: #ENVIVO Hoy Bogotá es Colombia y por eso convocamos al país para cumplir, juntos, los acuerdos de paz. Hoy Bogotá es epic…</t>
  </si>
  <si>
    <t>RT @Fecoer: Únete a esta conversación y entre todos sumemos #AcciónPorLasRaras en el marco del #DíaMundialDeLasEnfermedadesRaras organizado…</t>
  </si>
  <si>
    <t>Maestras y maestros son líderes sociales que todos los días en la escuela construyen la dignidad de sus estudiantes… https://t.co/13AYYGltga</t>
  </si>
  <si>
    <t>La educación es la condición esencial para la construcción de la dignidad de nuestra sociedad. Con educación todo s… https://t.co/cIrHNbo7hf</t>
  </si>
  <si>
    <t>RT @samuelazout: La honestidad y el respeto son valores de la gente decente, no los esperes de todo el mundo.</t>
  </si>
  <si>
    <t>RT @ProfFeynman: A Great Teacher is someone... • who becomes a student with a student. • who has a passion for teaching and learning. • wh…</t>
  </si>
  <si>
    <t>El ejemplo es la forma más potente para educar. https://t.co/NYbb5dZaxl</t>
  </si>
  <si>
    <t>RT @compromisobog: Inició nuestra Asamblea Distrital con las palabras de @riveraalzate,quien nos hace un resumen de su labor durante estos…</t>
  </si>
  <si>
    <t>RT @dianalzuleta: Hace 23 años, a esta misma hora del sábado, fue asesinado mi papá... He vivido más años de lo que viví con él pero sigo…</t>
  </si>
  <si>
    <t>Entevista de Cecilia Orozco a León Valencia. Lectura obligada. https://t.co/igLlfoYUS8</t>
  </si>
  <si>
    <t>RT @JorgeGalindo: El subgénero columnístico “esta palabra existe en [inserte idioma de cultura vista como superior a la propia] pero no en…</t>
  </si>
  <si>
    <t>RT @MJDuzan: Silvia, querida. Hace 30 años te asesinaron junto con Jose Vargas, Miguel Ángel Barajas y Saúl Castañeda en una de las tantas…</t>
  </si>
  <si>
    <t>RT @patricialarasa: ⁦@DefendamosPaz⁩ ⁦@DeLaCalleHum⁩ https://t.co/I5dHrDLKdb</t>
  </si>
  <si>
    <t>RT @riveraalzate: A mi @compromisociu me enseñó que la política se hace a partir de principios. Seguimos creciendo. Hoy en Asamblea Dis…</t>
  </si>
  <si>
    <t>1. ¿Se necesitan psicólogas? 2. ¿Puede un joven de una comunidad humilde, estudiante de un colegio público entrar a… https://t.co/ZJF882Pq1e</t>
  </si>
  <si>
    <t>RT @afajardoa: Escribí sobre cómo decidir ser padre. La vida es tomar barcos que llevan por rutas. Sabemos bien que esos caminos podrían ha…</t>
  </si>
  <si>
    <t>José Antonio Ocampo explica con sencillez y sensatez. Así es. Apertura y desarrollo exportador https://t.co/2pUXFpbTdu</t>
  </si>
  <si>
    <t>En los últimos días he estado compartiendo con ustedes, a través de cortos videos, las reflexiones de Luis Alfonso… https://t.co/u7nyEk8OQ2</t>
  </si>
  <si>
    <t>RT @Camiloenz: Hoy fue un gran día. @compromisobog, a través del ejercicio democrático escogió al equipo distrital que liderará la consolid…</t>
  </si>
  <si>
    <t>RT @PVacaV: Esa ansiedad de que el termómetro de la vida pasa por las redes sociales: -pasó algo hace un minuto -cómo es posible que @.. N…</t>
  </si>
  <si>
    <t>Para empezar la semana este texto de Theodore Roosevelt, escrito en 1910. https://t.co/QD8YqJT1Ac</t>
  </si>
  <si>
    <t>1. Los violentos e ilegales hacen daño al proceso de paz, a la comunidad, a múltiples ecosistemas y a un gran númer… https://t.co/xJzIUbUIlj</t>
  </si>
  <si>
    <t>2. Se requiere intervención directa del presidente Duque. Toda la capacidad del Min Defensa y del Min Ambiente para… https://t.co/wiGJ7ELEel</t>
  </si>
  <si>
    <t>RT @ingjairoyanez: La suspensión de dos Secretarios competentes y transparentes en su accionar es un intento más de ejercer presión por par…</t>
  </si>
  <si>
    <t>RT @NASA: Tonight, count the stars and remember a trailblazer. ✨ A figure hidden no more, Katherine Johnson helped lead us into a new era…</t>
  </si>
  <si>
    <t>RT @Tolaymaruja: Tola y Maruja pedimos perdón por el desafortunado trino sobre Dabeiba. Queríamos provocar indignación, pero no con nosotra…</t>
  </si>
  <si>
    <t>RT @CeciliaOrozcoT: Otro tropiezo de la Fiscalía Barbosa: Capturan a Francisco Galán, el veterano exguerrillero del ELN https://t.co/mGUliA…</t>
  </si>
  <si>
    <t>La Hermana Alba Stella murió hace un año. Dedicó su vida a luchar por las personas pobres del Distrito de Agua Blan… https://t.co/yXnz5Tgv6o</t>
  </si>
  <si>
    <t>RT @Compromiso_Ant: Los #ParquesEducativos fueron proyectados por las comunidades como sitios de encuentro para potenciar el talento, la in…</t>
  </si>
  <si>
    <t>David Ospina es un señor: persona y arquero. Un ejemplo. https://t.co/LHNhpxAMem</t>
  </si>
  <si>
    <t>RT @elespectador: Sylvia Duzán, treinta años sin vida. https://t.co/t1adGpBSXE https://t.co/AuZ8J8Wiw4</t>
  </si>
  <si>
    <t>Luis Carlos Orejarena quiere ser Alcalde de Teusqquillo. Tiene todas la condiciones. Se puede https://t.co/qCBUUEsQZv</t>
  </si>
  <si>
    <t>RT @compromisociu: Acompañaremos a Paola Garzón que quiere ser Alcaldesa Local de Usaquén. #SePuede https://t.co/2B1mB80Haq</t>
  </si>
  <si>
    <t>RT @ClaudiaLopez: Qué te hace el día una tarde lluviosa, con angustia por riesgo de inundaciones por lluvias y tras largas jornadas prepara…</t>
  </si>
  <si>
    <t>Elliot es un joven que de niño salió con su familia de Chigorodó, Urabá, huyendo de la violencia. Hoy está en Carta… https://t.co/fNN3Su5TY0</t>
  </si>
  <si>
    <t>RT @slondonouribe: Ya algunos extremistas graduaron a @ClaudiaLopez de “uribista camuflada”. “Cuando no estás 100% con nosotros eres el e…</t>
  </si>
  <si>
    <t>RT @ClaudiaLopez: Invitados todos mañana 7:30am a la presentación de nuestra propuesta de Plan de Desarrollo 2020-2024: #UnNuevoContratoSo…</t>
  </si>
  <si>
    <t>Elliot, el niño víctima de la violencia, encontró en el @eCdC_Cartagena el punto de apoyo que necesitaba para desc… https://t.co/Ay67AxolMI</t>
  </si>
  <si>
    <t>La voz de Petro es fundamental para la democracia colombiana. Podemos ser diferentes, sin ser enemigos. Ya ha hecho… https://t.co/jsZXkEfenM</t>
  </si>
  <si>
    <t>RT @jennygiraldo: Una arquitecta chévere busca trabajo. Es @Milena_palacio_ y su énfasis es la planeación. Es esp. en Gestión y Procesos U…</t>
  </si>
  <si>
    <t>Paola Garzón para la alcaldía local de Usaquén. De Compromiso Ciudadano, se puede! https://t.co/eq7lZukLQ7</t>
  </si>
  <si>
    <t>RT @PabloRamirezU: (Rare Disease Day is tomorrow but let’s be rare in starting early) Went to the NIH Wednesday for candidasis, the arm ban…</t>
  </si>
  <si>
    <t>RT @PabloRamirezU: (El Día de las Enfermedades Raras es mañana pero démosle) La cebra es el animal de las enfermedades raras. Pronto explic…</t>
  </si>
  <si>
    <t>RT @UniversoCentro: ¿Extrañaban a Universo Centro? Por fin, después de un par de meses, mañana llega la edición 113. Nos vemos desde las 4…</t>
  </si>
  <si>
    <t>RT @afajardoa: Qué canción. Qué valiente el que abraza su vulnerabilidad. Depresión, ansiedad, torturas de las que se puede salir. No hay p…</t>
  </si>
  <si>
    <t>Elliot es papá. Tiene 2 hijas pequeñas. ¿Cómo las educa? Hay que enseñarles que no se les puede dar todo. Aquí está. https://t.co/WCHmG50dt4</t>
  </si>
  <si>
    <t>RT @PabloRamirezU: #UnaEnfermedadRaraEs ser tan intenso, que la cosa no se acaba! Síganme, suscríbanse, y manden sus historias a pabloramir…</t>
  </si>
  <si>
    <t>¿Cuántos casos como los de Eliot hay en Colombia? En el siguiente enlace la entrevista completa.⬇️… https://t.co/ubIAPYlI13</t>
  </si>
  <si>
    <t>Saquen un momento... https://t.co/4taZOAgZr2</t>
  </si>
  <si>
    <t>RT @mgarciavillegas: Mi madre Sylvia Villegas acaba de morir. Podría decir que fue una persona dulce y generosa como no he conocido a nadie…</t>
  </si>
  <si>
    <t>Gilinski: ‘Es necesario revisar ineficiencias en riquezas heredadas’ https://t.co/rs24UbuwUV</t>
  </si>
  <si>
    <t>RT @ClaudiaLopez: No más peleas inútiles. 85% votamos el 27 de Octubre pasado por sacar adelante el contrato firmado desde el año pasado pa…</t>
  </si>
  <si>
    <t>RT @CathyJuvinao: Los ataques a la vida personal serán siempre una declaración de inferioridad. De mi parte solo esperen investigaciones co…</t>
  </si>
  <si>
    <t>Cúcuta linda. En el parque de Santander. A trabajar con el alcalde Jairo Yáñez y su equipo. Cúcuta cambió y encontr… https://t.co/rBcWTnDWmz</t>
  </si>
  <si>
    <t>Tenemos que romper la trampa en la que nos tienen encerrados los corruptos y los violentos: en entrevista en Radio… https://t.co/4k7TYGQ9jy</t>
  </si>
  <si>
    <t>En Cúcuta hay una nueva administración. Un equipo serio y preparado, dirigido por el ingeniero Jairo Yáñez, compro… https://t.co/8s0SKLwSWI</t>
  </si>
  <si>
    <t>RT @ingjairoyanez: Recibimos la visita de @Sergio_Fajardo, quien compartió su experiencia como exalcalde de Medellín y exgobernador de Anti…</t>
  </si>
  <si>
    <t>Compromiso Ciudadano de Pamplona. Una dulce tarde https://t.co/XwvrZ6LjNT</t>
  </si>
  <si>
    <t>A rezar se dijo. Campeones de la libertadores. Vamos rojos https://t.co/uKekG5JaLu</t>
  </si>
  <si>
    <t>RT @MantillaIgnacio: Pildorita matemática: El círculo tiende al cuadrado cuando n tiende a ∞ en la fórmula presentada.</t>
  </si>
  <si>
    <t>RT @sandraborda: Cada vez que uno hace un esfuerzo por alcanzar en sus profundidades los argumentos de este gobierno para debatirlos, ellos…</t>
  </si>
  <si>
    <t>La nueva Alcaldia de Cucuta enfrenta una oposición que no quiere entender el mensaje de una ciudadanía que eligió u… https://t.co/NTGleEcGYz</t>
  </si>
  <si>
    <t>Sara es una profesora con convicciones profundas, seria y comprometida. Firme y excelente interlocutora. La conocí… https://t.co/x4yga1O4z1</t>
  </si>
  <si>
    <t>Muy claro https://t.co/CakBW0HnVh</t>
  </si>
  <si>
    <t>Las embarazadas del Carnaval https://t.co/HhQxV9eCho</t>
  </si>
  <si>
    <t>Ariel tiene en Cartagena un proyecto: Barrio Fino mundial, con el cual está transformando, a través de la música, l… https://t.co/7T40KSwa4J</t>
  </si>
  <si>
    <t>RT @ELTIEMPO: ¡Felicitaciones!👏👏👏 @Johana_Bahamon gana Premio Cafam a la Mujer 2020 por trasformar la vida de la población carcelaria. http…</t>
  </si>
  <si>
    <t>RT @danielduquev: ¿Y qué hace un Concejal de Medellín en Jericó? Es que la defensa del planeta no entiende de los límites administrativos q…</t>
  </si>
  <si>
    <t>RT @slondonouribe: Las otras memorias. @AlonSalazarJ Emocionante ver a estos dos juntos otra vez. https://t.co/GjwctGPo2w</t>
  </si>
  <si>
    <t>En Palmira, lo mismo que en Cúcuta y en Cartagena: la corrupción que no acepta la derrota. Los concejales le aplica… https://t.co/yXqLb8h2kG</t>
  </si>
  <si>
    <t>RT @SoyOscarEscobar: Con la moción de censura a @alongarcia03, un educador intachable, nadie ganó. Perdimos todos y sobre todo quienes cree…</t>
  </si>
  <si>
    <t>Ariel, con la música y su proyecto Barrio Fino, se convirtió en el punto de apoyo de muchos jóvenes que no tenían r… https://t.co/I7kmDsS9IW</t>
  </si>
  <si>
    <t>Hoy cumpliría 93 años Gabriel García Márquez. Escribió este texto como presentación de la comisión de sabios. Vale… https://t.co/KWOZGGQvBW</t>
  </si>
  <si>
    <t>Musa+Ñoño+Aida+Ñeñe+etc+...=pagan para llegar, llegan a robar; un voto comprado es un robo asegurado. La peor expr… https://t.co/pMjmAhhB8c</t>
  </si>
  <si>
    <t>RT @FranciscoDeRoux: El asesinato de Astrid y de 188 hombres y mujeres que dejaron las armas por la paz llena de indignación y clama justi…</t>
  </si>
  <si>
    <t>RT @compromisociu: Una invitación para jóvenes Bogotanos, o que vivan en Bogotá, y que quieran ayudar a escribir una nueva página de la his…</t>
  </si>
  <si>
    <t>RT @ProfFeynman: The difference between Knowledge and Experience. https://t.co/jBKjkTcT20</t>
  </si>
  <si>
    <t>RT @MantillaIgnacio: Humor y grafitis matemáticos: https://t.co/KT9BVYilK8</t>
  </si>
  <si>
    <t>RT @LeonVaLenciaA: Los Clanes Políticos Que Mandan en Colombia salió a la venta hace un mes ya está en el quinto lugar de los libros de no…</t>
  </si>
  <si>
    <t>RT @MantillaIgnacio: Diez mujeres matemáticas de antes y ahora | Blog El Aleph | EL PAÍS https://t.co/CSDsdbgkzJ</t>
  </si>
  <si>
    <t>RT @bbluman: ¿Me ayudan a hacer campaña por el respeto de las celdas reservadas? https://t.co/5NFQeBxMSo</t>
  </si>
  <si>
    <t>RT @PetersRaute: “Las mujeres pertenecen en todos los lugares donde se toman decisiones. Su presencia no debería ser la excepción” #Interna…</t>
  </si>
  <si>
    <t>RT @afajardoa: Unas notas después de andar unos días por Caracas. Una certeza: no se ha contado bien, al menos en Colombia, lo que pasa en…</t>
  </si>
  <si>
    <t>RT @avivircaracol: #MiBandaSonora | @juliandezubiria con @AgiraldoAdriana: “Todas las transformaciones del siglo XX fueron transformaciones…</t>
  </si>
  <si>
    <t>RT @AngelicaLozanoC: Todos los días aprendo en un minuto las enseñanzas de tu hija sobre arte. Es una maravilla, explica muy bien!</t>
  </si>
  <si>
    <t>RT @ClaudiaLopez: ¡Desde el monumento Banderas refrendamos nuestro compromiso de lucha contra las violencias y el machismo! Queremos reco…</t>
  </si>
  <si>
    <t>Esta semana compartí con ustedes algunos cortos videos con pensamientos de Ariel, de Barrio Fino Mundial. Vale la p… https://t.co/pSHpzjsy1y</t>
  </si>
  <si>
    <t>En el día internacional de las mujeres, dos jóvenes, Greta y Malala, son potente símbolo global del avance de las m… https://t.co/nFokBwxtD9</t>
  </si>
  <si>
    <t>RT @angelamrobledo: Feliz cumpleaños Alcaldesa @ClaudiaLopez mujer aguerrida .Mi mayor deseo ,que la sabiduria te acompañe en el dificil y…</t>
  </si>
  <si>
    <t>RT @EduardoARomeroS: "La pregunta es, en otras palabras, hasta qué punto la continuidad de gestos crea una rutina de normalidad, tan normal…</t>
  </si>
  <si>
    <t>Gente tenaz y tesa. Kuty, panadería que clientes volvieron restaurante | Empresas | Negocios | Portafolio… https://t.co/cvsO7viVvs</t>
  </si>
  <si>
    <t>RT @RodrigoUprimny: Buena columna de Daniel García Peña sobre las contradicciones de gobierno Duque frente a la soberanía: crítica como inj…</t>
  </si>
  <si>
    <t>RT @ClaudiaLopez: Gracias a la vida, que me ha dado tanto! El amor de mis padres, hermanos y familia. Una pareja maravillosa, amigos del a…</t>
  </si>
  <si>
    <t>Dos mujeres valiosas. A la dos las conozco y las admiro. Ejemplo https://t.co/77ohbtgRFI</t>
  </si>
  <si>
    <t>RT @sarajaramillog: Agradezco a las personas que estudien en la UdeM correr la voz y darle RT. Soy candidata a la representación general d…</t>
  </si>
  <si>
    <t>Desde Armenia. El próximo sábado es el día internacional de las matemáticas. Baldor, Al-juarismi y el álgebra siemp… https://t.co/Am4Of8KrNh</t>
  </si>
  <si>
    <t>En Colombia tendremos nuestros Harvey Weinstein criollos? https://t.co/uQNvGLesHu</t>
  </si>
  <si>
    <t>RT @GustavoBolivar: Asesinado a tiros Jorge Macana, en El Tambo, Cauca, delante de su familia. Era promotor de sustitución de cultivos il…</t>
  </si>
  <si>
    <t>RT @juliandezubiria: #ProhibirLosNoviazgos es como prohibir la ley de la gravedad. El papel de la educación es impulsar el desarrollo integ…</t>
  </si>
  <si>
    <t>RT @compromisociu: #Quindio| iniciamos jornada con el equipo de @RCNarmenia contándoles porqué estamos en las regiones y cuál es la importa…</t>
  </si>
  <si>
    <t>RT @compromisociu: #AEstaHora| Reunión con @ccquindio, se posesiona el nuevo coordinador departamental de Compromiso Ciudadano elegido por…</t>
  </si>
  <si>
    <t>RT @MantillaIgnacio: Hace 100 años, el 11 de marzo de 1920, falleció Julio Garavito Armero, considerado el primer matemático colombiano. As…</t>
  </si>
  <si>
    <t>RT @compromisociu: “Los colombianos tienen tres preocupaciones: el desempleo, la educación y la corrupción. A esta Colombia es a la que ten…</t>
  </si>
  <si>
    <t>RT @compromisociu: ¡@Sergio_Fajardo quiere escuchar a los jóvenes del Cauca! ¿Cuándo? 18 de marzo ¿Dónde? Popayán ✅ Inscripciones aquí ▶️…</t>
  </si>
  <si>
    <t>RT @compromisociu: Un diálogo productivo con el equipo de @compromiso_cal. Revisamos en qué estamos, qué retos tenemos, qué hemos aprendido…</t>
  </si>
  <si>
    <t>RT @CamiloCalleO: Nos han dicho muchas veces que nosotros no somos de Jericó, que no tenemos porqué opinar sobre lo que allá quieren hacer…</t>
  </si>
  <si>
    <t>En el 2022 en Colombia, sin duda, tendremos un gobierno alternativo. Qué tipo de gobierno alternativo será? Cómo no… https://t.co/AzEtOYmpd9</t>
  </si>
  <si>
    <t>RT @ClaudiaLopez: Los mejores maestros de nuestro tiempo son las niñas y niños. Son mucho más consientes y flexibles que los adultos de fe…</t>
  </si>
  <si>
    <t>RT @LeonVaLenciaA: Teníamos la ilusión de llevar los libros de Ariel y míos a la feria del libro de Bogota: “Los Clanes políticos que manda…</t>
  </si>
  <si>
    <t>RT @colinita: Yo sigo las recomendaciones para evitar el contagio del Coronavirus. Me lavo las manos cada 3 horas (en mi casa cantando el c…</t>
  </si>
  <si>
    <t>La pedagogía, remedio infalible. El auto cuidado es el primer y más potente paso para enfrentar la pandemia del cor… https://t.co/HzRQvDLYeG</t>
  </si>
  <si>
    <t>RT @saritapalacio: Hoy está cumpliendo años un hombre que adoro con el alma, uno que ha sido jefe, maestro y amigo. Hoy está cumpliendo año…</t>
  </si>
  <si>
    <t>RT @afajardoa: La política está desprestigiada, los políticos suelen ser detestados. Una reacción natural. Pero estos días, sirven para rec…</t>
  </si>
  <si>
    <t>Nada duele más que el dolor de una hija, un hijo. Fuerza Daniel y Diana. Todo saldrá bien https://t.co/rCcBLTlBmz</t>
  </si>
  <si>
    <t>RT @ClaudiaLopez: Estamos en emergencia ambiental y sanitaria y TODOS debemos cumplir y cuidarnos. Algunos conductores de camión no entendi…</t>
  </si>
  <si>
    <t>RT @ClaudiaLopez: Con todo respeto me permito sugerir a las autoridades nacionales @MinSaludCol considerar el cierre de vuelos con Europa y…</t>
  </si>
  <si>
    <t>RT @Juan_Florez: La Organización Mundial de la Salud acaba de alertar que Europa es el centro de la #pandemia. ¿Cuánto más tiempo valioso p…</t>
  </si>
  <si>
    <t>RT @JuanLuisCasCo: Corea del Sur tiene la solución: Es el 4to país con más contagiados con coronavirus (7.979). Pero el índice de mortalida…</t>
  </si>
  <si>
    <t>Mañana es el Día Internacional de las Matemáticas. Conversé con un colega matemático: @MantillaIgnacio, ex-rector d… https://t.co/t2E1H250HS</t>
  </si>
  <si>
    <t>Son momentos para ser prudentes. El país tiene una red de profesionales de la salud serios y comprometidos. Nuestra… https://t.co/TH9zDCYuWU</t>
  </si>
  <si>
    <t>Hoy 3.14 es el día de las matemáticas. 3.14 son los 3 primeros dígitos en la expansión de pi. Un día para mostrar q… https://t.co/3zm9mqqmgX</t>
  </si>
  <si>
    <t>RT @alvarogonzalezu: Para ustedes. Mi columna semanal es hoy desde el corazón sobre un gran ser humano, una mujer que amé y que se fue hace…</t>
  </si>
  <si>
    <t>RT @MantillaIgnacio: Comparto esta charla informal con @sergio_fajardo sobre las matemáticas:</t>
  </si>
  <si>
    <t>Un matemático candidato a la alcaldía de París. https://t.co/BRQR0D7WKZ</t>
  </si>
  <si>
    <t>RT @AlejandroGL2014: Incluso reconociendo que #COVIDー19 es una enfermedad nueva, hasta cierto punto impredecible, las presentaciones de el…</t>
  </si>
  <si>
    <t>RT @JorgeGalindo: Estas simulaciones son lo mejor, más claro y más comprensible que he visto para entender por qué funciona la distancia so…</t>
  </si>
  <si>
    <t>RT @afajardoa: En esta segunda entrega sobre Venezuela, cuento lo que está pasando con sectores de la sociedad civil. No suelen aparecer en…</t>
  </si>
  <si>
    <t>RT @NairoQuinCo: Luego de darle ayer una alegría más a mi país, cumpliré con los 14 días de aislamiento preventivo que me han dicho al regr…</t>
  </si>
  <si>
    <t>RT @ClaudiaLopez: Gustavo tuviste la visión de recuperar el lote del San Juan de Dios, pero lo dejaste sin un solo servicio ni cama. Enriqu…</t>
  </si>
  <si>
    <t>RT @ManuelParejo14: Lo que admiro de @afajardoa es su interés por contar la historia con una óptica más crítica y humana. Sin sesgos ni pre…</t>
  </si>
  <si>
    <t>RT @sergio_fajardo: Son momentos para ser prudentes. El país tiene una red de profesionales de la salud serios y comprometidos. Nuestra res…</t>
  </si>
  <si>
    <t>RT @riveraalzate: La mejor manera de protegernos es aislándonos en la casa. El @ConcejoDeBogota dice #BogotáSeQuedaEnCasa @sergio_fajardo…</t>
  </si>
  <si>
    <t>Hacen falta las enseñanzas de Antanas Mockus, nuestro maestro de la Cultura Ciudadana. https://t.co/X9GWbzEoUq</t>
  </si>
  <si>
    <t>Buena propuesta para atender la crisis económica https://t.co/SRQW9HiEW1</t>
  </si>
  <si>
    <t>RT @hectorabadf: Los funcionarios más eficaces e inteligentes son los que consiguen sacar algo bueno de una crisis. Muy bien, @ClaudiaLopez</t>
  </si>
  <si>
    <t>RT @Margaritarosadf: Mi servicio social es poner esta cuenta a disposición para los que quieran insultarme y descargar toda su ansiedad y r…</t>
  </si>
  <si>
    <t>RT @ivanmarulanda: https://t.co/iO50oq89Xt</t>
  </si>
  <si>
    <t>Excelente intervención en representación de la oposición. Felicitaciones senador https://t.co/hCywf7CdeM</t>
  </si>
  <si>
    <t>1. El Presidente necesita ayuda, urgente. La intervención de anoche demostró y ratificó que no tiene la conducción… https://t.co/7YzECzmzQz</t>
  </si>
  <si>
    <t>2. Las consecuencias de la incapacidad para conducir son claras: gobernantes angustiados toman medidas sin coordina… https://t.co/qlFHdrDkB4</t>
  </si>
  <si>
    <t>RT @afajardoa: Si el problema es que Duque tiene que dar la orden, entonces que la de. Pero si anuncia medidas inconexas cada 12 horas y no…</t>
  </si>
  <si>
    <t>RT @hectorabadf: Nadie con autoridad tiene que decir "yo mando".</t>
  </si>
  <si>
    <t>RT @ClaudiaLopez: Tan importante como la coordinación institucional que hemos tenido frente al COVID-19 es la coordinación con la ciudadaní…</t>
  </si>
  <si>
    <t>RT @MabelLaraNews: Si existe una persona que es un " Caballero" en el manejo de la información es @carlosaruizr; un periodista con más de…</t>
  </si>
  <si>
    <t>RT @afajardoa: Sale mi esposa a trabajar, 630 am. Es médica en una clínica. La vida de sus pacientes depende de ella y sus colegas. No hay…</t>
  </si>
  <si>
    <t>RT @ClaudiaLopez: Buenos días! Comparto 2do borrador del decreto #SimulacroVital, que regirá de viernes a lunes. Ruego a medios de comunic…</t>
  </si>
  <si>
    <t>RT @srestrep: Definitivamente en este momento debemos ensayar un testeo masivo, ya nos estamos preparando pero ojalá tengamos apoyo del gob…</t>
  </si>
  <si>
    <t>RT @mwassermannl: Hay que movilizar a la ciencia nacional. La prueba de virus es un RT-PCR que se hace en decenas de laboratorios acá. Hay…</t>
  </si>
  <si>
    <t>Siempre atento a las palabras de Antanas https://t.co/sJgTgaotHD</t>
  </si>
  <si>
    <t>RT @asantosrubino: Los empresarios paisas, de la mano de Proantioquia, donaron casi 16.000 millones de pesos para aumentar y mejorar las u…</t>
  </si>
  <si>
    <t>RT @ClaudiaLopez: Que nunca perdamos el buen sentido del humor... #EnAislamientoYo #SimulacroVitalBogota #AislamientoObligatorio https:/…</t>
  </si>
  <si>
    <t>RT @elpaiscali: Laboratorio para realizar y procesar pruebas del coronavirus en Cali opera desde este viernes https://t.co/vLLqynAgl8 https…</t>
  </si>
  <si>
    <t>Usted conduce señor presidente. Lo acompañamos. Trace la ruta y explique cada paso. Empezamos a escribir una nueva… https://t.co/cWTiyXRDNE</t>
  </si>
  <si>
    <t>RT @compromisobog: Conversemos acerca cómo protegernos y afrontar la pandemia. En medio de esta crisis, mantengamos la calma y no dejemos q…</t>
  </si>
  <si>
    <t>RT @EEColombia2020: Los homicidios contra líderes sociales ocultos por la peste del #coronavirus. El pasado jueves 19 de marzo, nada más fu…</t>
  </si>
  <si>
    <t>RT @afajardoa: “Las personas no se sienten perturbadas por las cosas, sino por las opiniones que tienen de esas cosas”. Epicteto Mis notas…</t>
  </si>
  <si>
    <t>RT @agaviriau: En medio de la pandemia, aparecen las poses de clarividencia, los dedos levantados. "Yo ya lo había dicho", exclaman presunt…</t>
  </si>
  <si>
    <t>RT @compromisociu: Debemos privilegiar lo esencial para la vida: el aire, el agua y suelos sanos. En esta coyuntura pequeños actos marcan l…</t>
  </si>
  <si>
    <t>RT @BancoAAlimentos: Mucha gente se pregunta “¿Cómo podemos ayudar a las personas que más están sufriendo por no poder llevar comida a su m…</t>
  </si>
  <si>
    <t>RT @MantillaIgnacio: Proverbio judío: “Con una mentira suele irse muy lejos, pero sin esperanzas de volver”.</t>
  </si>
  <si>
    <t>Pandemias varias https://t.co/pNlSGmJaBz vía @elespectador</t>
  </si>
  <si>
    <t>RT @mwassermannl: Lo veo y me cuesta creerlo. Nuestro ministerio de CIencia hace un llamado a los “sabedores”. Sería bueno que nos explicar…</t>
  </si>
  <si>
    <t>RT @compromisociu: Cuidado con lo que envías o lees, la información puede ser falsa, acá ⬇️ te compartimos cómo identificar noticias falsas…</t>
  </si>
  <si>
    <t>Vivimos tiempos complejos. Están quedando al desnudo las profundas desigualdades sociales que tenemos. Esta lecció… https://t.co/fhSGebq6oW</t>
  </si>
  <si>
    <t>Una excelente reflexión acerca de la compasión. No se la pierdan https://t.co/maGF5oVqwu</t>
  </si>
  <si>
    <t>Coronavirus: ¿Y la estrategia económica para los vulnerables? https://t.co/UULSEyDj3v vía @elespectador</t>
  </si>
  <si>
    <t>RT @SectorSalud: Un llamado a los ciudadanos a cumplir con responsabilidad el aislamiento obligatorio de los próximos días realiza el secre…</t>
  </si>
  <si>
    <t>RT @Margaritarosadf: Entiendo que mis problemas con los símbolos patrios son solo míos. Me arrepiento de mi comentario innecesario e inopor…</t>
  </si>
  <si>
    <t>RT @ClaudiaLopez: Todos estamos aprendiendo en este desafío, el gobierno nacional, los locales y la ciudadanía. Señalar en privado y en p…</t>
  </si>
  <si>
    <t>Importante en esta coyuntura: confiar y jugar limpio. Cuidarnos y cuidar de los demás, entender que tenemos respons… https://t.co/k1S3EgbBB4</t>
  </si>
  <si>
    <t>Bogotá es el punto neurálgico de la batalla de Colombia contra el coronavirus. Se necesitan medidas especiales para… https://t.co/rPry2FlLMD</t>
  </si>
  <si>
    <t>RT @ClaudiaLopez: #CuarentenaPorLaVida creó la necesidad de anticipar el nuevo contrato social que propone nuestro Plan de Desarrollo. Anu…</t>
  </si>
  <si>
    <t>RT @hectorabadf: «No dudes de aquel que te dice que tiene miedo pero ten miedo de aquel que te dice que no tiene dudas». Erich Fried…</t>
  </si>
  <si>
    <t>RT @afajardoa: Leí sobre avances en tratamiento contra COVID-19. Me sorprendí: encargada de liderar, desde la OMS, el desarrollo de una vac…</t>
  </si>
  <si>
    <t>La mayor violencia contra las mujeres se da en la intimidad de los hogares. Los mayores abusos contra niños y niñas… https://t.co/vIhIg7zGdu</t>
  </si>
  <si>
    <t>¡Un encuentro virtual emocionante! Firmes en nuestros objetivos y construyendo con la fuerza de nuestra ideas. Hoy… https://t.co/ftH5O2iPn1</t>
  </si>
  <si>
    <t>RT @compromisociu: ¡Nuestro trabajo no se detiene! Desde las casas, reunión virtual con Comunicadores de @CompromisoCiu y @Sergio_fajardo p…</t>
  </si>
  <si>
    <t>Empatía y solidaridad, las bases para superar la pandemia. Bien dicho doctor. https://t.co/PRan8eiRm4</t>
  </si>
  <si>
    <t>RT @ClaudiaLopez: El San Juan de Dios lleva 8años recuperando 30años de abandono. Del hospital solo quedan 3pisos con consultorios. Es fals…</t>
  </si>
  <si>
    <t>RT @AndreaCovilla: Mi mamá abrió este negocio hace poco y con todo lo que está pasando no ha podido vender casi nada y vivimos de esto. Ven…</t>
  </si>
  <si>
    <t>RT @mwassermannl: https://t.co/EQ8AZVg3BG</t>
  </si>
  <si>
    <t>RT @manuel_rodb: Noticias positivas en este mar de noticias preocupantes (para decir lo menos)!!! Colombia: así recuperan una zona de páram…</t>
  </si>
  <si>
    <t>RT @mwassermannl: https://t.co/2VzKVoUYMF / La pandemia ante todo ha sido un desmentido rotundo a los populismos anticientíficos y antitécn…</t>
  </si>
  <si>
    <t>RT @RSilvaRomero: Mi columna de esta semana, Peste, sobre volver del encierro a un país en el que no haya una pandemia peor que la pandemia…</t>
  </si>
  <si>
    <t>RT @compromisociu: #YoAplaudoA los que se quedan en casa como piden las autoridades, y a aquellos que tienen que salir para ayudarnos a los…</t>
  </si>
  <si>
    <t>RT @ClaudiaLopez: Paren de contagiar mentiras que no estamos para “chistes” con desinformación! De un edificio abandonado 30 años e irrecu…</t>
  </si>
  <si>
    <t>RT @dany_matu: Amigos y amigas de twitter, hoy vengo a pedirle un favor INMENSO. Mi tía Elvia Maturana lleva un mes hospitalizada, en proce…</t>
  </si>
  <si>
    <t>RT @RoyBarreras: Me llama mi hija Valeria que es médica y no ha dejado de atender pacientes de Covid19 en urgencias en el Hospital J.Hopkin…</t>
  </si>
  <si>
    <t>RT @afajardoa: El Estado es indispensable. El reto es describir qué es un Estado moderno, que cuide a los más vulnerables, que redistribuya…</t>
  </si>
  <si>
    <t>RT @manuel_rodb: Alain Touraine: “Esta crisis va a empujar hacia arriba a los cuidadores” (AT es uno de los últimos supervivientes de una…</t>
  </si>
  <si>
    <t>RT @carlosvelandiaj: Felipe Torres y Francisco Galán serán nombrados promotores de paz https://t.co/vtERzbvcq8 vía @eltiempo</t>
  </si>
  <si>
    <t>RT @afajardoa: Toca meterle humor a la cosa... https://t.co/FoFRacrchO</t>
  </si>
  <si>
    <t>Tenemos que revisar las bases éticas de nuestra sociedad. Entender que nos podemos unir en contraposición con la po… https://t.co/eunLf3Cq9T</t>
  </si>
  <si>
    <t>Calidad! Vean lo que hicieron en la Argentina. Siempre el fútbol https://t.co/ElBvuGOIGk</t>
  </si>
  <si>
    <t>RT @mramos_v: Necesito ayuda. Estoy en Amagá y mi mamá padece Lupus y toma un medicamento que se llama Dimard 200 (Hidroxicloroquina) pero…</t>
  </si>
  <si>
    <t>RT @elpaiscali: Alcalde de Jamundí se destaca por manejo de la crisis pese a obstáculos para gobernar https://t.co/Pzv66K3XQt https://t.co/…</t>
  </si>
  <si>
    <t>RT @Osgazu: Los que conocen las dinámicas el Pacífico saben de que estoy hablando! Me ofrezco a mediar en esto pero hagamos algo...o que lo…</t>
  </si>
  <si>
    <t>RT @rocio_pinedag: #CuidoALaTrabajadoraDelHogar porque ella también necesita cuidarse y cuidar su propio hogar @darcyquinnr @adelinacovo @C…</t>
  </si>
  <si>
    <t>RT @JoseA_Ocampo: Credit rating agencies should stop doing downgrades of developing countries. They are only making worse the capital fligh…</t>
  </si>
  <si>
    <t>RT @ClaudiaLopez: ¿Qué viene? Seguir cuidándonos. Una economía de contingencia de 3 meses para una cuarentena más larga. Por lo tanto debe…</t>
  </si>
  <si>
    <t>Nos tenemos que preparar para los momentos más difíciles que están por venir. Debemos dejar que quienes lideran sie… https://t.co/7rmYLrSfLr</t>
  </si>
  <si>
    <t>RT @Compromiso_ATL: Los invitamos a leer en el siguiente link 👇🏼 https://t.co/JX8LnH3rcG https://t.co/C8SxUOfKHd</t>
  </si>
  <si>
    <t>RT @DavidFajardoGra: #SosCucutaSeAsfixia || En Cúcuta, ¡No podemos seguir viviendo con mala calidad de aire! Necesitamos una solución pron…</t>
  </si>
  <si>
    <t>RT @ClaudiaLopez: Cuando en Bogotá Región hicimos alerta amarilla, escuela en casa, simulacro cuarentena algunos dijeron que era exagerado.…</t>
  </si>
  <si>
    <t>Excelente ensayo de Santiago Levy para México. Necesitamos con urgencia trabajos de esta naturaleza para Colombia.… https://t.co/C84cVt78R8</t>
  </si>
  <si>
    <t>Un muy buen aporte para la coyuntura. César Ferrari y Jorge Iván González en Razón Publica. https://t.co/PZ0De8r9wa</t>
  </si>
  <si>
    <t>Cúcuta se asfixia, urgente https://t.co/N2f0Gdeeu2</t>
  </si>
  <si>
    <t>RT @Brigittelgb: Cordialmente invitades!!!!</t>
  </si>
  <si>
    <t>Oportuna reflexión de Hernando Gómez Buendía. Es la hora del saber. Del conocimiento y la ciencia. De la empatía y… https://t.co/MSbRMQFob0</t>
  </si>
  <si>
    <t>RT @sandraborda: Esa técnica milenaria de rodearse de estupidez para lucir hiperinteligente, funciona para el ego pero no siempre para el l…</t>
  </si>
  <si>
    <t>RT @afajardoa: Mi colega en estos días. Largas conversaciones, mucho ejercicio, libros y algo de música. Una pausa en las urgencias del día…</t>
  </si>
  <si>
    <t>RT @CompromisoUraba: Aprovechamos esta cuarentena, para mostrarles la recuperación de nuestro parque educativo, Los Manglares del municipio…</t>
  </si>
  <si>
    <t>Empatía y solidaridad. https://t.co/LZ5EgZLw5t</t>
  </si>
  <si>
    <t>Sabio https://t.co/eV6HkD5l3M</t>
  </si>
  <si>
    <t>Me llegó https://t.co/JCwfieu3GU</t>
  </si>
  <si>
    <t>Ahora desde Pacho, Cundinamarca https://t.co/sKCU58Y0VU</t>
  </si>
  <si>
    <t>RT @agaviriau: Los mensajeros del odio y los voceros del fanatismo ramplón están aún más enardecidos por estos días.</t>
  </si>
  <si>
    <t>RT @mwassermannl: La difusión de noticias falsas está en relación directa con el deseo de quienes las difunden, de que sean verdaderas. Eso…</t>
  </si>
  <si>
    <t>RT @afajardoa: Hablé con un amigo que suele tener perspectivas amplias y trascendentes sobre la cotidianidad. Compartió una hipótesis: las…</t>
  </si>
  <si>
    <t>RT @manuel_rodb: El Coronavirus y el cambio climático tienen un fatal denominador común: la actitud de los gobierno de negarse a tomar la…</t>
  </si>
  <si>
    <t>RT @mwassermannl: ¿Hay todavía entre los tuiteros quienes se acuerdan de la época en que ser buena persona era importante?</t>
  </si>
  <si>
    <t>Buen dicho León https://t.co/lEKOKiJaIi</t>
  </si>
  <si>
    <t>RT @JULIOC_HERRERA: Disfrutemos de nuestras historias en estos momentos, seamos buenos y exigentes espectadores. El decreto 516 es nada ama…</t>
  </si>
  <si>
    <t>RT @Rmayorga: Pilas pues, comenzamos con #JuntosLasQueSea!! Comienza Medellín, por eso este lunes @IvanLalindeG usará sus redes sociales pa…</t>
  </si>
  <si>
    <t>RT @MauroToroO: Hoy a las 10 am, con gremios de todo el país, haremos petición oficial a @IvanDuque para que DECRETE el #PagoAPlazosJustosY…</t>
  </si>
  <si>
    <t>RT @UdeA: 🔊Conéctate mañana a través de nuestra página de Facebook. El rector @johnarboleda63, acompañado de investigadores del grupo de in…</t>
  </si>
  <si>
    <t>RT @CeciliaOrozcoT: Revisamos las redes con cuidado y encontramos cosa curiosa: miembros de dos bodegas opuestas políticamente coincidieron…</t>
  </si>
  <si>
    <t>RT @afajardoa: Primer ministro británico, Boris Johnson, se agrava y pasa a la UCI. Qué jodida paradoja: Johnson había sido la cara visible…</t>
  </si>
  <si>
    <t>Estos son tiempos para la ciencia, el saber y la serenidad. Felicitaciones U de A. https://t.co/7hknnDT2iG</t>
  </si>
  <si>
    <t>RT @AngelicaLozanoC: No a las #FakeNews Esta foto fue el 8 sept/2018 ¿Quién prende la bodega, inventa mentiras, busca fotos viejas y dif…</t>
  </si>
  <si>
    <t>RT @loreflorez18: #SoyColfuturo 2014. Soy abogada, Máster y PhD en derecho y nuevas tecnologías. Regresé a Colombia para trabajar en el sec…</t>
  </si>
  <si>
    <t>Acertada decisión del Presidente @IvanDuque pero es importante trabajo articulado. Con anuncio de extensión de aisl… https://t.co/eHLVKI6dtb</t>
  </si>
  <si>
    <t>Continúa el aislamiento. El camino es largo e incierto. Falta mucho por recorrer y parte del éxito que tengamos dep… https://t.co/OsBfgsoHoc</t>
  </si>
  <si>
    <t>Continúa el aislamiento. El camino es largo e incierto. Falta mucho por recorrer y parte del éxito que tengamos dep… https://t.co/o1tQw04sOC</t>
  </si>
  <si>
    <t>RT @afajardoa: "Un medicamento oral bloqueó el coronavirus que causa la COVID-19, evitando que se replicara en ratones de laboratorio, info…</t>
  </si>
  <si>
    <t>Hoy conversé con equipo de @WRadioColombia. Hablamos de la importancia de escuchar a alcaldes y gobernadores, enten… https://t.co/bNtnUHyB6k</t>
  </si>
  <si>
    <t>Villavicencio cumplió años ayer. Felicidades. https://t.co/NPPJvSkWNv</t>
  </si>
  <si>
    <t>Hoy me invitaron a #Redmasnoticias acá esta la entrevista. Buena noche https://t.co/RfoqQAl1mK</t>
  </si>
  <si>
    <t>RT @Compromiso_ATL: Un saludo muy especial de @sergio_fajardo para Curramba La Bella, hoy día de su cumpleaños No. 207 FELIZ CUMPLEAÑOS #S…</t>
  </si>
  <si>
    <t>RT @elespectador: #LoMásLeído en Política: Coronavirus: la hora de los alcaldes y gobernadores por Sergio Fajardo. https://t.co/qsaebhV3Qt…</t>
  </si>
  <si>
    <t>RT @marthaperaltae: #MinistraCumplaLaPalabra Las comunidades indígenas Wayúu de La Guajira solicitan RESPETO al cumplimiento de los compr…</t>
  </si>
  <si>
    <t>RT @ClaudiaLopez: Es absolutamente injustificable que hagan un acuerdo para mantener las condiciones salariales de los jugadores y en cambi…</t>
  </si>
  <si>
    <t>RT @ProfFeynman: Don't just teach your students to read. Teach them to question what they read, what they study. Teach them to doubt. Teach…</t>
  </si>
  <si>
    <t>RT @ingjairoyanez: Quiero agradecer a todas las personas que han acatado las medidas de aislamiento obligatoria y que entienden la situació…</t>
  </si>
  <si>
    <t>RT @ValleConFajardo: ¡Compromiso Ciudadano Palmira protagoniza la campaña #PalmiraSinHambre! El objetivo es que ningún palmirano se quede…</t>
  </si>
  <si>
    <t>RT @alvaroforero: Del mismo modo y en sentido contrario. Son 2 crisis,necesitan soluciones distintas,sin atajos: -contra la epidemia, aisla…</t>
  </si>
  <si>
    <t>RT @compas_urbano: "El olvido que seremos" Así comienza el libro que marcó un antes y un después en la vida como escritor de nuestro invita…</t>
  </si>
  <si>
    <t>RT @colinita: Mi hija, Julia, aprovechó la #CuarentenaPorLaVida para mostrarnos cómo separar residuos. Porque sin duda, #ReciclarEsLaSalida…</t>
  </si>
  <si>
    <t>RT @PabloRamirezU: Después de un mes encontré cómo quería contarles lo que quería contar del #coronavirus. Está en un formato raro (ja!) en…</t>
  </si>
  <si>
    <t>RT @mwassermannl: Nube Negra es una metáfora para época de tempestad. Es también una canción de Sabina, también en el mismo sentido dónde d…</t>
  </si>
  <si>
    <t>RT @Larangolo: Querido Twitter, haz tu magia. Los colombianos en el exterior estamos en manos del consulado, y ya se imaginarán. Necesito c…</t>
  </si>
  <si>
    <t>RT @urbam_EAFIT: Apoyamos la creación de una gerencia territorial para barrios populares que permita ordenar, articular, coordinar y agili…</t>
  </si>
  <si>
    <t>RT @Margaritarosadf: Perdónenme pero tengo que presumir de este señor que es mi papá. Chao.</t>
  </si>
  <si>
    <t>Fuerza Petro. Es usted un pilar muy importante de la democracia colombiana. Un saludo solidario a usted y toda la f… https://t.co/xBDwYxYUFN</t>
  </si>
  <si>
    <t>RT @ValleConFajardo: Sigue la campaña #PalmiraSinHambre! Súmate! Compromiso Ciudadano Palmira 🖐🇨🇴🤝 https://t.co/L08vKfw92c</t>
  </si>
  <si>
    <t>RT @mtorores: Felices con lo que se puede lograr cuando hay voluntad y nos enfocamos más en lo que podemos lograr que en las diferencias!!…</t>
  </si>
  <si>
    <t>RT @afajardoa: No conozco ningún médico que haya estudiado medicina buscando ser un héroe. No sé si existen. Esos delirios los he visto en…</t>
  </si>
  <si>
    <t>RT @patricialarasa: Mientras la @FiscaliaCol y el @MinjusticiaCo revisan el borrador de decreto para descongestionar las cárceles, es decir…</t>
  </si>
  <si>
    <t>RT @compromisociu: ¿Cómo ha cambiado su relación con el medio ambiente en esta pandemia? Queremos conversar con ustedes y generar compromis…</t>
  </si>
  <si>
    <t>La muerte de los doctores Nieto y Gutiérrez es un dolor colectivo. Ninguna persona en el servicio de salud debería… https://t.co/Wt7zSeRdsi</t>
  </si>
  <si>
    <t>RT @JoseA_Ocampo: Mi visión sobre cómo profundizar las políticas económicas y sociales para enfrentar la crisis del Corinavirus en Colombia…</t>
  </si>
  <si>
    <t>RT @hectorabadf: Gracias, espero no decepcionarlo.</t>
  </si>
  <si>
    <t>RT @ZulmaCucunuba: #Congreso debe decidir una política de protección al personal de salud. De todo lo que desconocemos de este virus, de…</t>
  </si>
  <si>
    <t>Bien dicho doctor Prieto. Que lo escuche el presidente https://t.co/2Ble9GPXad</t>
  </si>
  <si>
    <t>RT @MantillaIgnacio: Ha fallecido el día de ayer, a la edad de 82 años, el prolífico matemático británico John Horton Conway. “La gente pie…</t>
  </si>
  <si>
    <t>RT @alejoeder: Faltan dos semanas completas de la cuarentena. Eso es una eternidad sobre todo para los que quedaron sin empleo. Por favor p…</t>
  </si>
  <si>
    <t>RT @afajardoa: Inevitablemente, pasó desapercibido. Merecía un final menos lánguido. Bernie Sanders lideró un movimiento que llevó la expre…</t>
  </si>
  <si>
    <t>RT @DCoronell: Desde esta mañana y hasta esta hora, la pagina https://t.co/fTvE0v9YZB ha sufrido constantes ataques cibernéticos. Alguien q…</t>
  </si>
  <si>
    <t>RT @jleibovi: @OscarCa58069927 @EconomiaUAndes @juanf_vargas @JoseA_Ocampo @jpvelezc1 @sergio_fajardo @JERobledo @zuletajuanca @DanielMejia…</t>
  </si>
  <si>
    <t>RT @LaRivera_: ¡Hola! Soy odontóloga y trabajo por prestación de servicios, así que en el momento no estoy recibiendo ningún tipo de ingres…</t>
  </si>
  <si>
    <t>RT @CamiloPrietoVal: La llegada del #Covid_19 a Chocó es una noticia DOLOROSA. Hospitales con limitadas condiciones y adicionalmente al per…</t>
  </si>
  <si>
    <t>RT @afajardoa: David Brooks aseguraba que Sanders iba a ganar ya que cuando un político logra contar una historia que los votantes entiende…</t>
  </si>
  <si>
    <t>RT @parescolombia: #AnálisisPares l “Los políticos y sus maquinarias se están robando los recursos para combatir el #COVID19, y lo seguirán…</t>
  </si>
  <si>
    <t>RT @pcorrea78: Reflexión de Mauricio Nieto, historiador de la ciencia: "Es el momento de cuidar y proteger el conocimiento basado en eviden…</t>
  </si>
  <si>
    <t>Todavía se puede! https://t.co/hoRtKb5Tw7</t>
  </si>
  <si>
    <t>RT @juliandezubiria: Será un profundo honor escribir ahora desde @elespectador, un diario que siempre ha mantenido su compromiso con la lib…</t>
  </si>
  <si>
    <t>RT @ClaudiaLopez: 3 recuerdos para mañana: 1. #QuedateEnCasa seguimos en cuarentena 2. Solo UNA persona por familia sale a comprar aliment…</t>
  </si>
  <si>
    <t>Dar la mano. https://t.co/DlTTxWuv24</t>
  </si>
  <si>
    <t>RT @sonpa70: La empatía es como la inteligencia, al que le falta no se da cuenta</t>
  </si>
  <si>
    <t>RT @LaTornamesa: Son, y siempre serán, alimentos para el alma. ❤️📚 Si necesitan consuelo literario,o esperanzadora poesía, pueden buscar lo…</t>
  </si>
  <si>
    <t>RT @sandraborda: Para la discusión: https://t.co/XNpenWcpby</t>
  </si>
  <si>
    <t>RT @afajardoa: Desigualdad terminará impactando, aún más, a niños. No es lo mismo pasar cuarentena en finca o apto grande que en un cuarto.…</t>
  </si>
  <si>
    <t>RT @Compromiso_Ant: Nos llena de emoción y esperanza la voz de los y las jóvenes de Antioquia que se piensan nuevas formas de provocar el e…</t>
  </si>
  <si>
    <t>RT @ClaudiaLopez: Empezó bien #PicoyGenero en Bogotá! Bajaron aglomeraciones, se facilitó el control seguro. Impusimos 723 comparendos, de…</t>
  </si>
  <si>
    <t>RT @slondonouribe: ¿Qué tienen en común los paises que mejor han respondido ante la pandemia? Son liderados por mujeres. https://t.co/j7b…</t>
  </si>
  <si>
    <t>Perfecto el decálogo del fútbol callejero del Doctor Peláez. Buen día https://t.co/Fn1x2VE6T9</t>
  </si>
  <si>
    <t>El alcalde de Cartagena libra una gran batalla contra la corrupción. La mayoría de concejales han hecho parte del r… https://t.co/P3pv0UBb2o</t>
  </si>
  <si>
    <t>Dar la mano https://t.co/C4eSjRa8rr vía @Confidencialcol</t>
  </si>
  <si>
    <t>RT @jorsuaba: Aquí en el Bajo Cauca, muchas familias de campesinos compuestas en promedio por 5 personas, se aislan en "casas" de plástico,…</t>
  </si>
  <si>
    <t>RT @ivanmarulanda: Un respiro para volver la mirada y poner la esperanza en gente trascendental... https://t.co/xAH9jdhad2</t>
  </si>
  <si>
    <t>RT @CamaraColombia: Representante @cataortizcamara : "Quiero hablar de la clase media vulnerable, que es descrita como la que llegó a la me…</t>
  </si>
  <si>
    <t>RT @juliomulero: #TalDíaComoHoy, pero en 1707, nació el gran Leonhard #Euler. Él, uno de los matemáticos más prolíficos, introdujo buena…</t>
  </si>
  <si>
    <t>RT @mateocardonah: Ya son 11 años los que llevo aprendiendo de Fajardo. Siempre es un orgullo escuchar su experiencia, su visión de la soci…</t>
  </si>
  <si>
    <t>Buena política con el concejal Daniel Duque. Una muy buena propuesta con un excelente grupo para discutir. Así es.… https://t.co/tKjV1atS3K</t>
  </si>
  <si>
    <t>RT @afajardoa: Leí este refrán del Islam: "Ata primero tu camello, luego confía en Dios." Una idea, que trasciende a tantas religiones y f…</t>
  </si>
  <si>
    <t>RT @JuanGomezJurado: Mi nueva política en Twitter, y cada día la de más gente. https://t.co/zeX1kSBGYc</t>
  </si>
  <si>
    <t>RT @ivanmarulanda: Estoy listo a que castiguen mis ingresos lo que quieran y solo quedar con lo indispensable para mi subsistencia y la de…</t>
  </si>
  <si>
    <t>RT @CMILANOTICIA: #SeñalEnVivo | ‘No voy a permitir que ningún politiquero se aproveche de la necesidad de la gente’: alcaldesa @ClaudiaLop…</t>
  </si>
  <si>
    <t>RT @riveraalzate: ¡Un mensaje de @sergio_fajardo antes de nuestra rendición de cuentas! Conéctense a las 6:00pm. Aquí el link de inscripci…</t>
  </si>
  <si>
    <t>RT @colinita: @AngelicaLozanoC @Brigittelgb @BruceMacMaster @agaviriau Con los años he entendido que con @Brigittelgb una no se compara por…</t>
  </si>
  <si>
    <t>RT @alvarogonzalezu: Chao compañerito, Zeus. Nos diste muchas alegrías. Eras otro hijo. Jamás te olvidaremos. ¡Qué dolor! https://t.co/BVmi…</t>
  </si>
  <si>
    <t>Angélica Mayolo es una persona extraordinaria. Inteligencia+conocimiento+ decencia+compromiso=sobrada. Felicitacion… https://t.co/isIFgIXo1d</t>
  </si>
  <si>
    <t>Explicación sencilla por parte de Ángela Merkel https://t.co/BWr4zkHbNL</t>
  </si>
  <si>
    <t>RT @ClaudiaLopez: En Bogotá no vamos a permitir que ningún político se aproveche de la vulnerabilidad y emergencia. Nos demoramos unos día…</t>
  </si>
  <si>
    <t>RT @afajardoa: Tardes de cuarentena. Explicándole a Elena de dónde venimos. La idea del Medellín siendo campeón es siempre algo abstracta p…</t>
  </si>
  <si>
    <t>RT @AngostaEditores: ¡Les tenemos una sorpresa! Sentimos que es tiempo de compartir y por eso ponemos en sus manos la Colección Abrebocas,…</t>
  </si>
  <si>
    <t>RT @riveraalzate: Este es el resumen de mis primeros 100 días como Concejal de Bogotá. ¡Gracias por todo su apoyo! ✋💡 #MartínRindeCuent…</t>
  </si>
  <si>
    <t>RT @hectorabadf: Como las librerías están cerradas; como ayer se murió ese gran escritor que fue Rubem Fonseca; como seguramente van a quer…</t>
  </si>
  <si>
    <t>RT @ClaudiaLopez: Entiendo la ansiedad por la semana de retraso. Ofrecimos excusas y explicación a los ciudadanos porque por el escándalo d…</t>
  </si>
  <si>
    <t>RT @afajardoa: Entretenido este ejercicio de Don Iván. Yo disfruté mucho el gol de Léider en el Mundial del 98 y, además, me caía muy bien…</t>
  </si>
  <si>
    <t>RT @SergioFerG: Desde primera hora estamos con nuestra Secretaria de @integracionbta @XiniaNavarro listos para una nueva jornada de entrega…</t>
  </si>
  <si>
    <t>RT @AVallejoArias: #Manizales El Alcalde de Manizales @Alcalde_Verde tiene las herramientas para tomar decisiones con sentido de urgencia.…</t>
  </si>
  <si>
    <t>La confianza se construye día a día. La fórmula es sencilla: Confianza=coherencia +consistencia. ¿El fin de la co… https://t.co/CNcOeaqtR5</t>
  </si>
  <si>
    <t>RT @patricialarasa: Les comparto mi columna de hoy en la que reitero mi apoyo a la alcaldesa @ClaudiaLopez En esta pandemia, no podemos es…</t>
  </si>
  <si>
    <t>RT @ProfFeynman: It's Okay to say "I don't know!" There's no shame in that! The only shame is to pretend that we know everything. https:/…</t>
  </si>
  <si>
    <t>RT @manuel_rodb: Imperioso un cambio de modelo para enfrentar las pandemias y la profunda crisis ambiental. 19 expertos trabajamos, durante…</t>
  </si>
  <si>
    <t>RT @matecastano: Entre otras, por eso me alegra haber votado por dos matemáticos a la presidencia: @AntanasMockus (primer voto) y @sergio_f…</t>
  </si>
  <si>
    <t>RT @PartidoVerdeCoL: El Partido Alianza Verde manifiesta su rechazo y preocupación sobre la propuesta presentada al presidente para abrevia…</t>
  </si>
  <si>
    <t>RT @UniversoCentro: Y ahí está la fachada de El Guanábano, tan simple y acogedora, esa pequeña hoguera que alumbró el parque, que alentó el…</t>
  </si>
  <si>
    <t>RT @jccardenas1965: Las brechas que el #Covid_19 nos obligará a resolver, ojala estructuralmente. Dificil pero esta es la oportunidad</t>
  </si>
  <si>
    <t>RT @matecastano: Elegantísima columna de @LeopoldoTweets https://t.co/pl4CnrLQ4e</t>
  </si>
  <si>
    <t>RT @FelicianoValen: Indígenas en Risaralda denuncian que pasan hambre durante la cuarentena https://t.co/FVyaiNzXuN vía @rcnradio</t>
  </si>
  <si>
    <t>RT @manuel_rodb: La carta del ambientalismo que rechaza el oportunismo de un grupo de empresarios que solicitaron al Presidente Duque flexi…</t>
  </si>
  <si>
    <t>RT @MazzucatoM: If there are "key" or "essential" workers in the economy, next step is to recognise "essential" part of economy that needs…</t>
  </si>
  <si>
    <t>RT @afajardoa: "Acumulamos inmenso conocimiento pero no dimensionamos nuestra ignorancia. Atravesar nuestro desorden cognitivo para decir "…</t>
  </si>
  <si>
    <t>Comparto esta entrevista que me hicieron en la Revista Semana. Gracias por leerla. https://t.co/5oXAEE1QX2</t>
  </si>
  <si>
    <t>RT @ClaudiaLopez: Por inconsistencias en la base de datos de #IngresoSolidario del Gobierno Nacional, Contraloria y Fiscalia abrieron inves…</t>
  </si>
  <si>
    <t>Brillante: El discurso del odio, según Malagón https://t.co/wu6GjZPcun</t>
  </si>
  <si>
    <t>RT @QuinteroCalle: Llevamos una semana esperando que @invimacolombia nos digan que hace falta para continuar con la producción de ventilado…</t>
  </si>
  <si>
    <t>RT @afajardoa: “Ojalá vivas tiempos interesantes”, es un proverbio chino que, en realidad, es una maldición. En estos tiempos interesantes,…</t>
  </si>
  <si>
    <t>Autonomía o centralismo en tiempos de coronavirus https://t.co/uh0AJIkhPC vía @lineadelmedioco</t>
  </si>
  <si>
    <t>RT @jorsuaba: Tu columna me interpreta en mi encierro en Valdivia Ant. Mi rutina y mi quietud. La vida como suma de instantes rutinarios qu…</t>
  </si>
  <si>
    <t>RT @davalho: 🔹Nuestro encuentro de mañana será con @sergio_fajardo🔹 Una conversación especial sobre Colombia y la manera como estamos afr…</t>
  </si>
  <si>
    <t>RT @MabelLaraNews: ¡Llegó! La octava India llegoooo. Gracias a @premiosindiacatalina por este reconocimiento, gracias a todo el equipo de @…</t>
  </si>
  <si>
    <t>RT @slondonouribe: Pienso mucho en los que enfrentan este aislamiento solos. En los que han perdido su trabajo. En los que no logran llevar…</t>
  </si>
  <si>
    <t>RT @ClaudiaLopez: Además de los $39.153 millones recaudados en #DonatonBogota, el Grupo y Constructora Bolívar y Davivienda aportan $14.000…</t>
  </si>
  <si>
    <t>RT @gabocifuentes: El C-19 parece ser el mayor obstáculo para la reelección de Trump. Improvisación, arrogancia e incapacidad de manejar la…</t>
  </si>
  <si>
    <t>Jaime Bonet explica muy bien el papel de los gobiernos locales en esta pandemia. https://t.co/5RwOC2z8f2</t>
  </si>
  <si>
    <t>RT @ClaudiaLopez: Dicen que Bogotá no es de nadie. Hoy hemos demostrado que Bogotá es de todos! De este desafío que nos puso la vida no sa…</t>
  </si>
  <si>
    <t>Un gusto empezar el lunes leyendo a Yolanda Reyes. https://t.co/i6sD1uNMrY</t>
  </si>
  <si>
    <t>RT @CamiloCalleO: Acabamos de radicar ante el despacho del Gobernador nuestra propuesta #AntioquiaSinHambre. Aquí se las presentamos en est…</t>
  </si>
  <si>
    <t>RT @compromisociu: "Aunque a veces se demoren, la verdad y la decencia siempre salen adelante." @sergio_fajardo #FelizLunes</t>
  </si>
  <si>
    <t>RT @alvaroforero: En EEUU ya van en un segundo paquete de ayuda a las pequeñas empresas, porque se agotó el anterior. Acá aún no fluye el p…</t>
  </si>
  <si>
    <t>Tiene toda la razón. Así de simple https://t.co/4DSetPGKdM</t>
  </si>
  <si>
    <t>Cultura ciudadana. Importante leer esta entrevista con Andrés Casas. https://t.co/ruguFgiSPy</t>
  </si>
  <si>
    <t>RT @compromisociu: Esta pandemia ha conseguido, por ejemplo, reducir en un 80% la contaminación de las ciudades. Hagamos que esto no sea al…</t>
  </si>
  <si>
    <t>Escuchen al alcalde Harman. Urgente presidente Duque. Urgente https://t.co/7O29IMaEmg</t>
  </si>
  <si>
    <t>RT @secredistmujer: Nuevos #EspaciosSeguros para las mujeres: D1, Justo &amp; Bueno, Ara y Farmatodo serán espacios seguros para que mujeres re…</t>
  </si>
  <si>
    <t>RT @farfalev: "People think that intimacy is about sex. But intimacy is about truth. When you realize you can tell someone your truth, when…</t>
  </si>
  <si>
    <t>RT @eldoctorpelaez: Encontré esta foto de 1967,cuando libreta en mano,no tenía para grabadora, entrevisté a 3 refuerzos que Trajo Nestor R…</t>
  </si>
  <si>
    <t>Polarización y confinamiento https://t.co/ROhWyDhNy7</t>
  </si>
  <si>
    <t>RT @UN_Women: On this #GirlsInICT Day, many girls around the 🌍 miss out on their education as schools are closed because of #COVID19 and th…</t>
  </si>
  <si>
    <t>Atención con Cali. Hay que escuchar al Alcalde Ospina. https://t.co/ebY5ZlpBA4</t>
  </si>
  <si>
    <t>Ángela Merkel es una líder ejemplar. En tiempos de "líderes iluminados" que viven de las mentiras, las agresiones y… https://t.co/OtGJZ9K2iQ</t>
  </si>
  <si>
    <t>RT @sandraborda: Mejor dicho: en política, a veces la indiferencia es un castigo más fuerte y efectivo que el insulto y la descalificación.</t>
  </si>
  <si>
    <t>Escuchemos a la doctora Angela Merkel https://t.co/cNzTOVOJjG</t>
  </si>
  <si>
    <t>RT @ZulmaCucunuba: Excelente trabajo @EOrtizOspina @OurWorldInData https://t.co/ADs7AzojaR</t>
  </si>
  <si>
    <t>RT @ClaudiaLopez: ¡Conéctense esta noche a @Semanaenvivo desde las 8:00pm! Transmisión por FacebookLive https://t.co/KmVJBOaI2t</t>
  </si>
  <si>
    <t>RT @mwassermannl: Un gran peligro del momento es la deserción de estudiantes. Especialmente critica seguramente en grados 9 (antes de empez…</t>
  </si>
  <si>
    <t>RT @patricialarasa: https://t.co/rGsFcs7Qpx</t>
  </si>
  <si>
    <t>RT @JuanLuisCasCo: Presidente Duque aquí le explico por qué los elementos de bioseguridad no aparecen: https://t.co/8wY0XSHIyU</t>
  </si>
  <si>
    <t>RT @CamiloPrietoVal: #ATENCIÓN SUPERAMOS LA META. ¡Gracias por su confianza y su solidaridad! &gt;1000 GRACIAS por este acto de #empatía. Mara…</t>
  </si>
  <si>
    <t>RT @harmanfelipe: Asciende a 109 el número de contagiados en la Cárcel de Villavicencio. Hacemos un llamado a la justicia para evitar que…</t>
  </si>
  <si>
    <t>RT @ZulmaCucunuba: Un gran esfuerzo en América Latina con medidas tempranas. Las medidas de distanciamiento social han sido efectivas en r…</t>
  </si>
  <si>
    <t>RT @davidescobara: Now we need to save people, but in what you call the A.C. era -After Corona- it will be about how we serve people differ…</t>
  </si>
  <si>
    <t>RT @Compromiso_ATL: Y todo porque HOY es VIERNES... Aquí les dejemos para que se deleiten con la presentación del compañero compromisario…</t>
  </si>
  <si>
    <t>RT @fcarrilloflorez: El 70% de los casos investigados han sido fruto de denuncias ciudadanas, una ciudadanía activa es garantía para ganar…</t>
  </si>
  <si>
    <t>RT @alvaroforero: Estamos atrasados 2 o 3 semanas frente a países como Alemania en la curva de contagio, de alcanzar el pico, pero ya estam…</t>
  </si>
  <si>
    <t>RT @CuadrosFJ: Un señor que dejó la comodidad de su hogar por poner el cuero por la ciudad, no es nada fácil, menos en medio de esta crisis…</t>
  </si>
  <si>
    <t>RT @ZulmaCucunuba: Nos enfrentamos a una situación de inmensa incertidumbre y de caminos que en otras circunstancias serían impensables.…</t>
  </si>
  <si>
    <t>RT @compromisociu: Compartimos dibujos de estudiantes del Colegio Darío Echandía IED donde agradecen a quienes trabajan mientras otros est…</t>
  </si>
  <si>
    <t>RT @Compromisarias: No olviden nuestra cita del día de hoy a las 4 pm, estaremos realizando el conversatorio de Género y Perspectiva de Gén…</t>
  </si>
  <si>
    <t>RT @SaninPazC: Esta tarde, esta tarde, esta tarde</t>
  </si>
  <si>
    <t>No se la pierdan 😉 https://t.co/ezpzXqG3iw</t>
  </si>
  <si>
    <t>No se lo pierdan https://t.co/ezpzXqG3iw</t>
  </si>
  <si>
    <t>RT @gabocifuentes: Hay políticos que en su desespero por un poco de atención inventan hasta tragedias humanas. No hacen aportes que contrib…</t>
  </si>
  <si>
    <t>RT @compromisociu: Miren lo que pide está pequeña de regalo de #DiaDelNiño. Creo que sería un bien regalo para más de uno en redes. ¿A qui…</t>
  </si>
  <si>
    <t>Si se perdieron el conversatorio que tuvimos esta semana con @JoseA_Ocampo sobre los efectos del covid-19 en la eco… https://t.co/NBYJ20jUh6</t>
  </si>
  <si>
    <t>RT @JoseA_Ocampo: Mi visión de la debilidad del multilateralismo económico, ahora en español. Frustrante en medio de esta crisis mundial si…</t>
  </si>
  <si>
    <t>👍 https://t.co/R5OoB3hmLX</t>
  </si>
  <si>
    <t>Hay que tener mucho ingenio para lograr hacer tan confusas las medidas que hoy debemos cumplir! La pedagogía sigue de vacaciones.</t>
  </si>
  <si>
    <t>RT @MJDuzan: Y al final el presidente escuchó a la alcaldesa.... https://t.co/ZGUGaI7AVX</t>
  </si>
  <si>
    <t>RT @AlfredoMolanoJi: Arranco este nuevo camino como columnista de @elespectador. Espero encontrar mi voz siendo leal a su legado. Llamé a e…</t>
  </si>
  <si>
    <t>RT @JuanDavidAristi: ¡Estamos felices! Hace un momento recibimos la noticia por parte de @WISE_es que somos parte de los 19 líderes emergen…</t>
  </si>
  <si>
    <t>Cometieron una infracción y la reconocen. Cuando se reconoce el error en forma limpia y transparente se aprende y s… https://t.co/q5vaOIbk9w</t>
  </si>
  <si>
    <t>RT @arzobispodecali: ¿Quién DEBE parar la vertiginosa matazón de líderes en territorios como El Cauca? Este 2 de Mayo, oremos al Cristo Neg…</t>
  </si>
  <si>
    <t>RT @ColombiaLides: Les presentamos a @gabocifuentes Uno de los duros en la lucha contra la corrupción en Colombia. Con una gran trayector…</t>
  </si>
  <si>
    <t>RT @JorgeIvanOspina: Por el Pacífico, por la VIDA. Solidaridad el mayor patrimonio de un pueblo. Vinculate estamos en directo https://t.co…</t>
  </si>
  <si>
    <t>Petro me acusa de un crimen nuevo a diario. Ahora está obsesionado con mi papel en la salud en Bogotá. No tengo nin… https://t.co/Y3TyrlKu0Z</t>
  </si>
  <si>
    <t>Nunca he tenido una cuota política, comparto entrevista en la @WRadioColombia https://t.co/YHua7YkfPG</t>
  </si>
  <si>
    <t>RT @johnsudarsky: @petrogustavo @sergio_fajardo Ahora los buenos funcionarios quedan de propiedad de sus antiguos jefes y de ahí en adelant…</t>
  </si>
  <si>
    <t>RT @gabocifuentes: @petrogustavo @sergio_fajardo Sigo sin entender: entonces los que fuimos funcionarios públicos de un gobierno, en adelan…</t>
  </si>
  <si>
    <t>RT @XiniaNavarro: #BogotaSolidariaEnCasa avanza diariamente. La estrategia para identificar los barrios más pobres de Bogotá ha permitido q…</t>
  </si>
  <si>
    <t>RT @robertojcamacho: @sergio_fajardo Respetado Sergio no hay dolo en el ejercicio legítimo del voto, estamos frente a uno de aquellos que l…</t>
  </si>
  <si>
    <t>RT @Compromiso_ATL: "DÍA DEL ÁRBOL" una fecha importante para concientizar a la ciudadanía sobre la necesidad de proteger las superficies a…</t>
  </si>
  <si>
    <t>RT @Danielsuarezvoz: Compre un libro+café de La Librería de @otraparte, no solo se lleva una hermosa lectura, sino un muy buen café. Si le…</t>
  </si>
  <si>
    <t>RT @anacrisrestrepo: Ojo en Medellín</t>
  </si>
  <si>
    <t>RT @AlonSalazarJ: @AlejandroGL2014 no fue secretario de salud, si no gerente de Metrosalud durante mi alcaldia. Excelente funcionario. Hace…</t>
  </si>
  <si>
    <t>RT @QuinteroCalle: Medellín fue elegida para integrar el Recovery Task Force del C40 para avanzar en la reactivación económica y social jun…</t>
  </si>
  <si>
    <t>RT @SergioFerG: Vivimos días difíciles, y para quienes estamos a cargo de la entrega de mercados del Distrito han sido días largos, extenua…</t>
  </si>
  <si>
    <t>RT @arenasgermanjfc: Tenemos la obligación ética y social de no arruinar el futuro de más de 12 millones de estudiantes. https://t.co/sAui…</t>
  </si>
  <si>
    <t>RT @FelicianoValen: Llora y se desangra mi Cauca, todos los días muertos aquí y allá, la gente se acuesta pensando si un mañana existe. Tir…</t>
  </si>
  <si>
    <t>Valiente e íntegra. Ejemplo. https://t.co/ferZEetyM8</t>
  </si>
  <si>
    <t>RT @AngelicaLozanoC: Las pymes son el motor del empleo en Colombia. Hoy es quincena y la angustia de miles de empresarios pequeños tiene qu…</t>
  </si>
  <si>
    <t>RT @MantillaIgnacio: Comparto mi más reciente artículo: un entretenido algoritmo para este puente festivo, propuesto por J. H. Conway, víct…</t>
  </si>
  <si>
    <t>Bien Tunja. Felicitaciones Alcalde https://t.co/bL4gfb71Ho</t>
  </si>
  <si>
    <t>RT @Felixavilezp: Quienes me lean por favor ayúdenme a retwittear mi cuñado Fabian Benitez esta muy mal, tiene cáncer cerebral y no ha sido…</t>
  </si>
  <si>
    <t>RT @DanielSamperO: Con razón le están cascando tanto... https://t.co/iW0bVfhVSC</t>
  </si>
  <si>
    <t>RT @alvaroforero: El paquete de salvamento fiscal colombiano es tan austero y lento, en parte, porque ha sido decidido exclusivamente por e…</t>
  </si>
  <si>
    <t>RT @ivanmarulanda: A este informe de Juan David Delgado que publica The New York Times sobre las poblaciones afrocolombianas, me referí en…</t>
  </si>
  <si>
    <t>Mañana https://t.co/IE4yCQ5955</t>
  </si>
  <si>
    <t>Sencillo y claro. Necesrio y urgente. https://t.co/ILe4VBh0Rj</t>
  </si>
  <si>
    <t>RT @ArielAnaliza: Esté será un programa de preocupación tristeza, desesperanza Lo llamo la destrucción de la clase media Hablamos con peque…</t>
  </si>
  <si>
    <t>RT @JuanitaGoe: Hoy Presidente de la @CamaraColombia se despachó contra mí en Plenaria. Yo no tengo nada personal contra usted. Aquí estoy…</t>
  </si>
  <si>
    <t>RT @MirandaBogota: Acaban de matar la democracia!!! Este país se convirtió en una dictadura!!! Me prohiben ejercer mis funciones, para lo…</t>
  </si>
  <si>
    <t>RT @SoyOscarEscobar: Quiero contarles que Palmira tendrá su propio laboratorio equipado para analizar más rápido nuestras pruebas de COVID-…</t>
  </si>
  <si>
    <t>RT @jrobertoacosta1: Mi primer trabajo formal, a la edad de 15 años con autorización de mi mamá, fue como vendedor en Almacenes Only (de la…</t>
  </si>
  <si>
    <t>RT @afajardoa: Gran columna de @mwassermannl. Es la mejor explicación que he leído sobre el papel de los "expertos", los "políticos", las c…</t>
  </si>
  <si>
    <t>Lectura obligatoria. Nuestra América Latina nunca deja de sufrir. De la mano de Alma Guillermoprieto. El coronaviru… https://t.co/LegSoNc7fx</t>
  </si>
  <si>
    <t>A firmar se dijo. Urgente. No a la consultas virtuales a la ciudadanía sobre decisiones ambientales. https://t.co/Dy18idsyqg</t>
  </si>
  <si>
    <t>RT @afajardoa: Buena columna de @daniInnerarity. No es popular en estos tiempos -a lo mejor en ninguno, y en esta red social si que menos-…</t>
  </si>
  <si>
    <t>Gran conversatorio con @ZulmaCucunuba Oírla nos recuerda lo que queremos para el país: la ciencia como parte funda… https://t.co/bxojfPFO2b</t>
  </si>
  <si>
    <t>RT @Rodrigo_LaraS: Hace 36 años lo mataron, pero sus ideas y principios permanecen intactos. Hoy vigentes más que nunca su ejemplo de lucha…</t>
  </si>
  <si>
    <t>RT @Aleph43: Para @Alcalde_Verde : A los mayores de 70 años nos deben permitir salir a caminar una o dos horas en el día. En España tomaro…</t>
  </si>
  <si>
    <t>RT @MJDuzan: #InvestigaciónSemana dice que en el Ejercito se desviaron dineros para lucha contra las drogas enviados por los americanos par…</t>
  </si>
  <si>
    <t>RT @MJDuzan: #InvestigaciónSemana denuncia nuevamente chuzadas ilegales a periodistas hechas por unidades del ejército. Lo más grave es que…</t>
  </si>
  <si>
    <t>RT @ivanmarulanda: !Qué dolor!... !no se puede creer!... Rodrigo Lara y yo (en la foto) teníamos la misma edad... Luis Carlos Galán (tambié…</t>
  </si>
  <si>
    <t>RT @AntonioSanguino: Señor @mindefensa @CarlosHolmesTru : en favor de la democracia y de respeto a las victimas, sería bueno que el país y…</t>
  </si>
  <si>
    <t>Conversación para no perderse. El libro de Sara Jaramillo, cómo maté a mi padre, es extraordinario. https://t.co/GbJswhamAb</t>
  </si>
  <si>
    <t>@palaciosleyner Hace 18 años Colombia conoció a Bojayá: por una masacre. Una herida profunda en el alma de nuestro… https://t.co/sdwR2ZAlbh</t>
  </si>
  <si>
    <t>RT @PalaciosLeyner: Me alegra compartirle al país el documental BOJAYÁ ENTRE FUEGOS CRUZADOS mañana en @CanalCapital 9:00 PM. #BojayáCuent…</t>
  </si>
  <si>
    <t>RT @ZulmaCucunuba: Porqué deberíamos usar #mascarilla #tapabocas en espacios donde no podamos mantener una distancia adecuada. Explicado…</t>
  </si>
  <si>
    <t>RT @tr3sdecorazon: Hola amigos! @elmismoSebas y @pipe3dc quieren subastar estas dos camisetas para recoger dinero para comprar mercados par…</t>
  </si>
  <si>
    <t>RT @PetersRaute: Como lo dice @cboteromarino en la nota lo resume: La diferencia entre un Estado democrático y uno autoritario, es que el p…</t>
  </si>
  <si>
    <t>RT @HaroldEderSanch: @ivanmarulanda @sergio_fajardo El partido liberar sepulto a Galán y con el sus ideales.</t>
  </si>
  <si>
    <t>RT @Juan_Florez: ¿Qué políticos ordenaban y recibían la información de los seguimientos ilegales llevados a cabo contra periodistas naciona…</t>
  </si>
  <si>
    <t>RT @FLIP_org: Ante las recientes denuncias sobre perfilamiento, vigilancia y espionaje a periodistas por parte de inteligencia del @COL_EJE…</t>
  </si>
  <si>
    <t>RT @alemEmbajador: Quién es el gran enemigo de la libertad de prensa? Populismo, escacez, o prohibiciones autoritarias? También en tiempos…</t>
  </si>
  <si>
    <t>RT @LosDanielesOp: ¡Comparte este Daniel de la buena suerte para que tu cuenta de twitter llegue a 200 mil seguidores! https://t.co/6iQ7SgM…</t>
  </si>
  <si>
    <t>Los extremos se juntan para engañar y mentir. Todo vale. La verdad: no he tenido ni un puesto ni un contrato. Nunca https://t.co/28eMh4dn7J</t>
  </si>
  <si>
    <t>RT @compromisociu: Así lo dijo en @WRadioColombia. Si quieren oírlo compartimos enlace de entrevista ⬇️ https://t.co/NuWocwb2yQ https://t.…</t>
  </si>
  <si>
    <t>RT @Germanescundi: Siempre la Educación será nuestra bandera, este miércoles 6 mayo a las 5 pm vía Zoom, @sergio_fajardo y un panel de expe…</t>
  </si>
  <si>
    <t>RT @compromisobog: Invitados al conversatorio: La educación en los tiempos del Covid – 19, para comprender las dificultades y desafíos que…</t>
  </si>
  <si>
    <t>RT @armamape2: ¿Cuáles son los retos de la educación en tiempos de covid-19? Este miércoles conversaremos con @sergio_fajardo y cuatro expe…</t>
  </si>
  <si>
    <t>RT @saramoreno1: ¿Cuáles son los desafíos del sistema educativo? te invitamos a participar en: ‘La educación en los tiempos del Covid–19’ c…</t>
  </si>
  <si>
    <t>RT @compromisociu: ¿Cuáles son los retos de la educación en tiempos de covid-19? Este miércoles conversaremos con @sergio_fajardo y cuatro…</t>
  </si>
  <si>
    <t>RT @AVallejoArias: ¿Qué tal peatonalizar ciertas zonas/calles de las ciudades para que los restaurantes, cafés, bares, etc. los usen para a…</t>
  </si>
  <si>
    <t>RT @riveraalzate: Ante posibles conflictos de interés, publico mis impedimentos para votar algunos artículos del Plan de Desarrollo. ¡Pri…</t>
  </si>
  <si>
    <t>RT @manuel_rodb: Hasta hace 2 meses era inimaginable que dirigentes políticos y económicos que por años han buscado que se minimice el pape…</t>
  </si>
  <si>
    <t>RT @mcarvajal28: Mi hija Luciana quiere declamarles “el medio ambiente”, no conocemos al autor/a pero ahí les va. https://t.co/9TfktDDwSs</t>
  </si>
  <si>
    <t>RT @DCoronell: "Que vivan los tibios" por @danigarciapena https://t.co/cGelcrdAg8</t>
  </si>
  <si>
    <t>RT @QuinteroCalle: El uso de la tecnología, crear #MedellínMeCuida y el ejemplo que hemos dado como ciudad nos ha permitido anticiparnos y…</t>
  </si>
  <si>
    <t>Un abrazo para Humberto De la Calle y familia en este momento de dolor. Recuerdo siempre cuando en las reuniones n… https://t.co/cPTElfPnAd</t>
  </si>
  <si>
    <t>RT @HumbertDLKY: 2 años de novios. 52 años de casados. Amor por toda la eternidad. https://t.co/3BFbCydswi</t>
  </si>
  <si>
    <t>RT @OrtegaSterling: Felicitaciones Universidad Icesi. Son ejemplo de todo el potencial que tenemos en la región Pacífico. Posicionándose añ…</t>
  </si>
  <si>
    <t>RT @mwassermannl: Inversión en investigación como respuesta a la crisis https://t.co/dW1DQu6UxI</t>
  </si>
  <si>
    <t>RT @ArielAnaliza: Reportaje completo. Zona de frontera es tierra de nadie. El cierre de pasos legales no hace otra cosa que incentivar la d…</t>
  </si>
  <si>
    <t>RT @alvarogonzalezu: Guillermo y Gilberto: Hace 17 años los asesinaron. Grandes seres humanos, líderes, amigos, compañeros de trabajo. En C…</t>
  </si>
  <si>
    <t>Mañana hablamos de educación. 5 p.m.. Invitados. https://t.co/5KpBC8u3HA</t>
  </si>
  <si>
    <t>RT @hectorabadf: Hace bastante -ocho años- le escribí a mi bonus hijo (Benjamín) unas instrucciones para jugar ajedrez. En verso. Hoy Angos…</t>
  </si>
  <si>
    <t>RT @compromisociu: Nos reunimos con nuestro equipo de Compromiso Ciudadano en Córdoba para conversar sobre los retos y las perspectivas de…</t>
  </si>
  <si>
    <t>RT @ZulmaCucunuba: #TareasDeColegio Mi madre es maestra de primaria, en Boyacá. La mayoría de sus estudiantes viven en zona rural. Aquí,…</t>
  </si>
  <si>
    <t>RT @UN_Women: "One teacher can change the world." - @Malala #TeacherAppreciationWeek https://t.co/CuUgwhFMVS</t>
  </si>
  <si>
    <t>RT @AbadColorado: Daniel Marín es el asesinado # 27 firmante del Acuerdo de Paz en Antioquia. Ya van 196 en el país. Matarlo y envolverlo e…</t>
  </si>
  <si>
    <t>#BogotáResurge https://t.co/lKoefl5Ga1</t>
  </si>
  <si>
    <t>RT @riveraalzate: En @Bogota hay 157.269 empresas matriculadas que tenemos que proteger ahora más que nunca. Empecemos, por ejemplo, con…</t>
  </si>
  <si>
    <t>RT @riveraalzate: Las plazas de mercado son parte de la identidad de las ciudades, pero es necesario innovar para protegerlas. Proponemos…</t>
  </si>
  <si>
    <t>Los retos de la nueva emergencia económica https://t.co/1zyP47pr4p</t>
  </si>
  <si>
    <t>RT @afajardoa: Usualmente hay perdón pero no olvido, la sentencia definitiva viene así: “Si te tocó esperar a la cuarentena para ver que en…</t>
  </si>
  <si>
    <t>RT @compromisociu: Hoy sin duda uno de los mejores regalos en el #DíaDeLaMadre para quienes no viven con ellas es no visitarlas. Lo han dan…</t>
  </si>
  <si>
    <t>RT @mwassermannl: El problema de la deserción estudiantil es de los más graves. Hace varias semanas alerté sobre deserción en la educación…</t>
  </si>
  <si>
    <t>RT @gabocifuentes: No se pierdan el estreno esta noche a las 8 pm! A partir de hoy y todos los domingos estaremos en @voz_aqui opinando con…</t>
  </si>
  <si>
    <t>RT @MJDuzan: La Magistrada que tiene a su cargo la investigación de las carpetas y que las ocultó durante 4 meses, se reunía también con e…</t>
  </si>
  <si>
    <t>RT @LosDanielesOp: Aquí pueden leer las columnas de #LosDanieles . Por favor, compartan. ¡Muchas gracias! #ElFundador por @DCoronell http…</t>
  </si>
  <si>
    <t>RT @ivanmarulanda: ¿Qué es lo que #50SenadoresProponen? En este video se los explico👇🏼 https://t.co/mNuf6seBnl</t>
  </si>
  <si>
    <t>RT @CamiloPrietoVal: #ATENCIÓN En 1 solo día el registro de contagios por #COVID19 en el Amazonas subió 36,2%, pasando de 527 a 718 casos,…</t>
  </si>
  <si>
    <t>RT @RSilvaRomero: #RíoMuerto en librerías desde el próximo 20 de mayo: https://t.co/XcQDKq170b</t>
  </si>
  <si>
    <t>Dejemos la pandemia a un lado por un minuto. Hoy es el día de las mujeres en matemáticas. Oportunidad para recordar… https://t.co/8pA2AsPgvN</t>
  </si>
  <si>
    <t>Mañana a las 5 p.m.. Un panel de lujo para un tema urgente: los efectos de la pandemia en la vida de las mujeres. I… https://t.co/BwaRYEPScj</t>
  </si>
  <si>
    <t>RT @agaviriau: La fidelidad del odio es obsesiva, escudriña cada detalle, vigila cada movimiento, examina cada palabra, no descansa.</t>
  </si>
  <si>
    <t>RT @compromisociu: En el Día de la Mujer Matemática, compartimos un fragmento de la entrevista de @sergio_fajardo con @mantillaignacio. Gra…</t>
  </si>
  <si>
    <t>RT @Juan_Florez: Si una persona es devorada por el odio a un adversario, casi siempre termina asemejándose a él. Cuídate del odio pues pued…</t>
  </si>
  <si>
    <t>Las enfermeras, heroínas en estas jornadas, representan la máxima expresión del cuidado. Por siglos. Gracias. Flore… https://t.co/wXQUiVI05e</t>
  </si>
  <si>
    <t>RT @alvaroforero: Suéltelo, suéltelo ...cójalo, cójalo. La mitad de la econonía, que es informal, no es regulable con aperturas escalonadas…</t>
  </si>
  <si>
    <t>RT @PetersRaute: Seguro va estar buena la discusión con @danigarciapena y Luis Jorge Garay. https://t.co/pKR0seB0nX</t>
  </si>
  <si>
    <t>A la 5 nos vemos! Los efectos de la pandemia en la vida de las mujeres. Participen, pregunten, debatan, aporten. Pa… https://t.co/3UXoYX6jDv</t>
  </si>
  <si>
    <t>RT @PetersRaute: El control político ha estado truncado en medio de la cuarentena. Hoy @JERobledo y @JuanLuisCasCo arrancan y seguro sacan…</t>
  </si>
  <si>
    <t>RT @ClaudiaLopez: A partir de este momento Chapinero Norte, Chapinero Central, La Salle, María Cristina y Granada son una Zona de Cuidado E…</t>
  </si>
  <si>
    <t>Excelente: la elegancia de la argumentación en este artículo de Leopoldo Fergusson. Atendidos quiénes? Léanlo y oj… https://t.co/My9X1U2K74</t>
  </si>
  <si>
    <t>RT @Bogota: Este viernes 15 de mayo será el gran lanzamiento de la @MisionEducador. Estaremos con la alcaldesa, @ClaudiaLopez; la secretar…</t>
  </si>
  <si>
    <t>RT @MisionEducador: Maestros y maestras, participen en la construcción del plan educativo de la ciudad para los próximos años. ¡Tu experien…</t>
  </si>
  <si>
    <t>RT @ivanmarulanda: Quién lo creyera, el gobernador de Amazonas es médico y el alcalde de Leticia también es médico !y dejaron inundar de Co…</t>
  </si>
  <si>
    <t>Una de las características de un verdadero maestro: es una persona que nos inspira e invita a encontrar un camino p… https://t.co/LOVrKd76UA</t>
  </si>
  <si>
    <t>RT @RevistaSemana: La Asociación de Campesinos del Bajo Cauca (Asocbac) denunció la muerte del líder social Julio César Hernández, de 47 añ…</t>
  </si>
  <si>
    <t>RT @RSilvaRomero: Mi columna de hoy en @ELTIEMPO, Clasistas, sobre el menosprecio de la gente -puesto en evidencia por la pandemia- que dur…</t>
  </si>
  <si>
    <t>RT @compromisociu: Compartimos entrevista de @sergio_fajardo #hoy con @UNIMINUTORadio: https://t.co/XVx62FafUq</t>
  </si>
  <si>
    <t>La verdad y la decencia siempre salen adelante aunque a veces se demoren. Felicitaciones https://t.co/trTTS1wzfI</t>
  </si>
  <si>
    <t>RT @Paolaarenasm: A l@s de mi colegio y universidades. A Dios y mis padres que tienen el título de títulos en formar con el ejemplo. A l@s…</t>
  </si>
  <si>
    <t>RT @alvarosalinasp: En marzo fui el único concejal que votó CONTRA la moción de censura, hoy un juez nos da la razón. Ganó la decencia, @al…</t>
  </si>
  <si>
    <t>RT @SoyOscarEscobar: Hoy en el #DíaDelMaestro celebro tener de regreso a @alongarcia03, a cargo de la la Secretaría de Educación de Palmira…</t>
  </si>
  <si>
    <t>RT @Felixavilezp: Mi papá era docente de sociales y mi mamá es docente de química y ciencias naturales, en ambos el amor por su profesión,…</t>
  </si>
  <si>
    <t>RT @SalcedoRamos: Poco después de recibir el Premio Nobel de literatura, en 1957, Albert Camus envió esta carta a Louis Germain, su profeso…</t>
  </si>
  <si>
    <t>RT @AlejandroGL2014: Me sorprende la cantidad de solicitudes de “mano dura”. El eje de la estrategia preventiva en @Bogota es un ejercicio…</t>
  </si>
  <si>
    <t>RT @afajardoa: Lo que más me gusta de la columna de Fergusson es que muestra que solidez técnica no debe ser independiente de la reflexión…</t>
  </si>
  <si>
    <t>RT @ClaudiaLopez: A mi mejor maestra de toda la vida, a mi madre hermosa, #FelizDiaDelMaestro. Todo mi amor y gratitud a cada uno de los m…</t>
  </si>
  <si>
    <t>RT @ivanmarulanda: Gracias a @eldiariopereira por este artículo que resume muy bien la propuesta económica de 53 senadores de la República:…</t>
  </si>
  <si>
    <t>Comparto una invitación que nos llega desde la librería Libro Tinto para unirnos a la iniciativa de @CamLibro.… https://t.co/XVQLeDCSfB</t>
  </si>
  <si>
    <t>Si volviera a nacer volvería a ser un profesor. https://t.co/HnnPvqRhZO</t>
  </si>
  <si>
    <t>RT @Alejoesca: Hoy le extendiendo mis más sinceros agradecimientos a un profesor qué pasó por mi vida. Y cuando me conoció no era el mejor…</t>
  </si>
  <si>
    <t>RT @compromisociu: Esta coyuntura plantea retos para el campo, ¿cómo seguir tras la crisis? Participa del conversatorio “Desarrollo Rural:…</t>
  </si>
  <si>
    <t>RT @TalentoChocoano: La periodista chocoana Rossy Lemos, hoy como presentadora principal de noticias RCN Televisión FELICITACIONES @RossyLe…</t>
  </si>
  <si>
    <t>¿Una característica de un buen maestro, maestra? Sentir pasión por enseñar es una forma de seducir para inspirar. https://t.co/QO41yTYvfR</t>
  </si>
  <si>
    <t>RT @JorgeLondonoU: #HablemosConExpertos de los Desafíos de la Universalidad de los Derechos Humanos en el tiempo del #COVID19 Invitados 👉…</t>
  </si>
  <si>
    <t>RT @JoseA_Ocampo: Este es mi análisis detallado de la débil cooperación financiera internacional frente a la crisis latinoamericana, public…</t>
  </si>
  <si>
    <t>RT @afajardoa: "Es un error grave olvidar a nuestros muertos, creyendo que es una manera de negar la muerte. También intentamos negar la ve…</t>
  </si>
  <si>
    <t>RT @afajardoa: Esta semana escribí sobre José Saramago, mi escritor favorito. Estoy terminando el último libro que me quedaba por leer de s…</t>
  </si>
  <si>
    <t>RT @afajardoa: “Me enseñó la honradez de reconocer, sin resentimiento ni frustración, mis límites: sin poder ni ambicionar aventurarme más…</t>
  </si>
  <si>
    <t>RT @manuel_rodb: El Coronavirus en el Amazonas podría conducirnos a una tragedia mayor: la muerte de cientos de indígenas, lo que podría in…</t>
  </si>
  <si>
    <t>RT @ivanmarulanda: “Hay países que están invirtiendo más del 29% como Inglaterra o Estados Unidos o por encima del 10% como Perú o el 8% c…</t>
  </si>
  <si>
    <t>Seguimos avanzando y preparándonos con rigor para los retos que tenemos en frente. Este miércoles a las 5 p.m. invi… https://t.co/9Xwuijlj4n</t>
  </si>
  <si>
    <t>RT @compromisociu: No olvides que esta semana tenemos una cita con @Sergio_Fajardo y tres invitados extraordinarios 🖐️🖐️🖐️ https://t.co/hjg…</t>
  </si>
  <si>
    <t>RT @mahofste: Espero que la foto que pusieron en el impreso junto a mi columna no refleje la opinión de la dirección sobre el contenido de…</t>
  </si>
  <si>
    <t>RT @slondonouribe: Una vergüenza lo que pasó en la ⁦@ContraloriaAnt⁩ en el periodo pasado. La responsabilidad de la Contralora es acabar de…</t>
  </si>
  <si>
    <t>RT @ClaudiaLopez: Me duele en el alma el asesinato de Jenny Cerquera, mujer, madre de 3 hijos, enfermera, biciusuaria. Una ciudadana ejempl…</t>
  </si>
  <si>
    <t>RT @PabloRamirezU: Va a ser una delicia. Nos vemos a las nueve en la cuenta de Insta de Ricardo para la #lecturaenvozalta de #HistoriaOfici…</t>
  </si>
  <si>
    <t>Esta noche a las 8 p.m. con los mismos gatos. Invitados. https://t.co/WzEB3wGPBu</t>
  </si>
  <si>
    <t>A menudo me preguntan por aspectos de mi actividad como profesor que influyen directamente en mi vida como político… https://t.co/NMZwR3uXpD</t>
  </si>
  <si>
    <t>Una ñapa: enseñar con el ejemplo, en el salón de clase o en el espacio público https://t.co/NsCNQOunVE</t>
  </si>
  <si>
    <t>Sí, leyó bien. Ni siquiera el 1%... https://t.co/W3xgGnzq21</t>
  </si>
  <si>
    <t>RT @compromisociu: Te invitamos a conversar sobre el Plan de Desarrollo de #Pereira que se está debatiendo en el Concejo Municipal. Invitad…</t>
  </si>
  <si>
    <t>Hoy a las 5 de la tarde nos encontramos para hablar de desarrollo rural: situación actual y perspectivas. El desarr… https://t.co/ZLwu2G3wnm</t>
  </si>
  <si>
    <t>RT @ProfFeynman: It's Okay to say "I don't know!" 🧠 There's no shame in that! The only shame is to pretend that we know everything.</t>
  </si>
  <si>
    <t>@petrogustavo ¿UribISTA? ¿PetrISTA? ¿SantISTA?¿PastranISTA? ¿SamperISTA?¿GavirISTA? No se preocupe, no hay problema… https://t.co/smo3ig9q6O</t>
  </si>
  <si>
    <t>RT @ivanmarulanda: “Hace dos semanas, un grupo de senadores, liderados por Iván Marulanda del @PartidoVerdeCoL, presentó una proposición pa…</t>
  </si>
  <si>
    <t>https://t.co/V4WbCk8n6O</t>
  </si>
  <si>
    <t>Ya estamos #EnVivo por Facebook Live, conéctate y envíanos tus preguntas con el hashtag #ParaElCampo… https://t.co/1C1xURcTEZ</t>
  </si>
  <si>
    <t>#ParaElCampo https://t.co/RyVQxy8pem</t>
  </si>
  <si>
    <t>RT @ClaudiaLopez: A don Nestor mi abrazo y excusas por el maltrato injusto y abusivo al que fue sometido. A la par de la investigación po…</t>
  </si>
  <si>
    <t>RT @ArielAnaliza: Según investigación, la declaración de emergencia habría sido utilizada por muchos entes territoriales para contratar pos…</t>
  </si>
  <si>
    <t>RT @PoliciaBogota: He ofrecido disculpas públicas a don Néstor, por la extralimitación inadmisible del uso de la fuerza policial de que fue…</t>
  </si>
  <si>
    <t>RT @PaulaMorenoZ: HOY12:30 @ManosVisibles anuncia #PotenciaPacífico MaestríaGerenciaDesarrollo-Pacífico @AdmonUniandes gran oportunidad pa…</t>
  </si>
  <si>
    <t>https://t.co/L0Oh8ey8Hs</t>
  </si>
  <si>
    <t>RT @ivanmarulanda: Cuando digo en forma eufemística que el presidente Duque nos decretó a los mayores de 70 años “casa por cárcel” me refie…</t>
  </si>
  <si>
    <t>Manipulación en las redes? 😳😳 https://t.co/kITRF1WCiD</t>
  </si>
  <si>
    <t>Nuestra herencia africana. Lectura revomendada. https://t.co/y6a666fXtB</t>
  </si>
  <si>
    <t>Hoy es el día de la afrocolombianidad. Nosotros en la gobernación de Antioquia demostramos nuestro Compromiso con… https://t.co/e7J1TFpQeR</t>
  </si>
  <si>
    <t>RT @manuel_rodb: En el #DíaInternacionaldelaBiodiversidad se escucha, una vez más, el grito de la Tierra. En respuesta, en Colombia, debem…</t>
  </si>
  <si>
    <t>RT @compromisociu: @ElkinVelasquezM es coordinador de @ONUHabitat para América Latina y uno de nuestros cuatro expertos de lujo en el conve…</t>
  </si>
  <si>
    <t>RT @CeciliaOrozcoT: Gracias, muchas gracias a la comunidad periodística y a los ciudadanos que han manifestado su apoyo a mi carrera la cua…</t>
  </si>
  <si>
    <t>Hoy y siempre #Noeshoradecallar https://t.co/FIrxTUTFWN</t>
  </si>
  <si>
    <t>RT @Compromisarias: Rechazamos las acciones que violentan la dignidad de las mujeres Wayuu, promovidas por el señor Fabio Zuleta. No podemo…</t>
  </si>
  <si>
    <t>Seguimos avanzando. Esta semana conversamos sobre las ciudades. ¿Qué nos enseña la pandemia? ¿qué sigue? El camino… https://t.co/8ByHN7wD51</t>
  </si>
  <si>
    <t>Compromiso en Atlántico. Avanzamos https://t.co/5SDkvT4lW1</t>
  </si>
  <si>
    <t>RT @PalaciosLeyner: Ayúdenme a que nuestra sociedad conozca la verdad, pidámosle a medios de comunicación @NoticiasCaracol @NoticiasRCN @No…</t>
  </si>
  <si>
    <t>RT @NachoGomex: Un locutor de Valledupar promocionó, totiado de la risa, la venta de niñas menores de edad de la etnia wayuu para servicios…</t>
  </si>
  <si>
    <t>Este señor es un bárbaro. Vergonzoso. Pero asusta y avergüenza aún más pensar que hay muchos como él, que piensan i… https://t.co/Pxijat3sDs</t>
  </si>
  <si>
    <t>RT @PetersRaute: Cuando veo esto, no veo cómo decirle a mi hija que vive en un país donde ella,como mujer, tiene las mismas oportunidades y…</t>
  </si>
  <si>
    <t>RT @compromisociu: ¡Nos reunimos con nuestro equipo del Cesar! Compartimos ideas y propuestas con @sergio_fajardo para escuchar y construir…</t>
  </si>
  <si>
    <t>RT @VickyDavilaH: No sé si lo han notado, pero el odio está cada vez más espeso.... hay unas bandas organizadas para acabar con el que cons…</t>
  </si>
  <si>
    <t>Todas las buenas energías del mundo para Aleia y Diana. https://t.co/hC594rJZqZ</t>
  </si>
  <si>
    <t>RT @riveraalzate: Por primera vez en el @concejodebogota conformamos la Bancada por la Diversidad. Nos unimos para que en @Bogota todos y…</t>
  </si>
  <si>
    <t>RT @mwassermannl: Preguntó cuánto costaba y le respondieron cuánto y en dónde. No se puede quedar en anécdota.</t>
  </si>
  <si>
    <t>El rigor en política. Así se hace. Discutir con argumentos. https://t.co/LOh6FadORU</t>
  </si>
  <si>
    <t>RT @QuinteroCalle: Gracias a todos por sus oraciones. Después de 16 horas, acaba de terminar la cirugía de transplante. En minutos Aleia pa…</t>
  </si>
  <si>
    <t>RT @UniversoCentro: Hilo Reportería en Quarentena @UniversoCentro Tapar El Hueco Mecanografía @rabodeajip Fotos Juan Fernando Ospina https…</t>
  </si>
  <si>
    <t>RT @sandragarciajar: Estos mapas muestran la gran INmovilidad social que existe en Colombia, pero sobretodo en el Litoral Pacifico. @GOYOCQ…</t>
  </si>
  <si>
    <t>RT @ClaudiaLopez: Bogotá decidió en las urnas por mayorías legítimas basar nuestro sistema de transporte masivo en Metro y no en el negocio…</t>
  </si>
  <si>
    <t>RT @saramoreno1: Hace dos años me fui con mi hijo a emprender una aventura y construir nuestro sueño: liderar la transformación de Colombia…</t>
  </si>
  <si>
    <t>RT @bicilabco: desde bicilab, son 40 kilometros los que le pedimos a @AlcaldiadeMed y @sttmed 15 kms mas o menos de la Norte-Sur 15 kms d…</t>
  </si>
  <si>
    <t>RT @Compromiso_ATL: Hace dos años pudimos evidenciar que las nuevas generaciones son el futuro de este país. #CompromisoImparable @compromi…</t>
  </si>
  <si>
    <t>RT @SucreCiudadano: Hace 2 años el mundo se sorprendía con los resultados #Colombia había respaldado una opción presidencial que priorizab…</t>
  </si>
  <si>
    <t>En 10 minutos empezamos el conversatorio sobre ciudades. Política en serio, con rigor. https://t.co/LH5QB9T5YG</t>
  </si>
  <si>
    <t>RT @compromisociu: #CompromisoImparable ✋✋</t>
  </si>
  <si>
    <t>RT @Compromiso_ATL: Hace dos años... “Construir la Paz no es posible con rabia y deseos de venganza. Llegó el momento de la Transformación…</t>
  </si>
  <si>
    <t>Te esperamos. https://t.co/ucF2Q25zJ6</t>
  </si>
  <si>
    <t>El próximo debate presidencial https://t.co/xaDnNor2q8</t>
  </si>
  <si>
    <t>RT @mateocardonah: Hace dos años voté por Fajardo, porque hizo la mejor campaña, la más transparente, sin negociar ni hacer trampas. Con el…</t>
  </si>
  <si>
    <t>RT @UniversoCentro: ¿Qué sería de nuestra vida sin teatros, sin museos, sin música, sin arte, sin cultura? #LaCulturaEnNaranja https://t.c…</t>
  </si>
  <si>
    <t>RT @dany_matu: Reptitan conmigo: ✔️Los derechos de las personas negras/afrodescendientes son DERECHOS HUMANOS. ✔️ NO nos hacen favores,…</t>
  </si>
  <si>
    <t>RT @alvarogonzalezu: Hace 20 años y 6 meses fundamos a Compromiso Ciudadano. Nuestras convicciones siguen más firmes que nunca y no hemos c…</t>
  </si>
  <si>
    <t>RT @mwassermannl: https://t.co/xHZO4kZ9M9</t>
  </si>
  <si>
    <t>RT @compromisociu: Así comenzó su conversatorio de hoy @sergio_fajardo: recordando lo que había estaba pasando exactamente hace dos años a…</t>
  </si>
  <si>
    <t>RT @compromisociu: "Cuando una comunidad se siente reconocida y respetada, se transforma y transforma las condiciones políticas. Una comuni…</t>
  </si>
  <si>
    <t>RT @AVallejoArias: 27/05: Hace 2 años soñábamos con llegar a la presidencia para cambiar la política y hacer de la educación el motor de tr…</t>
  </si>
  <si>
    <t>RT @saramoreno1: Dos años después... 1. Lanzamiento de la Coalición Colombia 💪 2. Presentación de la propuesta de educación. 🙋🏾‍♀️🙋🏻‍♂️…</t>
  </si>
  <si>
    <t>RT @Juan_Florez: Hoy tengo muy presente aquella poética e inspiradora reflexión de Martin Luther King: "Si ayudo a una sola persona a tener…</t>
  </si>
  <si>
    <t>RT @OrtegaSterling: Ya 2 años pasaron de la campaña presidencial. El tiempo va volando. Siguen vigentes nuestros postulados. Seguimos vigen…</t>
  </si>
  <si>
    <t>Hace 2 años con la Coalición Colombia terminamos una jornada extraordinaria. Acá está nuestro discurso de gratitud… https://t.co/8AIulzyYi1</t>
  </si>
  <si>
    <t>RT @RodrigoUprimny: Totalmente de acuerdo</t>
  </si>
  <si>
    <t>RT @alvarogonzalezu: No solo es perverso aprovechar la pandemia para robar recursos públicos. También lo es aprovecharla para actos ajenos…</t>
  </si>
  <si>
    <t>RT @ClaudiaLopez: Hoy registré mi bicicleta en el punto habilitado sobre la Carrera 30, en el costado del Movistar Arena. Con esta medida…</t>
  </si>
  <si>
    <t>RT @matecastano: Privadamente Daniel y yo conversamos acerca de la razonabilidad en la entrega de información privada en la plataforma Mede…</t>
  </si>
  <si>
    <t>RT @ProfamiliaCol: 🔴#EnVivo | Vivamos #SinEtiquetas Conéctate #hoy en nuestro #InstagramLive con @MATIGONZALEZGIL y la @DraCarmenL, hablar…</t>
  </si>
  <si>
    <t>RT @urbam_EAFIT: Hoy en #UrbamEnVivo conversaremos con Juliana Quintero y Natalia Castaño sobre nuestros procesos y el lanzamiento de #Urba…</t>
  </si>
  <si>
    <t>La reforma laboral | El Meridiano https://t.co/YmG9gCJYZR</t>
  </si>
  <si>
    <t>RT @mauromosquera: A este señor, don ⁦@AlonSalazarJ⁩ , lo voy a querer siempre. Eligió a la responsabilidad por encima de la popularidad. H…</t>
  </si>
  <si>
    <t>Tiene razón. Toda nueva medida inteligente se convierte en un desconcierto ciudadano. La pedagogía ciudadana se fue… https://t.co/LKwqViWfII</t>
  </si>
  <si>
    <t>RT @manuel_rodb: Los miembros de Parques Nacionales Cómo Vamos estamos muy orgullosos de que Sandra Vilardy sea su nueva directora. Tiene e…</t>
  </si>
  <si>
    <t>La fuerza de la vida. Feliz fin de semana https://t.co/kxyti7h8ps</t>
  </si>
  <si>
    <t>RT @FranciscoDeRoux: Ayer, tirados en balastrera los cuerpos de Maria Nelly Cuetia y Pedro Angel Trochez, pueblo Nasa, lideres espirituales…</t>
  </si>
  <si>
    <t>RT @LeopoldoTweets: ¿Por qué apoyo la demanda por un pacto justo? Comparto mi columna explicando las motivaciones para apoyar la demanda…</t>
  </si>
  <si>
    <t>RT @ArielAnaliza: Hace un año lanzaba este libro. Una investigación de varios años y uno de los más vendidos en Colombia. Mil gracias a tod…</t>
  </si>
  <si>
    <t>RT @alvarosalinasp: Sin contratiempos, sin presiones, con buena disposición, con ánimo constructivo, dejando a un lado las diferencias, se…</t>
  </si>
  <si>
    <t>El 20 % de desempleo es una hecatombe. La acción del Gobierno ha sido insuficiente y parte del problema. Este es ap… https://t.co/QEY8BkfmKE</t>
  </si>
  <si>
    <t>La iniciativa de #rentabásica universal presentada por @ivanmarulanda aliviaría los problemas de millones de colomb… https://t.co/Ry2rsOIMPR</t>
  </si>
  <si>
    <t>RT @Compromiso_ATL: EN VIVO regresa nuevamente nuestro programa institucional, VISTAZO CARIBE. Con invitados especiales que nos darán un pa…</t>
  </si>
  <si>
    <t>Conversé con @IvánMarulanda sobre el proyecto de #RentaBasica, con el cual 30 millones de colombianos recibirían $8… https://t.co/wToUDfWBMJ</t>
  </si>
  <si>
    <t>RT @mahofste: Desgobierno. Mi columna de hoy a través de @elespectador . https://t.co/H4f4gNuu6x https://t.co/Txqo5fcHPg</t>
  </si>
  <si>
    <t>RT @davidaxelrod: Perfect symbolism. If ever the country needed the occupant of the White House to shed light, and not heat, now is the ti…</t>
  </si>
  <si>
    <t>RT @compromisociu: ✋✋✋</t>
  </si>
  <si>
    <t>RT @mfajardoa: ¡DESIGUALDAD! https://t.co/6FgDkKdH7x</t>
  </si>
  <si>
    <t>Este miércoles. Política en serio. Tema: medio ambiente. Excelentes expositores y expositora. Entrada libre. https://t.co/CdKE52S8Rx</t>
  </si>
  <si>
    <t>Este miércoles. Política en serio. Tema: medio ambiente. Excelentes expositores y expositoras. Entrada libre. https://t.co/xe8DSMsaZk</t>
  </si>
  <si>
    <t>RT @slondonouribe: Estructural, solapado y “aguantador”. Buena entrevista con ⁦@Dany_matu⁩. Recomendada. https://t.co/tRleItc3sQ</t>
  </si>
  <si>
    <t>RT @compromisociu: ¡Atentos y atentas! @sergio_fajardo nos invita a esta cita imperdible. Con @Brigittelgb @svilardyq @CristianSamper @manu…</t>
  </si>
  <si>
    <t>Racismo en USA vs. racismo en Colombia https://t.co/pHc7nuiD0m vía @elespectador</t>
  </si>
  <si>
    <t>¡Perfecta explicación! @Osgazu https://t.co/T5d0U7QNwN</t>
  </si>
  <si>
    <t>RT @mfajardoa: Una de las cosas buenas de la cuarentena es poder "reunirme" a conversar con personas que admiro profundamente. Mañana a las…</t>
  </si>
  <si>
    <t>RT @BarackObama: "Let’s do this another way. Let's stop thinking our voice don’t matter and vote. Not just for the president...educate your…</t>
  </si>
  <si>
    <t>RT @Compromiso_ATL: Conmemoramos el Día Mundial de la Bicicleta, para darle a esta fecha el protagonismo que merece un medio de transporte…</t>
  </si>
  <si>
    <t>RT @hectorabadf: Comparto con ustedes una gran felicidad. El @Festival_Cannes acaba de escoger la película de Fernando Trueba, "El olvido q…</t>
  </si>
  <si>
    <t>En minutos. Una conversación sobre nuestro planeta, y el impacto de la pandemia en el medio ambiente, con excelente… https://t.co/3hKaCS7fIS</t>
  </si>
  <si>
    <t>RT @compromisociu: Estamos #EnVivo con un conversatorio muy esperado: Durante la pandemia, ¿qué pasa con el medio ambiente?, conéctate con…</t>
  </si>
  <si>
    <t>RT @harmanfelipe: En la ciencia no se decretan resultados. Insto al @INSColombia que determine segundas muestras, al menos, aleatorias para…</t>
  </si>
  <si>
    <t>RT @elespectador: #NoMásViolencia Entre enero y marzo de 2020, 47 líderes sociales fueron asesinados: Somos Defensores. https://t.co/c8YN5…</t>
  </si>
  <si>
    <t>RT @compromisociu: “Para mí la bicicleta significa libertad, alegría, paz, me he caído muchas veces y me he vuelto a parar, he aprendido mu…</t>
  </si>
  <si>
    <t>RT @hectorabadf: Aquí F.Trueba les hace un homenaje a las actrices y los actores de su película. Patricia Tamayo, @JAVIERCAMARA1, Juanpa Ur…</t>
  </si>
  <si>
    <t>RT @hectorabadf: Lo que más me gusta de la Selección Oficial en Cannes de la película de Fernando Trueba es que el protagonista sea un médi…</t>
  </si>
  <si>
    <t>A propósito de racismo, una muy buena entrevista con la profesora Aurora Vergara de la Universidad Icesi. Lectura n… https://t.co/ZErXBoyIh9</t>
  </si>
  <si>
    <t>RT @CarlosFGalan: Yair Klein entrenó a los sicarios que asesinaron a Luis Carlos Galán y a muchos otros colombianos. Espero que algún día q…</t>
  </si>
  <si>
    <t>Cuarentena, pandemia barata y desempleo https://t.co/F29INFjegw</t>
  </si>
  <si>
    <t>RT @compromisociu: #Hoy a las 2 p.m. conéctate por Facebook Live para conocer las propuestas de turismo para la reactivación económica en e…</t>
  </si>
  <si>
    <t>RT @FranciscoDeRoux: Recibimos INFORME GENOCIDIO SILENCIOSO PUEBLO EMBERA DE CALDAS:Masacres, asesinatos, violencias de paramilitares, gue…</t>
  </si>
  <si>
    <t>RT @SalcedoRamos: “Siempre quise saber por qué Tarzán era rey de la jungla en África, y era blanco”. Muhammad Alí siempre fue un crack dent…</t>
  </si>
  <si>
    <t>RT @JuanitaGoe: Hágame el favor, Edward Rodríguez del Centro Democrático me acusa de tener un “clan” en Bogotá por haber creado una escuela…</t>
  </si>
  <si>
    <t>RT @DanielSamperO: Les pido su solidaridad para hcer visible a Juana Ruiz, una lider social admirable que está recibiendo serias amenazas d…</t>
  </si>
  <si>
    <t>Catalina, @cataortizcamara, hay unos políticos que viven de la mentira, la trampa y el engaño, más otras "cositas"… https://t.co/YdoO4xZmNe</t>
  </si>
  <si>
    <t>RT @CristianSamper: Hoy #Colombia es el país anfitrión del día mundial del medio ambiente, con este programa en línea con líderes de opinió…</t>
  </si>
  <si>
    <t>RT @svilardyq: El funcionamiento de los ecosistemas en zonas rurales le garantiza a las poblaciones locales, lo que el Estado no logra, ali…</t>
  </si>
  <si>
    <t>RT @manuel_rodb: Que el Día del Medio Ambiente sea un momento para reflexionar sobre lo que significa la enorme riqueza natural de Colombi…</t>
  </si>
  <si>
    <t>Esta semana, por el #DíaMundialDelMedioAmbiente, realizamos un gran conversatorio con @Brigittelgb, @svilardyq,… https://t.co/gI1s66LfnB</t>
  </si>
  <si>
    <t>1️⃣ La pandemia evidencia la urgencia de implementar un nuevo modelo de desarrollo donde la sostenibilidad ♻️ sea e… https://t.co/4LhLwEBfZJ</t>
  </si>
  <si>
    <t>2️⃣ #Colombia 🇨🇴 es especialmente vulnerable a sucesos como el #Covid19 y el cambio climático. Esto se debe a la de… https://t.co/ooveR2CXXC</t>
  </si>
  <si>
    <t>3️⃣ El #Covid19 nos enfrenta a una realidad que algunos mandatarios se niegan a aceptar: la necesidad de diseñar po… https://t.co/J2ymJIfS7e</t>
  </si>
  <si>
    <t>RT @ProfFeynman: Human stupidity is more infectious than any other disease.</t>
  </si>
  <si>
    <t>RT @mcarvajal28: Urgente llamado de artistas para que pare la deforestación en la Amazonia https://t.co/82IbHm2Ap9 via @RevistaSemana</t>
  </si>
  <si>
    <t>He tenido coincidencias y diferencias políticas con Aníbal Gaviria. Le tengo gran aprecio personal. Es un exabrupto… https://t.co/ZC2QWrK9mk</t>
  </si>
  <si>
    <t>RT @SosSemana: #DíaMundialDelMedioAmbiente l En 2016, después de casi dos décadas de ausencia, una rana arlequín reapareció en la finca de…</t>
  </si>
  <si>
    <t>RT @QuinteroCalle: La recuperación de nuestra Aleia ha sido milagrosa. Hoy fue dada de Alta. Dios les pague a todos por sus oraciones y bue…</t>
  </si>
  <si>
    <t>RT @AdrianaLucia: Ella es mi amiga Juana Alicia. Una mujer valiente, amorosa, artista, inspiradora. Lider de Mampuján, corregimiento de Mar…</t>
  </si>
  <si>
    <t>RT @esteban_usuga: Mientras en el mundo aumentan las muertes por Covid19, aquí en Ituango aumentan las muertes violentas. Esta guerra absur…</t>
  </si>
  <si>
    <t>RT @ELTIEMPO: Denuncian intimidaciones contra Ana Mercedes Rentería, esposa del líder Leyner Palacios. Según la familia, desconocidos han…</t>
  </si>
  <si>
    <t>Economías emergentes: hoja de ruta para manejar financiamiento y deuda https://t.co/KdgiUT6vpl</t>
  </si>
  <si>
    <t>Una vez más, como en tantas otras ocasiones, listo para demostrar mi transparencia en todas mis actuaciones. Siempr… https://t.co/BlInCFzGS2</t>
  </si>
  <si>
    <t>RT @gabocifuentes: Acá el ejemplo de un líder que antes de atribuirle a sus enemigos políticos las investigaciones y escudarse tras el faci…</t>
  </si>
  <si>
    <t>https://t.co/beKMhT6W9F</t>
  </si>
  <si>
    <t>Atención, me acaba de llegar el documento de liquidación del contrato en discusión. La liquidación unilateral se hi… https://t.co/uRMhPga6Ot</t>
  </si>
  <si>
    <t>Qué hicimos en mi administración? Ahí está la respuesta. Transparencia. https://t.co/MoF5ZIJHSZ</t>
  </si>
  <si>
    <t>Biopolítica y la muerte de la libertad https://t.co/NEvrYBFUPL</t>
  </si>
  <si>
    <t>RT @Compromiso_ATL: Esᴛᴇ ᴊᴜᴇᴠᴇs ɴᴏ ᴛᴇ ᴘɪᴇʀᴅᴀs ɴᴜᴇsᴛʀᴏ Fᴀᴄᴇʙᴏᴏᴋ LIVE 7:00PM. Nuestros ɪɴᴠɪᴛᴀᴅᴏs sᴏɴ Rᴏsᴀ Jɪᴍéɴᴇᴢ ʀᴇᴘʀ. ᴅᴇ Cᴏᴏʀᴘᴏᴠɪsɪᴏɴᴀʀɪᴏs…</t>
  </si>
  <si>
    <t>Se murió un amigo: Sigifredo Satizabal. Un colega profesor, sencillo, noble, profundamente humano, cariñoso y compr… https://t.co/ejuVvWCZBx</t>
  </si>
  <si>
    <t>Nos dejó a La Flaca y se llevó Humo. Hará falta, a varias generaciones. https://t.co/HYHjW3trID</t>
  </si>
  <si>
    <t>RT @afajardoa: "Ahora, que solo el ahora Es lo único que tengo Ahora, que solo me queda Esperar a que llegue la hora Ahora, que empiezo de…</t>
  </si>
  <si>
    <t>RT @afajardoa: "En la vida conocí mujer igual a la flaca Coral negro de la Habana, tremendísima mulata Cien libras de piel y hueso, cuarent…</t>
  </si>
  <si>
    <t>RT @EOrtizOspina: The World Bank's Gender Data Team is working to strengthen their Gender Data Portal. If you are interested in the diss…</t>
  </si>
  <si>
    <t>RT @CuadrosFJ: Ramiro Suarez es un criminal y su plan es sistemático contra esta administración. Contra mi tiene un montaje judicial con ca…</t>
  </si>
  <si>
    <t>Totalmente de acuerdo con el mensaje de Catherine. En Cúcuta el tema es conoccido por todos. A Cúcuta hay que cuida… https://t.co/5x4cN3jHei</t>
  </si>
  <si>
    <t>RT @MabelLaraNews: #LasVidasNegrasImportan #JusticiaParaAndersonArboleda #BlackLivesMatterColombia 👊🏿👊🏽👊🏾 https://t.co/OqqlRJ8nsN</t>
  </si>
  <si>
    <t>RT @JuanitaGoe: Ante la falta de argumentos optas por el ataque personal. Perdí a mi mamá por cáncer y mi papá es sobreviviente. A mi no…</t>
  </si>
  <si>
    <t>RT @JuanitaGoe: Hoy todos pendientes de la discusión y votación en Comisión Sexta de @CamaraColombia de nuestro proyecto de transporte esco…</t>
  </si>
  <si>
    <t>RT @ivanmarulanda: La presidencia del Senado radicó al final de la tarde el proyecto de ley de Renta Básica en la Comisión3a del Senado. Ma…</t>
  </si>
  <si>
    <t>RT @ArielAnaliza: Esta crisis puede sepultar generación completa de políticos que ganaron alcaldías y gobernaciones en octubre de 2019. Así…</t>
  </si>
  <si>
    <t>RT @santiagocancion: Claritos y oscuros | Un Pasquín https://t.co/MdPBPnDlJp vía @UnPasquin Un texto necesario para la reflexión. De @slond…</t>
  </si>
  <si>
    <t>RT @alvaroforero: Lo dicho. Cuando el subsidio de nómina llegó finalmente, 2 MESES TARDE, las empresas ya habían despedido a los trabajador…</t>
  </si>
  <si>
    <t>RT @slondonouribe: Leyendo sobre gobernanza me encuentro con una idea poderosa. La confianza es el lubricante que permite q actores diferen…</t>
  </si>
  <si>
    <t>Ernesto siempre atento, serio y decente. QEPD https://t.co/0eQLQJwcWS</t>
  </si>
  <si>
    <t>RT @Compromiso_ATL: IMPERDIBLE el programa de esta noche a las 7:00PM por Facebook LIVE. @rositaj2 y @diogenesroserod nos estarán hablando…</t>
  </si>
  <si>
    <t>RT @ClaudiaLopez: Estos son los 5 grandes propósitos y la inversión de #ElPlanQueNosReactiva ✅ Bogotá con igualdad de oportunidades. ✅Re…</t>
  </si>
  <si>
    <t>RT @ClaudiaLopez: Presentamos a Bogotá la sanción del Plan de Desarrollo. Hoy iniciamos este recorrido hacia el Nuevo Contrato Social y A…</t>
  </si>
  <si>
    <t>RT @alvaroforero: Los sectores políticos populistas solo hablan en superlativos. Adjetivos grandilocuentes para los suyos, y desacalificaci…</t>
  </si>
  <si>
    <t>RT @ClaudiaLopez: Bogotá tendrá su Comité de Garantía de Transparencia que hará seguimiento a la contratación de los proyectos y su ejecuci…</t>
  </si>
  <si>
    <t>RT @alvarogonzalezu: https://t.co/7FTYjKCMJh</t>
  </si>
  <si>
    <t>RT @CCUsaquen: El próximo domingo 14 a las 5:00 PM, tenemos una invitación muy cordial para ustedes. Hablaremos sobre salud mental en tiemp…</t>
  </si>
  <si>
    <t>RT @ccexterior: Si quieres saber en qué hemos estado trabajando, haz click aquí y entérate: https://t.co/YtFg7woxf8 #CompromisoCiudadano…</t>
  </si>
  <si>
    <t>RT @ArielAnaliza: No tiendo a contar cosas personales en redes. Esta vez creo que debe cambiar. hilo Ayer un familiar tuvo un accidente cer…</t>
  </si>
  <si>
    <t>RT @gabocifuentes: Mientras tanto en Chocó. Esta es la Colombia que muchos no quieren que veamos. Necesitamos más justicia social, empatía…</t>
  </si>
  <si>
    <t>RT @DanielSamperO: Admirables la fortaleza de Daniela Álvarez, su ejemplo, su madurez, su serenidad: un abrazo para ella y su familia, y mi…</t>
  </si>
  <si>
    <t>RT @fernandoposada_: @UnpluggedCat Las variaciones Goldberg de Bach grabadas por Glenn Gould en 1955.</t>
  </si>
  <si>
    <t>RT @DARWINLOZANOMU: Así están dejando morir a las personas en el saqueado y quebrado departamento del Chocó, esperando una atención! @fcarr…</t>
  </si>
  <si>
    <t>RT @AlonSalazarJ: Una conversacion con Andres Aguirre, director del Hospital Pablo Tobon Uribe. A proposito de la pandemia, "Etica para la…</t>
  </si>
  <si>
    <t>RT @navarrowolff: Daniela Alvarez quedó como yo Con la pierna izquierda amputada abajo de la rodilla Claro que se puede vivir así Solidarid…</t>
  </si>
  <si>
    <t>RT @mwassermannl: Me molesta profundamente el placer manifiesto ante las desgracias de los otros. La maldad no es señal de inteligencia cóm…</t>
  </si>
  <si>
    <t>La mina que quieren construir es una barbaridad. La riqueza mineral que pueda existir en tierras del suroeste nunca… https://t.co/dvwluzRdMb</t>
  </si>
  <si>
    <t>RT @FranciscoDeRoux: Fiesta de Corpus Chisti. Que sea día de INDIGNACIÓN nacional masivo: 50 líderes y lideresas asesinados durante el conf…</t>
  </si>
  <si>
    <t>Esta es una de las lecciones más profundas de Feynman: está bien decir "yo no sé". Maestro por excelencia. Tantos s… https://t.co/VmcZjwI6uo</t>
  </si>
  <si>
    <t>RT @afajardoa: Esta semana escribí sobre un golfista, un cantante, un hombre que vende aguacates, una mujer en el quinto piso y unos músico…</t>
  </si>
  <si>
    <t>RT @elespectador: #DefendamosLaVida NO LOS OLVIDEMOS. 442 líderes sociales han sido asesinados en Colombia desde que se firmó el Acuerdo de…</t>
  </si>
  <si>
    <t>RT @hectorabadf: En el informe de rendición de cuentas de la alcaldía de Jericó ya aparece el logo de Quebradona y de AngloGold Ashanti. De…</t>
  </si>
  <si>
    <t>RT @ClaudiaLopez: ¡Gracias Kennedy! Durante la cuarentena estricta logramos reducir la velocidad de contagio y por eso a partir del día mar…</t>
  </si>
  <si>
    <t>RT @afajardoa: "Yo fui muy feliz cuando el músico, solo con su acordeón, cantó los Caminos de la Vida, de los Diablitos, que es una canción…</t>
  </si>
  <si>
    <t>#SOSBuenaventura . Por Buenaventura entran y salen grandes riquezas. A los lados, la mayor pobreza. Décadas de inju… https://t.co/kiGHcvBgyd</t>
  </si>
  <si>
    <t>RT @AntanasMockus: Cooperación y confianza en la creación de la Región Metropolitana Bogotá - Cundinamarca. La creación de la Región Metro…</t>
  </si>
  <si>
    <t>RT @Pfrobledo: El presidente @IvanDuque debería trasladarse inmediatamente a Barranquilla. La situación de Bquilla y el Atlántico es muy co…</t>
  </si>
  <si>
    <t>RT @alvaroforero: Mi columna en El Espectador: Grave equivocación poco democrática. https://t.co/aY5zQ7a70K https://t.co/rUdwL9pkPL</t>
  </si>
  <si>
    <t>RT @Compromiso_ATL: ¿QUÉ VIENE PARA LOS BARRANQUILLEROS CON EL NUEVO PLAN DE DESARROLLO? No te pierdas este JUEVES 18 DE JUN a las 7:00PM…</t>
  </si>
  <si>
    <t>RT @Compromiso_Ant: Un mensaje de solidaridad y condolencias a nuestro amigo y hermano, @CamiloCalleO por el fallecimiento de su padre Jorg…</t>
  </si>
  <si>
    <t>RT @JuanitaGoe: ¡Felicidad absoluta! ¡Gracias a todas las personas que contribuyeron a hacer realidad la aprobación en último debate de la…</t>
  </si>
  <si>
    <t>Conversé con @ArielAnaliza para @RevistaSemana sobre el país durante esta coyuntura; hablamos de desempleo, educaci… https://t.co/xklmEyApJK</t>
  </si>
  <si>
    <t>RT @AngiePalacio: https://t.co/wmJmd6pQzb</t>
  </si>
  <si>
    <t>Confianza=coherencia +consistencia. https://t.co/vPZJL66ZyW https://t.co/pvM0BlOWTK</t>
  </si>
  <si>
    <t>¡Llegaron las ballenas jorobadas a Nuquí!. Expresión maravillosa de la naturaleza. 👍😎 https://t.co/bKAGFWb7cg</t>
  </si>
  <si>
    <t>RT @ArielAnaliza: Para ver y leer https://t.co/hkWoGdnxdQ</t>
  </si>
  <si>
    <t>RT @manuel_rodb: "La sudafricana AngloGold sufre nuevo revés en su distrito minero de Jericó" Ese el titular de la noticia de hoy. Esperemo…</t>
  </si>
  <si>
    <t>RT @ClaudiaLopez: El día sin iva y del padre son doble riesgo de que se dispare aglomeración y contagio. No olvidemos que estamos en mitad…</t>
  </si>
  <si>
    <t>RT @Compromiso_ATL: No se pierdan la emisión de esta noche del programa Vistazo Caribe. ¿Qué se viene para los barranquilleros con el nuev…</t>
  </si>
  <si>
    <t>RT @MauroToroO: 📢📢📢 ¡LO LOGRAMOOOOOOOOOOS! 💪💪😀😀 ¡Hoy les damos las mejores noticias y un mensaje de apoyo y justicia a las miles de micro,…</t>
  </si>
  <si>
    <t>RT @sergio_fajardo: Catorce entidades opinaron sobre nuestra propuesta ambiental. Evaluaron estos cinco criterios: agua, cambio climático,…</t>
  </si>
  <si>
    <t>Evitar la deserción educativa ha estado en el centro de nuestro trabajo estas semanas y necesita ser parte del deba… https://t.co/4KydICtsWN</t>
  </si>
  <si>
    <t>RT @sanchez_juanc: “La paciencia es un árbol de raíz amarga, pero de frutos muy dulces” Proverbio persa.</t>
  </si>
  <si>
    <t>RT @ivanmarulanda: El debate de hoy en la Comisión III será fundamental para que el Proyecto de Ley de Renta Básica no se hunda. Convoco a…</t>
  </si>
  <si>
    <t>RT @MitomanoTemoso: Líderes que inspiran a tomarse la política: @cataortizcamara @MauroToroO @ivanmarulanda @JuanLuisCasCo @riveraalzate @…</t>
  </si>
  <si>
    <t>Desarticulación del gobierno nacional con los gobiernos municipales+falta de pedagogía= caos + riesgo innecesario.… https://t.co/ahHzdhkFsj</t>
  </si>
  <si>
    <t>Totalmente de acuerdo. https://t.co/29mF62mGD3</t>
  </si>
  <si>
    <t>Mientes Gustavo. Nada raro, es lo habitual en ti: todo vale. Enfermedad incurable y terminal. Descansa. https://t.co/Df5qupWNov</t>
  </si>
  <si>
    <t>RT @DanielSamperO: Hoy es un día especial en los #LosDanieles porque con ayuda de ustedes recordaremos y serán tendencia 2 líderes sociales…</t>
  </si>
  <si>
    <t>RT @JoseA_Ocampo: Esta es mi visión de las prioridades para la economía colombiana más allá de la pandemia, en orden de prioridad: generaci…</t>
  </si>
  <si>
    <t>RT @DanielSamperO: Estas mujeres fueron asesinadas (y una desaparecida) en Colombia, y hoy los tres danieles escribimos sobre ellas: #Dey…</t>
  </si>
  <si>
    <t>RT @DanielSamperO: Vamos a recordar en Twitter a estas líderes sociales que ya no están con sus hijos, y usyedes nos van a ayudar a que sea…</t>
  </si>
  <si>
    <t>Falte lo que falte para terminar este viaje (la vida), en mi equipaje llevo este gol de Maradona y el de Fredy con… https://t.co/1q0yBDu6Ec</t>
  </si>
  <si>
    <t>RT @afajardoa: Campbell anota que “el héroe es el que participa decentemente en la discusión que le interese, alineado con la naturaleza no…</t>
  </si>
  <si>
    <t>RT @DanielSamperO: Ella se llama DEYANIRA GUERRERO: una líder social amenazada que un miércoles salió de su casa y nunca más volvió. Su cue…</t>
  </si>
  <si>
    <t>RT @mgarciavillegas: Quiero compartir la publicación, en francés, en la editorial @ed_Edilivre, de mi libro "Las virtudes de mis amigos", p…</t>
  </si>
  <si>
    <t>RT @AndreaGuerreroo: Se les agradecería un RT porfavor. Es mi papá🙏🏽 https://t.co/l0rtK4sg8z</t>
  </si>
  <si>
    <t>RT @ProfFeynman: Equations that changed the world. 🧠 https://t.co/SRIB0s9KV2</t>
  </si>
  <si>
    <t>https://t.co/H15A4GFdZ6</t>
  </si>
  <si>
    <t>RT @VickyDavilaH: #ConLaFamiliaNo gracias a todos por sus palabras de apoyo. Es nuestro deber como adultos impedir que menores sean blanco…</t>
  </si>
  <si>
    <t>RT @elfinancierocr: Laura Chinchilla será la candidata de Costa Rica para presidir el BID y enfrentará a asesor de Trump https://t.co/m6eyc…</t>
  </si>
  <si>
    <t>RT @LeopoldoTweets: Mi entrada esta semana en @lasillavacia. En el #DíaSinIVA, el gobierno instaló una tubería rota. https://t.co/ddOXYv…</t>
  </si>
  <si>
    <t>RT @djlop89: Starting my Monday off reading this amazing column. Wow! Hadn’t reading something this powerful in such a long time. Un abrazo…</t>
  </si>
  <si>
    <t>RT @ForoSocialDemo: Día sin IVA: día sin 1 billón de pesos para manejar la crisis y subsidio a males en lugar de bienes. https://t.co/LGCPq…</t>
  </si>
  <si>
    <t>RT @transparenciaco: Creemos que la denuncia puede marcar la diferencia en la lucha contra la corrupción, pero, ¿se están brindando las gar…</t>
  </si>
  <si>
    <t>RT @AlejoPalacioRes: El tiempo nos da la razón. #JericóSinMinería https://t.co/30bghdjiOQ a través de @RevistaSemana</t>
  </si>
  <si>
    <t>RT @Compromisarias: Hoy celebramos los logros de las mujeres ingenieras a nivel mundial. Según datos de la UNESCO, solo el 30% de las mujer…</t>
  </si>
  <si>
    <t>RT @ZulmaCucunuba: Este es del tipo de cosas que honestamente producen mucha frustración: - No hay mujeres - No hay afrodescendientes - No…</t>
  </si>
  <si>
    <t>RT @LeonVaLenciaA: Ojalá el tono de la campaña electoral de 2022 no sea el que utiliza Federico Gutierrez contra Gustavo Petro o el que ha…</t>
  </si>
  <si>
    <t>Henry Murraín nos da una explicación clara y seria sobre Cultura Ciudadana. Bien. https://t.co/GAhSetzYas</t>
  </si>
  <si>
    <t>RT @CompromisoSAI: Es dramática la situación social y económica del Archipiélago de San Andrés, Providencia y Santa Catalina. S.O.S. #JUNTO…</t>
  </si>
  <si>
    <t>RT @faber_gonzalezp: Las empresas del Archipiélago de San Andrés, Providencia y Santa Catalina agonizan. #JUNTOSPORELARCHIPIELAGO https://t…</t>
  </si>
  <si>
    <t>RT @ELTIEMPO: El caso de la niña indígena abusada por militares en Risaralda, nos recuerda que desde el 2012 existe un protocolo de prevenc…</t>
  </si>
  <si>
    <t>RT @ivanmarulanda: Gobierno Duque llama “Renta Básica” al programa Ingreso Solidario !Engaño! Renta Básica es el programa de 54 Senadores d…</t>
  </si>
  <si>
    <t>RT @DanielSamperO: ¿Es esta una opinión científica o una exculpación política? Pésimo mensaje: si el ministro es serio, debe defender el ai…</t>
  </si>
  <si>
    <t>RT @ELTIEMPO: En Norte de Santander asesinan a líder social Carmen Ángel Angarita ➡️ https://t.co/5rL2Tci0u7 https://t.co/WKx1BiXCfo</t>
  </si>
  <si>
    <t>RT @LeonVaLenciaA: Mi abrazo solidario para Juan Carlos Sarnari, alguna vez jugador de mi equipo, el DIM, ahora en una unidad de cuidados i…</t>
  </si>
  <si>
    <t>El mejor de todos los tiempos. Messi. Grande. https://t.co/1eKDXAZxPa</t>
  </si>
  <si>
    <t>RT @SaninPazC: La presunción de inocencia NO es un capricho patriarcal. Es el principio de toda sociedad viable. Sin ella, nos queda el ter…</t>
  </si>
  <si>
    <t>No hay palabras para describir esta barbarie. En lo corrido del año se han registrado 6.479 casos de violencia sexu… https://t.co/rifPtnDo1u</t>
  </si>
  <si>
    <t>No hay palabras para describir esta barbarie. En lo corrido del año se han registrado 6.479 casos de violencia sexu… https://t.co/403f86EPqj</t>
  </si>
  <si>
    <t>RT @colinita: “Hay que averiguar las causas de la violacion..” NO. No hay que averiguar las causas. No hay causas para una violacion. La ca…</t>
  </si>
  <si>
    <t>San Andrés, Providencia y Santa Catalina necesitan atención urgente. #JuntosXSanAndrés https://t.co/GifOh2qqPj</t>
  </si>
  <si>
    <t>RT @slondonouribe: Cada semana hay un dato o un hecho que nos recuerda que la “guerra” contra las drogas es un fracaso rotundo. La estupid…</t>
  </si>
  <si>
    <t>RT @Paralympics: We're thinking a lot about Alex Zanardi. Strength to you, @lxznr. Forza, Alex: https://t.co/1A0DrqRzVJ Words by: @JuanPS…</t>
  </si>
  <si>
    <t>RT @CompromisoUraba: Feliz dia del orgullo LGTB, les desea @compromisociu. Desde nuestro movimiento también le apostamos a la diversidad, i…</t>
  </si>
  <si>
    <t>RT @CC_Jovenes: Desde hoy celebramos la Diversidad ¡Jóvenes con Compromiso se viste de colores! #SomosCCJoven https://t.co/mkLvc4vpeK</t>
  </si>
  <si>
    <t>RT @compromisociu: #Hoy, @sergio_fajardo y @delacallehum se reencuentran para una conversación imperdible. El tema central: recuperar la co…</t>
  </si>
  <si>
    <t>RT @JuanitaGoe: Hoy Petro me dijo que mi problema es ser tecnocrática. Le respondí “a mucho honor”. Creo en hacer #PolíticaConEvidencia;…</t>
  </si>
  <si>
    <t>¿Tienen tiempo? Tertulia con Humberto De la Calle. No se aburrirán. https://t.co/0bDoAWyeff</t>
  </si>
  <si>
    <t>Así se hace Alcalde. Tratarán de hacerle la vida imposible. Querrán hacerle daño. No mire para los lados. Firme con… https://t.co/dfulj7msF8</t>
  </si>
  <si>
    <t>RT @ComisionVerdadC: “A los asesinados en los falsos positivos, los colombianos los habíamos sometido a la muerte social en vida. Ya los ha…</t>
  </si>
  <si>
    <t>RT @ivanmarulanda: ¡IMPORTANTE! Senadores de la comisión 3a que trabajamos en el PL de #RentaBásicaYa dialogaremos informalmente hoy sobre…</t>
  </si>
  <si>
    <t>RT @ClaudiaLopez: Parece increíble tener que decirlo pero hacerse la prueba de Covid-19 no causa contagio; lo previene! Es increíble como…</t>
  </si>
  <si>
    <t>RT @Paolaarenasm: Lo soñamos y lo logramos. Promesa cumplida! Este miércoles 1o de Julio instalamos la Comisión de Turismo Sostenible en la…</t>
  </si>
  <si>
    <t>RT @LosMismosGatos: #Los50deLosGatos y es que en estos 50 capítulos no hemos sido tibios y por eso lanzamos al ruedo a varios precandidatos…</t>
  </si>
  <si>
    <t>RT @Compromisarias: Calificar la conducta de los 7 soldados con un tipo de pena inferior, por la violación de la niña Embera, está en contr…</t>
  </si>
  <si>
    <t>RT @tativasquezr: Noticias que me alegran la vida: @SoyRafaMejia se acaba de graduar en @EAFIT con honores y beca para estudiar su maestría…</t>
  </si>
  <si>
    <t>RT @agaviriau: https://t.co/rAEgLKykSK</t>
  </si>
  <si>
    <t>Siete contra una https://t.co/Q3fsM2LEm1</t>
  </si>
  <si>
    <t>RT @danielduquev: Vamos a hablar sobre los riesgos que representa la pandemia para la educación superior ¡Conéctense esta tarde! https://t.…</t>
  </si>
  <si>
    <t>¡Justa causa! https://t.co/Q53jdYZJ1p</t>
  </si>
  <si>
    <t>Carolina es una líder íntegra y valiente. Gobierno, a cuidarla. https://t.co/oUIESyVTch</t>
  </si>
  <si>
    <t>En Antioquia en nuestra gobernación desarrollamos un programa espectacular: cafés especiales. Una combinación de ed… https://t.co/4Czp8Z332G</t>
  </si>
  <si>
    <t>RT @ClaudiaLopez: Respetando sus motivacioens, hago un llamado a la sensatez a las organizaciones que a esta hora protestan con bloqueo en…</t>
  </si>
  <si>
    <t>RT @JuanitaGoe: Buena columna de @gusduncan: https://t.co/wDh70tuJzJ</t>
  </si>
  <si>
    <t>RT @ClaudiaLopez: #NuevaFotoDePerfil https://t.co/olhrZ9ZPgM</t>
  </si>
  <si>
    <t>RT @UnCafePorQuilla: Alcalde @jaimepumarejo necesitamos declarar la ciudad en #AlertaRojaBarranquilla la crisis sanitaria se salió de contr…</t>
  </si>
  <si>
    <t>RT @AntanasMockus: La pandemia nos colocó ante una radiografía dolorosa. https://t.co/jp0ENhtnPY</t>
  </si>
  <si>
    <t>RT @alvaroforero: El tapabocas para convivir/prevenir el coronavirus, es el equivalente al condón para el SIDA. Quienes sobrevivan y mejor…</t>
  </si>
  <si>
    <t>RT @LosDanielesOp: #CambienDeVerbo o se generará un conflicto con Daniel Samper Pizano https://t.co/IJxSV4k63V</t>
  </si>
  <si>
    <t>En el Día del Orgullo LGBTI recordemos el 1er artículo de la Declaración Universal de DDHH: Todos los seres humanos… https://t.co/cfQvEaa18i</t>
  </si>
  <si>
    <t>RT @VickyDavilaH: #ElJefeAcosador Aquí denunciar es el verdadero delito #FelizDomingo https://t.co/EP1FqC05yb</t>
  </si>
  <si>
    <t>RT @LosDanielesOp: Gracias a usted, querido César, por leerlas. Muy bueno que le hayan gustado... Un abrazo #EspírituDeCuerpo #CambienDeVe…</t>
  </si>
  <si>
    <t>De acuerdo. Lectura necesaria. https://t.co/NwRAMJaET6</t>
  </si>
  <si>
    <t>RT @Ing_Civil_Mario: @slondonouribe @claudiamariames @sergio_fajardo Aquí están los datos. Las pruebas. https://t.co/t612f0trVX</t>
  </si>
  <si>
    <t>RT @moliverag: Generación de empleo, uno de los ejes articuladores de las políticas públicas, dice ⁦@sergio_fajardo⁩. Y reformas necesarias…</t>
  </si>
  <si>
    <t>Conversé con @YamidAmatCMI para @ELTIEMPO sobre varios temas de fondo y por qué es el momento preciso para cambiar… https://t.co/Z2RleHebgV</t>
  </si>
  <si>
    <t>RT @compromisociu: La política en Colombia SÍ se puede transformar. Dejemos de creernos el cuento de que lo haremos a punta de peloteras e…</t>
  </si>
  <si>
    <t>RT @CamiloCalleO: ¡No quería que se perdieran esta foto! Son jóvenes de la comunidad LGBTIQ que habitan en el resguardo indígena Jaikarazab…</t>
  </si>
  <si>
    <t>RT @ELTIEMPO: 🟣#NoEsHoraDeCallar | Indignación por asesinato de una mujer adulta en su casa de Neiva ➡️ https://t.co/rOuTqFP7PP https://t.c…</t>
  </si>
  <si>
    <t>RT @ClaudiaLopez: Hoy la prioridad son nuestros niños!porque 4 de 10 no tienen acceso a internet o computador. Para cerrar esa brecha digi…</t>
  </si>
  <si>
    <t>RT @Compromiso_Ant: Un enérgico rechazo de la muerte de Eilyn Catalina, una joven trans asesinada el día de ayer en la comuna 1 de Medellin…</t>
  </si>
  <si>
    <t>RT @HoracioBrieva: El coronavirus puso definitivamente a Barranquilla a bailar La Danza del Garabato, solo que en esta oportunidad la Muert…</t>
  </si>
  <si>
    <t>RT @ClaudiaLopez: Agradecemos al gobierno nacional que nos haya escuchado y avalado el decreto propuesto por @Bogota para que los próximos…</t>
  </si>
  <si>
    <t>RT @MantillaIgnacio: En esta cuarentena y época de vacaciones para los estudiantes, debería transmitirse en la televisión nacional diariame…</t>
  </si>
  <si>
    <t>RT @Compromiso_ATL: VISTAZO CARIBE en su quinta emisión tiene como invitados a @luisgrubert y @giraldocarlosj quienes nos hablarán sobre "L…</t>
  </si>
  <si>
    <t>RT @ArielAnaliza: No lo olviden. Está noche 7 30 pm revelamos el resto de la investigación Aquí nota de @CNNEE https://t.co/RSZMWBL6JM</t>
  </si>
  <si>
    <t>RT @ivanmarulanda: 🆘Pienso en los amigos y amigas del Archipiélago. Los sufrimientos allá son enormes como en otras partes, pero con sus ca…</t>
  </si>
  <si>
    <t>RT @Compromiso_ATL: Nos solidarizamos con todas las familias Barranquilleras y Atlanticenses que hoy sufren la pérdida de un ser querido, y…</t>
  </si>
  <si>
    <t>RT @ClaudiaLopez: Bogotá ha cumplido. Su ciudadanía usa tapabocas y ha aceptado cuarentenas focalizadas. Crecimos de 290 a 771 UCIs para Co…</t>
  </si>
  <si>
    <t>RT @Linavelasqueze: Invitados a este conversatorio para comprender el PELIGRO ambiental, cultural y social que representa el proyecto #Queb…</t>
  </si>
  <si>
    <t>RT @CamiloPrietoVal: ¡Buenos días! Próxima parada Santa Cruz del Islote. La pedagogía y la solidaridad no se pueden detener. #MensajeDesdeE…</t>
  </si>
  <si>
    <t>RT @ArielAnaliza: Está noche 7.30 pm por https://t.co/d1hAivgDhQ y sus redes sociales Investigación completa Militares habrían abusado de c…</t>
  </si>
  <si>
    <t>RT @ClaudiaLopez: Con los 300 ventiladores UCI anunciados por el Presidente se completan 425 de los 1.400 que Presidencia se comprometió a…</t>
  </si>
  <si>
    <t>En Montería, un espacio para la cultura. Esta noche a las 7 p.m.. https://t.co/tOpRbuQ5LI</t>
  </si>
  <si>
    <t>RT @Uniandes: Leopoldo Fergusson (@LeopoldoTweets) es el nuevo director del Centro de Estudios sobre Desarrollo Económico (#CEDE) de @Econo…</t>
  </si>
  <si>
    <t>#Emberraquémonos porque en Colombia cada 30 minutos una mujer es víctima de violencia sexual ¡No permitamos que est… https://t.co/3HDKrEDbQ0</t>
  </si>
  <si>
    <t>#emberaquemonos #emberaquemonos</t>
  </si>
  <si>
    <t>El profesor Assa, un Turco que hizo historia en Barranquilla https://t.co/7S9LZX3Zb2</t>
  </si>
  <si>
    <t>RT @compromisociu: Mañana es el día para conectarnos y que sigan nuestras entrevistas: Arrancamos en @AtlanticoEmi - 7:30 a.m., seguimos en…</t>
  </si>
  <si>
    <t>#FelizJueves Invitados a escucharme en @AtlanticoEmi, con @jorgecura1070 y seguir la transmisión en vivo por FB liv… https://t.co/y1OrlJ6MPG</t>
  </si>
  <si>
    <t>No le he pedido a nadie que se retire. En términos políticos esta página hay que pasarla y en eso estamos en la con… https://t.co/6m7iEceplD</t>
  </si>
  <si>
    <t>Lo que hemos visto ahora es que hay mucha distancia del escritorio al territorio. Las ayudas no han sido suficiente… https://t.co/uZEVttI7mc</t>
  </si>
  <si>
    <t>Es una barbaridad. Es inconcebible que el Ejército Nacional haya tenido personas con este comportamiento. Tienen qu… https://t.co/1W1AvK0oBz</t>
  </si>
  <si>
    <t>Ahora el turno es para Nariño. Escuchen mi entrevista por @viva780am. https://t.co/pgVsZcxjI3</t>
  </si>
  <si>
    <t>Nariño es un departamento que ha estado agobiado por la violencia y la pobreza, ante todo en el Pacífico. Nariño ti… https://t.co/Cd3lEHFDvw</t>
  </si>
  <si>
    <t>Es una obligación que las EPS y el gobierno se sienten hacer un plan de acción. Nosotros no podemos estar mendigand… https://t.co/eI7a3DWJCg</t>
  </si>
  <si>
    <t>No tiene transparencia el fútbol colombiano. Hace parte del deterioro de todas las instituciones de la sociedad. En… https://t.co/yeA3fcSEx1</t>
  </si>
  <si>
    <t>RT @AngelicaLozanoC: ¡EN VIVO RUEDA DE PRENSA!🎥 20 congresistas de distintas bancadas y la @ColombiaNoFrack, radicamos ante el Consejo de…</t>
  </si>
  <si>
    <t>No tiene transparencia el fútbol colombiano. Hace parte del deterioro de todas las instituciones de la sociedad. En… https://t.co/0fqxLPtFhd</t>
  </si>
  <si>
    <t>Terminamos nuestras entrevistas del día en @canalTRO. Nos vemos por aquí ⬇️ https://t.co/7Ir0PnOFDo</t>
  </si>
  <si>
    <t>Jairo Yañez ha sufrido ataques de la política tradicional que ha buscado hacerle daño a él y de paso a la ciudad en… https://t.co/3ex63ew4YV</t>
  </si>
  <si>
    <t>En Bucaramanga, el alcalde Juan Carlos Cárdenas lo ha hecho muy bien. Ha conducido la ciudad con transparencia y pe… https://t.co/iNmOF3GZkq</t>
  </si>
  <si>
    <t>RT @compromisociu: Por una ley de crecimiento verde “Bienvenido el debate sobre los tributos verdes. Puede ser que como dicen los expertos,…</t>
  </si>
  <si>
    <t>RT @ValleConFajardo: Lamentamos el fallecimiento de Óscar Marino Escobar, destacado comerciante, luchador admirable y padre de nuestro alca…</t>
  </si>
  <si>
    <t>A propósito de la #ÑeñePolítica: no tenemos precio, tenemos principios. Gran diferencia: https://t.co/jr44Dv3NEu</t>
  </si>
  <si>
    <t>RT @MAMV82Profe: Escuche el Domingo 5 de Julio (5 pm) el programa 134 de "100 preguntas y respuestas para comprender el conflicto colombian…</t>
  </si>
  <si>
    <t>Para empezar el día https://t.co/BivfAXvYFC</t>
  </si>
  <si>
    <t>Dura prueba alcalde. A veces la vida es implacable. Lo acompañamos con nuestra energía y afecto. https://t.co/qQHl0q2kgm</t>
  </si>
  <si>
    <t>Totalmente de acuerdo https://t.co/dELnYShEJD</t>
  </si>
  <si>
    <t>RT @JoseA_Ocampo: Esta es el artículo, ahora en español, donde exponemos la visión de la Comisión Independiente para la Reforma de la Fisca…</t>
  </si>
  <si>
    <t>RT @AlejoPalacioRes: La mayoría de los días pasan sin dejar rastro alguno. Otros los recordamos eternamente. Hoy es uno de esos días. Me gr…</t>
  </si>
  <si>
    <t>RT @Compromiso_Ant: #TransSiPeroNoAsí Hacen parte de los matices y colores de la vida. La diversidad y la capacidad de construir en colecti…</t>
  </si>
  <si>
    <t>RT @JERobledo: Bastante bien le fue a @ClaudiaLopez en las encuestas, que derrotaron la saña con la que la han atacado el #DuquismoUribismo…</t>
  </si>
  <si>
    <t>RT @ClaudiaLopez: Es falso que haya una privatización del hospital San Juan de Dios. El contrato de obra e interventoria que empezamos aye…</t>
  </si>
  <si>
    <t>RT @ClaudiaLopez: También es falso que se demuela un patrimonio. Todos los edificios patrimoniales del complejo San Juan de Dios se mantien…</t>
  </si>
  <si>
    <t>RT @ClaudiaLopez: Sería un despropósito en plena pandemia dejar sin un hospital público a Bogotá y meter a la ciudad en un pleito contractu…</t>
  </si>
  <si>
    <t>RT @ClaudiaLopez: El San Juan de Dios pasará de ser un edificio abandonado y en ruinas a ser un nuevo hospital público universitario de 312…</t>
  </si>
  <si>
    <t>RT @ClaudiaLopez: Hace un mes Bogotá tenía 400 casos promedio por día, ahora tiene 1.200 promedio. Si bien estamos haciendo testeo masivo,…</t>
  </si>
  <si>
    <t>RT @Compromiso_Ant: #Recomendado | Homo solidarius: "Es nuestro único destino, debe ser nuestra única identidad si queremos subsistir [...]…</t>
  </si>
  <si>
    <t>RT @NobelPrize: How much do you know about Marie Curie? Curie dedicated her life to science. She was the first woman to be awarded a Nobel…</t>
  </si>
  <si>
    <t>RT @gabocifuentes: En el caso de la violacion de la menor embera, esos tecnicismos o “matices” jurídicos son un nuevo acto de re-victimizac…</t>
  </si>
  <si>
    <t>RT @DanielSamperO: Casi 40 mil espectadores siguieron en directo la lectura de #LosDanieles en diversas plataformas; los PDFS circulan por…</t>
  </si>
  <si>
    <t>RT @RodrigoUprimny: Mi columna hoy: violencia sexual debe ser combatida en todo ámbito, incluido el militar. Pero la vía no es la cadena p…</t>
  </si>
  <si>
    <t>RT @manuel_rodb: La restauración de los bosques es una de las mayores prioridades ambientales del país. ¿Qué tanto se ha avanzado? ¿Qué nos…</t>
  </si>
  <si>
    <t>RT @Compromisarias: Léanlo...”Más del 90 por ciento de los feminicidios que ocurren después de amenazas se pudieron haber evitado...Muchas…</t>
  </si>
  <si>
    <t>RT @compromisociu: En minutos nos vemos en la rendición de cuentas de @ivanmarulanda. #IvánMarulandaRindeCuentas Sigan la transmisión en v…</t>
  </si>
  <si>
    <t>RT @DesEconomicoBog: Cambiemos de hábitos para abastecernos, compremos mercados campesinos y valoremos a quienes cultivan la tierra con tan…</t>
  </si>
  <si>
    <t>RT @MantillaIgnacio: Un importante aniversario: 333 años de una publicación trascendental.</t>
  </si>
  <si>
    <t>Para terminar la semana. La corrupción es, de acuerdo a la encuesta Gallup, el principal problema de Colombia. No l… https://t.co/2e2cQZAQfa</t>
  </si>
  <si>
    <t>RT @FelipRamirez_: En los próximos años Jamundí recupera el liderazgo que perdió por años, con trabajo honrado y esfuerzo posicionáremos a…</t>
  </si>
  <si>
    <t>RT @Compromiso_Ant: Celebramos la decisión de la @AlcaldiadeMed frente a #MatriculaCero, la educación es el motor de la transformación, a p…</t>
  </si>
  <si>
    <t>RT @svilardyq: La pobreza y abandono actual de Tasajera, no ha sido siempre su historia. Tasajera y Puebloviejo fueron pueblos de pescadore…</t>
  </si>
  <si>
    <t>RT @gabocifuentes: Lo qué pasó en Tasajera es una tragedia que refleja la crisis social que vivimos. Una comunidad olvidada por el Estado y…</t>
  </si>
  <si>
    <t>RT @mayoloangelica: Hoy estaremos en el lanzamiento de las becas #PotenciaPacifico #MaestriaCreacióndeEmpresa @icesi. Gracias al liderazgo…</t>
  </si>
  <si>
    <t>RT @agaviriau: No estoy de acuerdo con este tipo de noticias ni con su aprovechamiento político. La muerte como escarmiento y la insinuació…</t>
  </si>
  <si>
    <t>Esta noche estaré conversando con @MJDuzan por @Semanaenvivo. Los esperamos. https://t.co/X0LdcoTjBA</t>
  </si>
  <si>
    <t>Este jueves tendremos un espacio para conversar sobre los retos y perspectivas para el Atlántico. Los esperamos, de… https://t.co/iMorm4Jdte</t>
  </si>
  <si>
    <t>RT @MJDuzan: Los espero esta noche a las 8PM @Semanaenvivo en entrevista con @sergio_fajardo Los leo con el hashtag #FajardoResponde</t>
  </si>
  <si>
    <t>Ya estamos al aire por @Semanaenvivo, la entrevista está buenísima. #FajardoResponde https://t.co/lpI4i4sklW</t>
  </si>
  <si>
    <t>Es necesario y urgente para Colombia investigar seriamente, en lo penal y electoral, lo ocurrido en la llamada Ñeñe… https://t.co/qJ7FPrlw5V</t>
  </si>
  <si>
    <t>No tengamos la menor duda de que en Colombia hay un profundo malestar e indignación, que no arrancó con la pandemia… https://t.co/7JsKTgYdYJ</t>
  </si>
  <si>
    <t>Estamos por fuera de la polarización, no creemos en el populismo. Creemos que se puede construir, que se puede dife… https://t.co/dK1M5N1bZP</t>
  </si>
  <si>
    <t>No soy ni quiero ser agresivo con nadie. La violencia ha permitido que se profundicen las desigualdades. En Colombi… https://t.co/rsXKhxHuTv</t>
  </si>
  <si>
    <t>No pertenezco a ninguno de los extremos. La confrontación genera titulares y pone a la gente a hablar de los mismos… https://t.co/wGE5JLHX62</t>
  </si>
  <si>
    <t>Hacer una política distinta es una batalla. Es un camino difícil, pero hay que darla. Es en la política que se da l… https://t.co/7nun3zR6z7</t>
  </si>
  <si>
    <t>Me preocupa mucho el papel que ha tenido el Congreso, se le ha quitado la voz en medio de la emergencia que estamos… https://t.co/mOsieD0x9s</t>
  </si>
  <si>
    <t>El Desempleo de jóvenes está cerca del 30 %. En educación superior tenemos cerca de 2,4 millones de estudiantes y c… https://t.co/W7DOEEHZ0q</t>
  </si>
  <si>
    <t>Podemos crear un fondo para evitar que 800 mil jóvenes se queden sin estudiar los próximos 2 semestres. La educació… https://t.co/vS4y062V41</t>
  </si>
  <si>
    <t>Acá nunca se han volado un tope. Ha habido trampa, platas ilegítimas hace décadas. Por eso entramos a la política.… https://t.co/Nh6tllU7y0</t>
  </si>
  <si>
    <t>Sin confianza no hay materia prima para hacer transformaciones #FajardoResponde</t>
  </si>
  <si>
    <t>En minutos, estaré en vivo por @RumbaOcana para que me escuchen en Norte de Santander. https://t.co/OuQ4855z8B</t>
  </si>
  <si>
    <t>Empezamos la entrevista en @RumbaOcana para que sigan la transmisión por aquí #NorteDeSantander https://t.co/Ij6oP8xqw5</t>
  </si>
  <si>
    <t>Uno de los saltos que debemos dar ahora es el desarrollo rural y garantizar la seguridad alimentaria. Tenemos que a… https://t.co/tND5KMGIi0</t>
  </si>
  <si>
    <t>El ELN rompió los puentes para el diálogo. Espero se pueda avanzar en una negociación, pero hasta el momento el gob… https://t.co/ArlHNj8EEP</t>
  </si>
  <si>
    <t>La discusión en el marco de las ideas es esencial. Pero la polarización busca llevar a que solo haya dos opciones:… https://t.co/RdccresAfD</t>
  </si>
  <si>
    <t>La educación da las herramientas para la libertad. El país necesita la educación, la ciencia y la tecnología para p… https://t.co/fE8zkzxUn9</t>
  </si>
  <si>
    <t>Artículo de Santiago Londoño. Seguimos siendo infantiles. Infantiles | Un Pasquín https://t.co/XDYuoR0iOx vía @UnPasquin</t>
  </si>
  <si>
    <t>RT @ClaudiaLopez: No es un choque. Es una dificultad técnica que todos estamos trabajando en equipo para superar. Desde el primer día rend…</t>
  </si>
  <si>
    <t>¿Por qué Barranquilla y Atlántico? https://t.co/AGB5PGRzz6</t>
  </si>
  <si>
    <t>RT @martinct7: El punto medio entre nacer y morir es vivir la vida. Colombia necesita ser construida entre todos @sergio_fajardo el presi…</t>
  </si>
  <si>
    <t>Rosita Turizo una de las pioneras en la lucha por los derechos de las mujeres en Antioquia. Mujer ejemplar. Paz en… https://t.co/4DbGJyweEZ</t>
  </si>
  <si>
    <t>RT @Pfrobledo: Gran mensaje del buen empresario Carlos Enrique Cavalier @CavelierE, mejor ser humano aún, presidente de la @AlqueriaOficial…</t>
  </si>
  <si>
    <t>RT @Paolaarenasm: Me complace compartirles la editorial con la que debuto como columnista de @Diarioccidente Gracias a esta casa periodíst…</t>
  </si>
  <si>
    <t>Una reflexión de Weildler Guerra sobre la pobreza, suscitada por la tragedia de Tasajera. Vale la pena leerla. https://t.co/f9WB7H1vLE</t>
  </si>
  <si>
    <t>Sigan el #ForoCaribe, un espacio para conversar con expertos sobre cómo construir una visión de desarrollo del Atlá… https://t.co/hMqMHKPExn</t>
  </si>
  <si>
    <t>El Atlántico tiene el gran reto de hacer de su universidad pública una de las mejores del país para potenciar el de… https://t.co/xKz6SiP7TL</t>
  </si>
  <si>
    <t>RT @compromisociu: "Antes de la pandemia, Barranquilla tenía una informalidad del 80 % y la pandemia está generando una fuerte destrucción…</t>
  </si>
  <si>
    <t>RT @compromisociu: "El 14 % de nuestra población vive en habitaciones con más de 4 personas. ¿Cómo se queda uno ahí confinado con 40°C y co…</t>
  </si>
  <si>
    <t>RT @compromisociu: "La educación lo es todo y necesitamos seguir avanzando, particularmente en el fomento de la lectura, la atención a la p…</t>
  </si>
  <si>
    <t>RT @compromisociu: “Ahora tenemos que ver cómo rescatar el crecimiento económico y eso se debe hacer hablando con los empresarios, con una…</t>
  </si>
  <si>
    <t>RT @compromisociu: "Prosperidad 'al debe' es en lo que estamos en Barranquilla. El año pasado ya se debían $ 1,78 billones, sumados a $ 2,4…</t>
  </si>
  <si>
    <t>RT @compromisociu: “El endeudamiento se ha combinado con un modelo de gobernanza muy particular en Barranquilla. Una gobernanza de un grupo…</t>
  </si>
  <si>
    <t>RT @compromisociu: "El departamento del Atlántico está sumido en una profunda crisis del sector salud desde la administración anterior": @j…</t>
  </si>
  <si>
    <t>RT @compromisociu: “Durante la pandemia se ha presentado una indisciplina en la región, que no se debe al hecho de ser costeños, es una cri…</t>
  </si>
  <si>
    <t>Para el Caribe, la educación tiene que ser una prioridad y la Universidad del Atlántico debe ser un primer reto a r… https://t.co/Kd7mNRnRNA</t>
  </si>
  <si>
    <t>Asesinan a otro líder social y nada pasa. Una vergüenza nacional que no se resuelve con un esquema de seguridad. Ne… https://t.co/1Fn4cdn6OJ</t>
  </si>
  <si>
    <t>Acompáñenme a conversar sobre ética en la política, mañana, 11 de julio, por Facebook Live a las 10:00 a. m. https://t.co/5q3WKHwR1z</t>
  </si>
  <si>
    <t>RT @compromisociu: Hoy a las 10 a.m. #HablemosDeÉtica en la política con @sergio_fajardo Sigue la conferencia por Facebook Live (https://t…</t>
  </si>
  <si>
    <t>Llevamos 20 años haciendo política con principios y hoy seguimos convencidos de que es la fórmula para transformar… https://t.co/sOZyS9z93i</t>
  </si>
  <si>
    <t>En 1999 decidimos participar en política en Medellín. Personas diversas nos atrevimos a participar en política para… https://t.co/a6XUe45TlS</t>
  </si>
  <si>
    <t>Tenemos que romper el muro de las desigualdades que impide que las personas logren acceder a las oportunidades.Para… https://t.co/laZpEcEyZt</t>
  </si>
  <si>
    <t>RT @compromisociu: #LaÉticaEnPolíticaEs 1. Respeto 2. Reconocimiento 3. Solidaridad 4. Empatía Los 4 inamóvibles de la forma de abordar l…</t>
  </si>
  <si>
    <t>RT @compromisociu: Confianza es la mayor riqueza. Confiar en las personas y las instituciones. Siendo coherentes, consistentes se construye…</t>
  </si>
  <si>
    <t>RT @compromisociu: “Sacar lo mejor de las personas, es una forma de hacer la política. Los que venimos del mundo de la educación entendemos…</t>
  </si>
  <si>
    <t>RT @compromisociu: Tenemos que ser capaces de adelantar un proceso de formación básica para los jóvenes, que se mire la política como una a…</t>
  </si>
  <si>
    <t>Hoy las encuestas muestran que el principal malestar de la gente es la corrupción. No es un accidente. Se llenó la… https://t.co/3UIk0G8ZXQ</t>
  </si>
  <si>
    <t>RT @compromisociu: "La pandemia nos ha permitido ver en vivo y en directo la dimensión de lo que somos como país, nuestras fragilidades. Te…</t>
  </si>
  <si>
    <t>El Congreso debería elegir a @ivanmarulanda por la dignidad de la política, es un orgullo de Compromiso Ciudadano.… https://t.co/mo1oQeymMr</t>
  </si>
  <si>
    <t>La labor de la @ComisionVerdadC es fundamental para que el país pueda pasar la página dolorosa del conflicto armado… https://t.co/TphFPH3IhO</t>
  </si>
  <si>
    <t>RT @CamiloPrietoVal: ¡Hay que rebelarse contra el dogmatismo no contra los médicos ni contra la evidencia! Lo médicos buscamos usar la mejo…</t>
  </si>
  <si>
    <t>Entrevista de Claudia López con Cecilia Orozco. Clara y contundente. Lectura obligada. https://t.co/9abwEHGDDd</t>
  </si>
  <si>
    <t>RT @PetersRaute: Para devolverle la decencia al Congreso, @ivanmarulanda es el indicado para liderar el Senado #CompromisoConIvánMarulanda…</t>
  </si>
  <si>
    <t>RT @ivanmarulanda: Me honra que mi partido Alianza Verde a través de nuestra bancada en el Senado de la Republica, mis colegas Senadoras(es…</t>
  </si>
  <si>
    <t>La pandemia nos deja ver la verdadera dimensión de nuestros problemas. La desigualdad y la corrupción encabezan la… https://t.co/8Bok1ead37</t>
  </si>
  <si>
    <t>RT @gabocifuentes: Tasajera es un recordatorio no solo de la indiferencia social, la ausencia del Estado, sino también de un ecocidio del c…</t>
  </si>
  <si>
    <t>RT @manuel_rodb: La explotación de la Quebradona, en el suroeste antioqueño, sería el principio del fin de uno de los paisajes más hermosos…</t>
  </si>
  <si>
    <t>Líder y activista político, Víctor Camilo Enríquez Zutta, es El Personaje 10 @pag10com https://t.co/eQdBxCFCJT</t>
  </si>
  <si>
    <t>RT @Compromiso_Ant: #Recomendado | Hoy domingo, 4:30 p.m. invitados a @cuarentertulias participarán Federico Restrepo @FedericoRes y Santia…</t>
  </si>
  <si>
    <t>Un director del BID estadounidense es una burla a la región. Laura Chinchilla tiene las condiciones para dirigir el… https://t.co/qPO9qo0Fxx</t>
  </si>
  <si>
    <t>Buena semana https://t.co/1xDx4V7sYg</t>
  </si>
  <si>
    <t>RT @jciragorri: "Por favor cóbrennos más impuestos. Cóbrennos más impuestos. Es el camino correcto. Es el único camino. La humanidad es más…</t>
  </si>
  <si>
    <t>RT @Premio_jbm: 📢Te invitamos a participar al pre-estreno del documental Tejiendo autonomía. Previo a la proyección, se realizará un conve…</t>
  </si>
  <si>
    <t>Hay personas que no tienen precio: Andrés Rodríguez.👍 Además, va a sonar extraño por que va en contravía de la imag… https://t.co/eVYfxUfNfW</t>
  </si>
  <si>
    <t>RT @EAFIT: Una de las mayores preocupaciones de cara a los impactos de la pandemia es la deserción, pues “podría generar un retroceso de 20…</t>
  </si>
  <si>
    <t>Una investigadora resuelve un problema matemático abierto desde hace 20 años https://t.co/cWa2N5gnFP</t>
  </si>
  <si>
    <t>En el punto. Lectura necesaria. https://t.co/VFXepDhF71</t>
  </si>
  <si>
    <t>RT @Compromiso_ATL: Vistazo Caribe presenta este jueves 16 de julio a las 7PM Mujer y Equidad: Su rol y reivindicación en la sociedad. Como…</t>
  </si>
  <si>
    <t>RT @rocio_pinedag: Mientras la Justicia sea tolerante con la violencia sexual, poco sirven las denuncias. Necesitamos autoridades especiali…</t>
  </si>
  <si>
    <t>RT @ivanmarulanda: Hoy nos vemos con @lizethchilatra y @Julianelpolit por su página de facebook a las 07:00pm, para hablar de #RentaBásicaY…</t>
  </si>
  <si>
    <t>RT @elespectador: Seguiremos publicando el impreso a diario. Sí, como leyeron bien, El Espectador seguirá siendo una publicación diaria. Ac…</t>
  </si>
  <si>
    <t>RT @ClaudiaLopez: ‘Ese tonito’ y otras pandemias. Gracias a ⁦@yolandareyesv⁩ por esta reflexión. https://t.co/UrhO6rInDJ</t>
  </si>
  <si>
    <t>Hoy estaré en Mesa Blu de @BluRadioCo con @vanedelatorre, conversando acerca de actualidad en Colombia. Acompáñenm… https://t.co/Q9OZmkg90R</t>
  </si>
  <si>
    <t>RT @vanedelatorre: Esta noche nuestro invitado es @sergio_fajardo en #MesaBlu. Estaremos también por el facebook live de @BluRadioCo No se…</t>
  </si>
  <si>
    <t>RT @BluRadioCo: Hoy en #MesaBLU nos acompañará Sergio Fajardo (@sergio_fajardo). Conéctese desde las 8:00 p.m. y participe con #VanessaPre…</t>
  </si>
  <si>
    <t>RT @riveraalzate: Con todas sus letras en mayúscula y resaltado: #MarulandaPresidenteSenado @ivanmarulanda un Señor Senador.</t>
  </si>
  <si>
    <t>Ya estamos en vivo por @BluRadioCo con @vanedelatorre, invitados a comentar #VanessaPregúnteleAFajardo y seguir la… https://t.co/7zvCfijYmG</t>
  </si>
  <si>
    <t>RT @vanedelatorre: 📻 Iniciamos #MesaBLU esta noche con Sergio Fajardo(@sergio_fajardo) Excandidato presidencial en 2018 sobre su visión d e…</t>
  </si>
  <si>
    <t>Claudia López lo ha hecho bastante bien, conozco su capacidad, su inteligencia, su convicción. Le ha tocado difícil… https://t.co/US4IJ96lKg</t>
  </si>
  <si>
    <t>RT @compromisociu: “En 2018 había señalado que si perdía quería volver a mi casa, la educación,pero reflexioné sobre la responsabilidad que…</t>
  </si>
  <si>
    <t>Hay una distancia muy grande desde el escritorio de Casa de Nariño hasta los territorios. Duque anuncia las medidas… https://t.co/9yL17fMGQT</t>
  </si>
  <si>
    <t>Duque, a pesar de ser una buena persona, está haciendo un gobierno muy flojo. Él va cerrar el capítulo del uribismo… https://t.co/NL98tGnIx6</t>
  </si>
  <si>
    <t>RT @BluRadioCo: @sergio_fajardo #AlAire "Un estudiante que sale del ciclo de estudios, es una perdida grande para la sociedad": Sergio Faja…</t>
  </si>
  <si>
    <t>RT @BluRadioCo: @sergio_fajardo #AlAire "Nosotros ya tenemos suficiente de la política del odio, ese capítulo se tiene que terminar en Colo…</t>
  </si>
  <si>
    <t>RT @BluRadioCo: @sergio_fajardo #AlAire "Yo no me mortifico, ni creo que tengo que ser agresivo con las personas para que me digan valiente…</t>
  </si>
  <si>
    <t>Cerca del 30 % de los estudiantes de la educación superior están en riesgo de desertar. Eso es una pérdida para la… https://t.co/zMIUBa1lNM</t>
  </si>
  <si>
    <t>RT @compromisociu: "Se tiene que liderar con el conocimiento, con la ciencia. Lo primero que tiene que hacerse es garantizar la vida de las…</t>
  </si>
  <si>
    <t>RT @compromisociu: “Vamos a pasar la página del uribismo. No le estoy diciendo a nadie que se retire, solo que ese es un capítulo cerrado d…</t>
  </si>
  <si>
    <t>RT @compromisociu: Los comentarios destructivos reflejan más sobre quién los escribe que a quién se dirigen. El problema no son las ballena…</t>
  </si>
  <si>
    <t>Chao a Uribe, a Santos y a los demás expresidentes. Ya tuvieron su capítulo. Colombia necesita una transformación p… https://t.co/dhw6xzhEsb</t>
  </si>
  <si>
    <t>RT @compromisociu: "Estamos en el marco de una pandemia. Hay que investigar la Ñeñepolítica, lo de Odebrecht. Necesitamos una respuesta de…</t>
  </si>
  <si>
    <t>¿Cómo será Colombia después de la pandemia?Habrá más desigualdad, pobreza, corrupción y violencia.El empleo será el… https://t.co/yHgIeko3qk</t>
  </si>
  <si>
    <t>RT @compromisociu: "@ivanmarulanda le daría un nuevo sentido a la palabra congresista al presidir el Senado. Sería un mensaje potente para…</t>
  </si>
  <si>
    <t>RT @LuisGMurillo: Honor y gran responsabilidad pertenecer al prog. Martin Luther King y a Iniciativa de Soluciones Ambientales de MIT. Esta…</t>
  </si>
  <si>
    <t>RT @ClaudiaLopez: Errar es de humanos y corregir es de sabios. Agradezco al Presidente haber escuchado a alcaldes y ciudadanos que rogamos…</t>
  </si>
  <si>
    <t>RT @ivanmarulanda: Estamos recogiendo las firmas en el Senado para registrar el 20 de julio el nuevo proyecto de ley de #RentaBasicaYa 🔗Lin…</t>
  </si>
  <si>
    <t>La educación es el motor de la transformación; hoy por la pandemia, 1,5 millones de jóvenes necesitan apoyo para no… https://t.co/YFw7STGpcf</t>
  </si>
  <si>
    <t>RT @compromisociu: Por la pandemia, 1,5 millones de estudiantes pueden dejar de estudiar en los próximos 2 semestres por no contar con los…</t>
  </si>
  <si>
    <t>Hoy a la 1 p.m. estaré en entrevista por @RCN990Medellin, invitados a sintonizar. https://t.co/ZvXxFJcBQ7</t>
  </si>
  <si>
    <t>RT @compromisociu: "Al gobierno nacional le ha faltado mucho, ha tenido unos aciertos. Hoy por fortuna, el presidente anunció que se aplaza…</t>
  </si>
  <si>
    <t>¡Nos vemos esta noche! En @SistemaCardenal y @UnToqueDeRomero https://t.co/EbSDpFBh98</t>
  </si>
  <si>
    <t>RT @diegoromerov: Invitad@s a ver una conversación amena con @sergio_fajardo y @SantiHenaoC.</t>
  </si>
  <si>
    <t>Desafíos del recaudo https://t.co/Uc9KK9R6zs vía @larepublica_co</t>
  </si>
  <si>
    <t>RT @Paolaarenasm: No podemos perder sede del Mundial Jr de Atletismo para el 2022. El Gobierno Nacional podría hacer frente a lo urgente, s…</t>
  </si>
  <si>
    <t>RT @riveraalzate: En estos últimos tres meses en el @ConcejoDeBogota hemos hecho propuestas concretas para reactivar la economía de @Bogota…</t>
  </si>
  <si>
    <t>RT @sindesenanorte: Improvisar la formación profesional integral a través de plataformas como Territorium es marchitar al SENA y acabar con…</t>
  </si>
  <si>
    <t>RT @gabocifuentes: Cualquier modelo de recuperación económica post covid no puede ser ajena al desarrollo sostenible y a la protección de l…</t>
  </si>
  <si>
    <t>#EstudiantesPrimero es la propuesta que lanzamos para apoyar a jóvenes. Aquí pueden ver los detalles:… https://t.co/opwHcDZ5bP</t>
  </si>
  <si>
    <t>RT @elpaiscali: #Atención Los alcaldes de Jamundí y Palmira anunciaron este jueves las medidas que tomarán, en conjunto, para lo que resta…</t>
  </si>
  <si>
    <t>#EstudiantesPrimero es la propuesta que presentamos para apoyar a universitarios, técnicos y tecnólogos para que no… https://t.co/uvmOS2S5Yx</t>
  </si>
  <si>
    <t>Un excelente artículo de Ana Arjona. El desarrollo de las habilidades socioemocionales en niños, niñas y adolescent… https://t.co/EbXbBOZryB</t>
  </si>
  <si>
    <t>RT @Compromiso_ATL: Esta noche a las 7PM Vistazo Caribe presenta en su programa el tema Mujer y Equidad: Su rol y reivindicación en la soci…</t>
  </si>
  <si>
    <t>#DuqueMatrículaCero porque debemos proteger a nuestros estudiantes y garantizar que continúen sus estudios. El prim… https://t.co/98bM5D76Ny</t>
  </si>
  <si>
    <t>Tremenda crónica. https://t.co/n1VTMTYrdL</t>
  </si>
  <si>
    <t>De acuerdo con el Profesor Wasserman. Serio y elegante en la argumentación, riguroso en la discusión de las ideas. https://t.co/RR1ye6c5Vo</t>
  </si>
  <si>
    <t>RT @ClaudiaLopez: Apreciado Ministro @Fruizgomez los trabajadores de la salud llevan semanas esperando que el gobierno nacional les cumpla…</t>
  </si>
  <si>
    <t>RT @FranciscoDeRoux: Gracias por apoyos generosos a la Comisión. Gracias porque es apoyo a victimas de todos los lados de ayer y de hoy. Lo…</t>
  </si>
  <si>
    <t>RT @alvarogonzalezu: ¡Qué vergüenza a esta alturas! Como antes los conquistadores con espejitos, hoy la minera AngloGold Ashanti compra con…</t>
  </si>
  <si>
    <t>RT @YoSoyDeBogota: Con #EstudiantesPrimero tenemos la oportunidad de proteger a nuestros jóvenes, sus familias, y el capital humano y socia…</t>
  </si>
  <si>
    <t>RT @anacrisrestrepo: Señor @EmilioJArchila usted es un irrespetuoso. Si esto lo hace en VIVO en un programa... como será lo que no ve el pú…</t>
  </si>
  <si>
    <t>RT @riveraalzate: Muy grave denuncia del concejal @mjsarmientoa del @PoloDemocratico sobre la corrupción que ha habido en la @udistrital.…</t>
  </si>
  <si>
    <t>RT @martinct7: La Tibiesa de @petrogustavo Siempre @sergio_fajardo le han dicho tibio por ser respetuoso de todos los personajes del país…</t>
  </si>
  <si>
    <t>RT @fminas: #SomosOrgulloUNAL | Designan al profesor de la @UNALmedellin Germán Poveda Jaramillo como experto Ad Honorem para conformar el…</t>
  </si>
  <si>
    <t>El programa de Hilbert via @el_pais https://t.co/2CJkC7fujd</t>
  </si>
  <si>
    <t>https://t.co/5WTqsMEwoD</t>
  </si>
  <si>
    <t>Hoy más que nunca, vale la pena repasar las enseñanzas de Nelson Mandela. #FelizSábado https://t.co/v9KJ1It89x</t>
  </si>
  <si>
    <t>RT @jennygiraldo: #SOSxElCentro es un llamado solidario. Muchos negocios han tenido que cerrar, otros están a la espera y abriendo momentán…</t>
  </si>
  <si>
    <t>RT @LosDanielesOp: #SobreHéroesYTumbas es el numeral de la columna de Daniel Samper Pizano. Ayúdennos a compartirlo porque él no tiene Tw…</t>
  </si>
  <si>
    <t>RT @JuanLuisCasCo: #20DeJulio 🇨🇴 Hace 2 años llegué al Congreso. Mi trabajo consiste en la lógica, ética y ciencia, pero sobre todo, en la…</t>
  </si>
  <si>
    <t>RT @compromisociu: Hoy #20DeJulio, recordamos a algunas de las mujeres de la #IndependenciaDeColombia como Simona Amaya, Antonia Santos, Ma…</t>
  </si>
  <si>
    <t>Hoy es el día de la dignidad del congreso. Iván Marulanda presidente del Senado. https://t.co/GP5pcYanbj</t>
  </si>
  <si>
    <t>RT @slondonouribe: Yo sé que es pedirle mucho, demasiado, a este Senado, pero en la democracia hay que insistir hasta el último momento en…</t>
  </si>
  <si>
    <t>Mentiras y fake news. El pan de cada día. Una reflexión a partir de la mentira de hoy: https://t.co/MLK7REidMQ</t>
  </si>
  <si>
    <t>RT @Proantioquia1: Proantioquia se constituye en tercero interviniente en el proceso de licenciamiento ambiental de la Mina Quebradona en e…</t>
  </si>
  <si>
    <t>Pronto https://t.co/YeG5FAenux</t>
  </si>
  <si>
    <t>https://t.co/QkiXGYXyqn</t>
  </si>
  <si>
    <t>RT @VickyDavilaH: Sergio Fajardo habla sobre lo último que está rodando en la red sobre él y su familia. El profesor dice que se trata de F…</t>
  </si>
  <si>
    <t>RT @gabocifuentes: La política no le pertenece a castas, clanes o familia. Le pertenece a la ciudadanía. Lamentable que se la pasen de uno…</t>
  </si>
  <si>
    <t>RT @Compromiso_ATL: Vistazo Caribe junto a los invitados @marlagutierreza @LuisjaHernandez y @FelipeMeloPolo estarán dialogando sobre ¿Cuál…</t>
  </si>
  <si>
    <t>RT @afajardoa: Ha sido bonito ver cómo Boban, el viejo pastor, está atento a los primeros pasos de Elena. Ella sonríe cada mañana cuando lo…</t>
  </si>
  <si>
    <t>En Sutamarchán, Boyaca. https://t.co/YaLlI30PkF</t>
  </si>
  <si>
    <t>Gran jugador y mejor persona https://t.co/1LKDqpzZjb</t>
  </si>
  <si>
    <t>https://t.co/KQ9yAzcnV3</t>
  </si>
  <si>
    <t>Estamos en vivo por @zonafranca, conversando con @Danielpachecho acerca de actualidad y los temas importantes para… https://t.co/YkcWeQRe7c</t>
  </si>
  <si>
    <t>Recordemos que el presidente se posicionó con un discurso de unión, pero han pasado dos años y aún no hemos visto s… https://t.co/a6Y9qLvRqO</t>
  </si>
  <si>
    <t>Ayer circuló una noticia falsa, con testimonios falsos. Todos los días alguien me dice algo que están diciendo sobr… https://t.co/lLz2FnpLUu</t>
  </si>
  <si>
    <t>Como es natural, yo no comparto la posición de que el Gobierno es ilegítimo, de que ganó Petro, o llamar a la desob… https://t.co/TpuIuKSeUV</t>
  </si>
  <si>
    <t>RT @compromisociu: "En vez de llamar a destruir, nosotros trabajamos en propuestas. Enviamos la propuesta para evitar la deserción del 30 %…</t>
  </si>
  <si>
    <t>RT @compromisociu: "Hay gente que no le gusta que hablemos de ética, de moral, de principios, yo creo profundamente que los medios son los…</t>
  </si>
  <si>
    <t>RT @JuanitaGoe: El discurso de ayer del Presidente Duque estuvo lleno de lugares comunes y falto de inspiración y empatía. Pero lo grave f…</t>
  </si>
  <si>
    <t>RT @Paolaarenasm: Un honor esta invitación de la Escuela de Formación Política de @compromisociu. Hace 2 años inauguramos la 1a cohorte y n…</t>
  </si>
  <si>
    <t>RT @JuanLuisCasCo: Hoy fui elegido vicepresidente de la #ComisiónIV del @SenadoGovCo un reconocimiento al debate riguroso y al trabajo basa…</t>
  </si>
  <si>
    <t>RT @hectorabadf: Qué alegría que "The Farm" esté entre los nominados para este gran premio de traducción en Berlín. Además al lado de coleg…</t>
  </si>
  <si>
    <t>RT @mwassermannl: Felicitaciones a la Universidad del Tolima. Gran logro.</t>
  </si>
  <si>
    <t>Me asocian con las ballenas desde 2018 y por eso en el día mundial contra la caza de estas, quiero hacer un llamado… https://t.co/Yn7vxKCi2B</t>
  </si>
  <si>
    <t>RT @MauroToroO: ⚠️ATENCIÓN⚠️ Hoy @IvanDuque sanciona nuestra Ley de #PagoAPlazosJustos ✍ GRACIAS A LOS EMPRENDEDORES, MIPYMES Y SUS GREMI…</t>
  </si>
  <si>
    <t>Comparto mi aporte a #LibroEnLaMesaDeNoche. No ha habido mejor compañía para estos tiempos que una buena lectura. https://t.co/BuFlRXyJwH</t>
  </si>
  <si>
    <t>RT @MauroToroO: Lo grave de ceremonia #PagoAPlazosJustos no es que no me inviten, lo grave es engañar al país dando a entender que @Mincome…</t>
  </si>
  <si>
    <t>RT @JuanJoLargo: Nos falta uno... desde ayer en horas de la tarde Juan Pablo se encuentra desaparecido. Salio de su casa y no regresó. Ayúd…</t>
  </si>
  <si>
    <t>RT @Semanaenvivo: ¿Qué significa que la cámara de representantes de los EEUU haya aprobado un proyecto de ley que condiciona la ayuda a Col…</t>
  </si>
  <si>
    <t>RT @gabocifuentes: Uno de los presupuestos sagrados de la paz es la verdad. Honrarla es indispensable para la reconciliación. Las declaraci…</t>
  </si>
  <si>
    <t>Una persecución infame;url=https://t.co/D3B94kyVdN</t>
  </si>
  <si>
    <t>RT @ClaudiaLopez: #EnVivo 🔴 | Hoy le cumplimos a Bogotá y anunciamos la revocatoria de la licitación pública para la troncal de TransMileni…</t>
  </si>
  <si>
    <t>RT @LuisFSuarezV: En la lucha contra el coronavirus -en algunos casos-, mientras más a fondo trabajamos, más expuestos estamos. Acaban de…</t>
  </si>
  <si>
    <t>RT @diegoCOLbirding: Va a estar bonito, nos vemos mañana: Pajariando con FARC, el tras-bambalinas Gracias x compartir @ferayqui @MemoGomezF…</t>
  </si>
  <si>
    <t>Sobrada https://t.co/tfpMnpvKrh</t>
  </si>
  <si>
    <t>Hoy en el #DíaDeLaMujerAfro recuerdo a Doris Hinestroza que fue una de las primeras colombianas en obtener un doct… https://t.co/yjzicbxE9Y</t>
  </si>
  <si>
    <t>RT @davalho: Hoy en el @ConcejoMedellin tratamos el tema del ACOSO SEXUAL. Una terrible realidad que nos debe hacer reflexionar, en especi…</t>
  </si>
  <si>
    <t>RT @EduardBernstei1: Esta conversación no hay que perdérsela.</t>
  </si>
  <si>
    <t>RT @mico_mv: David Fajardo. El liderazgo de la juventud de nuestra querida Cúcuta, representada dignamente en este excelente médico cucuteñ…</t>
  </si>
  <si>
    <t>RT @DefendamosPaz: Hoy acompáñanos en redes con el HT #NoMásSilencio escribiendo mensajes para defender la vida de líderes, lideresas y Fir…</t>
  </si>
  <si>
    <t>"Hay más miedo cuando en el silencio de la noche se escucha una detonación, vienen por uno" así describió sus noche… https://t.co/HylwpZJG6F</t>
  </si>
  <si>
    <t>Esta noticia ES FALSA. Conoce más en nuestra página web: https://t.co/SQW9uTjyzX #FakeNews https://t.co/oCcWRdLQA2</t>
  </si>
  <si>
    <t>El odio de los extremos es el camino que conduce a la destrucción de nuestra sociedad. Este artículo lo explica mu… https://t.co/LVBWaxTVjZ</t>
  </si>
  <si>
    <t>RT @compromisociu: De parte de #CompromisoCiudadano le deseamos un feliz cumpleaños a nuestro concejal de #Bogotá @riveraalzate. Quien es e…</t>
  </si>
  <si>
    <t>En minutos. Al aire. https://t.co/KQtT9MG88S</t>
  </si>
  <si>
    <t>Cualquier convergencia para el 2022 tendrá que estar basada en un acuerdo ético para recuperar la confianza de la ciudadanía. @cncnoticias</t>
  </si>
  <si>
    <t>Necesitamos una gran convergencia por fuera de los extremos, construida sobre principios y valores. La cultura del… https://t.co/bV0obB0g4C</t>
  </si>
  <si>
    <t>Al aire en @RadioGuatapuri para que sintonicen.</t>
  </si>
  <si>
    <t>RT @cataortizcamara: A propósito de la anunciada Ley de Emprendimiento del Gobierno, aún hay paradigmas que parecieran dogmas de fe en cuan…</t>
  </si>
  <si>
    <t>https://t.co/8U2h99Ihkd</t>
  </si>
  <si>
    <t>https://t.co/BaI17ozqaI</t>
  </si>
  <si>
    <t>"No tengo duda alguna que en el 2022 se van a acabar 200 años de la historia republicana, por primera vez va a lleg… https://t.co/h7MzOi63n5</t>
  </si>
  <si>
    <t>El mejor empleo que puede tener una persona joven, es estudiar. Nuestro reto es que no salgan del sistema de educac… https://t.co/iGKRRD6AJI</t>
  </si>
  <si>
    <t>Hemos enviado la propuesta #EstudiantesPrimero a la Ministra de Educación. Esperamos que la tengan en cuenta, para… https://t.co/9dqIcMcXKs</t>
  </si>
  <si>
    <t>RT @compromisociu: Hoy más de 12 millones de personas son víctimas de la trata de personas, el 72% mujeres y niñas, y un 28% hombres y niño…</t>
  </si>
  <si>
    <t>Recomendado, hoy a las 7pm por Facebook Live de @Compromiso_ATL https://t.co/ZG8Y8z6YkE</t>
  </si>
  <si>
    <t>Para los jóvenes que se quieren atrever a participar en política, hoy a las 7pm un conversatorio que no se pueden p… https://t.co/MoqWHGNu3N</t>
  </si>
  <si>
    <t>Está claro que para el 2022 debemos llegar unidos en una convergencia alternativa fuera de los extremos. Pero hoy,… https://t.co/qH06ppcFH9</t>
  </si>
  <si>
    <t>RT @GustavoBolivar: @DanielSamperO Ver reír a Petro y a Bennedetti pagó la noche. Un hijueputazo se le escapa a cualquiera.</t>
  </si>
  <si>
    <t>RT @ClaudiaLopez: Es imposible proteger a alguien de sí mismo. Agradezco a los miles de servidores públicos de la Alcaldía @Bogota que con…</t>
  </si>
  <si>
    <t>RT @LosDanielesOp: #CadenaDeMando #CuandoDuqueSeaExpresidente #MedioMandatoMediocridad #DosAñosDeDuque #LosDanieles</t>
  </si>
  <si>
    <t>Diana Trujillo, colombiana. caleña. Ejemplar. https://t.co/jkBj3Dsuky</t>
  </si>
  <si>
    <t>Para cerrar la semana este párrafo de Mauricio García V en el libro Virtudes Cercanas. Buenas noches. https://t.co/VK5z8fl6w2</t>
  </si>
  <si>
    <t>RT @democritica1: #OPINIÓN | La historia recordará al 2020 como aquel año donde sufrimos una de las enfermedades más devastadoras de todos…</t>
  </si>
  <si>
    <t>RT @johnsudarsky: A quien pueda interesar. Esta es mi historia en Historia de Vidas https://t.co/fjO3GbAM5W Espero q la encuentren interesa…</t>
  </si>
  <si>
    <t>RT @urbam_EAFIT: Conéctate con njestro panel Urbanismo social en tiempos de crisis 8 a. m. a 12 m. (hora Colombia) ➡️https://t.co/LgYU7VP4a…</t>
  </si>
  <si>
    <t>RT @urbam_EAFIT: Invitados a nuestro panel #UrbanismoSocial en tiempos de crisis, en la apertura @sergio_fajardo expondrá la dimensión pol…</t>
  </si>
  <si>
    <t>RT @AgenciaAnadolu: Hoy se lanza el libro «Sociedad de la pos-pandemia» de Juan Alfredo Pinto Saavedra, en donde explica el término «ádeioc…</t>
  </si>
  <si>
    <t>RT @compromisociu: "Nuestra sociedad necesita serenidad. Irrespetar se volvió común y necesitamos poder confrontar las ideas, con respeto a…</t>
  </si>
  <si>
    <t>RT @compromisociu: "La violencia es inaceptable, el Estado tiene que garantizar la vida de todos sus ciudadanos y de los líderes sociales.…</t>
  </si>
  <si>
    <t>RT @Uniandes: #NotaUniandina Colegas de Guillermo Perry no ahorran elogios para referirse su legado. Admiran su inteligencia, su claridad m…</t>
  </si>
  <si>
    <t>Respeto lo que diga la Corte Suprema. En el caso de Uribe, y en todos, deben obrar bajo la majestad de la Justicia.… https://t.co/qNJdLWGzEf</t>
  </si>
  <si>
    <t>RT @manuel_rodb: Inaceptable (y grotesco): que la Anglo Gold Ashanti haya anunciado que el Sur Occidente Antioqueño se transformará en un…</t>
  </si>
  <si>
    <t>RT @ClaudiaLopez: La mayor tragedia que estamos enfrentado es una pandemia global y mortal. La vida y el cuidado colectivo son nuestra máxi…</t>
  </si>
  <si>
    <t>Una buena iniciativa https://t.co/WRit0qlScL</t>
  </si>
  <si>
    <t>La reforma a la justicia está pendiente hace décadas, pero eso no quiere decir que necesitemos una asamblea constit… https://t.co/ckNOSveHPy</t>
  </si>
  <si>
    <t>RT @ASCOA: Hot off the digital presses: Now is the time for bold — even radical — thinking about a post-COVID Latin America. The new issue…</t>
  </si>
  <si>
    <t>Escribimos para @AmerQuarterly una contextualización a América Latina de nuestra propuesta para que los estudiante… https://t.co/DCYrL0vTG5</t>
  </si>
  <si>
    <t>Iván Duque hace parte del Estado y tiene la responsabilidad de respetar la separación de poderes y la institucional… https://t.co/hunEeIca1W</t>
  </si>
  <si>
    <t>La Corte Suprema debe ser impecable, transparente y explicar cada paso que dá. Tiene la responsabilidad de ir recup… https://t.co/Ggn3myPOZN</t>
  </si>
  <si>
    <t>Hoy Bogotá cumple años liderada por una mujer y eso señala el cambio que está viviendo nuestra capital. Claudia Lóp… https://t.co/ARLkbevNmF</t>
  </si>
  <si>
    <t>La historia que se repite. Una y otra vez. https://t.co/vwmrlcwCeQ</t>
  </si>
  <si>
    <t>RT @AmerQuarterly: Governments in #LatAm invest ~1% of GDP in higher education. Keeping in students enrolled ensures a return on investm…</t>
  </si>
  <si>
    <t>Nuestro oro es el agua https://t.co/G7gAvpJiPX</t>
  </si>
  <si>
    <t>RT @LuisFerMejia: ¡Hoy estamos de cumpleaños! Son los primeros 50 años de @Fedesarrollo. Un saludo muy especial para todas las personas que…</t>
  </si>
  <si>
    <t>Hoy que Tunja -ciudad universitaria- cumple 481 años de fundación, recordé este encuentro en 2018, cerca de la Esqu… https://t.co/5Qt20v261x</t>
  </si>
  <si>
    <t>RT @manuel_rodb: ¿Por qué, en los últimos 15 años, los presidentes de Colombia han sido sordos frente al clamor de miles de colombianos y…</t>
  </si>
  <si>
    <t>RT @compromisociu: Si no pudieron escuchar la entrevista de @sergio_fajardo en @lafm, aquí compartimos el link con los detalles: https://t.…</t>
  </si>
  <si>
    <t>RT @compromisociu: En conmemoración de los 201 años de la #BatallaDeBoyacá, te invitamos a compartir 7 curiosidades de este importante hech…</t>
  </si>
  <si>
    <t>RT @slondonouribe: Estado de Derecho vs. Estado de Opinión. Tal es la vida en el trópico. Mi columna en ⁦@UnPasquin⁩. https://t.co/XKIcayUb…</t>
  </si>
  <si>
    <t>Duque habla de unir el país hace 2 años, pero seguimos esperando que eso suceda. Gobierna desde el escritorio en Bo… https://t.co/HhpADIGsS0</t>
  </si>
  <si>
    <t>En Colombia podemos avanzar, pero necesitamos salir de la polarización. Hay mucha gente sufriendo y no podemos qued… https://t.co/TXAu8INf3V</t>
  </si>
  <si>
    <t>Las comunidades indígenas sufren doblemente hoy en Colombia, al ser vulnerables ante la pandemia y ser víctimas per… https://t.co/IGjT9nG2lq</t>
  </si>
  <si>
    <t>#DíaInternacionalDeLosPuebloesIndígenas recuerdo con emoción el trabajo que realizamos en la Gobernación de Antioqu… https://t.co/67tJz8t3Bk</t>
  </si>
  <si>
    <t>Además, una maravillosa expresión del trabajo educativo y lingüístico que desarrollamos fue la producción del himno… https://t.co/zQqUJoMaLw</t>
  </si>
  <si>
    <t>RT @ELTIEMPO: La biblioteca de la Universidad de Los Andes, que guarda las colecciones de libros más importantes de Bogotá, pasaría a ser p…</t>
  </si>
  <si>
    <t>RT @compromisociu: Desde la campaña presidencial hemos dicho no al #Fracking, ya que tenemos clara la responsabilidad de hacer de nuestra…</t>
  </si>
  <si>
    <t>RT @MarioRobertoP: Este video de @ClaudiaLopez, que alguien sacó para humillarla, me produjo todo lo contrario: siento que tiene un valor e…</t>
  </si>
  <si>
    <t>RT @ClaudiaLopez: Tenía 20 años y la convicción de que no permitiría que mafia, violentos y corruptos definieran mi vida, la de mi generaci…</t>
  </si>
  <si>
    <t>Lectura maravillosa. https://t.co/SerJfHxU2m</t>
  </si>
  <si>
    <t>RT @compromisociu: Nosotros construimos👷‍♀️👷‍♂️, por eso hoy les invitamos a que nos envíen sus propuestas 📝de cómo ayudar a la #juventud a…</t>
  </si>
  <si>
    <t>Mi posición sobre EPM https://t.co/f6UvdpgCph</t>
  </si>
  <si>
    <t>Estamos en un lío serio con EPM. Se generan rumores y se daña la empresa. Lo que subyace es Hidroituango. Necesitam… https://t.co/a6dUss9RVe</t>
  </si>
  <si>
    <t>Esto no debe ser una confrontación con el alcalde. Aquí no gana nadie. EPM es pública y por eso mismo sus decisione… https://t.co/WmdilZAb3f</t>
  </si>
  <si>
    <t>EPM deben protegerse, creo que la demanda no fue lo que generó la renuncia de la junta, sino la forma cómo se están… https://t.co/IqUl4XXG3i</t>
  </si>
  <si>
    <t>RT @CaracolRadio: #6AM "La transparencia es importante para solucionar el problema con EPM. La responsabilidad máxima la tiene el alcalde"…</t>
  </si>
  <si>
    <t>RT @WRadioColombia: #NoticieroW | Es necesario cuidar a EPM: Sergio Fajardo (@sergio_fajardo) &gt;&amp;gt; https://t.co/ZMFC3TQlVd https://t.co/2z5Ih…</t>
  </si>
  <si>
    <t>Todos perdemos si a EPM le va mal. Aquí mi postura y sugerencia en cómo resolver la actual coyuntura. https://t.co/ESFmtEB4ri</t>
  </si>
  <si>
    <t>RT @fdbedout: De tanto en tanto vuelvo a esta definición sobre los grandes mentirosos, que parte de un cita de Nietzsche y llega al actor-m…</t>
  </si>
  <si>
    <t>RT @mfajardoa: Cometí el error de ver la entrevista a Manuel E. Patarroyo. Ahora no puedo volver a concentrarme en mi trabajo, ¡qué angusti…</t>
  </si>
  <si>
    <t>RT @elespectador: Alcaldes y gobernadores promueven una iniciativa para blindar los páramos del país y la Sierra Nevada de Santa Marta de l…</t>
  </si>
  <si>
    <t>RT @gabocifuentes: La seguridad ciudadana, lejos de ser una bandera ideológica es una exigencia prioritaria. En la postpandemia será uno de…</t>
  </si>
  <si>
    <t>RT @ClaudiaLopez: No todo es adversidad. Hoy tenemos la felicidad de entregrar la nueva cicloruta sobre la cra 9na de la calle 170 a la 106…</t>
  </si>
  <si>
    <t>La democracia fuera de las urnas. Sesión mañana de nuestra #EscuelaDeFormaciónPolítica. https://t.co/r2cZ4Ix57V</t>
  </si>
  <si>
    <t>De la mano de Messi nos levantaremos. Hay que aprender a perder. https://t.co/5dWkeKSlwb</t>
  </si>
  <si>
    <t>RT @GOYOCQT: La despedida acompañada de la verdad. Nos están matando por que si. los asesinaron y mucha gente los acusó, basados en los p…</t>
  </si>
  <si>
    <t>RT @MantillaIgnacio: Pildorita matemática: Ilustración para la suma de vectores: https://t.co/OoBb7EyPDK</t>
  </si>
  <si>
    <t>RT @Compromisarias: No debería existir una publicación para explicarlo, pero se hace necesario. Pilas pues, que las mujeres tenemos todas l…</t>
  </si>
  <si>
    <t>RT @nataliatg13: Ayuda urgente. Yolanda es la mujer que trabaja en la casa de mis papás. Salió hoy aproximadamente a las 6 pm de allá hacia…</t>
  </si>
  <si>
    <t>RT @KHenareNZ: https://t.co/K0zMqaJFuX</t>
  </si>
  <si>
    <t>Sí señor. Así de simple. Una cosa es "sacar lo mejor de las personas" y otra es " sacar los demonios de las persona… https://t.co/ekVWhV2WJQ</t>
  </si>
  <si>
    <t>Liderazgo https://t.co/WFh4XG26xY</t>
  </si>
  <si>
    <t>RT @FranciaMarquezM: Quiero ser Presidenta de este país. Quiero que nuestra gente se sienta libre y digna. Quiero que nuestros pueblos pued…</t>
  </si>
  <si>
    <t>RT @hectorabadf: Una lectura agria y fuerte, poco condescendiente, dura a favor y en contra, de mis diarios, que por lo mismo agradezco.</t>
  </si>
  <si>
    <t>RT @ClaudiaLopez: Trabajando con el señor Ministro de Salud @Fruizgomez y su equipo evaluando la evolución de la pandemia en Bogotá y el es…</t>
  </si>
  <si>
    <t>RT @DanielSamperO: Juan Manuel Montaño (15 años) Jair Andrés Cortez (14 años) Jean Paul Perlaza (15 años) Leyder Cárdenas (15 años) Álv…</t>
  </si>
  <si>
    <t>San Andrés también es Colombia. https://t.co/M2ITZJGEzK</t>
  </si>
  <si>
    <t>RT @DanielSamperO: #LosDanieles de hoy: #LaSustituta #SiMeGanoLaLoteriaConUribe #LaVirgenSeRetiraDeLaVidaPublica En: https://t.co/Jk7BuJh…</t>
  </si>
  <si>
    <t>Barbarie, tras barbarie, barbarie. ¿Gobierno, gobierno, gobierno...? Existe? https://t.co/yjJ1Y7x0Cq</t>
  </si>
  <si>
    <t>RT @afajardoa: El trabajo de @anneapplebaum es el más interesante que he leído este año. Revisa los peligros del autoritarismo, de las hist…</t>
  </si>
  <si>
    <t>RT @JuanitaGoe: “Si queremos paz, tenemos que entender que en Colombia vivimos todos, desde el uribismo hasta la izquierda radical, y tenem…</t>
  </si>
  <si>
    <t>RT @SucreCiudadano: Lamentamos la masacre de los cinco menores en #Cali y los 8 jóvenes en #Samaniego nuestra apuesta sera siempre la vida,…</t>
  </si>
  <si>
    <t>Por acá es el camino https://t.co/omUiMf2bDq</t>
  </si>
  <si>
    <t>RT @agaviriau: Instead of lockdowns, teach people how to socialize safely in the time of coronavirus https://t.co/xob3rBUCBs a través de @s…</t>
  </si>
  <si>
    <t>Miles de jóvenes vulnerables crecen en comunidades marginales muy precarias. No es problema de un alcalde o municip… https://t.co/O8wbEqoLIE</t>
  </si>
  <si>
    <t>Esta es una generación de jóvenes inteligente, más conectada y que entiende la amenaza del cambio climático. Escuch… https://t.co/HMouJm1JMp</t>
  </si>
  <si>
    <t>Carlos Parra, concejal verde de Bucaramanga, se ha destacado como la voz más potente en la defensa del Páramo de Sa… https://t.co/283E4RXRhY</t>
  </si>
  <si>
    <t>Autocuidado. https://t.co/OzUKkHrEUB</t>
  </si>
  <si>
    <t>No podemos quedarnos permanentemente en las discusiones judiciales de Uribe y Petro. Que la Justicia actúe en su ma… https://t.co/PEk5ixe0dJ</t>
  </si>
  <si>
    <t>Nariño y el suroccidente del país necesitan respuestas de fondo de parte del gobierno. Con comisiones y visitas no… https://t.co/JWyr7PjlOz</t>
  </si>
  <si>
    <t>Lean despacio. Contra el fanatismo. Contra los fanatismos. Serenidad y sabiduría https://t.co/RBo1ZVQfln</t>
  </si>
  <si>
    <t>Ruby Casallas la mujer boyacense decana de ingeniería de Los Andes. Necesitamos ejemplos de mujeres que se destacan… https://t.co/JjjWscajoe</t>
  </si>
  <si>
    <t>Invitados a leer mi análisis sobre cómo evitar perder a más jóvenes https://t.co/7c7juBjLZ9 https://t.co/fzpFionMvL</t>
  </si>
  <si>
    <t>El asesinato de jóvenes nos recuerda con dolor que en Colombia tenemos un profundo problema de violencia que está d… https://t.co/OLaeZ26H4T</t>
  </si>
  <si>
    <t>Abel Rodríguez, como dice Juan Carlos Flórez, era "un extraordinario ser humano". Esa es la primera condición para… https://t.co/RPEm5Gn8vE</t>
  </si>
  <si>
    <t>La política de datos abiertos es crucial para la pedagogía, la transparencia y la toma de decisiones con rigor. Así… https://t.co/Oo0p28Ag7p</t>
  </si>
  <si>
    <t>‘No podemos dejar que el odio y la amargura nos destruyan, tenemos que perdonar y salir adelante’ dice Felix Avilez… https://t.co/tzdGkAE9Li</t>
  </si>
  <si>
    <t>RT @ClaudiaLopez: Terminamos la semana con 78% de ocupación UCI. La más baja desde que empezamos el plan para pasar el primer pico de la pa…</t>
  </si>
  <si>
    <t>RT @CompromisoCauca: COMUNICADO A LA OPINIÓN PÚBLICA. https://t.co/9UPkSNTop5</t>
  </si>
  <si>
    <t>Otro triste amanecer para Cauca, Arauca y sobre todo para Colombia. 11 vidas perdidas. Necesitamos sabiduría, pedag… https://t.co/R5qugL5HhL</t>
  </si>
  <si>
    <t>La pandemia de la violencia nos tiene enfermos hace décadas. https://t.co/Jbd1H5iRJz</t>
  </si>
  <si>
    <t>No hemos podido superar la violencia, vemos masacres y violencia por todo el territorio. Eso no lo podemos aceptar… https://t.co/O3MxcLHXQL</t>
  </si>
  <si>
    <t>RT @compromisociu: ¿Quieres ser parte de la red de Voluntarios en #Quindío? Envía tu postulación al correo reto@compromisociudadano.com ¡…</t>
  </si>
  <si>
    <t>Luto en el mundo de la educación. Maestro, qepd https://t.co/7XzWXoEfPo</t>
  </si>
  <si>
    <t>RT @gabocifuentes: Escribir la columna de esta semana me dolió. En la última semana se cometió una masacre cada 22 horas y los más afectado…</t>
  </si>
  <si>
    <t>En minutos estaré con @VickyDavilaH en @RevistaSemana. https://t.co/zSmmfhJmZr</t>
  </si>
  <si>
    <t>En 2 minutos al aire con Vicky Dávila en Semana. No se la pierdan.</t>
  </si>
  <si>
    <t>Las palabras se quedan cortas frente a las masacres, es una expresión bárbara de una sociedad que no ha sido capaz… https://t.co/6ikS1YJjfY</t>
  </si>
  <si>
    <t>La guerra contra las drogas ha sido fallida. La fumigación no resuelve el problema. Es llevar el desarrollo y mante… https://t.co/OZgvKAcjYc</t>
  </si>
  <si>
    <t>Tenemos que darle una nueva dimensión a la paz en nuestro país. Respetar lo que se firmó, pero darle un contexto má… https://t.co/lZRYNFXNTX</t>
  </si>
  <si>
    <t>En 2022 se acaba el capítulo de la historia que ha girado en torno a Álvaro Uribe y sus seguidores y será el turno… https://t.co/sfvnJmrSZa</t>
  </si>
  <si>
    <t>Con Gustavo Petro no voy a participar en una consulta. Tiene una forma que no comparto de tratar al que es diferent… https://t.co/oK5CzJmThb</t>
  </si>
  <si>
    <t>Gustavo Petro propone un día desobediencia civil y el otro hacer un pacto histórico. Es difícil entenderlo. En lo p… https://t.co/E2dx1DcbbX</t>
  </si>
  <si>
    <t>Uribe debe tener todas las garantías para defenderse, pero que también se respete a la Corte Suprema de Justicia y… https://t.co/pKBK4U4rqn</t>
  </si>
  <si>
    <t>No tengo simpatía por las FARC, pero que Timochenko esté libre obedece a un acuerdo de paz que se fundamenta en un… https://t.co/oghi9foqAx</t>
  </si>
  <si>
    <t>No es correcto que Uribe diga que está secuestrado. Se equivoca ahí. #FajardoResponde</t>
  </si>
  <si>
    <t>EPM ha significado riqueza para Medellín, Antioquia y para Colombia. Si pierde EPM, pierde todo el país. Las explic… https://t.co/HxmKbl1obT</t>
  </si>
  <si>
    <t>Hidroituango representa el 17% de la energía que necesita el país. Se tiene que llegar al fondo de las causas de la… https://t.co/nq4zCC3VeK</t>
  </si>
  <si>
    <t>Daniel Quintero puede pensar diferente, pero tiene que tramitar esas diferencias respetando las reglas. Decía que s… https://t.co/DGYInp0o8h</t>
  </si>
  <si>
    <t>Tenemos que dejar atrás a Uribe, Santos, Gaviria, Pastrana, Samper! Ya es suficiente, cada quien hizo lo suyo. Que gocen sus nietos.</t>
  </si>
  <si>
    <t>Cuando dicen que soy el candidato de Santos es irónico. ¿A qué hora? Yo voté sí por la paz ¿Eso significa que yo so… https://t.co/a9yDg8bjPc</t>
  </si>
  <si>
    <t>RT @altereddie: Caminantes venezolanos. https://t.co/HWGmZkT4OK</t>
  </si>
  <si>
    <t>RT @JuanitaGoe: El país no resiste 2 años sin política de seguridad territorial. Prioridades: - Redistribuir roles y misiones entre ejérci…</t>
  </si>
  <si>
    <t>Dolor es la única palabra para describir lo que vive Colombia. Es una vergüenza amanecer de nuevo con más muertes.… https://t.co/lHLcxyMz9z</t>
  </si>
  <si>
    <t>Las masacres no se resuelven fumigando. El narcotráfico, que produce esta violencia, se derrota con presencia perma… https://t.co/wAWJqZNf2R</t>
  </si>
  <si>
    <t>Hoy hay cerca de 5 millones de personas desempleadas. Es una tragedia relacionada con la forma que se ha manejado e… https://t.co/IYZfmZWBia</t>
  </si>
  <si>
    <t>RT @EcosdelCombeima: "Una sociedad que si usted piensa diferente entonce repito es enemigo y tiene que destruir a esa persona, eso es una s…</t>
  </si>
  <si>
    <t>RT @EcosdelCombeima: "Nosotros como sociedad tenemos que sentir mucha vergüenza de que nuestro país en este momento de nuestra historia des…</t>
  </si>
  <si>
    <t>RT @ambiental_cc: Hace unos días fue asesinado Jaime Mongue, líder ambiental, eco turista y cuidador de la naturaleza en Villacarmelo, Vall…</t>
  </si>
  <si>
    <t>Hoy en @EcosDelCombeima me volvieron a preguntar si era candidato de Santos. Aquí mi respuesta completa: https://t.co/Fde6YPq5QN</t>
  </si>
  <si>
    <t>Falta camino y hoy las necesidades son agobiantes en Colombia, pero tenemos que ser capaces de construir una conver… https://t.co/70pU2a3OMa</t>
  </si>
  <si>
    <t>Necesitamos la verdad para poder avanzar en la reconciliación. Mancuso debía volver al país a responder por miles d… https://t.co/xUAGNHTJbo</t>
  </si>
  <si>
    <t>Falta camino por recorrer... https://t.co/8I87OtPid0</t>
  </si>
  <si>
    <t>RT @JuanitaGoe: Hace dos años 11,674,951 de colombianos y colombianas nos unimos para votar #7VecesSí en la #ConsultaAnticorrupción. Hoy,…</t>
  </si>
  <si>
    <t>RT @Compromiso_ATL: HOY 𝗷𝘂𝗲𝘃𝗲𝘀 𝟮𝟳 𝗱𝗲 𝗮𝗴𝗼𝘀𝘁𝗼 en el programa #VistazoCaribe estaremos dialogando con María Antonia Pardo @NanyPardo y Alejand…</t>
  </si>
  <si>
    <t>Pasa hasta en las mejores familias. Así es la vida https://t.co/DY51EF3TKt</t>
  </si>
  <si>
    <t>Atención gobierno nacional. Cuídenlo. https://t.co/vvQlRkkVvc</t>
  </si>
  <si>
    <t>Escuchar es el primer paso para una conversación. Eso significa respetar, reconocer. Así se empieza a construir y p… https://t.co/ebuMrSGlgC</t>
  </si>
  <si>
    <t>Lista para el tour mi camiseta de la suerte. Fuerza muchachos. https://t.co/4BgY9bCAGv</t>
  </si>
  <si>
    <t>Se murió Sergio Ramírez, chechito, un compañero, un amigo de Compromiso Ciduadano. Todos lo queríamos. Nos va a ha… https://t.co/0iPNeCqNgl</t>
  </si>
  <si>
    <t>RT @ClaudiaLopez: Qué duro día hoy. Tres jóvenes fallecieron por COVID19. Sergio Ramírez, feliz voluntario de la consulta y @compromisociu…</t>
  </si>
  <si>
    <t>RT @mfajardoa: Ayer, de cuenta del virus, murió un joven amigo soñador. A veces pareciera que ya no hay espacio para la alegría. Este texto…</t>
  </si>
  <si>
    <t>RT @EEColombia2020: #ReflexionesSobreLaVerdad "La paz exige esfuerzos mucho más decididos y un liderazgo por encima de los partidos, que ge…</t>
  </si>
  <si>
    <t>La vida es el valor máximo y no hay una sola idea ni propósito que amerite el uso de la violencia para alcanzarlos.… https://t.co/GqNBtaZUq5</t>
  </si>
  <si>
    <t>Feliz cumpleaños Pereira! https://t.co/c8IlpKN4Lv</t>
  </si>
  <si>
    <t>La polarización está de moda. Muchos hablamos de ella, del daño que significa dividir el mundo en dos subconjuntos:… https://t.co/In3BGlYNx4</t>
  </si>
  <si>
    <t>RT @DanielSamperO: Esta mañana sufrimos un ataque cibernético en el portal de #LosDanieles que nos sacó del aire: agradecemos su ayuda para…</t>
  </si>
  <si>
    <t>RT @compromisociu: La aprobación de esta ley permite poner en riesgo al medio ambiente y nuestros recursos naturales. #Fracking #NoFracking</t>
  </si>
  <si>
    <t>#SalvemosAlSuroeste todavía se puede. Pronto https://t.co/g6uqP4WIwS</t>
  </si>
  <si>
    <t>Gobierno permite a Avianca seguir volando sin ruta ni controles claros, mientras en tierra las micro, pequeñas y me… https://t.co/PqexwXV4JD</t>
  </si>
  <si>
    <t>RT @compromisociu: Entre el 1 de enero y el 30 de junio de 2020 se registraron 45 asesinatos de personas que ejercían actividades de defens…</t>
  </si>
  <si>
    <t>Toda muerte violenta es una vergüenza y por eso no se les puede diferenciar con eufemismos. La vida es el valor máx… https://t.co/4MlJAKebAg</t>
  </si>
  <si>
    <t>Lo dijimos en la campaña del 2018, no queremos lluvia de glifosfato sino lluvia de oportunidades. Se necesita un ve… https://t.co/4nEOFzRCl4</t>
  </si>
  <si>
    <t>RT @compromisociu: El resultado de la tasa de desempleo señala que las mujeres en Colombia son las más afectadas junto con las pequeñas y m…</t>
  </si>
  <si>
    <t>Un bonito homenaje a nuestro compañero Sergio Ramírez López. QEPD https://t.co/BdOeQdKQ7z</t>
  </si>
  <si>
    <t>RT @Compromiso_ATL: 𝐋𝐎𝐒 𝐌𝐈𝐒𝐌𝐎𝐒 𝐂𝐎𝐍 𝐋𝐀𝐒 𝐌𝐈𝐒𝐌𝐀𝐒: ¿𝐇𝐀𝐒𝐓𝐀 𝐂𝐔𝐀𝐍𝐃𝐎? Reforma Electoral y Política en el país. #VistazoCaribe estará conversando co…</t>
  </si>
  <si>
    <t>RT @riveraalzate: Si eres comerciante en centros comerciales, superficies, San Victorino o ventas mayoristas, te invito mañana a las 6:00 P…</t>
  </si>
  <si>
    <t>RT @compromisociu: "Frente a las masacres tenemos que cuidar a Colombia, en el sentido de resolver y entender los problemas, de poner la di…</t>
  </si>
  <si>
    <t>RT @ComiteSanturban: 🚨 #HOY!! Miércoles 2 de sept TWITERATÓN #DemandaPorSanturbán Acompáñanos desde las 🕗 8️⃣ am utilizando el hashtag #De…</t>
  </si>
  <si>
    <t>No hay riqueza mineral que compense el valor del agua y la biodiversidad que significa Santurbán para los Santander… https://t.co/RWIhuB2EBK</t>
  </si>
  <si>
    <t>RT @EAFIT: Compartimos este anuncio del gobernador encargado @LuisFSuarezV sobre la entrega del Escudo de Antioquia a Juan Luis Mejía Arang…</t>
  </si>
  <si>
    <t>RT @LosDanielesOp: LOS DANIELES informa: Están circulando por redes sociales (y en una página de imitación a la nuestra) columnas con nuest…</t>
  </si>
  <si>
    <t>La intolerancia y la violencia contra quien es diferente ha marcado demasiadas páginas de nuestra historia. Claudia… https://t.co/Mzjm25BSm4</t>
  </si>
  <si>
    <t>Eulalia Yagarí, la mujer indígena que rompió paradigmas en Antioquia y abrió el camino a la política independiente.… https://t.co/7aVfzngxMC</t>
  </si>
  <si>
    <t>A propósito de la polarización enfermiza. Excelente explicación sobre el mundo de los fanáticos. No se pierdan esta… https://t.co/yGfNcd9QbU</t>
  </si>
  <si>
    <t>RT @ProfFeynman: The problem is not people being uneducated. The problem is that people are educated just enough to believe what they have…</t>
  </si>
  <si>
    <t>RT @afajardoa: La columna sobre una pregunta, ¿cómo es posible que el gobierno de Maduro se mantenga pesa a haber llevado a Venezuela a la…</t>
  </si>
  <si>
    <t>Salgamos de la batalla política pueril y salvemos a EPM. https://t.co/1dPPLezQkz https://t.co/rA8tKmtYhl</t>
  </si>
  <si>
    <t>La polarización política puede destruir a EPM. Con tuits, memes, mentiras e insultos -por atractivo que le parezca… https://t.co/8v7f5ZMLpq</t>
  </si>
  <si>
    <t>1. Convoque a un gran foro sobre EPM. Lo organizan con un comité de personas y organizaciones, independientes, que… https://t.co/H0QqMtqYf5</t>
  </si>
  <si>
    <t>2. Muestren con documentos y cifras la realidad de la empresa. Abra un espacio para recoger las preguntas e inquiet… https://t.co/x3Th3RMwPq</t>
  </si>
  <si>
    <t>3. Señale el rumbo que va a tomar la empresa. Expliquen por qué. Indiquen cuáles son las reglas de manejo de la emp… https://t.co/pBRomggRoa</t>
  </si>
  <si>
    <t>4. Invite organismos de control para que muestren qué investigan, publiquen resultados, para salirse del mundo de l… https://t.co/eeo5yolFSx</t>
  </si>
  <si>
    <t>5. Construyan un mecanismo independiente de seguimiento público a EPM, con informes semestrales. Algo similar se pu… https://t.co/Rpy092adb1</t>
  </si>
  <si>
    <t>Hoy hablé con algunos medios sobre EPM. Acá una de ellas con @BluRadioCo https://t.co/yKyM1j6Uzc</t>
  </si>
  <si>
    <t>RT @SucreCiudadano: Estamos list@s y nuestro mayor deseo es que nos acompañes en la Escuela de Formación Política, queremos descubrir lo qu…</t>
  </si>
  <si>
    <t>RT @ambiental_cc: #AlertaTribugá La biodiversidad es nuestro bien de utilidad pública más importante. https://t.co/QR9tvvFNPI</t>
  </si>
  <si>
    <t>RT @Planeta_Paz: En nuestro próximo #DiálogoDeSaberes estaremos conversando sobre política global y la crisis del multilateralismo desnuda…</t>
  </si>
  <si>
    <t>RT @compromisociu: Súper invitados este miércoles a las 7 p.m. a la primera sesión de la #EscuelaDeFormaciónPolítica de @SucreCiudadano. Es…</t>
  </si>
  <si>
    <t>¿Una recuperación sin empleo? https://t.co/1UTFjvWwxl vía @larepublica_co</t>
  </si>
  <si>
    <t>No al puerto de Tribugá https://t.co/9A3txnDGIV</t>
  </si>
  <si>
    <t>Un puerto en Tribugá sería un error monumental. No hay razón alguna que lo justifique. https://t.co/9A3txnm5kl</t>
  </si>
  <si>
    <t>RT @CarmenHerreraz: Lo que me gusta de escuchar a @YolandaRuizCe y a su equipo en @rcnradio es que uno escucha las noticias y no queda con…</t>
  </si>
  <si>
    <t>RT @JERobledo: Mentirosos ha habido siempre. Lo nuevo con las llamadas “fake news” es que si los cogen en las mentiras no les importa e ins…</t>
  </si>
  <si>
    <t>El asesinato de Javier Ordoñez es una barbaridad injustificable, que obliga a la Policía a presentarse ante el país… https://t.co/kQbOKSuA1J</t>
  </si>
  <si>
    <t>Nunca más. https://t.co/3wReuQCGc0</t>
  </si>
  <si>
    <t>RT @afajardoa: “La esperanza es más la consecuencia de la acción que la causa de la acción. Quien actúa descubre oportunidades y, por peque…</t>
  </si>
  <si>
    <t>RT @CarlosCortes: Mientras @IvanDuque echa discursos, la alcaldesa @ClaudiaLopez cita a las autoridades para rendir cuentas públicamente –c…</t>
  </si>
  <si>
    <t>Esta profunda reflexión de Claudia López es la mejor expresión de una verdadera gobernante. La empatía y la razón e… https://t.co/Lfu6k4H1SX</t>
  </si>
  <si>
    <t>La violencia sólo produce violencia, pero los discursos vacíos del gobierno y la falta de empatía también la alimen… https://t.co/8x77nNXhjA</t>
  </si>
  <si>
    <t>Ariel Ávila sabe explicar https://t.co/5c6kaReHAM</t>
  </si>
  <si>
    <t>Las últimas 48 horas desnudan -de nuevo- el vacío de liderazgo al que nos enfrentamos como país. 18 horas de silenc… https://t.co/hqgWwpHHRS</t>
  </si>
  <si>
    <t>La lucha contra la corrupción y la verdad tienen la transparencia como condición inicial. En esta columna propongo… https://t.co/KeuGb9MI7C</t>
  </si>
  <si>
    <t>Claudia López está liderando, le está dando la mano al presidente en una situación donde él debería estar al frente… https://t.co/Yl0QBsYZNY</t>
  </si>
  <si>
    <t>Presidente, convoque a los gobiernos locales, trabaje con ellos una ruta para reformar la Policía y evitar los abus… https://t.co/2XRs1XJsCK</t>
  </si>
  <si>
    <t>Bien dicho https://t.co/mTvFfgIlVA</t>
  </si>
  <si>
    <t>RT @ClaudiaLopez: Los invito a unirnos mañana a través de @CanalCapital y redes sociales en una jornada de perdón y reconciliación: 10am ce…</t>
  </si>
  <si>
    <t>La alcaldesa en su intervención de hoy ha mostrado de manera profunda los elementos indispensables para construir L… https://t.co/A7BSlnQeRo</t>
  </si>
  <si>
    <t>RT @afajardoa: La noticia más grave habría sido que la muerte de un ciudadano a manos de policías hubiera pasado como si nada. Una sociedad…</t>
  </si>
  <si>
    <t>RT @mwassermannl: Uno de nuestros grandes problemas es que somos más proclives a la retórica que a la lógica. A los problemas no les buscam…</t>
  </si>
  <si>
    <t>La experiencia y la voz de Ingrid Betancourt son esenciales para entender la dimensión del efecto devastador del se… https://t.co/5rQoCDRHFS</t>
  </si>
  <si>
    <t>RT @afajardoa: Hoy es el día más importante en la carrera de @Eganbernal. Para él es novedad perder, ante millones de ojos. Prueba superada…</t>
  </si>
  <si>
    <t>RT @compromisociu: “Nosotros nos hemos opuesto al fracking y nos seguiremos oponiendo, porque el fracking está asociado con el deterioro am…</t>
  </si>
  <si>
    <t>RT @alejodorowsky: Quien te habla mal de los otros, a los otros hablará mal de ti.</t>
  </si>
  <si>
    <t>Este comentario de Angélica es completamente válido. Es la expresión de una cultura machista arraigada, que minimiz… https://t.co/XbwQBJhlai</t>
  </si>
  <si>
    <t>La reflexión y petición pública de perdón de las FARC por los secuestros es un paso clave en la reconciliación. Qu… https://t.co/PdRkn4BP3k</t>
  </si>
  <si>
    <t>RT @PabloRamirezU: Buenos días a todas esas personas metidas en la educación, ya sean profesores o maestros! Los acompaño (aún como parient…</t>
  </si>
  <si>
    <t>RT @compromisociu: Todas y todos invitados este jueves a las 5 p.m. al gran Foro organizado por Compromiso Ciudadano Palmira. Conéctate par…</t>
  </si>
  <si>
    <t>RT @compromisociu: Súper invitados a nuestra sesión de la Escuela de Formación Política de @compromisobol. Estaremos con Claudia Fadul y M…</t>
  </si>
  <si>
    <t>RT @sergio_fajardo: La reflexión y petición pública de perdón de las FARC por los secuestros es un paso clave en la reconciliación. Quedan…</t>
  </si>
  <si>
    <t>RT @mfajardoa: ¡Cuánta belleza reunida en estas 2 fotos! No sé si es porque soy una amante descontrolada de las plantas pero estas transfor…</t>
  </si>
  <si>
    <t>RT @saritapalacio: Cuídame mañana, pa.</t>
  </si>
  <si>
    <t>RT @Compromisarias: Mujeres emprendedoras será un espacio para escuchar experiencias exitosas, crear redes para que más mujeres promuevan s…</t>
  </si>
  <si>
    <t>RT @JoeBiden: Science will win.</t>
  </si>
  <si>
    <t>Teníamos pensado recorrer el país para escuchar voces diferentes desde las regiones. Por la pandemia lo estamos hac… https://t.co/4Cd7RyXIDn</t>
  </si>
  <si>
    <t>Tenemos la obligación de construir LA PAZ. Los Acuerdos fueron un avance, pero nos quedamos en una confrontación po… https://t.co/GtoS4wBMbO</t>
  </si>
  <si>
    <t>Cada día alguien me insulta o repite una mentira en redes. La única forma de ganar ahí es perseverar en la verdad.… https://t.co/syJK2iPKlu</t>
  </si>
  <si>
    <t>A Javier Ordóñez lo asesinaron. En una sociedad indignada este hecho incendió el malestar reprimido. Necesitamos un… https://t.co/yDu0Wwb304</t>
  </si>
  <si>
    <t>A este gobierno le está faltando empatía, ponerse del lado de la gente. La foto del presidente con la policía es la… https://t.co/oSmdQlrgqX</t>
  </si>
  <si>
    <t>Como parte de nuestra gira virtual por las regiones, hoy conversé con ⁦@Ecos_1360Radio⁩ de Pereira. Abajo la entrev… https://t.co/igtOsIO0XW</t>
  </si>
  <si>
    <t>RT @compromisociu: A las 12 p.m. estaremos acompañando a @sergio_fajardo en entrevista por @UNIMINUTORadio para hablar de temas de actuali…</t>
  </si>
  <si>
    <t>Hoy hablé con ⁦@JaimeCarvajalD⁩ en ⁦@UNIMINUTORadio⁩ sobre muchos temas como Bogotá, la falta de confianza en las i… https://t.co/RY9OihwAIo</t>
  </si>
  <si>
    <t>RT @jaramillolujan: Nuevas generaciones de la consultoría política: a esta hora Mariana Benincore quien trabajó en @JaramilloLCE e hizo par…</t>
  </si>
  <si>
    <t>RT @JuanitaGoe: “Mi madre me dijo que fuera una dama. Y para ella, eso significaba ser tu misma, ser independiente.” #Duelo #NotoriousRBG…</t>
  </si>
  <si>
    <t>RT @manuel_rodb: Qué maravilla que ahora tengamos el Festival de Cine Verde de Barichara en línea. Inscríbase aquí. https://t.co/XwxccvEtk…</t>
  </si>
  <si>
    <t>RT @stevenarce: La cantidad de peleas no cazadas, de insultos o provocaciones que he dejado pasar, las ofensas que dejé de contestar y La p…</t>
  </si>
  <si>
    <t>Sin una verdadera descentralización y una apuesta decidida por el desarrollo regional, Colombia no va a transformar… https://t.co/xTzlPMG5MO</t>
  </si>
  <si>
    <t>RT @DanielSamperO: Ya pueden pasar. Con ustedes, las columnas de hoy: Por favor ayúdenos a difundirlas y gracias por ser nuestro único tec…</t>
  </si>
  <si>
    <t>RT @Las2Orillas: Sobre los fracasos y Egan Bernal - #Columna de Alejandro Fajardo Arboleda - https://t.co/9hO5EaCjcA</t>
  </si>
  <si>
    <t>Bien dicho https://t.co/hj96NyytqH</t>
  </si>
  <si>
    <t>Un fin de semana violento. Más masacres y más asesinatos. Barbarie y vergüenza. Presidente esta no puede ser la "nu… https://t.co/viMENUjqpT</t>
  </si>
  <si>
    <t>El malestar y la indignación de la ciudadania es real y profundo; además, en un amplio espectro social. Después de… https://t.co/az313g4YHe</t>
  </si>
  <si>
    <t>RT @ClaudiaLopez: ¡Conéctense a las 9:30 A.M por nuestras plataformas digitales! Anunciaremos en una rueda de prensa, los cambios en las m…</t>
  </si>
  <si>
    <t>Para empezar el día https://t.co/7mHynrNqx7</t>
  </si>
  <si>
    <t>RT @ecosebas: Hoy, mientras cientos de manifestantes se movilizan pacíficamente en Jericó ante visita de @ANLA_Col, el pueblo está militari…</t>
  </si>
  <si>
    <t>No cesa de sorprender la manera sistemática como el Gobierno Nacional niega u omite las preocupaciones de la ciudad… https://t.co/VWHLn8wKlC</t>
  </si>
  <si>
    <t>RT @JCardenasRey: En lugar de más policías pediría más maestros. En lugar de pistolas taser, pediría más computadores para estudiantes. En…</t>
  </si>
  <si>
    <t>RT @MauroToroO: En campaña me decían el YouTuber Verde creyendo que no iba a llegar al Congreso, y llegamos! 🤓 Por insistencia de mis segu…</t>
  </si>
  <si>
    <t>RT @JuanitaGoe: Qué liderazgo civil tan negativo... las posibilidades de que reiteren el fallo son altísimas y mientras tanto la que sufre…</t>
  </si>
  <si>
    <t>Desde 2016 estamos atrapados en la polarización. Descalificar al otro en redes, azuzar a que los fanáticos insulten… https://t.co/9YBnT7pJee</t>
  </si>
  <si>
    <t>La sociedad colombiana tiene molestias de fondo y el gobierno debería ser el primero en entender y tramitarlas. La… https://t.co/1nGCF6eFc9</t>
  </si>
  <si>
    <t>Atención. Urgente. Ayudemos a buscar a Ana Lucía Fernández Villa. Es hija de la directora de la Comisión de la Verd… https://t.co/6RiK5RSdD7</t>
  </si>
  <si>
    <t>El asesinato de Juliana Giraldo por el Ejercito puede ser la gota de rebose la indignación, que dará pasó a la rabi… https://t.co/5fYaQoUUD7</t>
  </si>
  <si>
    <t>Atrapado desde las primeras páginas en la lectura de "La sombra del presidente" de León Valencia. No se lo pierdan.… https://t.co/gnfQ2cx81Y</t>
  </si>
  <si>
    <t>RT @thalimanchola: Semana internacional de la lengua de señas 🤟🏻 https://t.co/RpXoBbCVZG</t>
  </si>
  <si>
    <t>RT @JUANCARLOSHIGUI: Un favor enorme a todos. Estos dos jóvenes desaparecieron, al parecer en medio de la pérdida de unos "trapos" o bander…</t>
  </si>
  <si>
    <t>Para terminar la semana, un poco de valentía... https://t.co/cOn4sM34fs</t>
  </si>
  <si>
    <t>No ha habido transparencia en los gastos del gobierno nacional en medio de esta crisis. Ni en Casanare ni en ningún… https://t.co/3gsIQTylMc</t>
  </si>
  <si>
    <t>Hemos planteado propuestas para evitar la deserción estudiantil, cómo apoyar a los jóvenes vulnerables y estamos fi… https://t.co/JGJfuX50I0</t>
  </si>
  <si>
    <t>Necesitamos dejar de hablar de las elecciones de 2022 y concentrarnos en aliviar el sufrimiento de tantas personas… https://t.co/HoX4Du2zPq</t>
  </si>
  <si>
    <t>La foto de Márquez, Santrich y sus colegas portando armas de alto calibre es una bofetada a los colombianos que cre… https://t.co/PR18aAzVQJ</t>
  </si>
  <si>
    <t>RT @davalho: En Medellín: Ayuda, por favor. https://t.co/IaYXzfATuj</t>
  </si>
  <si>
    <t>RT @JuanitaGoe: ¡Muchas felicitaciones @PalaciosLeyner! Que su ingreso a @ComisionVerdadC abone el proceso de construcción de confianza en…</t>
  </si>
  <si>
    <t>Enhorabuena. A veces la razón funciona. https://t.co/eN1GhCLJJF</t>
  </si>
  <si>
    <t>RT @ClaudiaLopez: Entregamos a Procuraduría y Fiscalía todo el registro visual del sistema de cámaras de la Alcaldía @Bogota sobre los punt…</t>
  </si>
  <si>
    <t>Compromiso Ciudadano nació porque entendimos que teníamos que pasar de la crítica a la acción y entrar a participar… https://t.co/WzfCLzEaqd</t>
  </si>
  <si>
    <t>Hoy sumamos a Antioquia a los capítulos regionales de la Escuela de Formación Política de @compromisociu con Catali… https://t.co/GeeEZlWaGX</t>
  </si>
  <si>
    <t>RT @JuanLuisCasCo: En mi familia ya hemos pasado por suficientes atentados, el método siempre el mismo: montajes, amenazas, ponen a prueba…</t>
  </si>
  <si>
    <t>Hemos recorrido virtualmente a toda Colombia en estos meses para escuchar a muchas voces de todas las regiones. La… https://t.co/dfAQzgYJ2A</t>
  </si>
  <si>
    <t>Educación, empleo digno y entornos protectores es lo que necesitamos ofrecer a los jóvenes para dejar de perder tan… https://t.co/jnc46YTrlC</t>
  </si>
  <si>
    <t>RT @hmurrain: Iniciemos la semana de la cultura ciudadana agradeciendo a la ciudadanía por su comportamiento. El uso de tapañatas es de 98%…</t>
  </si>
  <si>
    <t>Hoy cuando vemos a tantos políticos enfrascados en la discusión de quién es de derecha y quién de izquierda, tratan… https://t.co/IzlkMfo7Y5</t>
  </si>
  <si>
    <t>RT @compromisociu: En Compromiso Ciudadano nos une la esperanza de formar un país diferente, de construir una Colombia a partir de los prin…</t>
  </si>
  <si>
    <t>Gratitud con un verdadero señor, Luis Alberto Moreno, quien siempre trabajó con convicción y diligencia para apoyar… https://t.co/DfDGlSsgu6</t>
  </si>
  <si>
    <t>RT @marvima2012: Hoy en Medellín, luz por todas las personas desaparecidas. Sin importar la razón, sólo con el clamor de que vuelvan a casa…</t>
  </si>
  <si>
    <t>RT @CulturaenBta: Cultura ambiental, género y diversidad, movilidad, salud y confianza serán los temas de los que hablaremos conjuntamente.…</t>
  </si>
  <si>
    <t>Otra buena noticia ambiental esta semana. No a la minería en el páramo de Santurbán. Falta el rechazo a la minería… https://t.co/AJWwgkHxlc</t>
  </si>
  <si>
    <t>RT @Julianelpolit: El Covid-19 es una responsabilidad que todos debemos combatir. Hoy soy uno de los concejales de Manizales con caso posit…</t>
  </si>
  <si>
    <t>RT @LosDanielesOp: Buenos días, queridos lectores. Las columnas ya están servidas en #LosDanieles #LaLeyDelSilencio de @DCoronell https:…</t>
  </si>
  <si>
    <t>RT @PalomaChavezLo1: Ya son 4️⃣2️⃣ días sin tener noticias de mi hijo. No tengo palabras que expresen mi dolor y mi angustia. Por favor no…</t>
  </si>
  <si>
    <t>Para alegrarnos antes de acabar esta semana. Felicitaciones. https://t.co/uR5xoy7Zyo</t>
  </si>
  <si>
    <t>RT @LeonVaLenciaA: Feliz con la segunda edición de La Sombra del Presidente https://t.co/KaJ1FHQdsK</t>
  </si>
  <si>
    <t>RT @afajardoa: El problema más importante que enfrentamos es asegurar que la educación no se convierta en un mecanismo para reproducir la d…</t>
  </si>
  <si>
    <t>RT @AngelicaLozanoC: Hoy a las 10:00 a.m debate de control político en defensa del Páramo de Santurbán. Colombia tiene el 49% de los páramo…</t>
  </si>
  <si>
    <t>RT @cataortizcamara: Cuando Iván Duque llegó a la Presidencia, anunció con bombos y platillos su apoyo decidido a la llamada economía naran…</t>
  </si>
  <si>
    <t>El populismo alimenta las hordas fanáticas y presenta soluciones “simplistas” a los problemas más complejos. La vio… https://t.co/CYU4A4rgrh</t>
  </si>
  <si>
    <t>RT @hectorabadf: "...Prefieren el lamento y sus refugios a la íntima intemperie de intentar ser feliz. Le han tomado cariño a su fracaso, e…</t>
  </si>
  <si>
    <t>RT @manuel_rodb: "La Tragedia Ambiental de América Latina y el Caribe": un libro que escribimos colectivamente 21 ambientalistas de la reg…</t>
  </si>
  <si>
    <t>https://t.co/8GvLGq9eXm</t>
  </si>
  <si>
    <t>Una excelente columna. https://t.co/MSyerBNi3z</t>
  </si>
  <si>
    <t>El Profesor Lederach hace una reflexión profunda sobre polarización, verdad y confianza. Tiene plena vigencia, vale… https://t.co/ph8dRmt43m</t>
  </si>
  <si>
    <t>RT @afajardoa: Ese Falcao. Un tipo que ha ganado todo desde los 14 años. Se ha levantado de todas las lesiones. Y, ahora que es suplente, c…</t>
  </si>
  <si>
    <t>RT @ProfFeynman: Knowledge isn't free. You have to pay attention. 🧠</t>
  </si>
  <si>
    <t>El desempleo es la expresión de una profunda crisis social en Colombia. Acá les presentamos unas propuestas sensata… https://t.co/FGnKi56dBA</t>
  </si>
  <si>
    <t>RT @moliverag: ‘Empleo de emergencia ya’, propuesta de ⁦@sergio_fajardo⁩ para enfrentar uno de los golpes más duros que ha recibido el país…</t>
  </si>
  <si>
    <t>RT @larepublica_co: Sergio Fajardo, Gonzalo Hernández, José Antonio Ocampo, Mauricio Olivera, Mariana Fajardo y Germán Barragán propusieron…</t>
  </si>
  <si>
    <t>RT @IIPP_UCL: We are so proud to announce that IIPP Director @MazzucatoM has been elected as the 2020 recipient of the John von Neumann Awa…</t>
  </si>
  <si>
    <t>RT @MazzucatoM: I am honoured to have received the 2020 John Von Neumann Award. Tomorrow I will be giving an online lecture (details below).</t>
  </si>
  <si>
    <t>RT @AbadColorado: Hoy 12 de octubre a las 9 y 30 pm por @NoticiasCaracol se presenta “El testigo, Caín y Abel”. ¿Me acompañan a verlo con s…</t>
  </si>
  <si>
    <t>¿Recuperación?... o hambre https://t.co/WzSFO37CWF</t>
  </si>
  <si>
    <t>Conozcan la versión detallada de la propuesta 'Empleo de emergencia ya'. Aquí se explican los mecanismos de financi… https://t.co/cQ0D563dGM</t>
  </si>
  <si>
    <t>Presidente ⁦@IvanDuque⁩ , tenemos una propuesta concreta que puede generar 1.4 millones de empleos directos. Lo inv… https://t.co/Lv9GXC7XjF</t>
  </si>
  <si>
    <t>Toda la razón @ClaudiaLopez. Nuestra propuesta de empleo de emergencia es una forma concreta de resolver esta dramá… https://t.co/7fPTH1TKiv</t>
  </si>
  <si>
    <t>Aquí encuentran la propuesta de empleo de emergencia https://t.co/fiz7JBM4nH</t>
  </si>
  <si>
    <t>Le dejo el vínculo https://t.co/fiz7JBM4nH</t>
  </si>
  <si>
    <t>El Cauca, de donde viene la minga indígena, es una región muy afectada por la violencia. Es necesario un gran diálo… https://t.co/8Nh9GlZInR</t>
  </si>
  <si>
    <t>Nunca Radamel. Liderazgo con el ejemplo. https://t.co/8ob7BSvEgP</t>
  </si>
  <si>
    <t>La confesión de las Farc tiene que llegar a la JEP y ahí tienen que evaluar las pruebas para determinar que lo del… https://t.co/BkyeRjrybq</t>
  </si>
  <si>
    <t>El presidente de los Estados Unidos es, sin duda, la persona más poderosa del planeta, creo que debería ser el señor Joe Biden.</t>
  </si>
  <si>
    <t>Cómo empezó: Cómo vamos: (Siempre el DIM) https://t.co/yZCBLDbyyD</t>
  </si>
  <si>
    <t>RT @compromisociu: En el marco de la pobreza y desigualdad que tenemos ‘Empleo de emergencia ya’ es una salida para ayudar a 3,4 millones d…</t>
  </si>
  <si>
    <t>En minutos en @BluRadioCo https://t.co/r7ESuyp77T</t>
  </si>
  <si>
    <t>Tenemos que construir una convergencia por fuera de los extremos, con un acuerdo programático pero antecedida por u… https://t.co/08jNbm0ID7</t>
  </si>
  <si>
    <t>Un acuerdo ético es fundamental para definir cómo vamos a luchar contra la corrupción, el clientelismo, cómo nos ac… https://t.co/KsOoaTdopE</t>
  </si>
  <si>
    <t>Si yo fuera presidente, la minga no llegaría a Bogotá. La habría resuelto en el Cauca. Es un conflicto profundo y n… https://t.co/0Ag46IupT9</t>
  </si>
  <si>
    <t>RT @rodrikdani: What an honor to have been in the same company with John Williams, (the late) Ennio Morricone, Carlos Sainz, Anne Carson, t…</t>
  </si>
  <si>
    <t>RT @JuanitaGoe: ¡No más!</t>
  </si>
  <si>
    <t>La transformación de Colombia pasa por un acuerdo ético. https://t.co/lsgXXyLvGy</t>
  </si>
  <si>
    <t>La transformación de Colombia pasa primero por un acuerdo ético. https://t.co/lsgXXyLvGy</t>
  </si>
  <si>
    <t>El primer paso para superar las desigualdades, la corrupción y la violencia es un acuerdo ético. A partir de ahí se… https://t.co/kt7OPtlF6Z</t>
  </si>
  <si>
    <t>En @BluRadioCo afirmé que si yo fuera presidente, la la minga indígena no habría tenido que ir a Bogotá y que en… https://t.co/CTCzEOO5Vj</t>
  </si>
  <si>
    <t>RT @elcolombiano: Fue cofundador de la Universidad Eafit y estuvo durante 53 años en Coltabaco, donde ocupó diferentes cargos. Su legado: h…</t>
  </si>
  <si>
    <t>La reflexión de Alejandro Gaviria es pertinente y urgente. La educación superior no va a ser la misma después de la… https://t.co/pRZP5994y7</t>
  </si>
  <si>
    <t>RT @ProfFeynman: "When one teaches, two learn." 🧠 -- Robert Heinlein</t>
  </si>
  <si>
    <t>RT @compromisociu: 'El Centro Democrático ya tuvo su oportunidad, han gobernado y ahora es el momento de cambiar esa página y gobernar de u…</t>
  </si>
  <si>
    <t>La información de las cifras de desempleo, pobreza y crecimiento que entrega el Dane a diario muestra la tragedia s… https://t.co/dSisgJFtoG</t>
  </si>
  <si>
    <t>RT @MantillaIgnacio: Hoy, 20/10/20 es el Día Mundial de la Estadística. https://t.co/4zNJ6SIOND</t>
  </si>
  <si>
    <t>El Gobierno de Duque nunca tuvo norte claro, ni un proyecto de transformación de nuestra sociedad. Nunca pudo cumpl… https://t.co/j6jZysy8Sj</t>
  </si>
  <si>
    <t>RT @LeonVaLenciaA: Desde la Fundación Paz y Reconciliación apoyamos a Ariel Avila en su programa Poder en Revista Semana hoy le han dicho q…</t>
  </si>
  <si>
    <t>Rechazo total a la barbarie de la violencia en la política. Condolencias y solidaridad con la familia de la Colombi… https://t.co/ED2fhv2v1P</t>
  </si>
  <si>
    <t>RT @JuanitaGoe: ¡Más vergüenzas internacionales de Colombia!🤦🏽‍♀️ En Asamblea de la OEA @CancilleriaCol se opuso a incluir la no discrimin…</t>
  </si>
  <si>
    <t>En noviembre del año pasado se manifestó el profundo malestar de la ciudadanía. El gobierno anunció con bombos y pl… https://t.co/02R6wquQF7</t>
  </si>
  <si>
    <t>Mañana hablaremos de nuestra propuesta de empleo en compañía del grupo de expertos que participaron en su estructur… https://t.co/nwD47doPNS</t>
  </si>
  <si>
    <t>RT @PerlaToro: Obdulio es profe. Obdulio estudio con uno de mis compañeros de maestría. Obdulio no aparece y muchas personas que lo aman pr…</t>
  </si>
  <si>
    <t>Cuando las cosas no se mencionan no existen. Apenas ayer el gobierno nacional volvió a usar la palabra conversación… https://t.co/7PyAKN0ssB</t>
  </si>
  <si>
    <t>@andresmusica1 Andrés, hemos estado escuchando a las regiones para construir una propuesta de gobierno con el aport… https://t.co/KlzFUIrGqs</t>
  </si>
  <si>
    <t>@SugarCuyabro75 Hemos estado escuchando a las regiones para construir una propuesta de gobierno con el aporte de to… https://t.co/OZULwgf276</t>
  </si>
  <si>
    <t>Por primera vez, el papa Francisco expresó su apoyo a la legalización de las uniones civiles de parejas del mismo s… https://t.co/1oomOjvZtH</t>
  </si>
  <si>
    <t>Llegó el día. ¿Quiere saber qué es ‘Empleo de emergencia ya‘?¿A quiénes beneficia?¿Quién puede hacer parte? Estas y… https://t.co/LOWQNSRGfx</t>
  </si>
  <si>
    <t>Eduardo Cifuentes es un ejemplo de probidad y sabiduría en el mundo de la justicia. Gracias a Patricia Linares por… https://t.co/xKzJ9vwVmm</t>
  </si>
  <si>
    <t>Empleo de emergencia ya https://t.co/ENWZJV9XNS</t>
  </si>
  <si>
    <t>RT @compromisociu: Por la crisis el tema ambiental ha pasado a un segundo plano, pero el reconocimiento a la alcaldesa por su liderazgo en…</t>
  </si>
  <si>
    <t>Una de las facetas más agradables de la política es la posibilidad de conocer personas maravillosas. En Neiva conoc… https://t.co/gm6VO8PeaQ</t>
  </si>
  <si>
    <t>En esta entrevista les cuento en qué estamos y para donde vamos. Avanzamos con coherencia y consistencia, sin distr… https://t.co/SymiEWnc5g</t>
  </si>
  <si>
    <t>En Chile quienes tenían el poder no escucharon; ignoraron la molestia y la indignación de la gente. Ayer nació otro… https://t.co/mWo6CHvdtt</t>
  </si>
  <si>
    <t>RT @riveraalzate: Favor RT. https://t.co/CTEcKzN38K</t>
  </si>
  <si>
    <t>Me alegró encontrarme de nuevo con @anibalgaviria. Después de compartir durante años como gobernantes de esta tier… https://t.co/vmwxkmUh94</t>
  </si>
  <si>
    <t>RT @CompromisoUraba: Nos reunimos para conversar con @sergio_fajardo, reímos y conocimos más a fondo del proyecto @compromisociu.</t>
  </si>
  <si>
    <t>Excelente articulo de Gonzalo Hernández. Por ahí es el camino. Léanlo. https://t.co/WHTntl51Mi</t>
  </si>
  <si>
    <t>Le recomendamos al gobierno nacional atender nuestra propuesta "empleo de emergencia ya". https://t.co/8uR8NSvGd4</t>
  </si>
  <si>
    <t>Totalmente de acuerdo con Daniel Samper. Es una infamia lo que hace Lafaurie. La violencia del lenguaje incita a la… https://t.co/mZFKQDMLy3</t>
  </si>
  <si>
    <t>RT @danielduquev: He empezado a recibir mensajes intimidantes que han hecho que la Policía, mi familia y amigos empiecen a preocuparse por…</t>
  </si>
  <si>
    <t>RT @JERobledo: Mañana miércoles 28 de octubre, a la 9:00 AM, los sectores que nos escindimos del Polo, daremos rueda de prensa al respecto,…</t>
  </si>
  <si>
    <t>RT @acadcienciacol: https://t.co/eKgZ0RFqFW</t>
  </si>
  <si>
    <t>El gobierno nacional no puede postergar el inicio de la discusión de las reformas que necesitamos para enfrentar es… https://t.co/RL1ymzaMen</t>
  </si>
  <si>
    <t>RT @Paolaarenasm: #HaceUnAñoLlegamos. No habían recursos para llegar a cada rincón del Departamento, tampoco estructuras; pero contamos con…</t>
  </si>
  <si>
    <t>RT @Leonidasgomezg: Hace un año 332.189 votos de una ciudadanía libre, envió un mensaje contundente a los clanes y la politiquería del depa…</t>
  </si>
  <si>
    <t>RT @CarlosFGalan: No soy fan de @ArielAnaliza, más bien soy su contradictor desde que me me atacó con calumnias en campaña, pero en este pa…</t>
  </si>
  <si>
    <t>RT @ClaudiaLopez: Hace un año ganamos. Hemos enfrentado una pandemia, salvamos miles de vidas, generamos 73.00 empleos en proyectos que ven…</t>
  </si>
  <si>
    <t>RT @AngelicaLozanoC: Ambas vueltas/2018 y locales/2019 son claras: Acción colectiva por el cambio es consolidar izquierda (Polo+CH-UP) y c…</t>
  </si>
  <si>
    <t>RT @JERobledo: Hoy le presentamos a Colombia nuestro nuevo partido ¡Dignidad!. #DignidadEs una nueva esperanza para Colombia y la alegría…</t>
  </si>
  <si>
    <t>RT @FelipRamirez_: Honorables ciudadanos, escribí un artículo para @elpaiscali dando respuesta al columnista Mario Fernando Prado, quién se…</t>
  </si>
  <si>
    <t>Mi nieta. Hermosa. https://t.co/H8sp3pLd4k</t>
  </si>
  <si>
    <t>La vida es sagrada nos decía Antanas Mockus. La vida de Feliciano Valencia es sagrada. La vida de los, las, líderes… https://t.co/sKcl6HpM98</t>
  </si>
  <si>
    <t>RT @FelicianoValen: #COMUNICADO Toda mi gratitud por las manifestaciones de solidaridad, apoyo y preocupación. Hago un llamado vehemente al…</t>
  </si>
  <si>
    <t>Otro asesinato de una líder social: Juana Perea. Defensora de Nuquí. Un paraíso de la naturaleza que no puede tener… https://t.co/3tuL6dgv3G</t>
  </si>
  <si>
    <t>RT @alvaroforero: Sí está polarizado, por los populistas de derecha e izquierda, que por ser minoritarios polarizan para manipular la discu…</t>
  </si>
  <si>
    <t>Paz en la tumba de Horacio Serpa. Tuve la oportunidad de conocerlo y compartir con él momentos muy difíciles y ver,… https://t.co/rsHlimdmtk</t>
  </si>
  <si>
    <t>Diego Fonseca describe, a partir del caso Biden, los costos de la mezcla nefasta de polarización y populismo. Tenem… https://t.co/aCHvrZ4enA</t>
  </si>
  <si>
    <t>Hoy es un día para invocar a todos los dioses y espíritus de todas las religiones y culturas para que se unan por l… https://t.co/g33KMBBCHZ</t>
  </si>
  <si>
    <t>Felicitaciones alcalde. Un gesto noble. https://t.co/gSAABRdF1J</t>
  </si>
  <si>
    <t>De acuerdo, Joe: vale para los Estados Unidos y para nuestra Colombia. Podemos ser diferentes sin ser enemigos.… https://t.co/QZ2q38i4jE</t>
  </si>
  <si>
    <t>Joe Biden es una persona que respeta la democracia, que demuestra el cuidado y respeto al que es diferente, esos so… https://t.co/d54aDMOrtK</t>
  </si>
  <si>
    <t>RT @forbescolombia: Más allá de las cuotas, apostar por el talento femenino en el alto liderazgo podría significar un incremento de hasta 3…</t>
  </si>
  <si>
    <t>De nuevo el Congreso hundió una reforma política, pero además hundió la posibilidad de saldar la deuda que tenemos… https://t.co/8UAEnD79o4</t>
  </si>
  <si>
    <t>RT @JuanitaGoe: Trump alega fraude electoral sin aportar pruebas. Rechaza los resultados de estados en los que pierde y legitima aquellos…</t>
  </si>
  <si>
    <t>RT @JoeBiden: No one is going to take our democracy away from us. Not now, not ever. America has come too far, fought too many battles, an…</t>
  </si>
  <si>
    <t>https://t.co/O5EOd1Rn7t</t>
  </si>
  <si>
    <t>Vigente https://t.co/z0QXnJcmed</t>
  </si>
  <si>
    <t>RT @bbcmundo: Con una extensión de más de 1.500 kilómetros, el río Magdalena ha sido el centro de la construcción de #Colombia. Sobre él tr…</t>
  </si>
  <si>
    <t>RT @BarackObama: Congratulations to my friends, @JoeBiden and @KamalaHarris — our next President and Vice President of the United States. h…</t>
  </si>
  <si>
    <t>Aire fresco. Gracias a @JoeBiden y @KamalaHarris, la primera mujer vicepresidenta de los Estados Unidos. Un triunfo… https://t.co/ZDqlpYsoc2</t>
  </si>
  <si>
    <t>Saber perder https://t.co/FfcRIh5EVr</t>
  </si>
  <si>
    <t>Mujer maravillosa, toda la energía para ti y toda tu familia. https://t.co/nSUpeKQ2ea</t>
  </si>
  <si>
    <t>RT @alvaroforero: En medio de la polarización, ganó el moderado, llamando a la unidad. Le ganó el centrismo al extremismo. El institucional…</t>
  </si>
  <si>
    <t>Jill Biden, la esposa del presidente electo Joe Biden, es una profesora en todo el sentido de la palabra. No dejará… https://t.co/lq60dYpAml</t>
  </si>
  <si>
    <t>RT @SoyOscarEscobar: Con educación Palmira va pa´lante. Hoy más de 40 estudiantes de la sede José María Cabal en la Herradura y 10 niños y…</t>
  </si>
  <si>
    <t>RT @ClaudiaFadulR: La mujer compromisaria es humana y luchadora ! Se puede.</t>
  </si>
  <si>
    <t>RT @moliverag: La crisis de la papa viene de problemas estructurales, acentuados por la pandemia. Y para salir de la crisis, es necesario r…</t>
  </si>
  <si>
    <t>RT @RazonPublica: #SOSEducacionCaribe La educación virtual ha aumentado la diferencia abismal que existe entre las zonas urbanas y rurales…</t>
  </si>
  <si>
    <t>Hace 21 años nació Compromiso Ciudadano porque entendimos que es en la política que se toman las decisiones más imp… https://t.co/qvokAVmZvd</t>
  </si>
  <si>
    <t>No vamos a hacer alianzas con nadie que represente los extremos, la política de la rabia y destrucción. Colombia ne… https://t.co/R2LDE5sKd8</t>
  </si>
  <si>
    <t>Ladran Sancho, señal que cabalgamos. https://t.co/i7a6WUJoTa</t>
  </si>
  <si>
    <t>RT @cifrasyconcepto: Felicitamos a @JuanitaGoe al ser escogida como mejor Representante a la Cámara de la última legislatura. #PaneldeOpini…</t>
  </si>
  <si>
    <t>Para empezar el día https://t.co/LoFyJjmjDf</t>
  </si>
  <si>
    <t>Lectura para el puente? Acá seis excelentes libros escritos por mujeres: Sandra Borda, Martha Nussbaum, Ana C. Rest… https://t.co/movVuWi6II</t>
  </si>
  <si>
    <t>Tristeza grande. Murió Camila Botero, una magnífica e inolvidable persona. El alma de la Fundacion Alejandro Ángel… https://t.co/2FUAgEHJ4T</t>
  </si>
  <si>
    <t>RT @JuanLuisCasCo: #SOSChocó 🚨 El río Andagueda se creció y se acaba de caer el puente que comunica al municipio de Lloró. Varias personas…</t>
  </si>
  <si>
    <t>https://t.co/yxqYhBnPxp</t>
  </si>
  <si>
    <t>Cartagena, una joya de Colombia, hoy necesita nuestra ayuda para salir adelante. https://t.co/KubCegDgUQ</t>
  </si>
  <si>
    <t>RT @juntosporelarc1: Hacemos un llamado a la solidaridad con los isleños📢 Ayúdanos a dotar los albergues y adquirir elementos necesarios pa…</t>
  </si>
  <si>
    <t>Toda la solidaridad para el Archipiélago de San Andrés, Providencia y Santa Catalina que se ve nuevamente afectado… https://t.co/qVgyWn09u0</t>
  </si>
  <si>
    <t>El paso del huracán Iota y un inclemente invierno dejan daños enormes este fin de semana. Miles de personas necesit… https://t.co/PZ0RXwvbak</t>
  </si>
  <si>
    <t>https://t.co/1ZyQhUmN3F</t>
  </si>
  <si>
    <t>RT @JuanitaGoe: Mi vocación de vida es ser servidora pública. En 2022 no aspiraré al Congreso. Trabajaré para que una coalición de centro…</t>
  </si>
  <si>
    <t>RT @AcademiaColCine: La Academia Colombiana de Artes y Ciencias Cinematográficas da a conocer la pelÍcula seleccionada por Colombia para re…</t>
  </si>
  <si>
    <t>@DanielSamperO muy honrado de haber clasificado en Polombia. Eso sí, para el siguiente video se me ocurren mejores… https://t.co/Iyd77xBVQt</t>
  </si>
  <si>
    <t>Felicitaciones Profesor https://t.co/icsSid1yre</t>
  </si>
  <si>
    <t>Al aire en #ElRadar https://t.co/whVsKxMQLg</t>
  </si>
  <si>
    <t>RT @CINEP_PPP: #ReplicamosPaz Primera Filarmónica Indígena de Colombia nace en Valparaíso, Antioquia, conformada por la comunidad emberá 🎻…</t>
  </si>
  <si>
    <t>BESOS Y PICOS https://t.co/pstUfToosv ➟ Hoy en #LosDanieles @LosDanielesOp. #SoyTejaDeLosDanieles aporta acá: https://t.co/U7EjO3NHt4</t>
  </si>
  <si>
    <t>RT @fdbedout: En las últimas 24 horas, 5 personas fueron asesinadas en en El Mango, Argelia Cauca. En La Julia del municipio de Betania, An…</t>
  </si>
  <si>
    <t>El tema de la polarización en Colombia es en serio. Amigo o enemigo. Al que piensa diferente hay que destruirlo. H… https://t.co/fdFFkgrsjj</t>
  </si>
  <si>
    <t>Al aire en instante en Caracol Radio https://t.co/m3PcEWy7st</t>
  </si>
  <si>
    <t>Yo trato de entender que estamos en política, en lo público, pero divulgar mentiras para eliminar al que piensa di… https://t.co/0Zev0BSqqs</t>
  </si>
  <si>
    <t>Hace 21 años arrancamos a pie en Medellín, no recibimos ninguna herencia política de nadie y así seguimos. No somos… https://t.co/FO5dZiwNuq</t>
  </si>
  <si>
    <t>En instantes al aire en @lafm.</t>
  </si>
  <si>
    <t>Estamos en medio de una pandemia, de una crisis de desempleo, de una fuerte ola invernal, de masacres casi diarias… https://t.co/7z3XpCKIhi</t>
  </si>
  <si>
    <t>Aprendimos a hacer política caminando las calles, entregando volantes y hablando con la gente. No recibimos herenc… https://t.co/UlJe8qOyAb</t>
  </si>
  <si>
    <t>RT @ClaudiaLopez: Bienvenidos todos y todas a este convenio por la #EducaciónParaElSiglo21. Haremos una transformación profunda en traba…</t>
  </si>
  <si>
    <t>Mujer valiente. Imprescindible. Tu comportamiento honró la memoria de Dilan y su familia. Firme, adelante sin amila… https://t.co/doU5RvhGzi</t>
  </si>
  <si>
    <t>RT @mfajardoa: Uno puede estar de acuerdo o no con @ClaudiaLopez en diferentes temas, pero lo que le hicieron hoy en el aniversario del ase…</t>
  </si>
  <si>
    <t>RT @compromisociu: Acompáñanos hoy a las 5 p.m. en la entrevista que tendrá @sergio_fajardo para hablar de temas importantes de la actualid…</t>
  </si>
  <si>
    <t>Ayer escribí, que entre tantos retos que enfrentamos hoy en Colombia no podemos estar hablando solamente de la cont… https://t.co/DstDtO85PM</t>
  </si>
  <si>
    <t>El acuerdo de paz</t>
  </si>
  <si>
    <t>El acuerdo de paz es irreversible; tenemos que perseverar en su desarrollo y superar obstáculos hasta pasar la pági… https://t.co/ck6e7sZPAi</t>
  </si>
  <si>
    <t>RT @Compromisarias: Rendimos un homenaje en memoria a las lideresas sociales asesinadas en defensa de sus territorios, rechazando así en t…</t>
  </si>
  <si>
    <t>Las violencias, porque son muchas, contra las mujeres son inaceptables. Tenemos que pasar del discurso del rechazo… https://t.co/1BJsaQgjLk</t>
  </si>
  <si>
    <t>La pandemia ha visibilizado que el espacio más peligroso para las mujeres sigue siendo su familia - su casa. Eso no… https://t.co/FydJ42gGgo</t>
  </si>
  <si>
    <t>Qué tristeza la muerte de Diego Armando Maradona. Estará en el olimpo de los dioses del fútbol. Para quienes amamos… https://t.co/zBWX8in7wF</t>
  </si>
  <si>
    <t>RT @RobertoPatino: #COMUNICADO #Urgente Alimenta La Solidaridad y Caracas mi Convive denuncian hostigamiento por parte de las autoridades.…</t>
  </si>
  <si>
    <t>RT @mfajardoa: Ustedes no se pueden quedar sin leer este artículo, lo más bonito que he leído hace días. "El goce y el dolor, la luz y la…</t>
  </si>
  <si>
    <t>La verdad es la mayor damnificada en estos tiempos de polarización creciente. Me parece muy buena esta sencilla exp… https://t.co/f52guopXvl</t>
  </si>
  <si>
    <t>RT @icesi: "4U es un motivo de celebración que nos permitirá impulsar la educación superior en el país desde la universidad en red" Francis…</t>
  </si>
  <si>
    <t>RT @danielduquev: ¡Aprobado nuestro Acuerdo para desincentivar los plásticos de un solo uso en Medellín! Gracias al @ConcejoMedellin por pe…</t>
  </si>
  <si>
    <t>Me comentan que un video donde me referí a Nestor Humberto Martínez, recién posesionado como fiscal en el 2017, es… https://t.co/ahfIEdeuSE</t>
  </si>
  <si>
    <t>RT @slondonouribe: Acá la aclaración de @Colcheck sobre el vídeo recortado. Importante tener toda la información antes de llegar a conclusi…</t>
  </si>
  <si>
    <t>RT @compromisociu: La pandemia reflejó que las mujeres no son solo víctimas del machismo en la calle, sino también en los hogares. Debemos…</t>
  </si>
  <si>
    <t>RT @CamiloCalleO: Se quema #RíoSucio, Sr Presidente @IvanDuque , reaccione, esto también es Colombia.🙏🏿🙏🏿 intervención de la Fuerza Aerea e…</t>
  </si>
  <si>
    <t>Camila Botero, la última filántropa antioqueña. Gran mujer. Con la Fundación Alejandro Ángel Escobar se convirtió e… https://t.co/IAcKrxIYJ0</t>
  </si>
  <si>
    <t>RT @lluevelove: Un incendio. Ni agua ni bomberos para apagarlo. Pero es que tantas veces tampoco hay agua para apagar la sed. Chocó: en Llo…</t>
  </si>
  <si>
    <t>RT @juliandezubiria: Las tesis de Rodolfo Llinás son muy pertinentes para transformar la educación ¿Cuál es la tarea esencial de la escuela…</t>
  </si>
  <si>
    <t>Ahora que el "centro" parece el Arca de Noé, es refrescante leer la explicación rigurosa de Mauricio García sobre e… https://t.co/5iElaYTXDr</t>
  </si>
  <si>
    <t>RT @DanielSamperO: #GraciasCoronell</t>
  </si>
  <si>
    <t>Si llego a ser el presidente, lo primero que haría es un 'Gran Pacto Nacional por la Educación'. Colombia le ha apo… https://t.co/QTEXKUSTA7</t>
  </si>
  <si>
    <t>Entré al mundo de la política porque tengo la convicción profunda de que todo va a cambiar el día en que le apostem… https://t.co/dL2kEq8FiO</t>
  </si>
  <si>
    <t>Cuando a veces estoy cansado y siento el peso de tantas cosas desagradables que se mueven en la política, vuelvo y… https://t.co/atnkqpGodv</t>
  </si>
  <si>
    <t>El caso del senador Pulgar es vulgar. Es un ejemplo más de lo que está mal. Acá le echan tierra a todos los casos d… https://t.co/CDeAOsNlyA</t>
  </si>
  <si>
    <t>RT @ClaudiaLopez: En Bogotá trabajamos día a día para garantizarle a nuestros, niños, niñas y jóvenes acceso a una educación de calidad. C…</t>
  </si>
  <si>
    <t>RT @EEColombia2020: Tras casi dos décadas del suceso que marcó su vida perdiendo a 28 de sus familiares, Leyner Palacios (@PalaciosLeyner)…</t>
  </si>
  <si>
    <t>Siempre he respondido por nuestras actuaciones y lo seguiré haciendo. https://t.co/I5EOvX9yj9</t>
  </si>
  <si>
    <t>Comparto 3 preguntas que me han hecho hoy sobre Hidroituango: ¿Le sorprende que la Contraloría haya decidido invest… https://t.co/OSoxR8Vi3m</t>
  </si>
  <si>
    <t>Preguntan sobre Hidroituango: ¿Esto es un ataque político en medio de una campaña en la que usted va bien en las en… https://t.co/PZEMdaXqmG</t>
  </si>
  <si>
    <t>Y otra pregunta sobre Hidroituango es: ¿Qué opina de los ataques de sus rivales políticos? Respondo: No me sorprend… https://t.co/LNqoUuAsZK</t>
  </si>
  <si>
    <t>RT @compromisobol: Hoy voluntarios de todo el país nos reunimos con @sergio_fajardo . Somos @compromisociu #SePuede https://t.co/VlX7a8fg3A</t>
  </si>
  <si>
    <t>Nuestros voluntarios y voluntarias son el corazón de Compromiso Ciudadano. Un orgullo. Necesitamos potenciar las ca… https://t.co/UoDXwtyrDy</t>
  </si>
  <si>
    <t>RT @julioprofenet: ¿Me acompañan?</t>
  </si>
  <si>
    <t>RT @MincienciasCo: "Todos los esfuerzos serán vanos si no cuentan con el soporte financiero. Otra de las lecciones que deja la pandemia es…</t>
  </si>
  <si>
    <t>RT @Mineducacion: Esta noche nos llena de orgullo reconocer, con el 'Premio Vida y Obra 2020', la trayectoria de dos grandes referentes de…</t>
  </si>
  <si>
    <t>El camino es largo y la verdad y la decencia siempre salen adelante, aunque a veces se demoren. https://t.co/3o2xXPOlqr</t>
  </si>
  <si>
    <t>Una voz siempre seria, decente y amable del Valle del Cauca. Fuerza Hugo Mario, nos faltan muchas entrevistas y con… https://t.co/6dY6c7blZL</t>
  </si>
  <si>
    <t>Juanita Goebertus. Siempre interesante. No vuelve al Congreso, ¿pero de la política definitivamente se retira? https://t.co/xlB6AFUuVz</t>
  </si>
  <si>
    <t>RT @DanielSamperO: Favor RT https://t.co/FEByBWgr3a</t>
  </si>
  <si>
    <t>RT @compromisociu: Súper invitados todos y todas este miércoles a nuestra sesión de la Escuela de Formación Política de Bolívar. Estaremos…</t>
  </si>
  <si>
    <t>RT @danielduquev: Orgulloso del trabajo de @CamiloCalleO en la Asamblea De Antioquia. 2 ordenanzas, 2 debates de control político, defensa…</t>
  </si>
  <si>
    <t>RT @compromisociu: Súper invitados todos y todas hoy a la última sesión de la Escuela de Formación Política de Antioquia. En esta ocasión h…</t>
  </si>
  <si>
    <t>RT @CompromisoATL_: Con un 𝗖𝗼𝗻𝘃𝗲𝗿𝘀𝗮𝘁𝗼𝗿𝗶𝗼 𝗣𝗼𝗹í𝘁𝗶𝗰𝗼 cerramos las emisiones del programa 𝗩𝗶𝘀𝘁𝗮𝘇𝗼 𝗖𝗮𝗿𝗶𝗯𝗲 en este 2020. Estaremos dialogando sob…</t>
  </si>
  <si>
    <t>Nos vemos a las 11 am con Los Danieles para hablar de sus columnas y contestar todas las preguntas que tengan. Me a… https://t.co/f2XneQsPux</t>
  </si>
  <si>
    <t>A la Contraloría le corresponde investigar. No descalifico a quienes me investigan y respeto el debido proceso. Seg… https://t.co/1Wch4rhsCs</t>
  </si>
  <si>
    <t>No hay ningún tipo de negligencia de parte nuestra y por eso mismo siempre pedía informes de todos los funcionarios… https://t.co/8PmBTsGcqH</t>
  </si>
  <si>
    <t>Nuestras intervenciones con las comunidades de HI siempre estuvo acompañada por entes como la Defensoría. En un blo… https://t.co/mUF05LX0v5</t>
  </si>
  <si>
    <t>Tuvimos mesas de seguimiento en los 12 municipios de HI con Ríos Vivos, otras organizaciones y las comunidades y si… https://t.co/qLYrMQNiqQ</t>
  </si>
  <si>
    <t>Nosotros terminamos la labor ante la gobernación en 2015 y la contingencia de HI es en 2018. La pregunta es qué res… https://t.co/s4xi7RpddY</t>
  </si>
  <si>
    <t>Yo respondo por todas mis actuaciones y por la labor de mi equipo ante la Junta de Hidroituango. Estoy orgulloso de… https://t.co/QbhKvrhV9F</t>
  </si>
  <si>
    <t>Las acusaciones de hoy de Gustavo Petro son falsas. Nunca le he entregado nada a nadie y menos a grupos empresarial… https://t.co/y6lRqIezGI</t>
  </si>
  <si>
    <t>EPM tiene que responder por todas sus actuaciones dentro del contrato de construir, operar y mantener el proyecto de Hidroituango.</t>
  </si>
  <si>
    <t>Actuar de manera ética es responder y eso estoy haciendo. La ética es lo que tiene que ser la base de una convergen… https://t.co/dhiLuDjlMs</t>
  </si>
  <si>
    <t>El mundo no es Uribe o Petro. La mayoría no estamos en ese dilema. Tenemos que entender que la forma de enfrentar n… https://t.co/lfe30cOLFv</t>
  </si>
  <si>
    <t>La verdad... https://t.co/ansyDxb8SR</t>
  </si>
  <si>
    <t>Hoy en @LosDanielesOp hablé de HidroItuango, nuestro papel y nuestras responsabilidades. La entrevista la encuentra… https://t.co/5TmjYG9yDa</t>
  </si>
  <si>
    <t>Hay personas que para tener protagonismo se valen de las mentiras y la agresión. No me cansaré de insistir en que l… https://t.co/m7MkA1CL28</t>
  </si>
  <si>
    <t>Los extremos políticos se necesitan mutuamente en la búsqueda de eliminar a quien es diferente a ellos. Quieren est… https://t.co/C69MOvH4sW</t>
  </si>
  <si>
    <t>Amigos de @ELTIEMPO, el titular me ha costado regaños por falta de higiene en pandemia. Quiero aclarar que me lavo… https://t.co/5iYM0JxXmE</t>
  </si>
  <si>
    <t>RT @CompromisoCauca: El Gobernador Fajardo con las comunidades de Ituango en marzo de 2015.</t>
  </si>
  <si>
    <t>RT @ClaudiaLopez: Le ruego a los ciudadanos en Bogotá, hacer las novenas de navidad de manera virtual, sacrifiquemos la presencialidad en l…</t>
  </si>
  <si>
    <t>Dolor de patria. Masacre tras masacre. No más https://t.co/xGJnhndfQy</t>
  </si>
  <si>
    <t>Creo que es importante unirnos a Quiero Tener Un Papel En defensa del periodismo., aportemos en su Vaki! 👇… https://t.co/Nt7JR5AOmh</t>
  </si>
  <si>
    <t>RT @ClaudiaLopez: Amor de mi vida. Feliz aniversario. Gracias por estar siempre, especialmente en los momentos más difíciles. Gracias por…</t>
  </si>
  <si>
    <t>Algunas personas aún no entienden que la naturaleza es nuestra mayor riqueza y que está amenazada. En nuestros parq… https://t.co/fcOXgfx3bU</t>
  </si>
  <si>
    <t>RT @apelaezbotero: Durante el 2020 la permanencia de los estudiantes de la @UdeA fue del 98.9%. Gracias a nuestra Alma Máter por generar es…</t>
  </si>
  <si>
    <t>No a la minería en el suroeste antioqueño, no a la minería en Jericó. https://t.co/mfbxhBGX7d</t>
  </si>
  <si>
    <t>RT @ClaudiaLopez: Mil gracias @DanielSamperO por ayudarnos a crear conciencia del cuidado. Hicimos un experimento social: instalar una UCI…</t>
  </si>
  <si>
    <t>RT @slondonouribe: De nuevo @ISAZULETA, tenés derecho a una opinión, pero no a tus propios hechos. No nos opusimos a la consulta de protecc…</t>
  </si>
  <si>
    <t>Problema fundamental de Colombia: crece una generación de jóvenes sin esperanza. La injusticia más grande, con nefa… https://t.co/fx28L6yRaA</t>
  </si>
  <si>
    <t>Una buena propuesta para empezar el fin de semana. Primero: un pacto ético. Colombia necesita un pacto ético para… https://t.co/hHUWzbCSYN</t>
  </si>
  <si>
    <t>Merecida señor ministro. Descanse, se lo merece. Gracias https://t.co/sRGFiut4Ig</t>
  </si>
  <si>
    <t>https://t.co/319D9WnOlH</t>
  </si>
  <si>
    <t>Lectura recomendada para estos días de fanáticos enardecidos. "Contra el fanatismo" de Amos Oz. https://t.co/LVga8YsIPo</t>
  </si>
  <si>
    <t>La pandemia nos obliga a trabajar unidos para salir de la crisis y hacer los grandes cambios que necesitamos. Con u… https://t.co/3dqcJhWVMA</t>
  </si>
  <si>
    <t>Buen recuerdo. Además pueden ver la película que cuenta su vida "El hombre que conocía el infinito". Vale la pena. https://t.co/shHKtA8oV2</t>
  </si>
  <si>
    <t>Una muy buena, sencilla y clara, explicación de los avances en el tratamiento de la covid-19. https://t.co/Zy534iKJPh</t>
  </si>
  <si>
    <t>RT @MantillaIgnacio: Hoy recordamos al profesor Yu Takeuchi, fallecido un día como hoy en 2014: “Mi forma de actuar se debe a que combino l…</t>
  </si>
  <si>
    <t>Tremendo año este 2020. Muchos aprendizajes, pero también mucho sufrimiento. Vienen grandes retos para el 2021 y un… https://t.co/RjZ4SrtmyR</t>
  </si>
  <si>
    <t>El miedo a la vacuna https://t.co/gT8NBb8Kbs</t>
  </si>
  <si>
    <t>Alerta máxima: educación 2021. Las implicaciones de la pandemia sobre el sistema sistema escolar son profundas. Las… https://t.co/5k8IC7yTBp</t>
  </si>
  <si>
    <t>Este texto de Alfonso Sánchez es una muy buena explicación sobre la construcción de megaproyectos de ingeniería. Si… https://t.co/tmsU05cbGc</t>
  </si>
  <si>
    <t>Gran lección estamos recibiendo desde los Estados Unidos: la política de la rabia, el resentimiento, la mentira y l… https://t.co/BVYjon5n7x</t>
  </si>
  <si>
    <t>RT @fbogliacino: La situación es tan compleja que necesitamos un dibujo de Fajardo</t>
  </si>
  <si>
    <t>RT @ClaudiaLopez: Hoy tenemos el reporte más alto de casos positivos desde que empezó la la pandemia: 6.107! La transmisibilidad y la carga…</t>
  </si>
  <si>
    <t>RT @mgarciavillegas: La columna de hoy de don Carlos Enrique Ruiz sobre, El país de las emociones tristes. https://t.co/31I69DlmEy</t>
  </si>
  <si>
    <t>https://t.co/1YU7usWiTE</t>
  </si>
  <si>
    <t>RT @agaviriau: El pensamiento crítico es lo contrario al adoctrinamiento, es una educación en el escepticismo, una invitación a dudar de to…</t>
  </si>
  <si>
    <t>El gobierno nacional sin rumbo y sin remedio. Nada claro con respecto a la adquisición de las vacunas y el proceso… https://t.co/7I2cJch5aQ</t>
  </si>
  <si>
    <t>RT @carlosvives: Se nos fue un gran atleta, un caballero, orgullo de Colombia y de mi familia paisa.. Álvaro Mejía Flórez ¡Gran carrera ído…</t>
  </si>
  <si>
    <t>El impacto de la pandemia en la educación es inimaginable. Se sentirá por años si no entendemos que es una verdader… https://t.co/3dGh5SeSlh</t>
  </si>
  <si>
    <t>Popayán, patrimonio de toda Colombia, conmemora hoy 484 años desde que fuera fundada. Debería ser el centro de un g… https://t.co/v687TLNoXR</t>
  </si>
  <si>
    <t>Tiene la razón https://t.co/c9GEdXUhbk</t>
  </si>
  <si>
    <t>RT @samuelazout: La distribución de la vacuna en Estados Unidos se está convirtiendo en una pesadilla logística. Ojo 👁 Latinoamérica, guerr…</t>
  </si>
  <si>
    <t>RT @agaviriau: Editorial El Espectador "Tenemos que recuperar la educación presencial" https://t.co/esUKr0NxVm</t>
  </si>
  <si>
    <t>RT @ONUMujeres: Respeta a las mujeres. Punto. - Fin del tweet -</t>
  </si>
  <si>
    <t>RT @Camiloenz: En @compromisobog retómanos nuestras actividades 2021 con la mejor energía. Mañana, 5PM, la Escuela de Formación Política co…</t>
  </si>
  <si>
    <t>RT @compromisobog: Acompáñanos hoy en una gran conversación acerca del derecho a la protesta y los retos de los movimientos sociales y polí…</t>
  </si>
  <si>
    <t>RT @juliandezubiria: Tiene que estar muy enferma una sociedad en la que se amenaza a un niño por defender el medio ambiente y en la que los…</t>
  </si>
  <si>
    <t>RT @JoseA_Ocampo: Estas son mis propuestas sobre las prioridades de la política económica colombiana en 2021: generación de empleo, exporta…</t>
  </si>
  <si>
    <t>RT @gabocifuentes: Transparencia es presupuesto de la democracia. En la opacidad anidan los abusos. Pedir información no es ni pretender ac…</t>
  </si>
  <si>
    <t>Alejandro Salas Durán, Barranquillero, estudiante de la institución Educativa Distrital Alexander Von Humboldt. Pun… https://t.co/ryB9TolpZP</t>
  </si>
  <si>
    <t>Talento tenemos de sobra y por eso tenemos que apostarle a la educación. Felicitaciones a Alejandro Salas y a Andre… https://t.co/Obe873LCAv</t>
  </si>
  <si>
    <t>RT @DanielSamperO: #EsMezquino dejar solos a los habitantes de la población de El Salado, un pueblo admirable que ha resurgido después de s…</t>
  </si>
  <si>
    <t>El comienzo del gobierno de Biden es un gran alivio para el mundo, una reivindicación de la democracia y la decenci… https://t.co/WXgL7lVB3A</t>
  </si>
  <si>
    <t>Colombia superó los 50 mil muertos por COVID-19. Triste cifra que no debe volverse una estadística más. Solidaridad… https://t.co/jpMzaMQa7H</t>
  </si>
  <si>
    <t>Muy merecido. Felicitaciones Steven. Adelante https://t.co/uHf3o6OJ4L</t>
  </si>
  <si>
    <t>Buen día. https://t.co/E1dITafDVo</t>
  </si>
  <si>
    <t>https://t.co/qTLebymNxP</t>
  </si>
  <si>
    <t>Lecciones de Biden: La verdad, la decencia y el respeto. https://t.co/gspnnT5hR7</t>
  </si>
  <si>
    <t>RT @MantillaIgnacio: Un día como hoy, en 1862, nació el gran matemático alemán David Hilbert: “Si yo me despertara después de haber dormid…</t>
  </si>
  <si>
    <t>RT @harmanfelipe: El resultado de mi prueba ha sido positivo. A pesar del cuadro de síntomas difícil, sigo aislado y guardando todos los cu…</t>
  </si>
  <si>
    <t>RT @svilardyq: Restaurar humedales, turberas, pantanos, dunas, corales, pastos marinos.... la tarea es mucho mas que sembrar árboles</t>
  </si>
  <si>
    <t>RT @ClaudiaLopez: Así van los indicadores de Covid 19 en Bogotá. La velocidad de contagio y número de contagiados ha sido mayor en el segu…</t>
  </si>
  <si>
    <t>RT @ProfFeynman: Don't be impressed by money, followers, degrees, and titles. Be impressed by kindness, integrity, humility, and generosit…</t>
  </si>
  <si>
    <t>https://t.co/Ktg0RpEBQr</t>
  </si>
  <si>
    <t>El regreso a la presencialidad escolar es esencial y se logra con planes en los 1.103 municipios, para evitar la de… https://t.co/gQQibCXOV4</t>
  </si>
  <si>
    <t>La transparencia es la herramienta principal en la lucha contra la oscuridad administrativa que, sabemos, es el ter… https://t.co/Kftlx612c9</t>
  </si>
  <si>
    <t>RT @lluevelove: https://t.co/ckErxNjoix</t>
  </si>
  <si>
    <t>Firme Claudia. Sin mirar para los lados. Esas son las prioridades correctas. Con inteligencia, energía y sabiduría… https://t.co/HesGz5VlWY</t>
  </si>
  <si>
    <t>Carlos Holmes noble en las discrepancias, respetuoso y decente en el trato. QEPD.</t>
  </si>
  <si>
    <t>RT @PartidoVerdeCoL: Lamentablemente recibimos la noticia de amenazas en contra de @MauroToroO por su trabajo por regular las plataformas d…</t>
  </si>
  <si>
    <t>Julio Roberto Gómez digno y fiel representante de los trabajadores. Siempre buscó caminos para construir, con respe… https://t.co/fstmloIHiV</t>
  </si>
  <si>
    <t>Buena lectura de Horacio Brieva. Las lecciones son claras para Colombia. El factor Biden en el 2022 https://t.co/9iatk3VItq</t>
  </si>
  <si>
    <t>Esta columna de Cecilia Orozco produce escozor. Necesitamos la verdad, TODA LA VERDAD, del exfiscal anticorrupción… https://t.co/mL0beEAJAP</t>
  </si>
  <si>
    <t>La actuación de la JEP es un avance extraordinario. Tomó un tiempo largo pero valió la pena esperar. Estamos en un… https://t.co/GDa9efFe6N</t>
  </si>
  <si>
    <t>RT @ClaudiaLopez: Sin vacunación dependemos exclusivamente de nuestro propio cuidado. Reducir las interacciones al mínimo en UPZ de alto co…</t>
  </si>
  <si>
    <t>La forma de la política, es decir cómo resolvemos nuestras discusiones, será esencial para que pasemos la página de… https://t.co/Clb4Bm5AQw</t>
  </si>
  <si>
    <t>RT @AlejandroGL2014: Trabajamos en todos los frentes. Nos complace poder mostrarle a la ciudad como vamos mejorando en % ocupacional de UCI…</t>
  </si>
  <si>
    <t>Sentémonos a la mesa https://t.co/HpsCAh74fH</t>
  </si>
  <si>
    <t>Yo también, por las mismas razones. https://t.co/nUcgta40yf</t>
  </si>
  <si>
    <t>RT @AbadColorado: Creo en @fcarlacristina, 57 años de trabajo y entrega a niñez de Medellín y Antioquia. Ayer publican comunicado por actu…</t>
  </si>
  <si>
    <t>Este libro de Mauricio García V., El país de las emociones tristes, es una lectura necesaria y urgente para entende… https://t.co/pDbccDpmYt</t>
  </si>
  <si>
    <t>RT @AntanasJL: —Decime algo lindo... —¡Un Guayacán amarillo! #Cauca 🇨🇴 https://t.co/2jUGwsYJM1</t>
  </si>
  <si>
    <t>RT @MantillaIgnacio: Paul Cohen, el matemático que por resolver un problema terminó creando dos mundos - BBC News Mundo https://t.co/A8LAyw…</t>
  </si>
  <si>
    <t>RT @lucaspom: ¡Con el corazón lleno de orgullo! https://t.co/gy4J0KAUGv</t>
  </si>
  <si>
    <t>Estamos en Foro Semana. https://t.co/w0aPqYVtEm</t>
  </si>
  <si>
    <t>RT @ForosSemana: #ForoColombia2021 | “En el proceso de vacunación no tenemos ni idea para dónde vamos. No hay transparencia, no hay pedagog…</t>
  </si>
  <si>
    <t>RT @johnsudarsky: La caída del Tejido Social, por falta de lazos y desconexión con la sociedad, ha ido aumentando, generando atomización y…</t>
  </si>
  <si>
    <t>#NoCallenADanielDuque https://t.co/BdTGPJrkmD</t>
  </si>
  <si>
    <t>RT @AlejandroGL2014: Iniciamos una nueva jornada, registrando mejores cifras en esta difícil segunda ola de #COVID19 Esto no ha acabado, e…</t>
  </si>
  <si>
    <t>Una colombiana, nombrada editora de la revista científica más antigua https://t.co/c0VBJX3HAa vía @eltiempo</t>
  </si>
  <si>
    <t>RT @liderazgomr: Casi siempre la ruta al éxito hace escala en uno o varios fracasos. Don Walsh</t>
  </si>
  <si>
    <t>Profundo. Mucho mentiroso incurable en este mundo. https://t.co/ZpsQtIxbYQ</t>
  </si>
  <si>
    <t>Defensores de derechos humanos de la Sierra Nevada de Santa Marta en el Magdalena tienen miedo por el regreso de gr… https://t.co/X8925BHIoW</t>
  </si>
  <si>
    <t>RT @MirandaBogota: Día histórico para el país pues es sancionada por el presidente la Ley de nuestra autoría que busca la imprescriptibilid…</t>
  </si>
  <si>
    <t>Hoy, de 9 am a 4 p.m., las personas que nos hemos venido reuniendo para construir la convergencia por fuera de los… https://t.co/kD92Ex7BQn</t>
  </si>
  <si>
    <t>RT @JERobledo: A quienes me ven delgado contarles que estoy muy bien de salud y con el mejor ánimo. Lo que pasó fue que volví a mi peso nor…</t>
  </si>
  <si>
    <t>Buenaventura es una tragedia. En su momento, cuando Medellín vivió la peor situación de violencia y descomposición,… https://t.co/U8TjYFLVTh</t>
  </si>
  <si>
    <t>Hoy tuvimos nueva reunión en el propósito de construir amplia convergencia para la necesaria transformación de Colo… https://t.co/4XTUAaOW5Z</t>
  </si>
  <si>
    <t>RT @cataortizcamara: Las cifras de desempleo de mujeres son escandalosas y además se han profundizado con la pandemia ¡Es urgente trabajar…</t>
  </si>
  <si>
    <t>Este artículo de Moisés Wasseman es excelente. Una forma clara y entretenida de explicar un tema.👍👍 Vacunas de ante… https://t.co/CX2v1vwoPg</t>
  </si>
  <si>
    <t>Acá está el resumen de mi planteamiento inicial para el país en 2021. En el vídeo está la intervención completa. En… https://t.co/iqQ5gvHEAg</t>
  </si>
  <si>
    <t>Este es el video con mi mirada a Colombia en el 2021. Son 12 minutos. Si tienen tiempo les agradezco que lo vean. N… https://t.co/vEoHWooMDN</t>
  </si>
  <si>
    <t>Colombia se enfrenta a desigualdades profundas, a una pobreza en aumento y a la corrupción sin tregua. Todo esto su… https://t.co/8T1xl5g6On</t>
  </si>
  <si>
    <t>RT @MabelLaraNews: Esto que dice @LeonardBtura ¡ Tanto dolor! ¡ Tanta apatía! La gente del pacífico es COLOMBIANA, COLOMBIANA.</t>
  </si>
  <si>
    <t>Podemos ser diferentes sin ser enemigos. Podemos enfrentarnos, pero con respeto, con reconocimiento, con solidarida… https://t.co/ywSBS4ODIE</t>
  </si>
  <si>
    <t>En Buenaventura la fuerza pública es necesaria, pero nunca será suficiente. La principal causa del problema es la p… https://t.co/P9Y6fgvwvo</t>
  </si>
  <si>
    <t>RT @samuelazout: Protesta de barranquilleros por asesinato del Profe Yecid Bolaños de Fútbol con Corazón. Basta ya!!! La gente pide #Educac…</t>
  </si>
  <si>
    <t>Una buena decisión del gobierno nacional. Un gesto humanitario que debemos reconocer y apoyar. https://t.co/GaBqwSTXfM</t>
  </si>
  <si>
    <t>RT @moliverag: El liderazgo local es esencial para enfrentar la crisis de la pandemia, especialmente para las comunidades más afectadas y c…</t>
  </si>
  <si>
    <t>Contundente. https://t.co/BzgGMjV8tp</t>
  </si>
  <si>
    <t>RT @compromisociu: Hoy en el Día del Periodista, compartimos 5 principios para ejercer este vital oficio. #FelizDíaDelPeriodista https://t.…</t>
  </si>
  <si>
    <t>RT @mayoloangelica: Les comparto mi entrevista en el ⁦@elpaiscali⁩ sobre #Buenaventura, posibles alternativas para materializar obras y la…</t>
  </si>
  <si>
    <t>¿Y la vacuna moral para cuándo? https://t.co/Dlpo5epMlX</t>
  </si>
  <si>
    <t>Hoy, de 8 y 30 a.m. a 4 p.m., nos reunimos de nuevo para avanzar en el proceso de construcción de la convergencia.… https://t.co/9rYLIpncPB</t>
  </si>
  <si>
    <t>RT @compromisociu: #EstePaisNecesita más mujeres y niñas aprendiendo y ejerciendo ciencia. Colombia necesita más científicas como Adriana O…</t>
  </si>
  <si>
    <t>RT @ipbeses: El 11 de febrero es el Día de las #MujeresEnCiencia👩🔬 🔬¿Sabías que menos del 30% de los investigadores del mundo son mujeres?…</t>
  </si>
  <si>
    <t>Moisés Wasserman es una de las voces más sensatas e inteligentes de nuestro país. Leer sus ideas y propuestas es si… https://t.co/N5VKL1j54s</t>
  </si>
  <si>
    <t>Bienvenida @angelamrobledo a este nuevo proyecto de cambio para 2022, que hoy crece y se consolida. Cristo, De la… https://t.co/e0iClyuQF1</t>
  </si>
  <si>
    <t>Adelante alcalde. Con la frente en alto y sin mirar para los lados. ¡la ciudadanía los revocó a ellos! https://t.co/GpQpQ8ufta</t>
  </si>
  <si>
    <t>RT @DIM_Oficial: 🔴🔵 Goooooooooooooooooooooool Arboleda anota y el #Poderoso es bicampeón. #DIM:⚽⚽⚽⚽⚽ #TOL: ⚽⚽❌⚽⚽ #VamosMedellín #FinalCop…</t>
  </si>
  <si>
    <t>RT @JoseA_Ocampo: En este ensayo expongo siete elementos básicos de una ambiciosa agenda estructural latinoamericana más allá de la pandemi…</t>
  </si>
  <si>
    <t>El poderoso está en todas partes. Grande. https://t.co/weHDqRvw2p</t>
  </si>
  <si>
    <t>RT @AngelicaLozanoC: ‘Muerte a Angélica Lozano’ Tenemos que lograr convivir, tramitar las diferencias políticas sin destruir al otro, sin…</t>
  </si>
  <si>
    <t>RT @JuanitaGoe: Esta es la verdad de lo acordado esta semana.👇🏽 El @PartidoVerdeCoL sigue su camino con la #CoaliciónDeLaEsperanza. Avanza…</t>
  </si>
  <si>
    <t>RT @matecastano: Precisa y emotiva columna de @acivico sobre @danielduquev. Daniel, El Samurái. https://t.co/YYCH0gLz7F</t>
  </si>
  <si>
    <t>RT @agaviriau: https://t.co/OP8Rr8aNrv</t>
  </si>
  <si>
    <t>Retorno del multilateralismo https://t.co/Gdo33dx3he</t>
  </si>
  <si>
    <t>RT @compromisociu: Lectura recomendada para quienes les interesa Hidroituango y las acusaciones que se han venido haciendo irresponsablemen…</t>
  </si>
  <si>
    <t>RT @esteban_usuga: @AngelicaLozanoC @angelamrobledo @sergio_fajardo @DeLaCalleHum Días de tristeza y zozobra, nuestra comunidad campesina…</t>
  </si>
  <si>
    <t>RT @Compromiso_Ant: Días atrás referimos el riesgo que se empezaba a generar con el traslado de la ETCR de Santa Lucía, Ituango y como se p…</t>
  </si>
  <si>
    <t>La encrucijada de Medellín. https://t.co/aSA47yImao</t>
  </si>
  <si>
    <t>RT @davalho: ¿Saben qué está pasando en el @jbotanicomed ? Aquí les cuento. https://t.co/3FyNg5l8OY</t>
  </si>
  <si>
    <t>Estos son los principios que desde Compromiso Ciudadano llevamos a la Convergencia para la construcción de un acuer… https://t.co/4dgzuraPVV</t>
  </si>
  <si>
    <t>Hoy nos reunimos de nuevo para avanzar en la construcción de la convergencia. Compromiso Ciudadano presenta para d… https://t.co/hZO6B34V2C</t>
  </si>
  <si>
    <t>RT @MabelLaraNews: #ATENCIÓN Los falsos positivos en Colombia no fueron 2.248 sino 6.402 dice la JEP. En su propia investigación, la Jurisd…</t>
  </si>
  <si>
    <t>La JEP avanza en construir una Paz más allá del papel. Necesita todo el apoyo para seguir develando el horror de es… https://t.co/q1eJpOa1RV</t>
  </si>
  <si>
    <t>El 7 de abril le presentaremos a Colombia nuestra propuesta de convergencia y cambio para 2022. Cristo, Delacalle,… https://t.co/HgbSc4UU0l</t>
  </si>
  <si>
    <t>Diana Trujillo hace tiempo deja en alto el nombre de Colombia. Un orgullo. https://t.co/zUynjpOeTh</t>
  </si>
  <si>
    <t>RT @compromisociu: Anoten en sus calendarios #CoalicionDeLaEsperanza https://t.co/hqeaEzfgzb</t>
  </si>
  <si>
    <t>Buen día. Al aire en @CaracolRadio.</t>
  </si>
  <si>
    <t>En la Convergencia venimos trabajando de manera seria y sistemática en construir un acuerdo ético, bases programáti… https://t.co/DrMJhc7mRH</t>
  </si>
  <si>
    <t>No vamos a una consulta cosmética para que suba alguien en particular, estamos dando ejemplo de lo que es trabajar… https://t.co/sAqi6GXhiU</t>
  </si>
  <si>
    <t>Al aire en @BluRadioCo</t>
  </si>
  <si>
    <t>Ayer hablé en Blu Radio sobre la Convergencia. Es un ejemplo de cómo tramitar diferencias, encontrar espacios comun… https://t.co/eyuopLAuvK</t>
  </si>
  <si>
    <t>Conectarnos y trabajar en equipo es el camino para encontrar soluciones a los problemas de Colombia. Estamos trabaj… https://t.co/VGKT9lSbTf</t>
  </si>
  <si>
    <t>Ideas sensatas para una reforma tributaria en tiempos de pandemia. https://t.co/dnkGWHP0Rc</t>
  </si>
  <si>
    <t>Al aire en @EcosdelCombeima</t>
  </si>
  <si>
    <t>Este gobierno hace poco y tarde. La vacunación es otro ejemplo. Espero que la experiencia de Colombia vacunando nos… https://t.co/B9QMohD6zg</t>
  </si>
  <si>
    <t>RT @sergio_fajardo: La JEP avanza en construir una Paz más allá del papel. Necesita todo el apoyo para seguir develando el horror de este c…</t>
  </si>
  <si>
    <t>En la Esquina de la Pulmonía en Tunja. Esta tarde visité al Alcalde Alejandro Fúneme para conocer su trabajo. Muy b… https://t.co/taDb3jLQDE</t>
  </si>
  <si>
    <t>RT @compromisociu: En este perfil y este movimiento apoyamos a la JEP. https://t.co/YVCOtXMUC1</t>
  </si>
  <si>
    <t>¡Vacunas sí, show no! https://t.co/yPNMYp7zVO</t>
  </si>
  <si>
    <t>RT @JoseRodrigoToro: ¡Entregamos las becas! 🎓 📚🏫 Ella es Isabella Cardona, una de las estudiantes santarrosanas becadas para realizar su c…</t>
  </si>
  <si>
    <t>Las regiones tienen que mostrarnos el camino, no tienen que esperar a que llegue el presidente a decirles qué hacer. https://t.co/j0V0tBZusz</t>
  </si>
  <si>
    <t>Tenemos que detener la deserción. https://t.co/u4eLUGNKU6</t>
  </si>
  <si>
    <t>RT @compromisociu: 🤚🏻 Hoy a las 7pm estará Sergio Fajardo con @gomezsebastianf en vivo por @TUKANAL por FacebookLive. Acompáñenos! https://…</t>
  </si>
  <si>
    <t>Estaré en @TUKANAL y Facebook Live con @gomezsebastianf para hablar del país y de Norte de Santander. Invitadas e i… https://t.co/D3pD6NhfPl</t>
  </si>
  <si>
    <t>La presencia estatal en zonas azotadas por la violencia ha sido casi exclusivamente militar. Sin programas permanen… https://t.co/tgPVMucWON</t>
  </si>
  <si>
    <t>RT @JoseA_Ocampo: This is the Open Letter to President Biden from the Independent Commission for the Reform of International Corporate Taxa…</t>
  </si>
  <si>
    <t>RT @davalho: Recibimos la buena noticia de que @ComfenalcoAnt seguirá operando el Centro Cultural de Moravia. Celebramos la continuidad d…</t>
  </si>
  <si>
    <t>RT @ComisionVerdadC: “Lo que uno se trae #Buenaventura es una sensación de hasta donde hasta dónde nos llevó a nosotros el conflicto armado…</t>
  </si>
  <si>
    <t>Para leer temprano. Camus: la fuerza de la moral https://t.co/vftaEzVrZi</t>
  </si>
  <si>
    <t>RT @AlcaldiaPalmira: Gracias al desempeño y transparencia en las contrataciones realizadas en el 2020, nuestra Alcaldía se convirtió en la…</t>
  </si>
  <si>
    <t>RT @ProfFeynman: Did you know that it’s actually possible for you to say, “I don’t know enough about this to have an opinion”</t>
  </si>
  <si>
    <t>Mañana nos vemos a las 7 p.m. por Facebook Live, YouTube y Twitter. Participen, hagan sus sugerencias para este nue… https://t.co/6BCrNFGTIg</t>
  </si>
  <si>
    <t>Pregúntele a Fajardo https://t.co/TtmVNPRsQr</t>
  </si>
  <si>
    <t>RT @compromisociu: Entre los nuevos liderazgos de Medellín está @danielduquev que hoy también se lució en el concejo.</t>
  </si>
  <si>
    <t>RT @compromisociu: Entre los nuevos liderazgos de Medellín está @davalho. Excelente intervención de hoy.</t>
  </si>
  <si>
    <t>RT @JCardenasRey: Estamos en Cúcuta junto al alcalde @ingjairoyanez, consolidando el Memorando de Entendimiento con la hermana ciudad en té…</t>
  </si>
  <si>
    <t>Hoy conocí a Patricia Vega en el aeropuerto. Para ella, lo más importante para Colombia es la seguridad y la educac… https://t.co/VCQdMnj7FI</t>
  </si>
  <si>
    <t>Iniciamos jornada de trabajo en Barranquilla con entrevista en Cardenal Noticias 1010AM. https://t.co/WxuipEFKQz</t>
  </si>
  <si>
    <t>Al aire con Jorge Cura en Emisora Atlántico: https://t.co/E0eDCdsl1m</t>
  </si>
  <si>
    <t>Visitando medios en Barranquilla. Ahora en @noticiasyabq https://t.co/CSELVHeAjp</t>
  </si>
  <si>
    <t>Linda Barranquilla. Una alegría respirar de nuevo el aire caribe. https://t.co/7u3mkOHG7a</t>
  </si>
  <si>
    <t>Mañana participaré en el segundo #ForoNorte que será sobre fake news. Lo pueden ver por https://t.co/3C1piNJXmd y… https://t.co/FaJtnP1DeA</t>
  </si>
  <si>
    <t>Hoy hablé con @jorgecura1070 en @AtlanticoEmi sobre por qué necesitamos cambiar quiénes nos gobiernan, pero lograr… https://t.co/t4hkRPx1pF</t>
  </si>
  <si>
    <t>Al aire por Radio 1040AM Popayán https://t.co/51uMorzlZY</t>
  </si>
  <si>
    <t>No hemos tenido un proyecto de país alrededor del cuál unirnos como sociedad. Nosotros proponemos que ese proyecto… https://t.co/xmpLJho3x7</t>
  </si>
  <si>
    <t>No a la fumigación con glifosato. No ha servido, ni va servir. Tenemos que hacer la presencia estatal más allá del… https://t.co/Pu2XjXQPNW</t>
  </si>
  <si>
    <t>RT @compromisociu: A las 9:30am por Facebook https://t.co/PbROw5OTLK podrán seguir el panel en el que participará Sergio Fajardo sobre étic…</t>
  </si>
  <si>
    <t>RT @davalho: Por favor compartir en el Valle de Aburrá https://t.co/ABGiHxvEJS</t>
  </si>
  <si>
    <t>RT @CompromisoATL_: Encuentro Compromisario de la 𝗥𝗲𝗴𝗶𝗼́𝗻 𝗖𝗮𝗿𝗶𝗯𝗲☀️🌴 Nos unimos para llenarnos de la mejor energía, para fortalecer los la…</t>
  </si>
  <si>
    <t>Antiel Matheus va a conocer el mar y quiere que Colombia tenga un modelo económico más equitativo, rescatar el medi… https://t.co/t4rdT2Azwp</t>
  </si>
  <si>
    <t>Estuvimos hoy en Barranquilla debatiendo en el Foro Norte sobre democracia y desinformación. La política del todo v… https://t.co/4Wwzim6ZR4</t>
  </si>
  <si>
    <t>Ayer, los participantes del foro sobre democracia y desinformación acordamos y convocamos a todos los colombianos a… https://t.co/bdmhRfbEQy</t>
  </si>
  <si>
    <t>2. Usar de manera responsable las redes sociales, visibilizando contenido fiables, honestos y verificables. 3. Com… https://t.co/1wJVuX99UR</t>
  </si>
  <si>
    <t>5. Fomentar la consciencia crítica de los colombianos que, bien informados, puedan distinguir la opinión de la info… https://t.co/7u4Fi6rYgu</t>
  </si>
  <si>
    <t>Suscribimos este acuerdo como punto de partida hacia un país no ausente de conflictos sino uno capaz de manifestarl… https://t.co/oCBvkefBfg</t>
  </si>
  <si>
    <t>Por fuera de los extremos https://t.co/KXfe5W7Dpq</t>
  </si>
  <si>
    <t>Como es usual, una columna sensata de Moisés Wasserman. Golpe/contragolpe https://t.co/VvSM08IjW1</t>
  </si>
  <si>
    <t>A veces las metáforas salen mal y hoy la mía lo hizo. Quería demostrar cómo se parecen los extremos en sus formas y… https://t.co/W4ok2T6QKf</t>
  </si>
  <si>
    <t>@LeonardBtura Con gusto, Leonard. Gracias por plantear estas valiosas preguntas sobre Buenaventura. Te propongo que… https://t.co/dQuh7vIQ5A</t>
  </si>
  <si>
    <t>RT @La_Goye_: #CoaliciónDeLaEsperanza ¡La unión hace la fuerza! 💪🏽 Ediles y Edilesas verdes de Bogotá nos juntamos y dijimos: SÍ a la ES…</t>
  </si>
  <si>
    <t>Las mujeres, las más afectadas por el desempleo durante la pandemia, deben estar en el centro de la reactivación. E… https://t.co/QTCXyMbbxQ</t>
  </si>
  <si>
    <t>Sin equidad de género es imposible escribir una nueva página de la historia de Colombia. Por eso le apostamos al de… https://t.co/z1GJr6AXk5</t>
  </si>
  <si>
    <t>RT @SoyOscarEscobar: Fracasan en todos sus intentos los políticos tradicionales que están desesperados por ver cómo nos sacan de la Alcaldí…</t>
  </si>
  <si>
    <t>@ProCentrismo gracias por la invitación a conversar sobre nuestra mirada y propuestas para Colombia. Buena conversa… https://t.co/GxG7nYkxVe</t>
  </si>
  <si>
    <t>Esto no puede seguir pasando. No podemos ser una sociedad que tolere el reclutamiento de menores y menos una donde… https://t.co/8LqUv6b0Pf</t>
  </si>
  <si>
    <t>Hoy la muerte ha sido el titular en Colombia. Hace unas horas el patrullero Caro fue asesinado por ladrones en Bogo… https://t.co/kgZUg5rQDk</t>
  </si>
  <si>
    <t>Así como he resaltado el buen liderazgo de Claudia en la conducción de Bogotá en uno de los periodos más difíciles,… https://t.co/IBRUcyYTzT</t>
  </si>
  <si>
    <t>Los espero este 15 de marzo a las 7:00 p.m. para contestar en vivo las preguntas que me han enviado a través de red… https://t.co/nkvaucTYum</t>
  </si>
  <si>
    <t>RT @Las2Orillas: Molano es un infame: decir que los niños son “máquinas de guerra” no fue un lapsus, el ministro redobló el mensaje con un…</t>
  </si>
  <si>
    <t>Hoy es le día de las matemáticas. Esta tarde a las 2 p.m. vamos a conversar sobre el trabajo que hicimos en la gobe… https://t.co/5XOEKA38ql</t>
  </si>
  <si>
    <t>Estamos al aire para hablar de matemáticas. Feliz https://t.co/zNJOMUg7VH</t>
  </si>
  <si>
    <t>Hemos recibido muchas preguntas sobre la importancia del regreso a la presencialidad en las escuelas, Buenaventura,… https://t.co/CZCQp5fABI</t>
  </si>
  <si>
    <t>Puedes apoyar nuestra campaña uniéndote a nuestros voluntarios. Los invito a llenar nuestro formulario: https://t.co/lHYjrEQseF</t>
  </si>
  <si>
    <t>Paz, reconciliación y más educación piden estos dos ciudadanos que me encontré en una calle en Barranquilla. https://t.co/lVRhI1MolO</t>
  </si>
  <si>
    <t>Puedes apoyar nuestra campaña uniéndote a nuestros voluntarios. Los invito a llenar nuestro formulario: https://t.co/24pp1bNQEv</t>
  </si>
  <si>
    <t>Nos vemos a las 7:00 p.m. #PregúnteleAFajardo https://t.co/9Q4OUOHUZb</t>
  </si>
  <si>
    <t>Hoy en #PregúnteleAFajardo, resolveremos preguntas sobre la importancia del regreso a la presencialidad en las escu… https://t.co/2R6LTMpOB5</t>
  </si>
  <si>
    <t>No hay derecho. Ua vergüenza. https://t.co/FqoxEOPk6I</t>
  </si>
  <si>
    <t>Aterrizando en Pereira, para empezar tres días de trabajo en la región. Feliz de volver al Eje Cafetero. https://t.co/Q0AISX4oFX</t>
  </si>
  <si>
    <t>En Pereira conocí a Julián Ramírez, un cotero, padre de 3 hijos que estudian. Los principales problemas de Colombia… https://t.co/LhqDd9r0ab</t>
  </si>
  <si>
    <t>Pereira: Bolívar con tapabocas y el viaducto César Gaviria. https://t.co/iJFq0IhprS</t>
  </si>
  <si>
    <t>En instantes estaré conversando con el equipo de La Patria Radio en Manizales https://t.co/gIy3y9GBVC @lapatriacom @LaPatriaRadio</t>
  </si>
  <si>
    <t>RT @compromisociu: Diego Molano no muestra ni la más mínima empatía para reconocer el dolor que implica para las familias tener sus hijos o…</t>
  </si>
  <si>
    <t>RT @PartidoVerdeCoL: Con desconcierto nos enteramos de las intimidaciones que recibió nuestra lideresa @rositaj2 en el departamento del Mag…</t>
  </si>
  <si>
    <t>En 2008 conocí a Diana Hernández como estudiante en Chinchiná. En estos años fue becaria de Colfuturo con maestría… https://t.co/IkHLQ7QitD</t>
  </si>
  <si>
    <t>RT @Julianelpolit: Cuando inicié en la política lo hice por la convicción de una transformación política en nuestro territorio de la mano d…</t>
  </si>
  <si>
    <t>¿Quieres unirte a nuestros voluntarios? Completa nuestros formulario: https://t.co/24pp1bNQEv</t>
  </si>
  <si>
    <t>Conocí a Felipe Toro en Manizales, quien pide un mejor sistema de salud y más oportunidades de empleo para las y lo… https://t.co/VXgFirjjTL</t>
  </si>
  <si>
    <t>No hay una sola razón para que se extienda el período presidencial por dos años ni el período de nadie, hay que res… https://t.co/x1FNrLyCnh</t>
  </si>
  <si>
    <t>RT @AVallejoArias: Con éstas y otras personas hemos construido en Caldas un equipo que cree que la política puede ser distinta, constructiv…</t>
  </si>
  <si>
    <t>Buenos días desde Armenia. En minutos en @LosJuanes_. Invitadas e invitados a seguir la entrevista en https://t.co/ljcUJZ3C2B</t>
  </si>
  <si>
    <t>Han venido soltando globos alrededor de una nueva reforma tributaria y la clase media sale de nuevo como la más gol… https://t.co/DsRCYx2dUc</t>
  </si>
  <si>
    <t>#CambiarLaConstituciónEs un adefesio, una vergüenza. Cada tanto vuelven con el cuento de cambiar las reglas en bene… https://t.co/CEZCBKpWat</t>
  </si>
  <si>
    <t>Únete a nuestra campaña. Escribamos una nueva historia juntos: https://t.co/ZTYte6thH8</t>
  </si>
  <si>
    <t>Únete a nuestra campaña. Escribamos una nueva historia juntos: https://t.co/496A1HZcBe</t>
  </si>
  <si>
    <t>Gobernar es difícil y hacerlo en pandemia lo es mucho más. La alcaldesa Claudia ha estado a la altura del reto. Nat… https://t.co/RZ2SAzbRnT</t>
  </si>
  <si>
    <t>Rosita es una valiente defensora de los derechos humanos en el Magdalena. Nuevamente está amenazada. Se tiene que p… https://t.co/3j8qv9Bm3U</t>
  </si>
  <si>
    <t>En Buenaventura hay mucho por hacer, empezando por exigir que se cumpla el Pacto Cívico de 2017 que muestra pocos a… https://t.co/Y6BYt5w6AL</t>
  </si>
  <si>
    <t>@LeonardBtura Espero estar en Buenaventura en el transcurso de este año, pero acá encuentras mi postura sobre cómo… https://t.co/Z4BTv3EmyR</t>
  </si>
  <si>
    <t>RT @Michel_Maya: Primer conversatorio precandidat@s Presidenciales #CoalicionDeLaEsperanza mañana sábado 3:30pm Participa @angelamrobledo @…</t>
  </si>
  <si>
    <t>RT @sergio_fajardo: En Buenaventura hay mucho por hacer, empezando por exigir que se cumpla el Pacto Cívico de 2017 que muestra pocos avanc…</t>
  </si>
  <si>
    <t>RT @JERobledo: Cordial invitación: https://t.co/7XeOYKv1V9</t>
  </si>
  <si>
    <t>RT @FCienciasUNALco: La ecuación más bella de las matemáticas. Conoce más detalles de esta ecuación de #Euler en el blog de @MantillaIgnaci…</t>
  </si>
  <si>
    <t>RT @ProfFeynman: Students don't need a perfect teacher. Students need a happy teacher, who's gonna make them excited to come to school and…</t>
  </si>
  <si>
    <t>RT @ArielAnaliza: Miércoles a las 8 p.m #LaHoraTripleA Todos los datos, los y las candidatas. Qué le preguntarías a @sergio_fajardo Deja t…</t>
  </si>
  <si>
    <t>RT @compromisociu: Las prácticas patriarcales son aquellas donde los hombres lideran y toman las decisiones, sin tener en cuenta la visión…</t>
  </si>
  <si>
    <t>Al aire con @ArielAnaliza en La Hora Triple A en @CanalCapital. No se lo pierdan que estaré hablando de encuestas,… https://t.co/jW0px3DnwZ</t>
  </si>
  <si>
    <t>RT @CanalCapital: "Un insulto puede ser viral, toma un segundo, no lleva ningún tipo de responsabilidad; construir, proponer, toma un camin…</t>
  </si>
  <si>
    <t>Antanas Mockus, el amigo que demostró que se puede hacer una política diferente, independiente y cívica. Con su eje… https://t.co/5WL73jQQt5</t>
  </si>
  <si>
    <t>Vamos para la tercera reforma tributaria. En campaña Duque dijo que iba a bajar impuestos. Hizo promesas para no cu… https://t.co/ef2ZoR12cF</t>
  </si>
  <si>
    <t>Únete a nuestros voluntarios, ayúdanos a difundir nuestras propuestas en tu región https://t.co/Ex9TvvyHvb</t>
  </si>
  <si>
    <t>Me duelen las noticias desde Ituango, en especial las amenazas contra maestras y maestros. Ituango y su gente han t… https://t.co/HcxwXMQ7xr</t>
  </si>
  <si>
    <t>Seguridad sin adjetivos. Bombas, masacres y terror no pueden volver a ser parte de la "vida" colombiana. El Cauca e… https://t.co/kvx7t8kkW5</t>
  </si>
  <si>
    <t>La sonrisa y las cicatrices de Esteban Cháves https://t.co/139g6jHQzu @afajardoa</t>
  </si>
  <si>
    <t>RT @JuanDavidAristi: La Educación en Colombia está en crisis. Los jóvenes están desertando de las universidades. Las niñas y niños no p…</t>
  </si>
  <si>
    <t>RT @AngelicaLozanoC: El @PartidoVerdeCoL decide por UNANIMIDAD que su camino para ganar la presidencia de Colombia será la #CoaliciónDeLaEs…</t>
  </si>
  <si>
    <t>En Tinjacá, Boyacá. Cuando salgan a montar en bicicleta pueden parar un rato y mi colega El Profe los atiende en su… https://t.co/UCYQDLcZVh</t>
  </si>
  <si>
    <t>En la Coalición de la Esperanza estamos personas con diferentes recorridos. Nos unen unos principios éticos, la fo… https://t.co/izddmHXn8d</t>
  </si>
  <si>
    <t>El ejercicio que estamos haciendo es ejemplar y demuestra cómo entre diferentes podemos construir. El 22 de abril v… https://t.co/kD4bH116Hc</t>
  </si>
  <si>
    <t>Ciclistas y conductores necesitamos liderar con el ejemplo: respeto y tolerancia. Bien por @team_medellin que creó… https://t.co/iYL0RJTaIj</t>
  </si>
  <si>
    <t>Seguridad sin adjetivos es lo que necesitamos en TODO el territorio nacional. Desplazamientos, bombas, asesinatos… https://t.co/Ep461dvCLw</t>
  </si>
  <si>
    <t>En espera que la FGN me cite para entender la imputación. Como siempre, listo para responder por mis actuaciones, p… https://t.co/GnEZH64aWH</t>
  </si>
  <si>
    <t>Ayer fue un día más duro de lo acostumbrado... https://t.co/zXaiXZknM9</t>
  </si>
  <si>
    <t>https://t.co/4vaEnmFn3k</t>
  </si>
  <si>
    <t>Impresionante https://t.co/MfzP0KPBOv</t>
  </si>
  <si>
    <t>RT @Julianelpolit: Por su historia, legado e importancia educativa y medio ambiental, hoy tuiteratón desde las 7:00 p.m. para que juntos #S…</t>
  </si>
  <si>
    <t>Siempre he respondido por mis actos y nuestro recorrido en la política es mi orgullo. Confío en la justicia porque… https://t.co/R6wC1G69AL</t>
  </si>
  <si>
    <t>Siempre engañando, mintiendo sin pudor. Trampas y más trampas. Pero la verdad y la decencia siempre salen adelante… https://t.co/WI51Au03vR</t>
  </si>
  <si>
    <t>Como alcalde y como gobernador siempre tomé decisiones responsables, con la mejor información disponible y acompaña… https://t.co/9ZUdzJKHT3</t>
  </si>
  <si>
    <t>Merecido. Felicitaciones https://t.co/fFNUntNUDX</t>
  </si>
  <si>
    <t>Mantengo el propósito de creer que la investigación se está haciendo de manera transparente. Reitero mi petición al… https://t.co/mEvuRRHBHJ</t>
  </si>
  <si>
    <t>Legítima y necesaria competencia política la que propone Angela María. Para eso son las consultas. En los gobierno… https://t.co/iCaCT2WZqn</t>
  </si>
  <si>
    <t>RT @compromisociu: Esta noche, @CompromisoATL_ nos invita a una discusión sobre el proyecto de tributaria en curso del Gobierno Duque, en e…</t>
  </si>
  <si>
    <t>¿Qué opino sobre la imputación de la Fiscalía? Le he solicitado al Fiscal General que proceda lo más pronto posible… https://t.co/CW6MaFgFjI</t>
  </si>
  <si>
    <t>Les recomiendo este artículo sobre el caso: https://t.co/YVBwSWZuBF</t>
  </si>
  <si>
    <t>¿Sergio Fajardo no hizo los estudios correspondientes para tomar un crédito en dólares y por eso se le investiga? E… https://t.co/2eqFCkWsD1</t>
  </si>
  <si>
    <t>Luis Pérez miente: no entregué al departamento de Antioquia quebrado, como se lo hizo saber la Procuraduría general… https://t.co/Pi2vudk3ZP</t>
  </si>
  <si>
    <t>RT @JERobledo: Adjunto el enlace a la declaración de la COALICIÓN DE LA ESPERANZA sobre la reforma tributaria del gobierno del presidente I…</t>
  </si>
  <si>
    <t>RT @ComisionVerdadC: #VerdadParaLasVíctimas “Hoy queremos decirles a las víctimas que estamos con ustedes. Su dolor es nuestro dolor, su ve…</t>
  </si>
  <si>
    <t>RT @compromisociu: «No le apostaré ni al miedo ni a la rabia en Colombia»: @sergio_fajardo en @elpaiscali. https://t.co/mfdgdTgHE2</t>
  </si>
  <si>
    <t>Félix Avilez (@felixavilezp), de @compromisociu desde 2009, es una de las millones de víctimas que ha dejado la b… https://t.co/sLgyXlG7Lh</t>
  </si>
  <si>
    <t>RT @mariacastro1111: @johnsudarsky Lo voy a buscar, John, gracias</t>
  </si>
  <si>
    <t>Hoy debía estar reconstruída Providencia, al cumplirse 100 días del plan prometido por el gobierno, y no hay avance… https://t.co/pIisKansnz</t>
  </si>
  <si>
    <t>RT @NoticiasCaracol: Dolor en Antioquia por homicidio de reconocido líder indígena https://t.co/F88P9G5rUB</t>
  </si>
  <si>
    <t>Si quieren unirse a nuestro grupo de voluntarios, vayan a este link: https://t.co/QCTCcybF62</t>
  </si>
  <si>
    <t>Si quieres unirte a nuestra campaña, visita este link y llena el formulario. Nos pondremos en contacto contigo: https://t.co/QCTCcybF62</t>
  </si>
  <si>
    <t>RT @Paolaarenasm: Lo prometido es deuda! Les presento el super team de nuestra maratón de charlas inspiradoras con mujeres q' transforman d…</t>
  </si>
  <si>
    <t>RT @Las2Orillas: Más allá de mirar el presente con envidia o admiración –“deberíamos ser como Finlandia”- tendríamos que aprender de su his…</t>
  </si>
  <si>
    <t>Ada Colau, alcaldesa de Barcelona, nos da una brillante explicación de sus razones para dejar tuiter. 👏👍 https://t.co/Hb0sdsfafG</t>
  </si>
  <si>
    <t>RT @fdbedout: Indigno y vergonzoso lo que se está viendo hoy en el fútbol colombiano. Obligar a Águilas Doradas a jugar con 7 jugadores en…</t>
  </si>
  <si>
    <t>La fumigación con glifosato es un grave error por dónde se le mire: no soluciona el problema de las drogas, pone en… https://t.co/XuTnoDViVM</t>
  </si>
  <si>
    <t>No hay, ni habrá, cortinas de humo suficientes para tapar las mentiras y las trampas. 3 gerentes de EPM en un año s… https://t.co/4ViWRHaNCX</t>
  </si>
  <si>
    <t>En muchos países el retorno a clases es una prioridad nacional, pero acá no. Necesitamos regresar a la presencialid… https://t.co/dWvRJf8IO0</t>
  </si>
  <si>
    <t>RT @HillaryClinton: Thank you, Jineth Bedoya, for persisting in your courageous search for truth and justice for yourself and thousands of…</t>
  </si>
  <si>
    <t>RT @Hora20: No se pierda esta noche: “Medellín: las divisiones, EPM, la polarización y la pandemia" Con: Azucena Restrepo, @eskole, @Oswl…</t>
  </si>
  <si>
    <t>RT @AlonSalazarJ: Comparto la carta al Alcalde Quintero que he firmado con centenares de hombres y mujeres que pedimos para Medellín lo ele…</t>
  </si>
  <si>
    <t>Totalmente de acuerdo con Moisés Wasserman. Conozco a Mariamulata y se la jugó limpia y honestamente por su Cartage… https://t.co/rMrKoD3zEd</t>
  </si>
  <si>
    <t>Sobre la educación de las emociones y la empatía. Columna de Santiago Londoño en Un Pasquín. Vale la pena leerlo https://t.co/cLYY3uuMpA</t>
  </si>
  <si>
    <t>RT @CC_Jovenes: ✏️ #EducaciónYa | ¡Aquí les contamos las 8 claves para volver a la educación presencial! Abrimos hilo 🔽 https://t.co/Jszy…</t>
  </si>
  <si>
    <t>RT @compromisociu: Recordar es vivir. #ReformaTributaria https://t.co/PVFUOfRi8C</t>
  </si>
  <si>
    <t>Cúcuta reclama y merece atención urgente. https://t.co/LbjLN7OiAV</t>
  </si>
  <si>
    <t>RT @compromisociu: Tenemos una cita este lunes con @sergio_fajardo: #PregúnteleAFajardo regresa para contestar todas las inquietudes que us…</t>
  </si>
  <si>
    <t>RT @lluevelove: Francisco Palacio tiene 70 años. Su familia lo busca, también nosotros preguntamos por él. Ayúdennos a encontrarlo comparti…</t>
  </si>
  <si>
    <t>Nicolás Holguín murió por el Covid-19. Él fue nuestro compañero de trabajo en la alcaldía de Medellín y la gobernac… https://t.co/CDThEMdYrD</t>
  </si>
  <si>
    <t>Empieza el proceso de discusión de la reforma tributaria y la primera calificación es: EQUIVOCADA. Acá están una pr… https://t.co/7cOc8zgW98</t>
  </si>
  <si>
    <t>RT @JuanLuisCasCo: Lamentable, Antioquia entró en triage ético, es decir, los médicos tendrán que decidir quien accederá a una UCI y quien…</t>
  </si>
  <si>
    <t>https://t.co/ylj0nuKkC9</t>
  </si>
  <si>
    <t>@DonIzquierdo_ https://t.co/ylj0nuKkC9</t>
  </si>
  <si>
    <t>Medellín está al garete y su alcalde es un mago para mentir. https://t.co/nDIzX1eaLV</t>
  </si>
  <si>
    <t>RT @Compromiso_Chap: La reforma tributaria se queda corta en el ingreso básico para los más pobres: propone un ingreso solidario que llegar…</t>
  </si>
  <si>
    <t>RT @Compromiso_Ant: 📣 Hoy a las 7:00 p.m. tendremos una nueva emisión de #PregúnteleAFajardo para contestar las dudas de sus seguidores en…</t>
  </si>
  <si>
    <t>Hoy a las 7:00 p.m. tendremos una nueva emisión de #PregúnteleAFajardo para hablar de la reforma tributaria, del gl… https://t.co/L5vpNGKAzk</t>
  </si>
  <si>
    <t>Pregúntele a Fajardo: hoy vamos a hablar sobre la reforma tributaria y el glifosato, entre otros temas. Envíen sus… https://t.co/bP7N515hND</t>
  </si>
  <si>
    <t>RT @CompromisoATL_: #EstaNoche en #VistazoCaribe, tenemos cuatro invitados Quilleros.. ❤️💛💚🤍 Hablaremos sobre EL CENTRO DE BARRANQUILLA: U…</t>
  </si>
  <si>
    <t>Felicitaciones a Jorge Robledo y a los (las) integrantes de DIGNIDAD. Merecido reconocimiento. Nos conocimos como c… https://t.co/NPjHy7MdmY</t>
  </si>
  <si>
    <t>RT @EcifuentesMu: Asesinato de Sandra Peña Chocué, defensora de derechos humanos y gobernadora de resguardo, pone de presente un estado de…</t>
  </si>
  <si>
    <t>Hace unos años aprendí que el páramo de Sumapaz es el más grande del mundo. Hoy en el #DiaDeLaTierra queremos res… https://t.co/IDENK0EKRN</t>
  </si>
  <si>
    <t>Mañana es el día del idioma y me recomiendan este libro como una lectura maravillosa. Es la Ópera Prima de Lorena S… https://t.co/0446M388s8</t>
  </si>
  <si>
    <t>Hoy de nuevo Colombia tuvo récord en número de muertes diarias. Acumulamos más de 70 mil personas fallecidas y más… https://t.co/S24TceYlVe</t>
  </si>
  <si>
    <t>RT @RonnySuarez_: El covid-19 está matando como nunca antes en el país. 70.026 vidas en 402 días. 6.604 en abril. 1 de cada 10 muertes en l…</t>
  </si>
  <si>
    <t>RT @JERobledo: En DIGNIDAD nos complace contribuir con nuestra personería jurídica al gran proyecto de UNIDAD que estamos construyendo en l…</t>
  </si>
  <si>
    <t>Dice Moisés Wasserman " el verdadero pensamiento crítico está dispuesto a escuchar y controvertir con modestia, sin… https://t.co/EKq8dN53Ez</t>
  </si>
  <si>
    <t>Los libros son parte fundamental de mi vida. Hoy en el #DíaDelLibro quiero recomendarles estos dos que ando leyendo… https://t.co/Pul825WtoE</t>
  </si>
  <si>
    <t>El asesinato de tres niños en el Chocó es la peor barbarie. Otro episodio doloroso y vergonzoso en una sociedad que… https://t.co/83awY2YszS</t>
  </si>
  <si>
    <t>Palmira por fin sale del listado de las 50 ciudades más violentas del mundo gracias al trabajo de su alcaldía. Feli… https://t.co/siRWHnKy9K</t>
  </si>
  <si>
    <t>Recomendado. https://t.co/reLufVyqM1</t>
  </si>
  <si>
    <t>A pesar de los intentos desaforados por llevarnos a la polarización de los extremos, en la Coalición de la Esperan… https://t.co/7DFuxeWKbr</t>
  </si>
  <si>
    <t>Sin los médicos, enfermeras y personal sanitario que han dejado el alma en estos 13 meses de pandemia estaríamos pe… https://t.co/HPEjnuRa7E</t>
  </si>
  <si>
    <t>RT @rabodeajip: En Medellín se registraron 539 muertes por Covid la semana que terminó ayer. Un crecimiento del 25% respecto a la semana en…</t>
  </si>
  <si>
    <t>En medio de esta seria emergencia sanitaria, los y las medellinenses no podemos dejar de hacer una reflexión profun… https://t.co/g057JWLvyh</t>
  </si>
  <si>
    <t>Hay profundo malestar con el gobierno desde 2019, que ahora resurge con fuerza por la fatídica reforma tributaria.… https://t.co/gzPeh4jhy8</t>
  </si>
  <si>
    <t>RT @JuanitaGoe: #AEstaHora Empieza la charla de @compromisobog con @angelamrobledo sobre la participación política de las mujeres. Sigan #…</t>
  </si>
  <si>
    <t>RT @compromisociu: Fajardo apoya las manifestaciones del 28 de abril https://t.co/iEjpzme4o8</t>
  </si>
  <si>
    <t>RT @CMILANOTICIA: .@sergio_fajardo se refiere a protestas por la reforma tributaria en medio del pico de COVID-19 que vive el país https://…</t>
  </si>
  <si>
    <t>Tatiana Toro es una mujer ejemplar. Brillante matemática, es un ejemplo que sirve para inspirar a muchas jóvenes a… https://t.co/uk5I59S1bx</t>
  </si>
  <si>
    <t>Si todos nos manifestamos hoy con cacerolazos en nuestras ciudades, la protesta será escuchada y sentida sin ponern… https://t.co/T2htYlXF4X</t>
  </si>
  <si>
    <t>Al aire en @lafm para hablar sobre el paro y la fatídica reforma tributaria. https://t.co/uB7ey07SGE</t>
  </si>
  <si>
    <t>Si quieres conocer más sobre nuestras propuestas o quieres unirte como voluntario, completa nuestro formulario de i… https://t.co/hdFkqwx94g</t>
  </si>
  <si>
    <t>Si quieres conocer más sobre nuestras propuestas o quieres unirte como voluntario, completa nuestro formulario de i… https://t.co/OLIKR89Lcb</t>
  </si>
  <si>
    <t>Me preguntaron en @lafm si retirar la reforma es suficiente para frenar el paro. Esto respondí: https://t.co/1a44kTWx6D</t>
  </si>
  <si>
    <t>Mucha gente salió a la calle a manifestar su rechazo al gobierno; los entiendo y lo comparto. Por favor cuídense, u… https://t.co/nQHkXW0mS8</t>
  </si>
  <si>
    <t>Las manifestaciones de hoy son una muestra clara de la inconformidad de los y las colombianas. El gobierno está en… https://t.co/JDmnijmi2x</t>
  </si>
  <si>
    <t>La protesta, rechazando los actos de vandalismo, es protesta, con cacerolas o en la calle. El descontento es real y… https://t.co/UnQP6LQNEo</t>
  </si>
  <si>
    <t>Sigo creyendo que el riesgo de aglomerarse es muy alto, pero esta es la realidad. Por favor, cuídense en extremo, n… https://t.co/YoUESMPMTQ</t>
  </si>
  <si>
    <t>La protesta pacífica no debe ser desfigurada por los violentos. Me preocupa profundamente que recorramos ese camin… https://t.co/T1jywezw2D</t>
  </si>
  <si>
    <t>Suena fuerte el #Cacerolazo28A en muchas ciudades. La ciudadanía recordándole al gobierno que su primera tarea es e… https://t.co/FKPzv23N7E</t>
  </si>
  <si>
    <t>#ADuqueLeDigo https://t.co/d1PrkgjCuL</t>
  </si>
  <si>
    <t>El presidente de Chile Sebastián Piñera dijo " Chile es el oasis de América Latina". A los pocos días, en las calle… https://t.co/ukZbrzYmhu</t>
  </si>
  <si>
    <t>Cali y el Pacífico necesitan hoy más grandeza que nunca de sus dirigentes. Es urgente ver al Alcalde, a la gobernad… https://t.co/xq1sejiOP1</t>
  </si>
  <si>
    <t>En Cali se está mezclando la pobreza, la falta de atención a rezagos sociales profundos, con delincuencia estimulad… https://t.co/a9gpe6AT2z</t>
  </si>
  <si>
    <t>La Policía en las calles no es suficiente y llamar a respaldar el uso de las armas tampoco. La autoridad debe llega… https://t.co/MoJEusJp19</t>
  </si>
  <si>
    <t>El caso de Cali no es aislado. El Pacífico ha sido históricamente la región más pobre y abandonada por el Estado. E… https://t.co/k8NcRaBuRb</t>
  </si>
  <si>
    <t>COALICIÓN DE LA ESPERANZA Duque retire la Reforma Tributaria Sí al derecho a la movilización social No al vandalis… https://t.co/OSIW1evRru</t>
  </si>
  <si>
    <t>Es urgente que el presidente escuche a los colombianos y tome decisiones que garanticen sus derechos. Desde la Coal… https://t.co/rM0UERl7tU</t>
  </si>
  <si>
    <t>Ninguna madre educa un hijo para verlo morir por un disparo de la Policía. Necesitamos explicaciones y exigir que p… https://t.co/5K8Plq7Zot</t>
  </si>
  <si>
    <t>RT @ClaudiaLopez: La reforma tributaria que propuso el Presidente está hundida. Pero las secuelas de la pandemia en quiebras, desempleo, po…</t>
  </si>
  <si>
    <t>El presidente por fin entendió. Acierta al retirar la reforma tributaria, pero la inconformidad ciudadana está late… https://t.co/7hHWHeSevK</t>
  </si>
  <si>
    <t>¡Triunfo de la movilización ciudadana! Por fin escuchó el Presidente. Ahora el paso más importante: diálogo amplio… https://t.co/3mwpjgGkjo</t>
  </si>
  <si>
    <t>El retiro de la tributaria es sólo el comienzo. Además de esclarecer los asesinatos, los abusos de autoridad y el v… https://t.co/zdE8uVo0D6</t>
  </si>
  <si>
    <t>Hombre @JulianRoman, me hubiera gustado que al menos no se quedara con el titular. Sigo pensando que fue un riesgo… https://t.co/BKqZ003lmL</t>
  </si>
  <si>
    <t>En ese momento sugerí otra forma de manifestarse y aplazar la salida a las calles. De corazón agradezco a quienes s… https://t.co/QbYF7rqrvq</t>
  </si>
  <si>
    <t>@JoseloPatrioto @JulianRoman No Fernando, tenemos que poder hablar con los que nos apoyan y con los que no. Lo que… https://t.co/pH74fTK6zN</t>
  </si>
  <si>
    <t>RT @davalho: En Medellín seguimos buscando a Sebastián y a Juan Diego. POR FAVOR, si tiene alguna información, háganos saber. https://t.co…</t>
  </si>
  <si>
    <t>Carta pública de la Coalición de la Esperanza al presidente Duque https://t.co/05i85SsK6P</t>
  </si>
  <si>
    <t>Presidente Duque los abusos de anoche son inocultables. La ciudadanía necesita la garantía de la seguridad y el res… https://t.co/VLqHzuMkqZ</t>
  </si>
  <si>
    <t>Presidente vaya a Cali con sus ministros y escuche el dolor y la indignación. Ordene parar la violencia. Convoque a… https://t.co/iY3mtPN6i4</t>
  </si>
  <si>
    <t>RT @DanielSamperO: ¿No será al revés? El país está ardiendo precisamente por falta de tibios, de mesura...</t>
  </si>
  <si>
    <t>¿Discurso del presidente? Cero empatía. Si no escucha es imposible dialogar. En resumen: no dijo nada. Seguimos sin norte.</t>
  </si>
  <si>
    <t>@mariapcorrea @santiagoangelp Doctora Correa, en esta carta encuentra nuestras razones para no asistir. La violenci… https://t.co/quNxVWzZwM</t>
  </si>
  <si>
    <t>La indignación y el dolor de la ciudadanía son ciertos, legítimos... https://t.co/raqPE8YHwK</t>
  </si>
  <si>
    <t>RT @NoticiasCaracol: "Las escenas de dolor, rabia y violencia que vimos anoche son inadmisibles", dice Claudia López sobre policías que cas…</t>
  </si>
  <si>
    <t>Con la confianza de que la verdad y la decencia siempre salen adelante, hoy asistí a una audiencia ante el Tribunal… https://t.co/rvsA4EIGw8</t>
  </si>
  <si>
    <t>RT @SoyOscarEscobar: Así avanza la caminata pacífica por la reconciliación en Palmira. El diálogo es fundamental para terminar esta ola de…</t>
  </si>
  <si>
    <t>Una declaración sensata que vale la pena escuchar. Por ahí es la ruta. https://t.co/OwARyYY7PC</t>
  </si>
  <si>
    <t>No podemos seguir viendo tragedias como la de Lucas Villa. No podemos responder a los llamados irresponsables por m… https://t.co/WAq6sQRMWh</t>
  </si>
  <si>
    <t>Mañana #CoaliciónDeLaEsperanza sostendrá reunión con el presidente Iván Duque. Pronunciamiento conjunto 7:30 a.m. https://t.co/CHZFWkug1Y</t>
  </si>
  <si>
    <t>Declaración de la #CoaliciondelaEsperanza sobre su reunión con el presidente Duque. https://t.co/L8uqRNP62Z</t>
  </si>
  <si>
    <t>Hay que escuchar las voces de quienes no tienen la oportunidad de venir a Palacio. El presidente debe ir a Cali, qu… https://t.co/fy6VTeo3ci</t>
  </si>
  <si>
    <t>RT @fernandoposada_: Hoy a las 7:30 estaremos en un Twitter Space hablando con los miembros de la Coalición de la Esperanza sobre su encuen…</t>
  </si>
  <si>
    <t>Space a las 7:30 p.m. con @Fernandoposada_ #CoaliciónDeLaEsperanza https://t.co/2CkGDbB5CQ</t>
  </si>
  <si>
    <t>RT @ELTIEMPO: La docente colombiana Juliana Urtubey fue sorprendida en su aula de clases por la primera dama de EE. UU., Jill Biden, quien…</t>
  </si>
  <si>
    <t>RT @ArielAnaliza: 🔴 #EnVivo | Protesta social y el desbordamiento de la violencia con @compromisociu. Dejen sus preguntas y compartan. 👇👇…</t>
  </si>
  <si>
    <t>Presidente @IvanDuque, le reitero lo que le dijimos ayer. Vaya y gobierne en las regiones para las regiones. Cali s… https://t.co/1IdEtTvUY2</t>
  </si>
  <si>
    <t>RT @DuvalierSanchez: Salvar a los jóvenes de la desesperanza, de eso nos habla este paro. Para bajarle a la estigmatización quisiera que e…</t>
  </si>
  <si>
    <t>RT @cataortizco: Presidente @IvanDuque, es necesaria su presencia en #Cali, es urgente llegar a acuerdos y soluciones. Cali no resiste más…</t>
  </si>
  <si>
    <t>En un gesto democrático, la #CoaliciónDeLaEsperanza se reunió con el presidente Iván Duque. Aceptamos la invitación… https://t.co/rHH3WhvmjQ</t>
  </si>
  <si>
    <t>La Coalición de la Esperanza es una coalición amplia donde las diferencias se dirimen de manera pacífica. Estamos a… https://t.co/CeAfBwM4PU</t>
  </si>
  <si>
    <t>Le reiteramos al presidente Duque que abra el diálogo personalmente en Cali, urgente, sin intermediarios. Que hable… https://t.co/tsEpPgcW3O</t>
  </si>
  <si>
    <t>Por su parte los bloqueos están afectando en forma desproporcionada a la población. Líderes locales deberían valora… https://t.co/KCP0byDjWo</t>
  </si>
  <si>
    <t>Y, por último: la violenta represión de la Fuerza Pública debe ser controlada de forma inmediata por el Gobierno Na… https://t.co/pxlh7s00vK</t>
  </si>
  <si>
    <t>RT @JERobledo: Expreso mi enfático rechazo a la campaña de agresiones de las que está siendo víctima la reconocida líder estudiantil @Jenni…</t>
  </si>
  <si>
    <t>RT @ParqueExplora: En medio del dolor, las discusiones públicas soltaron esta frase que tomamos al vuelo. La Física se filtra entre horror…</t>
  </si>
  <si>
    <t>Ninguna familia debe pasar por el dolor que atraviesa la familia de Lucas Villa hoy. Su asesinato nos debe servir d… https://t.co/sq90xlGg9l</t>
  </si>
  <si>
    <t>RT @ComiteSanturban: #Atención Mientras el país atraviesa por una crisis social y económica, el @SenadoGovCo pretende hoy dar trámite a P.…</t>
  </si>
  <si>
    <t>Presidente @IvanDuque , de una vez y para siempre (no solo por este semestre): Universidad pública gratuita para estratos 1, 2, 3 y 4. Ya.</t>
  </si>
  <si>
    <t>RT @compromisociu: #SOSPereira | Nos solidarizamos con @AnaMariaD07 y rechazamos las amenazas que ha recibido. Necesitamos garantías para e…</t>
  </si>
  <si>
    <t>Se le hizo tarde a este gobierno para plantear y ejecutar soluciones estructurales para la educación superior. Por… https://t.co/kfDXAiOAwo</t>
  </si>
  <si>
    <t>Estoy de acuerdo con @marialopezuribe: NO HAY CUPO PA´TANTA GENTE. Tenemos colapso en la oferta, no de demanda. ¿Có… https://t.co/jJ1ZLpGJ0v</t>
  </si>
  <si>
    <t>La demanda por una mayor cobertura no se está resolviendo. De 2017 a 2019 la cobertura se estancó. Además, en el se… https://t.co/6qMaaeEVXU</t>
  </si>
  <si>
    <t>Además hay que pararse en las realidades de los estratos más bajos. Vienen con una preparación deficiente y ahí ya… https://t.co/Ska2C7VTJN</t>
  </si>
  <si>
    <t>La matrícula gratuita para los estudiantes de estratos 1, 2 y 3 por un semestre es un avance en esta coyuntura. Cre… https://t.co/iMJL0EOqxD</t>
  </si>
  <si>
    <t>Varios pensamientos: 1) Hay que refinanciar las universidades para poder generar más cupos. El costo de un estudian… https://t.co/HUZKaEdccz</t>
  </si>
  <si>
    <t>2) Los ingresos por matrículas son 1.1 billones al año, de los cuales cerca de 700 mil millones son de estudiantes… https://t.co/U1gqNi0EoB</t>
  </si>
  <si>
    <t>3) La anunciada reforma del ICETEX trae soluciones incompletas. Los estudiantes de bajos y medios ingresos en las u… https://t.co/B1nATsoUba</t>
  </si>
  <si>
    <t>4) El SENA juega un papel fundamental en materia de educación y formación para el trabajo, pero sigue teniendo prob… https://t.co/gQfS907HjR</t>
  </si>
  <si>
    <t>5) Hay corrupción en varias instituciones de educación superior pública, como la Universidad del Pacífico, y no hay… https://t.co/PARAup7mUC</t>
  </si>
  <si>
    <t>Por eso, la medida anunciada por Duque es positiva pero insuficiente. La universidad pública debe ser gratuita perm… https://t.co/WS2aI9lAnv</t>
  </si>
  <si>
    <t>Lo dije en 2018 y me sostengo. Las propuestas de gasto sin fuentes de financiación no son más que castillos en el a… https://t.co/YFO0TYTRpY</t>
  </si>
  <si>
    <t>Lucas y Jesús | Un Pasquín https://t.co/3vNM9pmvha vía @UnPasquin</t>
  </si>
  <si>
    <t>Necesitamos una Policía con espíritu crítico y capacidad de reformarse. Presidente Duque, ministro Molano y general… https://t.co/NKqnt8srrU</t>
  </si>
  <si>
    <t>Dejemos de pretender que acá no pasa nada y que podemos ver fútbol en paz. Mientras insisten en hacer creer que tod… https://t.co/0EItoixMId</t>
  </si>
  <si>
    <t>RT @moliverag: Columna sobre empleo y jóvenes en ⁦⁦@larepublica_co. En la encuesta sobre el paro, los jóvenes afirman que la prioridad es a…</t>
  </si>
  <si>
    <t>Querida Claudia, recupérate pronto que Bogotá te necesita. https://t.co/ApfLvEyAdM</t>
  </si>
  <si>
    <t>En medio de esta crisis, el covid no da tregua. Las UCIs al límite y el cuerpo sanitario exhausto tras 15 meses de… https://t.co/7uLEyAO0BG</t>
  </si>
  <si>
    <t>Es evidente la violencia desproporcionada. Esto es imposible de defender o justificar y debe parar inmediatamente.… https://t.co/15hXgr0Hrk</t>
  </si>
  <si>
    <t>La pandemia ha desnudado las falencias de nuestra sociedad: en el centro está la educación con un rezago de décadas… https://t.co/biTaMBkg6y</t>
  </si>
  <si>
    <t>Hoy, en su día, debemos reflexionar sobre el rol central de los y las maestras en el diálogo con jóvenes que, con r… https://t.co/raky1a8MQn</t>
  </si>
  <si>
    <t>En Jamundí los jóvenes son pacíficos y están dialogando. Nunca han abandonado la protesta, pero lo hacen sin violen… https://t.co/tOoLmKOhDY</t>
  </si>
  <si>
    <t>La situación de Popayán es crítica, la violencia contra los jóvenes debe parar ya, al igual que los ataques contra… https://t.co/CuyPZcABnA</t>
  </si>
  <si>
    <t>El trabajo de maestras y maestros ha sido titánico en esta pandemia y debemos reconocerlos. Debemos involucrarlos e… https://t.co/DMvSIr0zHO</t>
  </si>
  <si>
    <t>RT @UninorteCO: Respetamos nuestras libertades, rechazamos la violencia. La universidad somos todos. https://t.co/1PVAO4MBmc</t>
  </si>
  <si>
    <t>RT @JoseA_Ocampo: Mi visión sobre la crisis colombiana. Hay que responder a las demandas de reducir la desigualdad, los altos niveles de po…</t>
  </si>
  <si>
    <t>Definitivamente volvimos a los 90s. La era de los panfletos y amenazas y la lentitud por parte de quienes deben inv… https://t.co/0DjwFUbHZY</t>
  </si>
  <si>
    <t>RT @saramoreno1: ‘La violencia no es el camino, dialoguemos para avanzar’. Pronunciamiento de @PartidoVerdeCoL @dignidad_col y @compromisoc…</t>
  </si>
  <si>
    <t>He recibido muchos mensajes a raíz de los resultados de la última encuesta. Hay preocupación e ideas valiosas, lo a… https://t.co/Kw8henZRww</t>
  </si>
  <si>
    <t>Petro ha interpretado mejor la coyuntura. Así que si queremos competir debe ser con ideas no con guerras de polític… https://t.co/De0Glwj9tf</t>
  </si>
  <si>
    <t>RT @gabocifuentes: Estamos en mora de escuchar a los jóvenes. Su voz es un grito que exige el cumplimiento de la promesa de un Estado que g…</t>
  </si>
  <si>
    <t>RT @lumois: El día hoy recibí una llamada de un número privado, quien se identificó como miembro de las ACSN, me informo de manera amenazan…</t>
  </si>
  <si>
    <t>En minutos estaré en @CaracolRadio para hablar de la coyuntura actual, la polarización y la necesidad de poder dial… https://t.co/criXNIed1R</t>
  </si>
  <si>
    <t>Ahora en @BluRadioCo donde reitero mi llamado a que podemos ser diferentes sin ser enemigos, que los políticos debe… https://t.co/lFu8pXOsiS</t>
  </si>
  <si>
    <t>No podemos vivir en una Colombia en la que el que piense diferente es el enemigo. Ese cambio de mentalidad, solo es… https://t.co/td7bgVPrnE</t>
  </si>
  <si>
    <t>RT @Juan_Florez: Ser capaz uno de luchar con todas sus fuerzas -tanto físicas como espirituales- por aquello en lo que cree, sin pensar que…</t>
  </si>
  <si>
    <t>La muerte de Santrich debe servir para recordar que la salida negociada es el mejor camino. Insistir en la vía arma… https://t.co/ADHpOIk4br</t>
  </si>
  <si>
    <t>RT @Osgazu: Ya en Washington con alcaldes @Amunafro2 para lanzamiento 21 de mayo estrategia de desarrollo sostenible en Mpios afro. Vamos a…</t>
  </si>
  <si>
    <t>Reforma sí, revolución no https://t.co/fi6yjtG6N6</t>
  </si>
  <si>
    <t>Las maestras y maestros son los que mejor conocen a la juventud: qué siente, piensa y quiere. Deben ser parte centr… https://t.co/9O5tPOMTEf</t>
  </si>
  <si>
    <t>Lean a Camilo. Y la transformación política en las regiones, ¿Cuándo? @pag10com https://t.co/UspdyN4Eqc</t>
  </si>
  <si>
    <t>RT @JuanAbelG: En esta sobrecarga de información por las crisis que estamos viviendo es difícil ver espacios valiosos que surgen. Hay uno q…</t>
  </si>
  <si>
    <t>Pandemia y Protesta. Hablan Maestras y Maestros https://t.co/9EP4lUKIJC</t>
  </si>
  <si>
    <t>Ya mismo! https://t.co/ClSwKnQyG5</t>
  </si>
  <si>
    <t>RT @CCACANADA: Webinar W/ @sergio_fajardo &amp; co-moderators: @sandraborda (@Uniandes @ELTIEMPO) &amp;amp; @knfrankel - Finding the Colombian Centre #…</t>
  </si>
  <si>
    <t>Hoy la Canciller se estrena insinuando que manifestaciones son resultado del Acuerdo de Paz. No es así. 21 millones… https://t.co/Yog6lsZMcv</t>
  </si>
  <si>
    <t>Nos van a quitar la Copa América, pero debimos haber renunciado a ella hace varios días. Lo que está atravesando el… https://t.co/0z16zMKFoB</t>
  </si>
  <si>
    <t>RT @MJDuzan: Esta noche a las 8PM en #MaríaJimenaEnVivo entrevistaré al candidato presidencial @sergio_fajardo. ¿Qué piensa sobre la convul…</t>
  </si>
  <si>
    <t>Al aire por el canal de @MJDuzan en https://t.co/ZKtIDkJDkm https://t.co/uLC5EVVXoq</t>
  </si>
  <si>
    <t>Declaración de la Coalición de la Esperanza de cómo queremos aportar escuchando y haciendo propuestas para salir de… https://t.co/Cuz7pXiNFy</t>
  </si>
  <si>
    <t>170 años después de la abolición de la esclavitud todavía somos una sociedad racista y clasista. Aceptarlo es el pu… https://t.co/fuvMzi1c89</t>
  </si>
  <si>
    <t>La decisión de la Corte Constitucional de revivir las 16 curules de paz es una buena noticia para el país. Las víct… https://t.co/QZgxjnsOhF</t>
  </si>
  <si>
    <t>Nos vamos a enfrentar a Gustavo Petro y lo vamos a hacer desde las ideas y las propuestas. Nuestro proyecto polític… https://t.co/Ys4Xy2FooM</t>
  </si>
  <si>
    <t>Si soy presidente, el fiscal no va a ser un amigo mío. Eso tiene que cambiar y es una decisión ética. https://t.co/xOiGWKz9ef</t>
  </si>
  <si>
    <t>COALICIÓN DE LA ESPERANZA: https://t.co/s9gWvksF28</t>
  </si>
  <si>
    <t>Tenemos que ser autocríticos y preguntarnos cómo vamos a salir de este espiral de odio. Los medios, los políticos,… https://t.co/vm7jAY9NCj</t>
  </si>
  <si>
    <t>RT @dw_espanol: Colombia, paraíso de la Ornitología Este sábado se celebra el Día Internacional de la Diversidad Biológica, un buen moment…</t>
  </si>
  <si>
    <t>Mañana. En acción. https://t.co/UPELaCblVj</t>
  </si>
  <si>
    <t>Cali es símbolo de lo que vive Colombia y debe ser donde surja la solución. Que las imágenes de confrontaciones y d… https://t.co/SgSt0l0XUt</t>
  </si>
  <si>
    <t>No existe ninguna justificación para que el gobierno se niegue a recibir la visita de la CIDH. Para avanzar en la s… https://t.co/xGy4mrMet5</t>
  </si>
  <si>
    <t>Invitamos a las y los jóvenes de nuestro país a conectarse hoy a las 7pm para interrogar a la… https://t.co/pmKs0qWIXz</t>
  </si>
  <si>
    <t>RT @compromisociu: "Cali es símbolo de lo que vive Colombia y debe ser donde surja la solución": @sergio_fajardo https://t.co/1rY6VRUqNG</t>
  </si>
  <si>
    <t>RT @ELTIEMPO: ”Vamos a cambiar la destinación del presupuesto de Bogotá de este año, para destinarlas a un programa de educación y empleo d…</t>
  </si>
  <si>
    <t>RT @ClaudiaLopez: Durante el aislamiento por COVID, pude recuperarme y reflexionar. Ofrezco excusas a los jóvenes y a la ciudadanía por no…</t>
  </si>
  <si>
    <t>Tenemos el reto de entender el cambio que necesita Colombia. Afinar nuestra sensibilidad, escuchar para interpretar… https://t.co/svTys20CMz</t>
  </si>
  <si>
    <t>Claudia hizo la reflexión que debe hacer todo gobernante. Debemos entender que estamos en un estallido social, no e… https://t.co/jQ2EPQGEza</t>
  </si>
  <si>
    <t>RT @CCACANADA: TOMORROW @ 11am EDT/ 10am Colombia W/ @sergio_fajardo &amp; co-moderators: @sandraborda (@Uniandes @ELTIEMPO) &amp;amp; @knfrankel - Fi…</t>
  </si>
  <si>
    <t>El país entero ha sido testigo de abusos por parte de la Fuerza Pública. El Estado tiene el deber de proteger a la… https://t.co/TNJG0jPhT9</t>
  </si>
  <si>
    <t>Otro acto bárbaro, otra noche de angustia e impotencia. Detrás de los incendios de Jamundi y Tuluá hay un propósito… https://t.co/NpP4iOPlUh</t>
  </si>
  <si>
    <t>RT @CCACANADA: TODAY / HOY @ 11am EDT / 10am Col webinar W/ @sergio_fajardo &amp; co-moderators: @sandraborda (@Uniandes @ELTIEMPO) &amp;amp; @knfranke…</t>
  </si>
  <si>
    <t>RT @afajardoa: Esta etapa me gustó mucho. Ciclismo es sufrir. Hoy le tocó a Egan: se desesperó, respiró y recuperó. Perdió, poco. El ciclis…</t>
  </si>
  <si>
    <t>En gran parte, lo que estamos viviendo se debe a la desconexión entre la clase política y la ciudadanía. Por eso, v… https://t.co/x2Rr9C6vtM</t>
  </si>
  <si>
    <t>Increíble la agresión que estamos viendo en el Congreso. Una institución que debería ser ejemplo de decencia y de t… https://t.co/A5aQLeOMPO</t>
  </si>
  <si>
    <t>RT @ZulmaCucunuba: Hoy se reporta el mayor número de casos en Colombia. La situación en hospitales sólo va ser más difícil en las próximas…</t>
  </si>
  <si>
    <t>Escuchar es el primer paso para construir, para salir adelante. Nuestro primer encuentro será con jóvenes y líderes… https://t.co/UQZfJC2B39</t>
  </si>
  <si>
    <t>El Senado niega hoy la moción de censura contra un ministro que no reconoce los evidentes excesos de la Fuerza Públ… https://t.co/EQU1hD8gCk</t>
  </si>
  <si>
    <t>https://t.co/U6R9S8hSyj</t>
  </si>
  <si>
    <t>RT @BluRadioCo: #DebateBLU @alvaroforero en #MañanasBLU sobre #ParoNacional https://t.co/6PqwHASUN9</t>
  </si>
  <si>
    <t>Con la coalición de la esperanza estuvimos en Cali. La ciudad está agobiada, con rabia, resentimiento y miedo. El g… https://t.co/IKj2ZeUYzg</t>
  </si>
  <si>
    <t>Hoy se cumple un mes de manifestaciones en el país. Ha sido un mes de mucha reflexión. Con humildad, debo reconocer… https://t.co/IUjvUFTXMc</t>
  </si>
  <si>
    <t>También ha sido un mes en el que el gobierno ha dejado claro que no tiene un plan para el país; nunca lo tuvo. Es u… https://t.co/5eKTaRvRFP</t>
  </si>
  <si>
    <t>Hemos visto muchos casos de violencia y abuso por parte de la fuerza pública. Esto debe parar. Se necesitan reforma… https://t.co/cVuRJykISt</t>
  </si>
  <si>
    <t>Debemos buscar unidad y diálogo. Pero es fundamental hacerlo sobre unas bases: reconocer y cesar la violencia y esc… https://t.co/wsiNj6ee6K</t>
  </si>
  <si>
    <t>No nos podemos equivocar con los bloqueos. Se deben levantar ya. Mantener un país entero bloqueado afecta a todos:… https://t.co/lsp1f0tvy7</t>
  </si>
  <si>
    <t>Ayer en Cali me encontré con una ciudad triste. Los reclamos de los caleños deben ser atendidos y tenemos la oportu… https://t.co/DbjE8hxWUs</t>
  </si>
  <si>
    <t>Es hora de parar la violencia y de que los distintos sectores: empresarios, pequeños emprendedores, organizaciones… https://t.co/VCaagbnhgo</t>
  </si>
  <si>
    <t>La espiral de violencia y asesinatos incendia la rabia, el deseo de venganza. Los hechos en Cali hoy nos acercan a… https://t.co/RaWBNJUmuu</t>
  </si>
  <si>
    <t>LA VIDA ES SAGRADA.</t>
  </si>
  <si>
    <t>@yosoyramo Claro que hay que denunciar y es un beneficio que exista registro, pero acá hay exceso de gente comparti… https://t.co/1H9GjLcx3B</t>
  </si>
  <si>
    <t>La profunda crisis social en Colombia no se soluciona con mano dura. Se equivoca el gobierno al priorizar un enfoqu… https://t.co/Roi4LRZu60</t>
  </si>
  <si>
    <t>La raíz del estallido social en Colombia está en las profundas desigualdades y la desconfianza en las instituciones… https://t.co/29HhTlbapC</t>
  </si>
  <si>
    <t>RT @UEenColombia: Los 17 Embajadores de la UE🇪🇺en🇨🇴 respaldamos el diálogo y la negociación como la única vía para una salida sostenible a…</t>
  </si>
  <si>
    <t>¡GRACIAS EGAN! https://t.co/E7cXfVylZt</t>
  </si>
  <si>
    <t>RT @Proantioquia1: Proantioquia agradece el liderazgo, compromiso y profundo sentido social de Azucena Restrepo Herrera, quien ha presentad…</t>
  </si>
  <si>
    <t>Necesario y urgente que levanten los bloqueos en el Valle del Cauca.Pero si no empezamos YA el diálogo para resolve… https://t.co/ydQ15bLfhp</t>
  </si>
  <si>
    <t>Tras un mes del estallido social, ¿cómo podemos transformar las manifestaciones en reformas reales, al tiempo que e… https://t.co/ML658jHARx</t>
  </si>
  <si>
    <t>@Juaan1601 gracias Juan. La idea es seguir haciendo más Espacios para hablar con ustedes y escucharlos.</t>
  </si>
  <si>
    <t>@cristyamortegui Muy válido tu aporte Cristy. Esta semana paso por Barranquilla.</t>
  </si>
  <si>
    <t>@StevenDialoga @luchortegon @TwitterSpaces @riveraalzate @CarlosFGalan Gracias Steven por conectarte desde Cúcuta y por tus comentarios.</t>
  </si>
  <si>
    <t>@luis_oviedo26 Gracias Luis. Coincido contigo en que podemos ser diferentes sin ser enemigos.</t>
  </si>
  <si>
    <t>Yei buenas noches. Muchas gracias por la cantada de tabla en mi debut en Space. Estuvo chévere. 😎. Espero que nuest… https://t.co/khh9d3vgQz</t>
  </si>
  <si>
    <t>RT @ClaudiaLopez: Una muestra del poder de diálogo, salir de posiciones atrincheradas abre vías a la solución. Debemos continuar por ese ca…</t>
  </si>
  <si>
    <t>RT @JuanitaGoe: Leo gente escribiendo que el proyecto de #LicenciaCompartidaYa no es prioritario en esta coyuntura de pandemia, paro y cris…</t>
  </si>
  <si>
    <t>No podemos permitir que opinar siga siendo un oficio de alto riesgo. Toda mi solidaridad para @Rivas_Santiago, quie… https://t.co/i4nA2VLzjH</t>
  </si>
  <si>
    <t>Algunas lecciones y retos que nos deja este mes de estallido social en Colombia. Bienvenidas sus reflexiones. https://t.co/dtcOGeFZJU</t>
  </si>
  <si>
    <t>Creo que el diálogo es para valientes y es lo que más nos hace falta en este momento. Puede parecer obvio, pero no… https://t.co/ezA6jEKJxH</t>
  </si>
  <si>
    <t>Siempre he apoyado las marchas estudiantiles. El 21 de noviembre estaba hospitalizado y no pude salir, pero el 4 de… https://t.co/YewMoeRUrk</t>
  </si>
  <si>
    <t>Gracias Diego. Te paso este enlace donde están nuestras propuestas sobre economía, empleo, educación y género… https://t.co/OdbR5ZONMs</t>
  </si>
  <si>
    <t>22 millones de pobres son un poco más que el 1%. https://t.co/MNwQwd8L7F</t>
  </si>
  <si>
    <t>Ana María me da mucha tristeza leer que creas que para dirigir el país "se necesitan guevas". Esa visión de la auto… https://t.co/19V1jy1pV5</t>
  </si>
  <si>
    <t>¿Sugerencias tienes? https://t.co/jG95kI3Lbb</t>
  </si>
  <si>
    <t>Apoyar procesos de liderazgo nuevos es esencial compro el punto y te dejo mi respuesta sobre lo otro.… https://t.co/4Lh1paFkYF</t>
  </si>
  <si>
    <t>👍No solo estoy claro con el problema de los abusos sino que desde 2019 venimos proponiendo una reforma de la policí… https://t.co/4tTXrILnq9</t>
  </si>
  <si>
    <t>Soy consciente de mis privilegios. Precisamente por eso tomé la decisión de dedicar mi vida a la educación y a la p… https://t.co/N8MjnI7WKh</t>
  </si>
  <si>
    <t>Gracias William por la reflexión. Aclaro para las barras bravas que no somos primos 😁 https://t.co/ca8vqEoU8O</t>
  </si>
  <si>
    <t>Calvo: aprovecho esta oportunidad para explicarte que uno puede estar a favor de las marchas y al mismo tiempo esta… https://t.co/a4GCj2tDEm</t>
  </si>
  <si>
    <t>Wilson no soy primo hermano de la esposa del expresidente. Sí hemos recibido aportes de ese grupo y aprovecho para… https://t.co/zYgoGbi5Tw</t>
  </si>
  <si>
    <t>@animesa Hola Ana María no es esa la intención. ¿Cuál crítica sugieres que responda o tienes alguna en particular?</t>
  </si>
  <si>
    <t>@salgado_alvaro Tomado el punto Álvaro. Trabajaremos duro para recuperar su confianza.</t>
  </si>
  <si>
    <t>Está bien que no estés de acuerdo con mis reflexiones, pero la misoginia sobra. https://t.co/4BiCxjm7fQ</t>
  </si>
  <si>
    <t>@sonataopso Me ha tocado actualizarme en este tema de redes. Aquí aprendiendo con ustedes.</t>
  </si>
  <si>
    <t>Madrugo mañana a Barranquilla con la #CoaliciónDeLaEsperanza. Gracias por las reflexiones y hasta por los madrazos.… https://t.co/jToYmcjHZo</t>
  </si>
  <si>
    <t>@animesa @ISAZULETA Ana María, siempre he respondido abiertamente a las críticas y cuestionamientos frente a Hidroi… https://t.co/qLWCLDGzLa</t>
  </si>
  <si>
    <t>https://t.co/hlPw09DxvF</t>
  </si>
  <si>
    <t>Prometer y no cumplir. La tragedia eterna de nuestros gobernantes y una de las causas de la profunda desconfianza h… https://t.co/aiKlCXMK6o</t>
  </si>
  <si>
    <t>Buenas palabras de Yolanda Ruiz. Desarmar las palabras https://t.co/si14p8IrIg</t>
  </si>
  <si>
    <t>Solo en Barranquilla se tiene algo así de bonito. Una rueda de prensa entre mangos y ceibas. https://t.co/lFVXgKpnk3</t>
  </si>
  <si>
    <t>RT @CoaliEsperanza: Con jóvenes de Barranquilla y el Atlántico empezamos un diálogo directo para conocer sus necesidades y su visión frente…</t>
  </si>
  <si>
    <t>Ahora en conversación con jóvenes de Barranquilla y del Atlántico. Escuchar para avanzar. Acá pueden seguir la reun… https://t.co/t3ckRZgvgb</t>
  </si>
  <si>
    <t>El uribismo ya no va seguir en el poder a partir del 2022. Eso ya estaba claro, pero este mes de protestas nos most… https://t.co/yB4Qy4Qhn4</t>
  </si>
  <si>
    <t>¿Ustedes han visto a gobernadores del Caribe sentarse 4 años a trabajar juntos a mejorar la educación de la región?… https://t.co/reBuSOYpH9</t>
  </si>
  <si>
    <t>RT @jorgecura1070: "Tenemos un país con un estallido social que nunca habíamos visto e imaginado y además, la gente tiene una desconfianza…</t>
  </si>
  <si>
    <t>RT @Contexto_Media: Fajardo, Robledo y Cristo, de paso por Barranquilla, hablaron con jóvenes, empresarios y académicos con miras a constru…</t>
  </si>
  <si>
    <t>Excelente jornada en Barranquilla. Gracias a los equipos de la Coalición de la Esperanza por la organización. Segui… https://t.co/sGolVVIKjM</t>
  </si>
  <si>
    <t>Coalición de la Esperanza se reunió con jóvenes, líderes sociales y empresarios https://t.co/zplW1yhs2r</t>
  </si>
  <si>
    <t>Muy buen libro! Perfecto para el puente. https://t.co/IlCsxwfcAJ</t>
  </si>
  <si>
    <t>Este es un buen ejemplo de que los videos son fundamentales para visibilizar la violencia, pero en redes deben ser… https://t.co/cpYN889nQL</t>
  </si>
  <si>
    <t>La naturaleza es nuestra mayor riqueza. Cuidemos a Colombia, cuidemos la vida. #DiaMundialDelMedioAmbiente https://t.co/egyNHGGp7g</t>
  </si>
  <si>
    <t>Ya hemos visto demasiadas veces cómo empiezan con amenazas en panfletos y redes, que se convierten después en asesi… https://t.co/D11Tk1btOp</t>
  </si>
  <si>
    <t>A puro pedal por la encumbrada historia de nuestro ciclismo https://t.co/H38UUNRnao</t>
  </si>
  <si>
    <t>¿Ya inscribieron la cédula? https://t.co/PXj14WmI41</t>
  </si>
  <si>
    <t>RT @slondonouribe: Llega esta carta de líderes y habitantes de Valdivia en la que cuestionan las acciones y la representatividad de Rios Vi…</t>
  </si>
  <si>
    <t>RT @afajardoa: Seguramente les pasa, se mete una palabra en la cabeza y ahí se queda por unos días. Esta semana llevo pensando todo el tiem…</t>
  </si>
  <si>
    <t>RT @DanielSamperO: ¿Me ayudan con un RT por favor? https://t.co/OxpZ1jRb0W</t>
  </si>
  <si>
    <t>RT @Almagro_OEA2015: Conversé con representantes de la Coalición de la Esperanza @CristoBustos, @sergio_fajardo, @DeLaCalleHum, @JERobledo…</t>
  </si>
  <si>
    <t>RT @CoaliEsperanza: Declaración de la #CoaliciónDeLaEsperanza al terminar reunión con el secretario general de la @OEA_oficial @Almagro_OEA…</t>
  </si>
  <si>
    <t>Gustavo, queremos un país sin prisioneros, donde nadie sea dueño de nadie. Ni de Petro, ni de Uribe, libertad para… https://t.co/YL9hYSbUEL</t>
  </si>
  <si>
    <t>Un mensaje urgente al gobierno y al comité del paro. Vuelvan a la mesa de negociación y no se levanten hasta que lo… https://t.co/GF1qGB4iRZ</t>
  </si>
  <si>
    <t>RT @FranciscoDeRoux: Que los jóvenes paren el bloqueo para abrazar a toda la ciudad y a toda Colombia. El bloqueo prolongado se volvió agre…</t>
  </si>
  <si>
    <t>Coalición de la Esperanza presentó las bases de su propuesta política - Infobae https://t.co/jMcQV2kVsY</t>
  </si>
  <si>
    <t>RT @afajardoa: Qué jugador se ha vuelto Cuadrado. Ya no hace una de más, va y vuelve, cabeza arriba siempre, organiza. Marca en defensa si…</t>
  </si>
  <si>
    <t>No sabemos quién conduce, en qué temas se avanza, dónde hay bloqueos, dónde no. Reina la confusión. Presidente, ace… https://t.co/PXDwkAZWZS</t>
  </si>
  <si>
    <t>La #CoaliciónDeLaEsperanza es una nueva fuerza política basada en 9 principios éticos que definen cómo actuamos, có… https://t.co/O1FNk4ni8q</t>
  </si>
  <si>
    <t>Un proyecto político sin principios claros y éticos es garantía de fracaso. En estos tiempos la transparencia, el b… https://t.co/2fzPRZeDOO</t>
  </si>
  <si>
    <t>Me escribe un amigo y me dice: “Petro se fajardió”. Me mandó la "tercera alocución" de Gustavo a la Nación. Escuché… https://t.co/NHBtS1QcCm</t>
  </si>
  <si>
    <t>#FajardiarseEs… espérenlo mañana! https://t.co/WkNXp8gF0u</t>
  </si>
  <si>
    <t>La política sin ética es sencillamente mala política dice Adela Cortina. Hablemos hoy del tema a las 7:30pm. https://t.co/NRhxgkjuzx</t>
  </si>
  <si>
    <t>Las ballenas: el ataque más recurrente desde las elecciones de 2018. Un tema estético que se volvió de fondo. Esta… https://t.co/1DTkMfIqfI</t>
  </si>
  <si>
    <t>Twitter Media Studio</t>
  </si>
  <si>
    <t>Un abrazo, Diana. Muchas gracias por estar ahí siempre! https://t.co/aJEB9avx7N</t>
  </si>
  <si>
    <t>❤️❤️ https://t.co/m7hvl318pf</t>
  </si>
  <si>
    <t>Volvimos, Brandon. Y vamos a dar la pelea. https://t.co/w10xXC8HoV</t>
  </si>
  <si>
    <t>Alejandro, los necesitamos más activos que nunca. Con educación todo #SePuede. Y seguimos! https://t.co/PjZlxarKSl</t>
  </si>
  <si>
    <t>I'm sorry, dear Camilo. Stay tuned! https://t.co/4KiLwrIK7q</t>
  </si>
  <si>
    <t>Puede que tengas razón. La próxima intentamos una alocución. Un abrazo. https://t.co/rC3gwFLVy8</t>
  </si>
  <si>
    <t>@camilotorres317 @petrogustavo Relax and enjoy 😎</t>
  </si>
  <si>
    <t>RT @DianaCatta: @sergio_fajardo ¡Mundialísimo! Pasé por todas las emociones, volví al pasado, a los sentimientos experimentados con la coal…</t>
  </si>
  <si>
    <t>@Mrestrepob Te mando un fuerte abrazo #LasBallenasNoTienenLaCulpa 🐳</t>
  </si>
  <si>
    <t>Isabel, votar en blanco no es un crimen, es una decisión, es tomar postura. Un abrazo! https://t.co/NbNGDIJ2QY</t>
  </si>
  <si>
    <t>RT @salazardanielf: Un gran recuerdo cuando volanteamos, disfrutamos como Javerianos con Fajardo, nos llenamos de esperanza para posicionar…</t>
  </si>
  <si>
    <t>@karygeisha Gracias por tu comentario. Abrazos.</t>
  </si>
  <si>
    <t>El solo hecho de que ustedes participen activamente en política, de forma voluntaria, y luchando por unos ideales y… https://t.co/Pc58cw5tOd</t>
  </si>
  <si>
    <t>RT @MildredAriasC: @sergio_fajardo ha saldado la deuda histórica con nosotros, su electorado. Y por supuesto que las 🐋🐋 no tuvieron la culp…</t>
  </si>
  <si>
    <t>@DiegoFuerteB cuenta con eso, Diego. Un abrazo!</t>
  </si>
  <si>
    <t>@aragonlaurens y te agradeceré siempre!</t>
  </si>
  <si>
    <t>El casi no vale. La próxima entra por todo el ángulo⚽️ https://t.co/8qs5YhtYV4</t>
  </si>
  <si>
    <t>@ndr3es Feliz noche. https://t.co/GoeIBt9Kq8</t>
  </si>
  <si>
    <t>@SanSeSeb y con @JERobledo sí que haremos un gran equipo en la @CoaliEsperanza!</t>
  </si>
  <si>
    <t>No, Juan. El error no fue el tuit, con claridad estoy diciendo que el error fue irme en el momento en el que lo hic… https://t.co/xRt69Nm7Wn</t>
  </si>
  <si>
    <t>RT @leocharrisg: @sergio_fajardo Muy bien profe por la auto entrevista. Errar es de Humanos, y reconocer nuestros errores demuestra valentí…</t>
  </si>
  <si>
    <t>@catiuzka trabajaremos duro para convencerte. Saludos!</t>
  </si>
  <si>
    <t>En política tenemos que aprender que los votantes son LIBRES, que la gente no le pertenece a ningún caudillo. Salud… https://t.co/EIRAEqCgXV</t>
  </si>
  <si>
    <t>@katalexia ❤️❤️❤️</t>
  </si>
  <si>
    <t>@ClaudiaLopez y después de todo, nos divertimos y seguimos juntos 💚</t>
  </si>
  <si>
    <t>RT @danielduquev: Yo me siento muy orgulloso de haber apoyado a Fajardo en 2018, y sigo creyendo que este país necesita elegir por fuera de…</t>
  </si>
  <si>
    <t>RT @MateoFierro: Checho es de los políticos que aceptan un error. Yo lo veo, lo escucho y a mi sí me da confianza, tiene coherencia. Pd: T…</t>
  </si>
  <si>
    <t>Qué lógica tan extraña, llegamos al punto en que grabar un video es ser uribista 🤷‍♂️ https://t.co/fnoMJk5yu6</t>
  </si>
  <si>
    <t>@LuisaOjeda13 y trabajando duro nos trasladaremos al 2022 para sacar a este país adelante!</t>
  </si>
  <si>
    <t>Cuando la embarro soy yo, y cuando es algo bueno es mi CM. Un abrazo! https://t.co/HgD29NtHMu</t>
  </si>
  <si>
    <t>@javiermove qué buen apunte 😄</t>
  </si>
  <si>
    <t>@RobertoAnguloS Gracias, Roberto. Un abrazo!</t>
  </si>
  <si>
    <t>@ndr3es La risa es un remedio infalible 😄</t>
  </si>
  <si>
    <t>RT @JuanJoLargo: Uno de los aprendizajes más significativos con @sergio_fajardo es ser coherente y no perder de vista el objetivo superior…</t>
  </si>
  <si>
    <t>Tienes toda la razón! https://t.co/OaGKT1el3L</t>
  </si>
  <si>
    <t>Esa es una de las ideas que tenemos que erradicar, que el que piensa distinto tiene que desaparecer. Feliz noche, t… https://t.co/YZi4LZBOBa</t>
  </si>
  <si>
    <t>RT @icgarzon: Mi voto por ahora siempre va a ser por él... no de hace 4 no de hace 8 años lo sigo desde su alcaldía. Hace muchos años me lo…</t>
  </si>
  <si>
    <t>Toma tu RT. Feliz noche! https://t.co/QASWE8ASYa</t>
  </si>
  <si>
    <t>RT @Cindydenuevo: @sergio_fajardo A mí me pareció genial, yo creo que fue una aceptación de la derrota por lo alto y sentí que no boté el v…</t>
  </si>
  <si>
    <t>RT @luchortegon: Un orgullo haberlo acompañado en esa hermosa campaña presidencial con #CoaliciónColombia @ClaudiaLopez @JERobledo nunca es…</t>
  </si>
  <si>
    <t>RT @erbincastro: Acabo de recordar al presidente profesor! al que le hice campaña y que por los motivos expuestos en esta video más otros…</t>
  </si>
  <si>
    <t>3 años y 2 días, para ser exactos. Feliz noche! https://t.co/E74JnVeYiC</t>
  </si>
  <si>
    <t>Toma tu RT también. Feliz noche! https://t.co/5NU5vbcatL</t>
  </si>
  <si>
    <t>RT @DajomeRonaldo: @sergio_fajardo Un crack el profesor, no me arrepiendo y sigo creyendo en ese proceso comenzado en 2010 con Antanas y qu…</t>
  </si>
  <si>
    <t>Esta vez con @DeLaCalleHum no hará falta el café. Abrazos! https://t.co/NvWLXZPSpV</t>
  </si>
  <si>
    <t>Un gran abrazo mi querido Álvaro. Desde el primer día juntos. https://t.co/6EhaF2EJWR</t>
  </si>
  <si>
    <t>RT @arana_javier: Me parece sensata esa reflexión que hace @sergio_fajardo en el video. Es reconocer su error. Claro, un tanto tardía, pero…</t>
  </si>
  <si>
    <t>RT @RoaSa77: El Profe @sergio_fajardo tenía esa deuda con nosotros su electorado, sigo firme con el lineamiento ético que siempre caracteri…</t>
  </si>
  <si>
    <t>Muy emocionante ver el apoyo de tanta gente con quienes hemos compartido. Ni miedo ni rabia, esperanza. https://t.co/mgSDbzKlzC</t>
  </si>
  <si>
    <t>RT @PedroLemusN: Las ballenas jorobadas llegan cada año al Pacífico colombiano, entre los meses de julio y octubre, es un espectáculo natur…</t>
  </si>
  <si>
    <t>César, encontraste la forma fácil de conseguir likes. Así no se cansa nadie. Feliz día! https://t.co/ogSsxOP3J2</t>
  </si>
  <si>
    <t>Tomn nota:No estudiar matemáticas afecta desarrollo cerebral de los adolescentes https://t.co/ylpa2LoBcn</t>
  </si>
  <si>
    <t>RT @JoseA_Ocampo: En esta columna argumentamos con Tommaso Faccio que el acuerdo tributario del G7 es débil. La tasa del 15% es muy baja: d…</t>
  </si>
  <si>
    <t>RT @azableh: La mano que sostiene la foto no sé de quién es, la que sostiene el libro es la mía. Hoy recibí Paraísos en el mar, libro que e…</t>
  </si>
  <si>
    <t>RT @Osgazu: En el marco de la estrategia de desarrollo sostenible lanzada el pasado 21 de mayo, @Amunafro2 inició trabajo con agencias del…</t>
  </si>
  <si>
    <t>Desde hace más de 1 año, Boyacá es mi segundo hogar y por eso me entristecen aún más estas 9 lamentables muertes. M… https://t.co/gNlu9uKSW6</t>
  </si>
  <si>
    <t>RT @compromisociu: Lamentamos profundamente el fallecimiento de William Díaz, quien fue una parte fundamental de nuestra campaña electoral…</t>
  </si>
  <si>
    <t>https://t.co/jnp3sDNo2R</t>
  </si>
  <si>
    <t>RT @JoseA_Ocampo: Es la hora de acordar las plenas garantías a las protestas pacíficas y el fin de los bloqueos. Pero, especialmente, debem…</t>
  </si>
  <si>
    <t>RT @PlanetaLibrosCo: Un viaje extraordinario al conocimiento y a las ideas que han gobernado al mundo. https://t.co/E6E4GLyuov #LosQueSobr…</t>
  </si>
  <si>
    <t>Lamentable este asesinato. Toda la verdad para su familia, su comunidad y sus seguidores, todo el peso de la ley pa… https://t.co/CstgLigEDO</t>
  </si>
  <si>
    <t>Atención al nuevo libro de Humberto de la Calle. Ya he leído varios capítulos 👍👍. Felictaciones Humberto https://t.co/Khcn1EmIrH</t>
  </si>
  <si>
    <t>Toda mi solidaridad con las víctimas del carro bomba en Cúcuta, sus familias y el Ejército Nacional. Es urgente acl… https://t.co/sX4uuFRllQ</t>
  </si>
  <si>
    <t>En este link https://t.co/acsbLzjq4m pueden leer, complementar y corregir el borrador de nuestro plan de empleo par… https://t.co/zazzJoM57e</t>
  </si>
  <si>
    <t>Lean, complementen y corrijan el borrador de nuestro plan de empleo para jóvenes aquí: https://t.co/acsbLzjq4m</t>
  </si>
  <si>
    <t>@Jmateo9357 @slondonouribe Ya haremos un buen documento para protegerlas! Por ahora le mando mi historia con ellas… https://t.co/IJBEEaSrvx</t>
  </si>
  <si>
    <t>@LHernandezC08 Muchas gracias por tomarte el tiempo y compartir el ejercicio Lina. Saludos.</t>
  </si>
  <si>
    <t>Anotado el aporte, lo llevamos al Zoom de discusión en 5 días. Saludos y gracias! https://t.co/Os3q14L515</t>
  </si>
  <si>
    <t>De acuerdo, Jheyson. Tenemos que construir para lograr un cambio. https://t.co/o7VQNZfosK</t>
  </si>
  <si>
    <t>Sáquele un rato y nos manda ideas Esteban. Muchas gracias por compartir! https://t.co/MUY3z71beJ</t>
  </si>
  <si>
    <t>RT @cataisaortiz: ¿Quieres proponer sobre juventud y empleo? aquí hay un lugar. #MásAlláDeUnTrino</t>
  </si>
  <si>
    <t>Ya haremos un buen documento para protegerlas! Por ahora le mando mi historia con ellas en las elecciones pasadas.… https://t.co/DaFUCJAUoN</t>
  </si>
  <si>
    <t>https://t.co/L1st3NMOrc https://t.co/0iyZCpePyh</t>
  </si>
  <si>
    <t>Juan Diego, gracias por tus aportes. Ojalá los puedas incluir en el documento para discutirlos en el Zoom en 5 días. https://t.co/G95kLMn2CK</t>
  </si>
  <si>
    <t>La mejor política, la que lleva a cambios, es la que se hace en equipo. https://t.co/mdiYugLfJr</t>
  </si>
  <si>
    <t>Muchas gracias Alejandro, espero tus aporte! Saludos. https://t.co/zMws31vsb8</t>
  </si>
  <si>
    <t>Así es, Esteban. No basta con criticar en Twitter sin proponer soluciones. Trabajamos por ir #MásAlláDeUnTrino https://t.co/7MHfSrmXju</t>
  </si>
  <si>
    <t>RT @Compromisarias: Aquí aportamos todas y todos a las propuestas para el país. En el link https://t.co/p1mLO4EK84 podemos aportar al plan…</t>
  </si>
  <si>
    <t>RT @CompromisoCiud7: #MásAlláDeUnTrino para poder construir el borrador del Plan de Empleo para Jóvenes #SePuede 💪🏻</t>
  </si>
  <si>
    <t>Ojalá tengas tiempo para incluir tus aportes, Alejandro. Un abrazo! https://t.co/rYpTyOu7hd</t>
  </si>
  <si>
    <t>Jorge, interesante conocer tus propuestas y tu visión. El documento estará abierto por 5 días y después lo discutir… https://t.co/xGwXeS3R9n</t>
  </si>
  <si>
    <t>RT @MonsalveWilmar: Excelente forma de mostrar propuestas y motivar a la ciudadanía joven a construir el auténtico cambio, en vez de autono…</t>
  </si>
  <si>
    <t>Importante escuchar a las regiones, importante compartir el link y tener muchos aportes de ellas. Saludos. https://t.co/6euse1noAO</t>
  </si>
  <si>
    <t>Juan José, invitado a incluir tus propuestas para construir juntos. Un abrazo! https://t.co/fvCmd6Qves</t>
  </si>
  <si>
    <t>Así es, Diana. La inclusión debe ser un eje transversal en todas nuestras propuestas. Bienvenidos tus aportes. Un a… https://t.co/0ipW5U95on</t>
  </si>
  <si>
    <t>Coincido, Jorge Iván. Bienvenidos tus comentarios en el documento. Saludos! https://t.co/dwJMYghhz5</t>
  </si>
  <si>
    <t>Estaremos estos 5 días recogiendo aportes para nutrir nuestro borrador de empleo juvenil. Dejo el link nuevamente:… https://t.co/SrajiGEECn</t>
  </si>
  <si>
    <t>RT @pcorrea78: Se que preferimos los goles de futbolistas en Europa o ganar etapas de ciclismo, pero una matemática colombiana al frente de…</t>
  </si>
  <si>
    <t>Hoy y mañana estaremos en el eje cafetero con la coalición de la esperanza. Armenia, Pereira y Manizales. Buen augu… https://t.co/TwUtnSnhCa</t>
  </si>
  <si>
    <t>RT @MantillaIgnacio: Felicitaciones a Tatiana Toro, una de las matemáticas colombianas que representa e inspira a las talentosas mujeres ma…</t>
  </si>
  <si>
    <t>Seguimos recogiendo aportes. Nos han escrito unos muy valiosos. La discusión estará nutrida e irá #MásAlláDeUnTrino… https://t.co/IP2yiZkIa7</t>
  </si>
  <si>
    <t>La Coalición de la Esperanza: somos la primera opción https://t.co/aQfuS2TW7q</t>
  </si>
  <si>
    <t>En @LaPatriaRadio en vivo https://t.co/P2WRYx0hy4</t>
  </si>
  <si>
    <t>Una de nuestras metas es que ser educador sea reconocido como una actividad extraordinaria en nuestra sociedad. Hoy… https://t.co/rDr4xOg3Xx</t>
  </si>
  <si>
    <t>En Manizales esta mañana estuvimos con la @CoaliEsperanza escuchando los justos reclamos de jóvenes, líderes y lide… https://t.co/fw0EENtp0o</t>
  </si>
  <si>
    <t>RT @CoaliEsperanza: "Está mal pensar que esto se va a solucionar echando la basura debajo del tapete para que no se vea. Aquí hay algo prof…</t>
  </si>
  <si>
    <t>Más de 3.800 visitas y 520 comentarios ha tenido el borrador de nuestra propuesta de empleo juvenil. Muchas gracias… https://t.co/LNmoR3BaZM</t>
  </si>
  <si>
    <t>RT @apelaezbotero: Hicimos entrega del Parque Educativo Cacique Buriticá, una iniciativa de la administración de @sergio_fajardo que hoy ma…</t>
  </si>
  <si>
    <t>Siempre razonable. Ministerio de Ciencia https://t.co/CTOqqUQVFP</t>
  </si>
  <si>
    <t>El gobierno Duque incumple su palabra. Se había comprometido a promover el proyecto de ley de especialidad agraria… https://t.co/A8fttJY3fq</t>
  </si>
  <si>
    <t>Mientras insistamos en esa nefasta idea de que quien llega a gobernar debe desmontar los logros de su predecesor pa… https://t.co/2jOD8Iwosy</t>
  </si>
  <si>
    <t>RT @slondonouribe: Esperando a los bárbaros, va mi columna en @UnPasquin. Espero les guste. https://t.co/0fmfShG23U</t>
  </si>
  <si>
    <t>¿Que por qué protestan los jóvenes? Porque el gobierno no cumple sus promesas. En noviembre de 2019, tras primeras… https://t.co/cHjjsvPPHI</t>
  </si>
  <si>
    <t>Feliz día del padre 😎 https://t.co/SKVEkpOyn3</t>
  </si>
  <si>
    <t>Toda mi solidaridad con la familia de Santiago Ochoa. ¿A qué nivel de barbarie vamos a llegar? El país entero deber… https://t.co/81NXg2Gj0b</t>
  </si>
  <si>
    <t>Muchas gracias por sus aportes a nuestro plan de empleo juvenil. Recibimos más de 1.000 comentarios que nos ayudará… https://t.co/VlIctb3eG0</t>
  </si>
  <si>
    <t>La semana pasada no pude venir al Quindío, hoy le madrugamos a Salento y Armenia para conversar con jóvenes y líder… https://t.co/H42enqRta2</t>
  </si>
  <si>
    <t>Habría podido cerrar con broche de oro con un Ministro sin cuestionamientos éticos y respaldado por la comunidad ci… https://t.co/0n1vNgUWGU</t>
  </si>
  <si>
    <t>Quindío representa bien la tragedia de la clase política tradicional. Con tantos atributos naturales, ha sido captu… https://t.co/Vp4gDKuAYU</t>
  </si>
  <si>
    <t>Doy fe de ello. https://t.co/VdPHkE9O9d</t>
  </si>
  <si>
    <t>Para dejar atrás la violencia que por años nos ha dividido, necesitamos escucharnos y reconocernos. El esfuerzo que… https://t.co/ojKIWTOjIc</t>
  </si>
  <si>
    <t>RT @YolandaRuizCe: Algunas personas atacaron hoy la sede de RCN Radio nuevamente. Una y otra vez rechazamos la violencia así como una y otr…</t>
  </si>
  <si>
    <t>RT @davidescobara: Ante este escenario, hoy en Comfama tenemos más claro que nunca que somos puente y territorio de paz, que nos correspond…</t>
  </si>
  <si>
    <t>Los embargos no cambian gobiernos, van directamente contra las personas: aumentan sus sufrimientos. Históricamente… https://t.co/yxgBEvakFU</t>
  </si>
  <si>
    <t>RT @JoseA_Ocampo: En esta Declaración, un conjunto de ex-ministros, intelectuales, líderes feministas, sociales y juveniles, y personalidad…</t>
  </si>
  <si>
    <t>Emocionante ver que figuras de la talla de José Antonio Ocampo y los demás firmantes apoyan a la @CoaliEsperanza; e… https://t.co/7JrtCAYuwS</t>
  </si>
  <si>
    <t>Acá quienes han firmado la carta: https://t.co/3lYB8fBL3V</t>
  </si>
  <si>
    <t>Hoy desde Bucaramanga estamos con la @CoaliEsperanza para contarles que no seguimos a un líder ungido que nos va a… https://t.co/qpnb6zic2M</t>
  </si>
  <si>
    <t>RT @CoaliEsperanza: Grupo de 158 personalidades colombianas se suma a la #CoaliciónDeLaEsperanza (vía @BluRadioCo) https://t.co/9z3i25EEK9</t>
  </si>
  <si>
    <t>Destaco la valentía de quienes firmaron la carta de apoyo a la Coalición de la Esperanza. No podemos caer en el jue… https://t.co/ebmoH7xe94</t>
  </si>
  <si>
    <t>Vamos terminando una jornada clave en Bucaramanga. Hemos escuchado a comunidades y jóvenes sobre empleo, medio ambi… https://t.co/rt4Q1fNmMF</t>
  </si>
  <si>
    <t>Bucaramanga, siempre ciudad bonita. https://t.co/8qg1I0z7Di</t>
  </si>
  <si>
    <t>"Yo esperaba que se quitaran las máscaras" dijo Ingrid Betancur sobre los ex-guerrileros de las FARC que comparecie… https://t.co/IRRQx4PMnv</t>
  </si>
  <si>
    <t>La Coalición de la Esperanza es un ejercicio inédito en el país. Es el ejemplo, en este momento preciso, de lo que… https://t.co/9ti2KBAjvm</t>
  </si>
  <si>
    <t>El atentado contra el presidente Duque es la expresión máxima de la barbarie que busca la guerra total en Colombia.… https://t.co/eDV7rY9j2z</t>
  </si>
  <si>
    <t>La violencia es el fracaso. Cualquier lucha se desvanece. Una cuerda atravesada en una calle en Bogotá se convirtió… https://t.co/eaawpoByOT</t>
  </si>
  <si>
    <t>Dueño del conocimiento, poseedor de la verdad, rey de la justicia y vocero de la sabiduría. Petro, iluminado. https://t.co/aXNIXj5Gwz</t>
  </si>
  <si>
    <t>Voten en blanco, voten por nosotros, voten por Petro o por el que quieran. El voto es de cada individuo y los polít… https://t.co/dQ54jL1gZN</t>
  </si>
  <si>
    <t>Les hago una invitación a dejar de lado la misoginia, la homofobia, la masculinidad frágil. Bienvenidas las crítica… https://t.co/TecfxYmFM4</t>
  </si>
  <si>
    <t>Dueño del conocimiento, poseedor de la verdad, rey de la justicia y vocero de la sabiduría. Petro, iluminado, libre… https://t.co/nMRDVCg0Rx</t>
  </si>
  <si>
    <t>Hoy, día del #Orgullo , sobran motivos para reflexionar. La expectativa de vida de personas trans sigue siendo preo… https://t.co/SemzNqkXk2</t>
  </si>
  <si>
    <t>Me saludan al autor. https://t.co/4w6ewLyvp7</t>
  </si>
  <si>
    <t>Dialogar. Escuchar. Participar. Mucho hablamos de eso pero poco se ve. Les invito el miércoles a las 6pm a que disc… https://t.co/qUjzuPoOwL</t>
  </si>
  <si>
    <t>https://t.co/Jeaor2XaZ9</t>
  </si>
  <si>
    <t>Bueno, mañana a las 6:00 p.m. discutiremos la propuesta de empleo juvenil que sometimos a revisión y aportes de la… https://t.co/9Pfy9mErFR</t>
  </si>
  <si>
    <t>No hay excusa, no hay forma de defender la violencia. Ninguna violencia, pero mucho menos la de agentes del Estado… https://t.co/GaMAeKwTO7</t>
  </si>
  <si>
    <t>La forma de proteger a la Policía es ser implacable con los delitos de sus integrantes, no esconderlos. Necesitamos… https://t.co/CQlcl0zxmr</t>
  </si>
  <si>
    <t>¡Así es! Una iniciativa para destacar. El reto: que perdure en el tiempo. https://t.co/ExPDWCiyUA</t>
  </si>
  <si>
    <t>Ya conectados para iniciar nuestra discusión sobre la propuesta de empleo juvenil que fue reforzada con más de mil… https://t.co/6VSwIlrCpK</t>
  </si>
  <si>
    <t>Gracias Ignacio por por mantenernos informados y entretenidos con las matemáticas. Leibnitz y Newton fueron los inv… https://t.co/82hUJUNHhN</t>
  </si>
  <si>
    <t>Qué inoportuna resulta una Ley antivandalismo, cuando la situación empieza a mejorar y varios actores están dialoga… https://t.co/I9vKKzTgt5</t>
  </si>
  <si>
    <t>En este país les fallamos, repetidamente, a las niñas y a los niños. No podemos permitir que ocurran hechos como lo… https://t.co/x1DI9EN1cE</t>
  </si>
  <si>
    <t>@PaoHerreraC Hola Paola. Te confirmo: no salimos 😁. Un abrazo.</t>
  </si>
  <si>
    <t>Nos vemos a las 5:30 p.m. Transmisión desde mi página de Facebook https://t.co/sSwmPCsopU https://t.co/j9gdXfWlFA</t>
  </si>
  <si>
    <t>Toda mi solidaridad con @angelamrobledo, una mujer muy valiosa para la política en este país. El derecho a la oposi… https://t.co/gHTR01Rzy5</t>
  </si>
  <si>
    <t>RT @CoaliEsperanza: Lamentamos la salida de una de las voces más destacadas en el Congreso de la República como lo es la de @angelamrobledo…</t>
  </si>
  <si>
    <t>RT @AtlanticoEmi: A esta hora, entrevista de @jorgecura1070 con @sergio_fajardo https://t.co/msC1QLIGLQ</t>
  </si>
  <si>
    <t>Científicas colombianas: por favor sigan yendo a ver y a estudiar ballenas. https://t.co/7rOUxa051F</t>
  </si>
  <si>
    <t>Esta es una fórmula que no tiene pierde. Siempre vigente. https://t.co/oZ7BodUyHT</t>
  </si>
  <si>
    <t>En @atlanticoemi con @jorgecura1070 hablamos sobre nuestra propuesta de Empleo Juvenil en las regiones. Se necesita… https://t.co/Eo70yLfhTS</t>
  </si>
  <si>
    <t>Miles de jóvenes terminan sus estudios y no tienen acceso al trabajo. Proponemos que inicien sus prácticas profesio… https://t.co/l2de2G8YbJ</t>
  </si>
  <si>
    <t>Arrancamos en política con 0% en las encuestas, no nos daban mucho tiempo y miren por dónde vamos. Falta mucho cami… https://t.co/SNj3R40eBO</t>
  </si>
  <si>
    <t>RT @CoaliEsperanza: Hace 30 años, Colombia transitó por un camino que marcó un antes y un después en la garantía y protección de los derech…</t>
  </si>
  <si>
    <t>RT @esteban_usuga: Café especial desde el municipio de Ituango. Gian Piedrahita un gran amigo, líder social y apasionado por el café. Me ay…</t>
  </si>
  <si>
    <t>Recomendada. Juan Diego Mejía recrea la vida de 5 jóvenes amigos, estudiantes de matemáticas, que buscan encontrar… https://t.co/ZfTBXKMfcV</t>
  </si>
  <si>
    <t>Fórmula infalible https://t.co/L6jR6fCH7w</t>
  </si>
  <si>
    <t>Daniel nos hará falta. QEPD. 🙏 https://t.co/OcxdDKXd0p</t>
  </si>
  <si>
    <t>El ejercicio participativo en el que más de 1000 personas hicieron sus aportes a nuestra propuesta de empleo juveni… https://t.co/eZ1VMeOb6Y</t>
  </si>
  <si>
    <t>Hoy, 6 p.m. https://t.co/asgEVjbO1K</t>
  </si>
  <si>
    <t>Mi mensaje para los y las jóvenes del país: entren a la política. No se demoren hasta sus 43 años, como lo hice yo,… https://t.co/rSoyGHCe79</t>
  </si>
  <si>
    <t>No es fácil creer en la política en un país que ha dicho 'No' a la paz, a reformas anticorrupción y que elige, cons… https://t.co/UJ8rOrlMEu</t>
  </si>
  <si>
    <t>El camino es largo 🚲. Vamos a hacer todo por recuperar su confianza y la de millones: se puede. https://t.co/hrP8GGL76f</t>
  </si>
  <si>
    <t>Hola Erick. Varias propuestas están disponibles en mi página web https://t.co/dz54KdXQWp. También seguiremos promov… https://t.co/uJP80ta2UD</t>
  </si>
  <si>
    <t>Germán, hemos y seguiremos resolviendo estas insatisfacciones. Concedo el error de haberme ido a ver ballenas, no d… https://t.co/6on9qDT3f2</t>
  </si>
  <si>
    <t>Cada quien decide qué le parece chistoso y que no. Eso lo respeto. De todas maneras valoraría la crítica y el diálo… https://t.co/EoJYvoxyfL</t>
  </si>
  <si>
    <t>Seguimos avanzando, Martín. Hace muchos años que estamos pedaleando. Un abrazo. https://t.co/VNbnPYOQpe</t>
  </si>
  <si>
    <t>Respondiendo tuits, rumbo a Sincelejo. El atardecer en La Ye, Córdoba. 👍 https://t.co/YDM1PfFa1b</t>
  </si>
  <si>
    <t>Recuerdo con cariño tus visitas a mi sede en 2018. Trabajaré por recuperar tu confianza. Feliz noche. https://t.co/zJ0f9OOr6u</t>
  </si>
  <si>
    <t>Tienes razón, Jorge. No es un camino fácil y encontrarás obstáculos. Pongo mi experiencia a tu disposición y espero… https://t.co/3hNKbwQ4kG</t>
  </si>
  <si>
    <t>RT @Daniela_MejiaA: Esta alocución le llegó a la Daniela de 7 que decía que iba a ser Presidente y a la Daniela de 17 que odiaba la polític…</t>
  </si>
  <si>
    <t>Qué ingenio. Toma tu RT! https://t.co/L48NUmEUrs</t>
  </si>
  <si>
    <t>La transparencia es la primera condición para luchar contra la corrupción, que todo se vea. Hay que hacerle veedurí… https://t.co/wCXxKGMcvi</t>
  </si>
  <si>
    <t>Cero. https://t.co/GT9DBaSbz0</t>
  </si>
  <si>
    <t>RT @fernandoposada_: Los jóvenes que queremos aportar y construir debemos perder el miedo a la política y al debate público. Aprovechemos n…</t>
  </si>
  <si>
    <t>No se me ocurre un despiste mayor que el que enuncias, Fernán. Tal vez solo lo encuentre en otro de tus trinos reci… https://t.co/7xzXSmrwAk</t>
  </si>
  <si>
    <t>Muchas gracias. Bienvenido, Wilmer! https://t.co/fKJNAKX1jD</t>
  </si>
  <si>
    <t>RT @gabocifuentes: Ya vieron este mensaje? Hay que descontaminar la política, abandonar estructuras y maquinarias. Hablar con la gente, ent…</t>
  </si>
  <si>
    <t>Esto apenas comienza. Cuenta con eso! Saludos. https://t.co/fWF57vy0IT</t>
  </si>
  <si>
    <t>RT @lucaspom: En su primera "alocución", @sergio_fajardo le pide a los jóvenes entrar a la política. https://t.co/EaxpG5wcoQ</t>
  </si>
  <si>
    <t>RT @santiagoangelp: #NOTICIA En tono irónico el candidato @sergio_fajardo anuncia una "alocución", término que ha sido utilizado por el sen…</t>
  </si>
  <si>
    <t>Estar en Twitter no es estar en la política, y que tú estés en la política, no significa que todos los jóvenes lo e… https://t.co/N78PDEOzht</t>
  </si>
  <si>
    <t>RT @Froo_Pei: Buen video de @sergio_fajardo. Me quedo con esa idea de crear la "primera línea de lo público". https://t.co/f2wn052ZNh</t>
  </si>
  <si>
    <t>El camino fácil será siempre el de la agresión. Apostémosle a uno distinto, aunque sea más largo. Construir es much… https://t.co/DQlqHvg3u9</t>
  </si>
  <si>
    <t>Arrancamos el día en Sincelejo en la emisora @Korraleja hablando de fake news, el miedo y la rabia que se promueve… https://t.co/xMZGdeKXBo</t>
  </si>
  <si>
    <t>En Colombia se destruyen buenas propuestas por simple animadversión política. El que llega destruye lo que venía bi… https://t.co/CqoL2h23dy</t>
  </si>
  <si>
    <t>En Sucre he pasado momentos muy felices y especiales de mi vida. Estoy convencido de que aquí se pueden hacer cambi… https://t.co/YlICLYDAE3</t>
  </si>
  <si>
    <t>RT @slondonouribe: Muy recomendado. Entrar a la política, sus riesgos, las felicidades, los retos y la urgencia de tener mejores personas e…</t>
  </si>
  <si>
    <t>Por un lado pienso que este periodo de la política colombiana asociada al expresidente Uribe termina. Por el otro q… https://t.co/KncIS2D8vu</t>
  </si>
  <si>
    <t>Estamos en Sincelejo con liderazgos de diferentes municipios del departamento de Sucre. Tres palabras que se repite… https://t.co/7hiriSp5sr</t>
  </si>
  <si>
    <t>Empezamos entrevista en @elmeridiano_co con @luisrubianof @j0seram0nG #Sucre #Sincelejo https://t.co/KHt9oC5cb2</t>
  </si>
  <si>
    <t>RT @elmeridiano_co: #sincelejo El precandidato presidencial @sergio_fajardo estuvo #EnElMeridiano y en diálogo con su director @luisrubia…</t>
  </si>
  <si>
    <t>Con Johnny Huertas en el Parqe Santander Sincelejo, Sucre. https://t.co/Xt150xb1Ty</t>
  </si>
  <si>
    <t>En el Parque Santander, Sincelejo. https://t.co/4YMgeOgPVC</t>
  </si>
  <si>
    <t>El Estado es el primer garante en el respeto de los Derechos Humanos y debe ser un ejemplo. El informe de la CIDH p… https://t.co/3zH6TN76vf</t>
  </si>
  <si>
    <t>¿De verdad crees que eso es una ofensa? Claro que había conocidos, viejos amigos con los que hemos trabajado desde… https://t.co/GZ4TJM0oWT</t>
  </si>
  <si>
    <t>Llegamos a San Onofre. Empezamos a conversar con diversos liderazgos de los Montes de María. El país necesita mirar… https://t.co/Zd02pyAhPf</t>
  </si>
  <si>
    <t>Jean Paul falta mucho trabajo por delante. Agradezco tus palabras y ese voto de confianza! https://t.co/c0MDIeX00s</t>
  </si>
  <si>
    <t>Muchas gracias Juan Pablo. Tendremos diferencias, pero siempre podremos hablar con respeto. Feliz tarde. https://t.co/rvz9E4uH5M</t>
  </si>
  <si>
    <t>Mis reuniones son públicas, igual que mis cuentas de campaña. Que alguien asista a una reunión no implica que haga… https://t.co/XbMKEfU68N</t>
  </si>
  <si>
    <t>De San Onofre, Sucre a Cartagena, Bolívar. Mañana con la Coalición de la Esperanza. https://t.co/jxx4zCMjc1</t>
  </si>
  <si>
    <t>No suelo usar sombreros, ni ponchos, ni collares de arepas, pero esta conversada con líderes de los Montes de María… https://t.co/FvrSNh9q8z</t>
  </si>
  <si>
    <t>RT @CoaliEsperanza: #COMUNICADO Coalición de la Esperanza tendrá lista única al Senado de la República. #LaCoaliciónEsCartagena hizo el anu…</t>
  </si>
  <si>
    <t>En la @CoaliEsperanza nos encontramos para construir a partir de las diferencias. Hoy estamos en Cartagena y vamos… https://t.co/SnuDnG4diy</t>
  </si>
  <si>
    <t>RT @Brigittelgb: Gran charla! https://t.co/W8vHNIWZTq</t>
  </si>
  <si>
    <t>Tenemos que acabar con esa imagen que el país tiene sobre la corrupción en el Caribe. Esta región no puede seguir s… https://t.co/Ay2ZPU5Z0K</t>
  </si>
  <si>
    <t>En Cartagena, sabroso jugar dominó https://t.co/XJbWaB5Wps</t>
  </si>
  <si>
    <t>Gracias, Cartagena, por una muy intensa jornada de trabajo. Siempre me llena de energía recorrer las calles y conve… https://t.co/bsxDfrhpDj</t>
  </si>
  <si>
    <t>No hay una sola persona que en alguna de mis campañas haya recibido ni un peso por un voto. Hablar con la gente req… https://t.co/tZFftRCi3d</t>
  </si>
  <si>
    <t>Necesitamos hacer que los jóvenes sean protagonistas de las decisiones que se toman en el país. No basta con escuch… https://t.co/oMj5NzJ7vC</t>
  </si>
  <si>
    <t>El reto político hoy no es sólo recorrer todos los rincones del país. También necesitamos hacernos escuchar en medi… https://t.co/V7yGVRpADc</t>
  </si>
  <si>
    <t>RT @Pais_Hermoso: Cerro Tusa, Venecia - Antioquia, Colombia 🇨🇴 📸: alex_betancure https://t.co/QIVWwnP1bl</t>
  </si>
  <si>
    <t>¡Júbilo poderoso! La esperanzadora promesa de Cano para el Medellín https://t.co/9jXojqGAX1</t>
  </si>
  <si>
    <t>Oportuna y certera esta reflexión de Francisco Leal sobre la vejez. https://t.co/taLmziwH2Z</t>
  </si>
  <si>
    <t>RT @JairoHortua: Empieza la era de la bicicleta en Fusagasugá! Hoy inauguramos la primera ciclorruta en la historia de nuestra ciudad! #C…</t>
  </si>
  <si>
    <t>RT @gabocifuentes: Solo en regímenes autoritarios podría llamarse a la @CIDH como el brazo político de la izquierda, o calificar su informe…</t>
  </si>
  <si>
    <t>Pensar que el problema tributario y por ende la construcción de una verdadera estructura de protección social se re… https://t.co/eQskV4KVEL</t>
  </si>
  <si>
    <t>RT @Estebanjararuiz: El Suroeste es una región para la vida, la naturaleza, el agro, el turismo. No para la megaminería. No vamos a servir…</t>
  </si>
  <si>
    <t>Me emocionan las manifestaciones de jóvenes de todo el país, como estos de Norte de Santander. Son ellos quienes de… https://t.co/Ngd5mXklgx</t>
  </si>
  <si>
    <t>Ay, querido César, qué facilidad para deformar la realidad. Sería bueno que releyeras. La gente se cansa del facili… https://t.co/9Ig11xoYBI</t>
  </si>
  <si>
    <t>Gracias, María. Lamento haberte decepcionado en el pasado. Trabajaré para ganarme nuevamente tu confianza y tu voto. https://t.co/jJcLHaSzTd</t>
  </si>
  <si>
    <t>No, Gustavo. A la clase baja y media no, pero la clase alta en Colombia está compuesta por más de 4000 personas. Po… https://t.co/n5HtptRNZe</t>
  </si>
  <si>
    <t>Creo que coincidimos en que Colombia necesita una estructura tributaria que nos permita avanzar en progresividad (q… https://t.co/DUO8zm1mdA</t>
  </si>
  <si>
    <t>Ingresos tributarios del país llegan apenas al 19% del PIB, por debajo de promedio de países OCDE (34%) y de Latino… https://t.co/FooxTlbffE</t>
  </si>
  <si>
    <t>Populismo, Gustavo, es decir lo que la gente quiere oír, soltar cifras mágicas al aire. Hacer propuestas atractivas… https://t.co/yjYtaTST8n</t>
  </si>
  <si>
    <t>Hablemos, por ejemplo, de la evasión, que impide el desarrollo de un Estado de bienestar y es una forma de corrupci… https://t.co/p4p9z9nonN</t>
  </si>
  <si>
    <t>Claro que los que más tienen deben pagar más. Claro que las clases baja y media no deben asumir nuevas cargas tribu… https://t.co/5qBYhIcU1i</t>
  </si>
  <si>
    <t>Pero la discusión es otra. Es sobre la forma de hacer política que pretende solucionar problemas estructurales con… https://t.co/2IlNcLhKfL</t>
  </si>
  <si>
    <t>RT @larepublica_co: Recuerde mañana, foro: “Colombia después de la pandemia, la urgencia de lo estructural” Este evento busca analizar las…</t>
  </si>
  <si>
    <t>En minutos estaré en @HablemosClaroCN con @juliodelarue y @jhpelaez por @CABLENOTICIAS. https://t.co/dutLDRiUG8</t>
  </si>
  <si>
    <t>Tatiana Toro es la Matemática colombiana que va a dirigir uno de los institutos de matemáticas más importantes del… https://t.co/ZjIiWQrZPf</t>
  </si>
  <si>
    <t>RT @MabelLaraNews: Sigue muy complicada la situación en Providencia y Santa Catalina. La población espera atención efectiva e inmediata. La…</t>
  </si>
  <si>
    <t>RT @Juan_Florez: Este jueves 15 de julio, 8 p.m., conversaré con @ferrojasparra y Jorge Pinzón Salas sobre quiénes son los que sobran en el…</t>
  </si>
  <si>
    <t>Hoy, en redes sociales, nos enfrentamos a un fenómeno sobre el que vale la pena reflexionar. Mientras la verdad nec… https://t.co/lwOCCRpOZQ</t>
  </si>
  <si>
    <t>A pesar de presentar muchas propuestas, unos insisten en que no hago ninguna. Decidimos entonces innovar: presentam… https://t.co/7KUwF9HcjO</t>
  </si>
  <si>
    <t>Sí señor. Y vamos a recuperar a Medellin y a Antioquia. https://t.co/DVh63yTbSw</t>
  </si>
  <si>
    <t>¡Rescatemos a Rebolo! https://t.co/g3yfVoCyEY</t>
  </si>
  <si>
    <t>Estas cosas no deberían pasar nunca, pero mientras pasen deberían estar en boca de todos y en las portadas de todos… https://t.co/L5qJ9Nr5uw</t>
  </si>
  <si>
    <t>Estuvimos en Sucre, hablando con la gente. Es claro que ya no estamos en la era de los políticos que se las saben t… https://t.co/9MGp6zGle5</t>
  </si>
  <si>
    <t>RT @JERobledo: Mucha suerte, apreciado @CarlosAmayaR, en este esfuerzo democrático. Y cuenten usted y los verdes con que la #CoaliciónDeLaE…</t>
  </si>
  <si>
    <t>#sosembera URGENTE https://t.co/lRXHKPwfF5</t>
  </si>
  <si>
    <t>Posición de la @CoaliEsperanza sobre la reforma tributaria https://t.co/bWxmxhZTdZ</t>
  </si>
  <si>
    <t>Se murió Germán Castro Caycedo: un SEÑOR. Qepd. https://t.co/wHFzP5sUhT</t>
  </si>
  <si>
    <t>RT @Compromisarias: ☕️🇨🇴 Café con Sabor a Compromiso de Mujer Cafetera. Tomémonos un Café para conocer el perfil agricultor, empresarial y…</t>
  </si>
  <si>
    <t>Gracias, Diego. El respetuo es mutuo. Como dices, nuestro deber es decir lo que pensamos, aunque en ocasiones no co… https://t.co/TQigYbEu3m</t>
  </si>
  <si>
    <t>He creído y respondido ante la justicia cada vez que he sido llamado a hacerlo, y lo seguiré haciendo. Lo único que… https://t.co/etWvu3YDKC</t>
  </si>
  <si>
    <t>El país entero vio a Julián Esteban Gómez llorar por el triunfo de Egan Bernal y hoy, tristemente, lloramos todos p… https://t.co/JWrPByU3fu</t>
  </si>
  <si>
    <t>RT @afajardoa: La columna sobre los cambios que llevaron a la inestabilidad del régimen cubano y el papel del sector cultural en la vanguar…</t>
  </si>
  <si>
    <t>Cero tolerancia para la homofobia, la transfobia y cualquier forma de discriminación. https://t.co/mYL3E2IAOi</t>
  </si>
  <si>
    <t>RT @JuanitaGoe: Este miércoles estaremos hablando con @LasernaBogota sobre su iniciativa del impuesto predial a clubes sociales en Bogotá.…</t>
  </si>
  <si>
    <t>RT @CoaliEsperanza: #ATENCIÓN Comunicado a propósito de las manifestaciones convocadas para este #20DeJulio en el país. "Apoyamos todas las…</t>
  </si>
  <si>
    <t>Que existan injusticias históricas que corregir no significa que hay que destruir lo avanzado. Que sintamos orgullo… https://t.co/EBEKly2Ljr</t>
  </si>
  <si>
    <t>El presidente sin norte dando un discurso vacío ante un congreso que aplaude. Absoluta desconexión con la realidad… https://t.co/da6GO4OW2L</t>
  </si>
  <si>
    <t>Muy buena atención en la Clínica los Andes de Tunja. Ayer tuve cirugía de apéndice. Gracias a un excelente equipo p… https://t.co/QFhveFNLH9</t>
  </si>
  <si>
    <t>"Entre la independencia y la pandemia" Colombia 1810 a 2020, el libro de historia de Hernando Gómez Buendía es lec… https://t.co/iXPeudhGTd</t>
  </si>
  <si>
    <t>RT @slondonouribe: Ojo a esto!!!!!!! 👇🏻👇🏻👇🏻</t>
  </si>
  <si>
    <t>Nilo, un personaje sobrado. Hijo de la pandemia #DíaMundialDelPerro https://t.co/hF1jqpNaJK</t>
  </si>
  <si>
    <t>Nilo pensé, pero tienes razón: miedo y rabia, ni lo uno, ni lo otro. https://t.co/NLSuhZWcuM</t>
  </si>
  <si>
    <t>El Parque Explora es una expresión contundente de la Medellín que cambió de rumbo y pasó del miedo a la esperanza.… https://t.co/lX1heYFvMs</t>
  </si>
  <si>
    <t>Es un punto de encuentro alrededor de la educación, la ciencia y la innovación, que convoca a los habitantes de la… https://t.co/fmEly9C3zv</t>
  </si>
  <si>
    <t>Está ubicado en un sector que conecta territorios tradicionalmente estigmatizados que nunca se comunicaban, tiende… https://t.co/p2nUzEfYVw</t>
  </si>
  <si>
    <t>Es un sitio elegante y amable, cariñoso y alegre, con un equipo de personas entusiastas y preparadas, orgullosas de… https://t.co/tig5rZtIWJ</t>
  </si>
  <si>
    <t>Me han inventado desde que no me dejo tocar el pelo hasta que soy uribista. Hoy a las 6pm, me voy… https://t.co/YEAsTOVr5b</t>
  </si>
  <si>
    <t>Creo en el debate de ideas. Aquí abordo una cantidad infame de mentiras que se han configurado en redes y a las que… https://t.co/NjCrn1qBAp</t>
  </si>
  <si>
    <t>A diario se desacredita al contrario como si eso fuera un deber. Con lo mínimo fabrican un relato nefasto y lo repi… https://t.co/R4GMOp3Lvh</t>
  </si>
  <si>
    <t>El camino fácil e infalible: criticar a alguien repitiendo una mentira pero sabiendo que suena bien, que en redes v… https://t.co/HzIVO4TXnz</t>
  </si>
  <si>
    <t>Nuestro compromiso es manejar las redes con pulcritud, siempre acudiendo a los hechos, a las pruebas y jamás promov… https://t.co/rlJHAAtprY</t>
  </si>
  <si>
    <t>Dicté matemáticas hasta 2002 en la Universidad de Los Andes y la Nacional y espero retomar las clases en algún cole… https://t.co/nDeNaXzSbl</t>
  </si>
  <si>
    <t>Así es, Faber. Nuestro compromiso es y debe ser siempre con la verdad. Pendientes de la reconstrucción de San André… https://t.co/ZWFuagju6Y</t>
  </si>
  <si>
    <t>Tienes razón. Parte de mi reflexión estos años me ha llevado a cambiar de opinión, pues muchos fueron los colombian… https://t.co/mWEAsmz0gZ</t>
  </si>
  <si>
    <t>Diego, fíjate lo fácil que es verificar la información para no repetir mentiras. La operación Orión fue el 16 y 17… https://t.co/xFGk8Cb1sP</t>
  </si>
  <si>
    <t>RT @MirandaBogota: @sergio_fajardo ¡Buen vídeo! La política no se puede hacer con mentiras!</t>
  </si>
  <si>
    <t>RT @DPATRICIARM: @sergio_fajardo Informémonos antes de publicar cualquier noticia, eso nos ayudará a comunicar desde el conocimiento y no d…</t>
  </si>
  <si>
    <t>RT @Laura08127: @sergio_fajardo Que bueno este video. Romper el silencio y los mitos ya era necesario. Lo felicito.</t>
  </si>
  <si>
    <t>RT @sergio_fajardo: Diego, fíjate lo fácil que es verificar la información para no repetir mentiras. La operación Orión fue el 16 y 17 de o…</t>
  </si>
  <si>
    <t>RT @JFValenciaF: Tremendo cambio para bien en sus comunicaciones.</t>
  </si>
  <si>
    <t>RT @arbelaezjuanm: Increíble! El 73% de los colombianos no sabe distinguir entre una noticia falsa y una verdadera. Imagínense cuánta gente…</t>
  </si>
  <si>
    <t>RT @JuanFelipeRodr: Excelente mensaje!! Muy buen video!</t>
  </si>
  <si>
    <t>RT @lumois: Que enorme esfuerzo explicar, ante las mentiras, y sobre todo, la política rastrera. Siempre he respetado a Fajardo, creo que…</t>
  </si>
  <si>
    <t>RT @Mrestrepob: #ContraElFacilismo en las redes. Leer y pensar antes de replicar, lo mínimo. Muy buen mensaje. 🤚🏽</t>
  </si>
  <si>
    <t>RT @compromisociu: #ContraElFacilismo 🖐🏼🇨🇴</t>
  </si>
  <si>
    <t>RT @FabianPardoR: Super bien que expliques cada una de esas mentiras que abundan en redes. Puros cuentos facilistas que producen enredos y…</t>
  </si>
  <si>
    <t>Haz una tarea: en una columna pones todos los trinos que yo he escrito sobre Gustavo Petro y al lado todos los tuit… https://t.co/PSIfVTOe9n</t>
  </si>
  <si>
    <t>Así es, Angélica. La verdad y la decencia siempre salen adelante, aunque a veces se demoren. Un abrazo. https://t.co/yoJcN6NJ1w</t>
  </si>
  <si>
    <t>Gracias por tu lealtad y confianza, Mateo. Un abrazo. https://t.co/h2Ac9VPDW6</t>
  </si>
  <si>
    <t>Muchas gracias, trabajaremos fuertemente para convencerte. Un abrazo. https://t.co/IjqmXRgApk</t>
  </si>
  <si>
    <t>Edinson, lo que pasa es que a algunos solo les sirve la oposición cuando la hace Gustavo Petro, pero resulta que ha… https://t.co/D2FJOqlaQ7</t>
  </si>
  <si>
    <t>Toma tu RT. Feliz noche. https://t.co/A0VRNsU7mO</t>
  </si>
  <si>
    <t>Laura, gracias por tus palabras pero no sientas la necesidad de defenderte por opinar. Quieren convencernos de que… https://t.co/bfYUyBBpBA</t>
  </si>
  <si>
    <t>Me conmueve tu elegancia, toma tu RT. Feliz noche. https://t.co/gERVLkUqQH</t>
  </si>
  <si>
    <t>Las propuestas son públicas, igual que el proceso de la Contraloría. Acá te mando un link para que las consultes… https://t.co/53RNRwJWUD</t>
  </si>
  <si>
    <t>John, ojalá leas en qué terminó ese proceso en la Procuraduría para que te des cuenta de lo fácil que es replicar y… https://t.co/kpA1jJ0mw2</t>
  </si>
  <si>
    <t>Te equivocas, Dani. Solo son 65. https://t.co/wgdXfHJE7p</t>
  </si>
  <si>
    <t>Gracias por tu amabilidad y respeto siempre. Podemos tener diferencias pero siempre las podremos tramitar bajo el r… https://t.co/IwFBeWi3ni</t>
  </si>
  <si>
    <t>Nataly, ojalá leas con atención la manera en la que te refieres a nosotros. Jamás nos referiríamos nosotros a los j… https://t.co/RvfkGs6WpA</t>
  </si>
  <si>
    <t>RT @Jorgebta: Fajardo hablando claro y concreto. No coma tanto cuento, que abunda en redes, más bien vea el video. #ContraElFacilismo</t>
  </si>
  <si>
    <t>Mientras tanto, el CM de Fajardo: Saludos desde Boyacá. https://t.co/oKebigYGPN https://t.co/OqXbtsIqo2</t>
  </si>
  <si>
    <t>Tus palabras me enorgullecen, gracias por compartirlo conmigo. https://t.co/vCKxENpB3O</t>
  </si>
  <si>
    <t>No hay problema. Muchas gracias por la decencia. https://t.co/hjPQJsf33w</t>
  </si>
  <si>
    <t>RT @ricardoeslava: Algo larga, pero una buena pieza para cambiarle el tono a la conversación política. Anótese un punto @sergio_fajardo htt…</t>
  </si>
  <si>
    <t>RT @ANMACAPI23: .@sergio_Fajardo demuestra con sensatez y a la altura con su transparencia. Todos vamos #ContaElFacilismo Felicitaciones…</t>
  </si>
  <si>
    <t>RT @MateoFierro: #ContraElFacilismo está buenísimo Con toda Checho Ahora quedo a la espera del video de hidroituango https://t.co/iWOi6KvFo6</t>
  </si>
  <si>
    <t>Toda la verdad sobre Hidroituango aparecerá en un próximo capítulo. https://t.co/hwqoNVZSkN</t>
  </si>
  <si>
    <t>Gracias, Catalina. En eso nos diferenciamos de los demás: el fin no justifica los medios. Un abrazo. https://t.co/RwPPDNrXmk</t>
  </si>
  <si>
    <t>Julián, gracias por tus palabras, me llenan de orgullo y de responsabilidad por conservar tu confianza. Un abrazo. https://t.co/GsPbqkNQxV</t>
  </si>
  <si>
    <t>RT @MiAprendo: @sergio_fajardo #ContraElFacilismo Los extremos se alimentan del odio y la mentira, quienes no creemos en eso sabemos que l…</t>
  </si>
  <si>
    <t>Muchas gracias Miguel. Feliz noche! https://t.co/rw8bfofrpg</t>
  </si>
  <si>
    <t>Reconciliación y construcción de confianza, tenemos esa tarea. Gracias por las palabras! #ContraElFacilismo https://t.co/IDBbU0PxyZ</t>
  </si>
  <si>
    <t>¿Y todavía tienes la supuesta prueba que te enviaron? Solo por curiosidad. Saludos! https://t.co/LUyJ18FrlX</t>
  </si>
  <si>
    <t>Hay de todo Nicolás. Mucho odio, muchas mentiras, pero también gente muy valiosa dispuesta a conversar y a construi… https://t.co/e8cMA3hY3C</t>
  </si>
  <si>
    <t>Hombre tocayo muy generoso todo lo que dices. Un abrazo y que lo disfrutes! https://t.co/y7uA72Jiyu</t>
  </si>
  <si>
    <t>Hay que aprender y mejorar siempre. Saludos Isabella! #ContraElFacilismo https://t.co/XfL2BhMvmQ</t>
  </si>
  <si>
    <t>Nunca en mi vida me he reunido con el señor que usted menciona. https://t.co/RtddY31xHB</t>
  </si>
  <si>
    <t>Le reitero: nunca me he reunido con el señor que usted menciona. Conozco el caso que señala y es falso que me haya… https://t.co/qr48yf0yUT</t>
  </si>
  <si>
    <t>Para completar recomiendo leer página 101 de mi libro El Poder de la Decencia donde desvirtúo ese cuento. https://t.co/FGQiJWVD0x</t>
  </si>
  <si>
    <t>Para usted y para todos: acá está bien explicado el episodio. No podemos seguir aceptando las acusaciones infundada… https://t.co/42xU1l0zI1</t>
  </si>
  <si>
    <t>RT @MabelLaraNews: Ese matoneo que se lee por aquí contra las mujeres, en todos los escenarios de la vida pública ¿Qué? No nos bajan de pro…</t>
  </si>
  <si>
    <t>Aunque algunos crean que tengo nuevo CM, la verdad es que estoy encantado con Twitter. Quiero revivir la vieja trad… https://t.co/FBUTFNvS6a</t>
  </si>
  <si>
    <t>@ZulmaCucunuba de Boyacá. Algo bueno que nos deja la pandemia es el reconocimiento sobre la importancia que debe ju… https://t.co/K5nHwXBtra</t>
  </si>
  <si>
    <t>@juancarperez de los Llanos. Doctor en ingeniería que está haciendo su posdoctorado en California, siempre respetuo… https://t.co/hLCHt0awNI</t>
  </si>
  <si>
    <t>@DanielDuqueV y @Davalho de Medellín. Dos concejales que están haciendo un trabajo clave para proteger la ciudad.</t>
  </si>
  <si>
    <t>@tripleCIbarguen de Urabá. Hoy llevó nuestra bandera y siempre la deja en alto. Sin duda nos seguirá llenando de or… https://t.co/dsiEtwZhh3</t>
  </si>
  <si>
    <t>RT @WWFColombia: Por casi 15 años el @ParqueExplora se ha dedicado a la divulgación científica a través de la creatividad, el aprendizaje y…</t>
  </si>
  <si>
    <t>RT @esteban_usuga: @DanielSamperO @AnaSofiaBell @danielduquev @AngelicaLozanoC @JuanitaGoe @sergio_fajardo @CamiloCalleO @ArielAnaliza Con…</t>
  </si>
  <si>
    <t>La zona de Ituango necesita urgente atención humanitaria. El desplazamiento forzado por causa de la violencia, suma… https://t.co/YNKbrgE1Et</t>
  </si>
  <si>
    <t>RT @CiudadanoTolima: Hoy sábado fue el 1° Encuentro Presencial de Bienvenida Voluntarios del Tolima, tuvimos la oportunidad de escucharlos…</t>
  </si>
  <si>
    <t>RT @OlimpicoCol: ¡Plata para Colombia! 🥈🇨🇴 Luis Javier Mosquera @luisjavierhd16 le regala a Colombia la primera medalla de plata en los J…</t>
  </si>
  <si>
    <t>A menudo me preguntan si vale la pena meterse a la política, un mundo desprestigiado. Mi respuesta es siempre: Sí v… https://t.co/EowhiqtwLl</t>
  </si>
  <si>
    <t>Seres llenos de talentos y sueños que solo necesitan oportunidades para construirse una vida digna. No me arrepient… https://t.co/5g2oJJw3vL</t>
  </si>
  <si>
    <t>Gracias por estos mensajes. Nos llenan de aliento. Nos metimos a la política por perseguir unos sueños, goberné con… https://t.co/y2njFW4V4B</t>
  </si>
  <si>
    <t>RT @matecastano: @sergio_fajardo En 2008 hice parte de Olimpiadas del Conocimiento. Llegué a semifinales y fui unos de los 25 mejores estud…</t>
  </si>
  <si>
    <t>RT @literlandweb1: "El truco es volverse fuerte de corazón sin perder la ternura del alma". Julio Cortázar https://t.co/yWcnn7X8z7</t>
  </si>
  <si>
    <t>RT @UranRigoberto: Listos para la cronómetro de los Juegos Olímpicos https://t.co/dydTVnTx1r</t>
  </si>
  <si>
    <t>Murió Rafael Ardila. Un santandereano extraordinario. Nos hará mucha falta!. QEPD</t>
  </si>
  <si>
    <t>RT @CamiloCalleO: Decidimos levantar nuestro debate de #SuroesteSinMineria es una vergüenza que la @asambleadeant no priorice un tema de in…</t>
  </si>
  <si>
    <t>RT @compromisociu: Lamentamos el fallecimiento de Rafael Ardila Duarte, reconocido empresario santandereano y miembro de Compromiso Ciudada…</t>
  </si>
  <si>
    <t>RT @esteban_usuga: #SOSItuango Desplazamiento, damnificados por ola invernal, desabastecimiento y sin vía de acceso. https://t.co/v9Py9U0s3E</t>
  </si>
  <si>
    <t>La violencia deja ya más de 4000 desplazados en Ituango, que es hoy una muestra de lo que ha podido ser el Acuerdo… https://t.co/QJaTqRQDke</t>
  </si>
  <si>
    <t>No solo mantuvimos un diálogo permanente con las comunidades, sino que implementamos presupuestos participativos en… https://t.co/cZQCha75xF</t>
  </si>
  <si>
    <t>Trabajamos de la mano de las comunidades y construimos confianza en un territorio donde no existía. Es mezquino rep… https://t.co/PJ9pmn2qJY</t>
  </si>
  <si>
    <t>La presencia que se requiere urgente en la zona es la del Estado y sus instituciones, que pueden garantizar que lo… https://t.co/A5RmSDZbD4</t>
  </si>
  <si>
    <t>Claro ejemplo de crítica facilista. Hace 6 años que no soy gobernador pero aun así parezco ser el responsable de lo… https://t.co/bNHzzcyeqh</t>
  </si>
  <si>
    <t>El proyecto que llamas 'presa inviable' no solo será clave para asegurar la autosuficiencia energética del país, si… https://t.co/tEgiXEHbD7</t>
  </si>
  <si>
    <t>Gracias, Esteban. Te mando un abrazo y espero que Ituango supere pronto la situación que atraviesa y que no se mere… https://t.co/5lwS5upz3n</t>
  </si>
  <si>
    <t>RT @compromisociu: Cúcuta será el próximo destino de la @CoaliEsperanza para seguir conversando con la gente y escuchar sus reclamos e idea…</t>
  </si>
  <si>
    <t>Querido César, gracias por tus preguntas, siempre bien intencionadas. No es realista creer que un proyecto de las d… https://t.co/qyGnuVAEhi</t>
  </si>
  <si>
    <t>Cuando llegué a la Gobernación, en 2012, el proyecto ya estaba estructurado y en marcha. De hecho, existía ya un Es… https://t.co/2otROBOtUv</t>
  </si>
  <si>
    <t>A través de ese plan, con presupuestos participativos con más de 17mil personas, realizamos una inversión social de… https://t.co/1zNYT9DhXH</t>
  </si>
  <si>
    <t>A pesar de la contingencia de 2018, Hidroituango es un proyecto clave para la autosuficiencia eléctrica del país. P… https://t.co/Qg1DzegkYP</t>
  </si>
  <si>
    <t>Pasteles de garbanzo, Impresionantes. La Dacha en Cúcuta, paso obligado. Feliz jueves! https://t.co/7Tx7UVV4JP</t>
  </si>
  <si>
    <t>RT @AngelicaLozanoC: El miedo y la rabia movilizan la política y dominan twiter. No serán las emociones tristes las que gobiernen a Colombi…</t>
  </si>
  <si>
    <t>La situación en Necoclí es insostenible. La demora del Estado en hacer presencia y atender la población en las regi… https://t.co/72ygWG2PBn</t>
  </si>
  <si>
    <t>RT @CoaliEsperanza: La @CoaliEsperanza está en Norte de Santander. 👉 Declaración conjunta acerca de las relaciones bilaterales con Venezuel…</t>
  </si>
  <si>
    <t>RT @slondonouribe: Los rápidos y furiosos señaladores de @sergio_fajardo y la Gob 2012-2015 no conocieron la Asociación de Campesinos de It…</t>
  </si>
  <si>
    <t>RT @pcolmenares: Es tan fácil encontrar pruebas de las muchas visitas que hizo el profe @sergio_fajardo a #Ituango , no hay ni que buscar m…</t>
  </si>
  <si>
    <t>La tarea es convocar a todo aquel que quiera estar por fuera del miedo y de la rabia, el centro político que llaman… https://t.co/vFQMEd4lvP</t>
  </si>
  <si>
    <t>Es profundamente injusto que todo lo que se oye hoy sobre Norte de Santander es negativo: violencia, clanes, corrup… https://t.co/TZJLJD8Wci</t>
  </si>
  <si>
    <t>Teatro las Cascadas. Un cierre muy agradable a nuestra visita en Cúcuta con la @CoaliEsperanza. Hay que quitarles l… https://t.co/EzoY8rjpZB</t>
  </si>
  <si>
    <t>Tu también en el facilismo Julián? Toma tu RT. Si alguna vez quieres de verdad entender las cosas con mucho gusto t… https://t.co/Miyt2SbkpF</t>
  </si>
  <si>
    <t>RT @NoticiasCaracol: #Atención | Mariana Pajón 🇨🇴 llegó segunda en la manga dos y se clasificó a la final del BMX a falta de la tercera se…</t>
  </si>
  <si>
    <t>Gustavo: Fauci dijo que los vacunados, una vez infectados con la variante delta, pueden trasmitir el virus, y recom… https://t.co/gZMr65lyVM</t>
  </si>
  <si>
    <t>Susana, tener oficina no es ningún delito. De hecho, si llegas al Congreso, tendrás una. Mi intención es clara: hab… https://t.co/lC22KO1sNU</t>
  </si>
  <si>
    <t>Ojalá la justicia les sirviera tanto cuando absuelve como cuando acusa. Aunque canse la mentira y la ligereza, siem… https://t.co/2pFuCZ1BDG</t>
  </si>
  <si>
    <t>Entiendo el punto, Rebeca. De hecho, ayer lo expliqué públicamente acá en Twitter, igual que lo he hecho ante la Co… https://t.co/CexC9m9fCh</t>
  </si>
  <si>
    <t>Gracias por tu solidaridad, Juan Ricardo. Coincido en que esta red permite conocer y seguir a gente magnífica, y ta… https://t.co/QfLaZYLhFx</t>
  </si>
  <si>
    <t>RT @LuisFerMejia: Se está materializando unos de los grandes riesgos que habíamos identificado este año: crecimiento sin recuperación del e…</t>
  </si>
  <si>
    <t>Antes de irnos al fin de semana, acá está mi #FF. Voy con 6 personas recomendadas por interesantes, rigurosas y res… https://t.co/rX5fYPtYbA</t>
  </si>
  <si>
    <t>2. @riveraalzate, concejal de Bogotá que está cambiando la forma de hacer política. 3. @JorgeGalindo, el señor de… https://t.co/7rxElBkVyf</t>
  </si>
  <si>
    <t>5. @esteban_usuga, habitante de Ituango que desde allá nos cuenta qué pasa en la zona. 6. @CamiloCalleO, que desde… https://t.co/s4kMidIVmG</t>
  </si>
  <si>
    <t>Para leer pronto: "Paraísos en el mar" de Adolfo Zableh Durán. Original, paradójico, divertido y doloroso. Se los r… https://t.co/adXd6Hyvkj</t>
  </si>
  <si>
    <t>Facilismo, pereza intelectual en algunos casos; en otros simple estrategia de miedo, Alejandro. No les importa acab… https://t.co/o7S2B2c45M</t>
  </si>
  <si>
    <t>No tenemos simpatía alguna por el gobierno de Maduro, pero el mal manejo que el gobierno nacional le ha dado a la r… https://t.co/trd6SafJCt</t>
  </si>
  <si>
    <t>Señor Fiscal: nunca lo he atacado o insultado. Ningún rumor me saca de mi respeto por la justicia. Solo reitero: re… https://t.co/10xGd6Ftkv</t>
  </si>
  <si>
    <t>Nadie debería agredirse en nombre de nosotros los políticos. Debemos ser capaces de reflejar mejores formas de solu… https://t.co/FbqKRYxZ03</t>
  </si>
  <si>
    <t>Diana, tienes razón en que no somos enemigos. En el video reitero mi creencia profunda en que podemos ser diferente… https://t.co/4GYYz6lsX4</t>
  </si>
  <si>
    <t>Cindy, como reitero en el video y he dicho en muchas oportunidades, yo no considero a quien piensa distinto como mi… https://t.co/DtEzbjUcHc</t>
  </si>
  <si>
    <t>@CamiloPedreros3 @ClaudiaLopez Hola Camilo, ¿te animas a que parchemos y hablemos respetuosamente de nuestras diferencias? Quedo pendiente.</t>
  </si>
  <si>
    <t>@DanielRMed ¿Te le mides a parchar y conversar respetuosamente sobre nuestras diferencias, Daniel? Me avisas.</t>
  </si>
  <si>
    <t>@Monyrica Mónica, te invito a que te animes a que hablemos, siempre desde el respeto y la decencia. Si te animas me… https://t.co/JrwclzUKXP</t>
  </si>
  <si>
    <t>@OSCARCUELLAR Óscar, he visto que respondes con frecuencia mis trinos con opiniones contrarias. ¿Te le medirías a p… https://t.co/ObpcHxVfzq</t>
  </si>
  <si>
    <t>@XimenaGQ77 @VLADDO Hola Ximena. La idea es parchar un día con uno de una tendencia y otros día con alguien de la otra. Ojalá te animes.</t>
  </si>
  <si>
    <t>@DanielRMed Listo, esta semana elegiremos aleatoriamente y te avisamos. Muchas gracias por el respeto.</t>
  </si>
  <si>
    <t>@OSCARCUELLAR Perfecto, Óscar. Esta semana elegiremos entre los interesados y te avisaremos. Gracias por el respeto. Feliz noche.</t>
  </si>
  <si>
    <t>@fidelingo Hola Fidel, gracias por el interés. Esta semana elegiremos y te avisamos. Feliz noche.</t>
  </si>
  <si>
    <t>Nataly, ojalá aceptaras la invitación. En este país necesitamos entender que, por distintos que seamos y por opuest… https://t.co/aziO8AnLN2</t>
  </si>
  <si>
    <t>@EsOperation7 Pendiente a si aceptas la invitación a hablar en el marco del respeto. Feliz noche.</t>
  </si>
  <si>
    <t>@SaulJaimes Claro, Saúl. Gracias por el interés. Me gustaría mucho conversar contigo. Esta semana elegiremos entre… https://t.co/DU0ROUiC77</t>
  </si>
  <si>
    <t>@boris_falla Boris, ¿te interesa hablar respetuosamente sobre nuestras diferencias, o solo insultar en redes? Quedo… https://t.co/l5ZExp7rcI</t>
  </si>
  <si>
    <t>RT @juancarperez: Muy bien, excelente iniciativa para que a partir del diálogo logremos construir una sociedad mejor. #ParchandoConElEnemi…</t>
  </si>
  <si>
    <t>RT @cataortizco: Muy bien @sergio_fajardo. ¡Qué buen parche! Y así con pequeñas acciones mostramos que es posible hacer política de otra ma…</t>
  </si>
  <si>
    <t>@PalmaEdwin Gracias por el interés, Edwin. Esta semana haremos la selección aleatoria y te avisamos. Feliz noche.</t>
  </si>
  <si>
    <t>Tienen razón, no me voy a graduar de terco. Mejor #ParchandoConElContradictor, gracias por proponerlo. ¿Quién se an… https://t.co/pk3fRbDnXp</t>
  </si>
  <si>
    <t>Vamos a revisar y reeditar el vídeo, pero el objetivo de la invitación es el mismo: poder dejar de lado las agresio… https://t.co/1K9FROh4YZ</t>
  </si>
  <si>
    <t>Aquí se corrige y se reciben siempre propuestas. Así quedó la actividad: #ParchandoConElContradictor. ¿Quién se le… https://t.co/EHDp7g8Gp3</t>
  </si>
  <si>
    <t>RT @JoseA_Ocampo: I receive this nomination with great pride and willingness to support this great Institution</t>
  </si>
  <si>
    <t>Qué bueno regresar a Medellín y esta vez junto a la @CoaliEsperanza. Vamos a conversar con la gente, entender mejor… https://t.co/Kek9e3JzE8</t>
  </si>
  <si>
    <t>Estuvimos en Cúcuta, un buen ejemplo del daño que hace la mezquindad política. Declarar guerras verbales contra Mad… https://t.co/lZ23AVE6Lh</t>
  </si>
  <si>
    <t>RT @CaracolRadio: #Opinión "Hablaré hoy del odio, esa bestia que llevamos dentro y que, como el hombre lobo de las viejas leyendas, brota c…</t>
  </si>
  <si>
    <t>Desde Medellín, le damos la bienvenida en la @CoaliEsperanza al @PartidoASI_. https://t.co/M4d2bk5xlB</t>
  </si>
  <si>
    <t>Una entidad que en un año tiene 4 directores es una entidad enferma. El programa Buen Comienzo está en ruinas y no… https://t.co/4j06yvuE4Y</t>
  </si>
  <si>
    <t>Lo de anoche en El Campín es una vergüenza para el país, pero no es coyuntural. Hace parte de los problemas de nues… https://t.co/DpYlsTAJRi</t>
  </si>
  <si>
    <t>RT @CaracolRadio: Hoy en Hora 20-22, Hora de Elecciones con @DianaCalderonF Capítulo 4: La coalición de la esperanza Hoy con: Humberto d…</t>
  </si>
  <si>
    <t>Termina nuestro primer día de reuniones y encuentros con la gente en Medellín junto a la @CoaliEsperanza. Es emocio… https://t.co/jTXUYDduwt</t>
  </si>
  <si>
    <t>RT @CamiloCalleO: A mí me tocaron las #OlimpiadasDelConocimiento, no recuerdo una mejor expresión de la defensa de la Educación en la socie…</t>
  </si>
  <si>
    <t>RT @afajardoa: El instante que más me gustó fue en la recta final cuando Zambrano aprieta los dientes. Desde ahí, remonta. Luego, escuchand…</t>
  </si>
  <si>
    <t>RT @riveraalzate: 🚨 Presuntas irregularidades en el Programa de Alimentación Escolar -PAE en Bogotá, que conocimos gracias a la @Contralori…</t>
  </si>
  <si>
    <t>Con el Nuevo Liberalismo, la Corte Constitucional le entrega al país la posibilidad de consolidar un partido políti… https://t.co/OdpCEnVsZP</t>
  </si>
  <si>
    <t>RT @kikepinerospaz: En @compromisociu somos parte de una alianza que busca guiar a los jóvenes bolivarenses en su camino hacia los Consejos…</t>
  </si>
  <si>
    <t>En medio de tantas agresiones, un abrazo de estos siempre cae bien. #ChicaniandoConFajardo https://t.co/ggbxpuU5b4</t>
  </si>
  <si>
    <t>Después de una buena semana en Medellín y Antioquía, les dejo mis 5 cuentas recomendadas para el #FF de hoy. Espero… https://t.co/KLd0oIpRmH</t>
  </si>
  <si>
    <t>- @maria_mimia: buenas recomendaciones literarias. - @CarlosFGalan y @juanmanuelgalan: a quienes felicito por fallo… https://t.co/I1mPkrOEuu</t>
  </si>
  <si>
    <t>RT @ByronBerrio: #ChicaniandoConFajardo en su gobernación 30 mil personas participamos de la elección de los consejos departamentales de la…</t>
  </si>
  <si>
    <t>‘Inmunidad mental’ https://t.co/VTNRdA1Fsc</t>
  </si>
  <si>
    <t>Yo recuerdo que el @jbotanicomed lo encontramos en ruinas, a duras penas sobrevivía. El parqueadero “era” de un com… https://t.co/MeJNIwa2cP</t>
  </si>
  <si>
    <t>En "Medellin la más educada" la palabra educación se convirtió en la palabra más querida. Llenamos de educación la… https://t.co/u6pUgymqgh</t>
  </si>
  <si>
    <t>Recuerdo la primera Ludoteca. Es la que aparece en la foto. La comunidad no se la creía: "¿esta elegancia para noso… https://t.co/Zd4KLsAh2F</t>
  </si>
  <si>
    <t>Las becas de EPM eran para Medellín. En la Gobernación de Antioquia continuamos con las becas de excelencia financi… https://t.co/bF4lxZ3ndA</t>
  </si>
  <si>
    <t>Declaración de la @CoaliEsperanza sobre los 3 años del gobierno de Iván Duque. https://t.co/ddk0QelMeM</t>
  </si>
  <si>
    <t>¿Guiño de Duque? Un halago no recibirlo</t>
  </si>
  <si>
    <t>Mauricio García V: siempre sensato. 👍😉 Sobre cómo clasificar a los políticos | EL ESPECTADOR https://t.co/ImtO4rJeup</t>
  </si>
  <si>
    <t>RT @CoaliEsperanza: #ATENCIÓN La #CoaliciónDeLaEsperanza pedirá investigar al presidente @IvanDuque por participación indebida en política.…</t>
  </si>
  <si>
    <t>RT @afajardoa: La columna sobre el Nuevo Liberalismo. No es cierto que resucitó. Una cosa es recuperar un nombre con aval legal, otra es q…</t>
  </si>
  <si>
    <t>Jajaja, apenas entro a Twitter y veo que soy el meme del día por cerrar 5 segundos los ojos. ¡Bien ganado! Este es… https://t.co/fja5ZNYpl9</t>
  </si>
  <si>
    <t>RT @JoseA_Ocampo: En esta columna hago algunas propuestas de cómo mejorar el proyecto de reforma tributaria actual. Y presento elementos es…</t>
  </si>
  <si>
    <t>¿Gustavo, es este un nuevo acertijo lógico? Atentos a las explicaciones de algunos de tus intérpretes. https://t.co/L8yaEe8Xtg</t>
  </si>
  <si>
    <t>RT @CaracolRadio: #Opinión "Señora Ministra está perdiendo usted la señal, no solo la de internet" Gustavo Gómez https://t.co/1LkRi0FMUJ ht…</t>
  </si>
  <si>
    <t>Estos son los efectos de la rabia. Empieza con el lenguaje violento y no sabemos dónde termina. Lo aterrador es que… https://t.co/PuKlWffzQR</t>
  </si>
  <si>
    <t>Estos hechos son doblemente inaceptables. El dinero no aparece y los computadores de los estudiantes de áreas rural… https://t.co/HCaaikDOw4</t>
  </si>
  <si>
    <t>Decidí contestarle a Petro en Twitter y siempre de forma amable. Estoy más activo en mis redes sociales sin dejar d… https://t.co/K8YflI29ke</t>
  </si>
  <si>
    <t>Más de 350 personas han manifestado interés en #ParchandoConElContradictor. Emocionante. Incluso algunos me han esc… https://t.co/D2mO6WzCJh</t>
  </si>
  <si>
    <t>Pd. Si a usted también le da algo de pena postularse, mi DM sigue abierto. Feliz noche.</t>
  </si>
  <si>
    <t>Nunca en mi vida he cometido un delito, y he respondido siempre a todas las instancias de la justicia por mi compor… https://t.co/e31FnIiu2g</t>
  </si>
  <si>
    <t>RT @JohannaRoperoA: El sancocho e' mondongo y las coteñitas van a estar buenísimas con este cipote e' COMBO BACANO, circulatorio de amistad…</t>
  </si>
  <si>
    <t>Las alarmas eran muchas desde diciembre. Las irregularidades son evidentes. Ya llegarán las decisiones penales, per… https://t.co/TaWDKb8erl</t>
  </si>
  <si>
    <t>Mi solidaridad con la familia del policía asesinado hoy en Bogotá. La inseguridad en ciudades está desbordada y la… https://t.co/dd1RHOJZ5z</t>
  </si>
  <si>
    <t>RT @ANDI_Colombia: Continúa el Congreso de la ANDI #CECAndi 2021. Hoy los temas de desarrollo sostenible, #capitalismoconsciente y superaci…</t>
  </si>
  <si>
    <t>RT @ANDI_Colombia: Interviene a esta hora @sergio_fajardo, precandidato a la Presidencia de Colombia 2022-2026, en el 6° #CECAndi. Siga la…</t>
  </si>
  <si>
    <t>RT @BruceMacMaster: Iniciamos las presentaciones de precandidatos presidenciales del día de con en el 6º #CECAndi con @sergio_fajardo Esas…</t>
  </si>
  <si>
    <t>El desarrollo rural es una tarea inaplazable para este país. Si no aclaramos la propiedad de la tierra, no vamos a… https://t.co/51cIp1KZSF</t>
  </si>
  <si>
    <t>El estallido social que vimos en Colombia tiene una voz joven, una voz desesperanzada, llena de incertidumbres. Nec… https://t.co/BxSgpoucpI</t>
  </si>
  <si>
    <t>Tenemos retos grandes: pasar de exportar del 11.5% al 15%, el sector industrial debe pasar del 12% del PIB al 15% d… https://t.co/PQ3J3SwTsH</t>
  </si>
  <si>
    <t>Desde el mundo de la educación tenemos que entender la construcción de una nueva generación rural. Cómo logramos di… https://t.co/dvrjtOvSw5</t>
  </si>
  <si>
    <t>Felicitaciones a nuestros estudiantes y a sus profesores. En la Universidad Nacional tenemos una gran selección Col… https://t.co/heBU3WnQlH</t>
  </si>
  <si>
    <t>Encuesta Invamer: contento. Van 3 años seguidos de ataques, llenos de mentiras, en mi contra. Contuvimos la caída.… https://t.co/aJB1aOmqV3</t>
  </si>
  <si>
    <t>Una política hecha entre el miedo y la rabia jamás podrá unir a un país. Colombia va a cambiar eso en 2022 para tra… https://t.co/EoMe1Srzqm</t>
  </si>
  <si>
    <t>RT @Compromisarias: Hoy estuvimos presentando nuestro plan de acción a @sergio_fajardo, desde un camino construido durante años, con un tra…</t>
  </si>
  <si>
    <t>RT @PaoHerreraC: Buenoooo, empezaron las intimidaciones 😩😩😩. Por eso es que en este país es muy difícil denunciar</t>
  </si>
  <si>
    <t>Logramos contener la caída. Buen síntoma. Hemos aprendido que lo único que está en nuestras manos es seguir trabaja… https://t.co/MVQ5FuB4M5</t>
  </si>
  <si>
    <t>Mi #FF de hoy va para: @Compromisarias, unas mujeres inspiradoras de quienes aprendo todos los días.… https://t.co/DHWrDnl31m</t>
  </si>
  <si>
    <t>¿Irse de puente con 70 mil millones embolatados? #QuéHueso ¿Qué más nos faltó? https://t.co/derAv2mWQf</t>
  </si>
  <si>
    <t>#quéhueso la condena a Epa Colombia. #NuestraJusticiaEs selectiva. Feliz puente! https://t.co/w0q6Cfmkoo</t>
  </si>
  <si>
    <t>Además de la lucha contra la corrupción y la educación, que siempre estarán en el centro de mis propuestas, este pa… https://t.co/ZNlPlFCHbt</t>
  </si>
  <si>
    <t>Está servida la oportunidad de vencer el miedo y la rabia. Ahí va la @CoaliEsperanza, poco a poco empezará a emocio… https://t.co/owzHNmqJdf</t>
  </si>
  <si>
    <t>@AwakeColombia @CoaliEsperanza A mimir https://t.co/hAfUhL41ql</t>
  </si>
  <si>
    <t>@DanielSamperO Ahí te dejo la actitud Fajardo. Saludos Danny https://t.co/hAfUhL41ql</t>
  </si>
  <si>
    <t>Lamento la muerte de Carlos Ardila Lülle, un hombre que se abrió camino generando empleo y creando empresa. Paz en… https://t.co/Tca8vALTEZ</t>
  </si>
  <si>
    <t>Guardado. Un abrazo, Angélica! https://t.co/1QmmbDMgqI</t>
  </si>
  <si>
    <t>Tomada la recomendación. El siguiente irá por ese camino. Abrazo! https://t.co/4q57ie82Cn</t>
  </si>
  <si>
    <t>RT @julianauribe: @sergio_fajardo #QueHueso la falta de independencia y agilidad de los entes de control para investigar y juzgar con propo…</t>
  </si>
  <si>
    <t>Gracias Paulina. Un abrazo! https://t.co/iS81ydqu9Y</t>
  </si>
  <si>
    <t>Gracias Camilo. Pa’ lante! https://t.co/REyMY1kiOl</t>
  </si>
  <si>
    <t>RT @yamidsamedina: Vale la pena ver este análisis de lo que pasa en Colombia</t>
  </si>
  <si>
    <t>Mi invitación a los jóvenes es a ser protagonistas de la política ya, no esperar. El estallido social es la manifes… https://t.co/VewuQNMyHs</t>
  </si>
  <si>
    <t>RT @adolfospina: @QuinteroCalle por segunda vez en la historia de los maestros municipales su administración se retrasa con lo pagos. Nunc…</t>
  </si>
  <si>
    <t>Uno de los libros más bellos y tristes que leído en mi vida https://t.co/KbSCylD6Za</t>
  </si>
  <si>
    <t>Propongo: reconocer la autoridad moral del Padre @FranciscoDeRoux, dejar a un lado los sesgos personales, confiar… https://t.co/msMUk4BNJW</t>
  </si>
  <si>
    <t>De acuerdo con el editorial de @elespectador. “Escuchar de manera atenta y responsable es el compromiso ético de l… https://t.co/BnlPq4o4oq</t>
  </si>
  <si>
    <t>RT @C_CaballeroR: Cuando el Presidente @IvanDuque pronunció estas palabras ya se sabía que la conectividad de los colegios solo se había cu…</t>
  </si>
  <si>
    <t>Les invito a participar mañana a las 6:00 p.m. en este encuentro nacional de voluntarios, donde hablaremos del país… https://t.co/U0vqIHiCbg</t>
  </si>
  <si>
    <t>Feliz cumpleaños, querida @MabelLaraNews. Espero que estés muy celebrada hoy y te deseo muchos años más de periodismo riguroso. Un abrazo.</t>
  </si>
  <si>
    <t>RT @danielduquev: Quieren que a las carreras aprobemos la venta de UNE, aunque no nos dicen en detalle cuáles son los sobrecostos de Hidroi…</t>
  </si>
  <si>
    <t>Pronto estaré en Medellín y en Barranquilla conversando con @eddmarsan y con @andressibarra1. Estaremos… https://t.co/h7q7DFt5Av</t>
  </si>
  <si>
    <t>Querida @ClaudiaLopez, no puedo estar de acuerdo con esta medida, abiertamente xenófoba. Como colombianos, hemos su… https://t.co/NBvnuNCfRh</t>
  </si>
  <si>
    <t>RT @Andressibarra1: Gracias Sergio por elegirme! Estoy seguro que tendremos una charla muy nutritiva desde nuestras diferencias políticas.</t>
  </si>
  <si>
    <t>Amaranto Perea es, por encima de todo, una gran persona. Un señor ejemplar. Los hinchas del DIM lo esperamos en un… https://t.co/uLGcTjRuns</t>
  </si>
  <si>
    <t>La gestión del alcalde Ospina fue y sigue siendo lamentable. Se raja en casi todos los frentes como para darse el l… https://t.co/vlVkQKiYsQ</t>
  </si>
  <si>
    <t>¿Qué más tiene que revelar @PaoHerreraC para que renuncie la ministra Abudinen o para que el presidente actúe? Inso… https://t.co/oE5UiNfOnx</t>
  </si>
  <si>
    <t>RT @MantillaIgnacio: Hoy a las 6:30 p. m. en la Feria Internacional del Libro de Bogotá se llevará a cabo el lanzamiento de mi libro. Duran…</t>
  </si>
  <si>
    <t>RT @DavidAragonP: #FirmeConFajardo Ganaremos con respeto, sabiendo que todos tienen espacio y valen.</t>
  </si>
  <si>
    <t>RT @Edwin_MoraGomez: Esto está creciendo, va tomando forma y pinta bien para las próximas elecciones. Por eso yo estoy #FirmeconFajardo htt…</t>
  </si>
  <si>
    <t>RT @kikepinerospaz: Casi 300 voluntarios conectados en el inicio del Encuentro Nacional de Voluntarios de @compromisociu @sergio_fajardo. D…</t>
  </si>
  <si>
    <t>Yo también estoy #firmeconFajardo. Encuentro nacional de voluntarios. 😁👍</t>
  </si>
  <si>
    <t>RT @AVallejoArias: Con la misma convicción de siempre, nos encontramos personas de todo Colombia que soñamos con un país sin violencia, sin…</t>
  </si>
  <si>
    <t>RT @AlvaroCastr0: ¡Aquí estamos #FirmeConFajardo! Encuentro de la Red Nacional de Voluntarios con @sergio_fajardo https://t.co/wh2SQnHCCu</t>
  </si>
  <si>
    <t>RT @NataGM: Con en hermoso anochecer por aquí sigo #FirmeConFajardo. https://t.co/fSE8GLY1Qr</t>
  </si>
  <si>
    <t>RT @EliCrH: #FirmeConFajardo en esta tardecita del jueves, seguimos trabajando en la construcción de este sueño de Esperanza! @sergio_fajar…</t>
  </si>
  <si>
    <t>RT @saavedra_diego: Pocas personas han logrado en sus administraciónes lo que @sergio_fajardo logró como Alcalde de Medellín y gobernador d…</t>
  </si>
  <si>
    <t>RT @AnaMDiazC: Sigo creyendo que el país necesita opciones de centro, lejos de los extremos, de la polarización y de los discursos de odio…</t>
  </si>
  <si>
    <t>RT @SandovalMCamila: Yo estoy #FirmeConFajardo . Ha sido la persona que me inspiró a vencer la apatía y creer en que con la política si se…</t>
  </si>
  <si>
    <t>RT @DPATRICIARM: Las mujeres liderando la transformación #FirmeConFajardo @sergio_fajardo @Compromisarias</t>
  </si>
  <si>
    <t>RT @AlejaValek: @Compromisarias construyendo nuevas realidades y oportunidades gracias al respeto y la escucha de un proceso colectivo hone…</t>
  </si>
  <si>
    <t>Esta semana, mi #FF va para cuatro jóvenes que, cada uno desde su orilla, trabajan por un mejor país y luchan… https://t.co/5yA4DsGIQ6</t>
  </si>
  <si>
    <t>Para empezar la semana 2 libros para tener a la mano y leer pronto: Etica Cosmopolita de Adela Cortina y El reino d… https://t.co/MXWkxh4dGj</t>
  </si>
  <si>
    <t>Se acumulan las masacres y los asesinatos. Historia interminable. El gobierno habla de seguridad al tiempo que el p… https://t.co/W0bvVYMEpY</t>
  </si>
  <si>
    <t>RT @CoaliEsperanza: Senador Petro, le proponemos que primero haga el debate sobre transición energética con el senador @JERobledo. Él acept…</t>
  </si>
  <si>
    <t>Hago un llamado a los demás candidatos a que tengamos una campaña responsable, a que rechacemos abiertamente el aco… https://t.co/Me2NFXn1w0</t>
  </si>
  <si>
    <t>No estamos haciendo un ranking de qué violencia es más grave que otra. Todas las que usted menciona las hemos conde… https://t.co/20KPz1PnkR</t>
  </si>
  <si>
    <t>Mantener la humanidad. Esa es la clave. Entender que en este mundo digital, detrás de la pantalla hay, antes que na… https://t.co/A6eRYde3a0</t>
  </si>
  <si>
    <t>De acuerdo, Jorge. Y agregaría que, además del ejemplo que debemos dar los políticos, también es clave que nuestros… https://t.co/RejLQRSJrf</t>
  </si>
  <si>
    <t>Soy el primero en reírme de mis memes, pero te invito, Efraín, a que veas el video y oigas la reflexión. Es muy dic… https://t.co/tqDwRt8oGw</t>
  </si>
  <si>
    <t>Exacto, Byron. Ser diferentes, pensar distinto o no coincidir en temas políticos no tiene por qué traducirse en vio… https://t.co/YeSXGEFhk4</t>
  </si>
  <si>
    <t>Esta es también mi reacción ante las agresiones y la instrumentalización de la tragedia en redes. Te entiendo. https://t.co/CeesQG1K3t</t>
  </si>
  <si>
    <t>RT @mwassermannl: Buen mensaje para todos, sin excepción</t>
  </si>
  <si>
    <t>Claro que sí, Mario. No solo podemos hacerlo, sino que es nuestro deber construir, día a día, un país más decente.… https://t.co/UTlA2JsPeG</t>
  </si>
  <si>
    <t>Hola, Levy. Listo, tienes mi compromiso: no me iré a ver ballenas para la segunda vuelta. ¿Tengo el tuyo para comba… https://t.co/4kqIKjM1JM</t>
  </si>
  <si>
    <t>No, Fernando. Hacer las cosas distinto o tener opiniones contrarias no equivale a hacer las cosas mal. Y, además, e… https://t.co/V5RYAO10XA</t>
  </si>
  <si>
    <t>Ana Sofía, no se trata de no cometer errores. Todos lo hacemos. Se trata de reconocerlos y corregirlos. Adelante. https://t.co/9uVaOB6lb3</t>
  </si>
  <si>
    <t>RT @Jorgebta: Sergio sabe hacer buena política, esa que realmente inspira, la que se preocupa genuinamente por la gente, la que enseña y es…</t>
  </si>
  <si>
    <t>RT @mateocardonah: Este fue el man que me inspiró hace ya varios años, a participar en la política y en lo público. No ha cambiado. Sigue s…</t>
  </si>
  <si>
    <t>Lo que necesitamos es dejar de creer que para enfrentar la mafia hay que hablar agresivamente. Y, de paso, dejar ta… https://t.co/5HYzsiJOYx</t>
  </si>
  <si>
    <t>RT @MauricioJaramil: ¿Qué tal si hacemos de nuestra presencia digital algo más positivo y propositivo? En #SoyDigital hemos certificado a…</t>
  </si>
  <si>
    <t>RT @VLADDO: A propósito de las nefastas consecuencias del matoneo digital, un mensaje muy acertado y oportuno de @sergio_fajardo, que va mu…</t>
  </si>
  <si>
    <t>RT @DanielSamperO: Esta bien que los líderes políticos tranquen el matoneo; que usen su liderazgo para frenar el acoso en redes… Lo hizo @J…</t>
  </si>
  <si>
    <t>Espero que los demás candidatos se comprometan a adelantar una campaña con cero tolerancia por el acoso en redes, y… https://t.co/Hz3S58YCVZ</t>
  </si>
  <si>
    <t>RT @Paolaarenasm: Este video me representa!... Bueno, en verdad tú, SIEMPRE me representas. Hablo como tu amiga, antes q como diputada y ac…</t>
  </si>
  <si>
    <t>@Jose_GomezRamos Gracias, José. Un lapsus. Tiene razón.</t>
  </si>
  <si>
    <t>Espero que los demás candidatos se comprometan a adelantar una campaña con cero tolerancia por el acoso en redes, y… https://t.co/DaOM9hIsLF</t>
  </si>
  <si>
    <t>RT @JorgeARestrepo: El matoneo y el ciberacoso son una forma de violencia. Podemos superar también esta forma de violencia, y la propuesta…</t>
  </si>
  <si>
    <t>RT @Jp_Remolina: Principios básicos que deberían aplicarse permanentemente.</t>
  </si>
  <si>
    <t>RT @JuanLuisCasCo: 💔 Con mucho pesar anuncio mi renuncia al @SenadoGovCo. Desde hace varios meses sufro una serie de quebrantos de salud…</t>
  </si>
  <si>
    <t>A esta hora estamos con @jorgecura1070 en @atlanticoemi. Les dejo el link para los que quieran conectarse https://t.co/KQT2wuIO8f</t>
  </si>
  <si>
    <t>RT @jorgecura1070: Interviene en @AtlanticoEmi el precandidato presidencial @sergio_fajardo quien invita a la ciudadanía a hacer buen uso d…</t>
  </si>
  <si>
    <t>Dos objetivos pendientes de Barranquilla https://t.co/b58rK0DErd</t>
  </si>
  <si>
    <t>RT @cataortizco: El ciberacoso nos ha dejado personas profundamente heridas y familias sin alguno de sus miembros. ¡No más! Seamos partícip…</t>
  </si>
  <si>
    <t>RT @CoaliEsperanza: “Podemos ser diferentes sin ser enemigos. Quiero invitar a quienes estamos en la contienda política a que nos tratemos…</t>
  </si>
  <si>
    <t>Para que Colombia cambie debemos apostarle a la capacidad y a la inteligencia de nuestra gente, algo que los corrup… https://t.co/qPFdYDlzbR</t>
  </si>
  <si>
    <t>Este mundo joven de hoy ha sido el más preparado de nuestra historia, y a la vez es el que más incertidumbre tiene… https://t.co/TlSNPb0Vxi</t>
  </si>
  <si>
    <t>El 27 de mayo solicitamos ser escuchados por Naciones Unidas por el caso del crédito del Dpto de Antioquia. Hoy fui… https://t.co/Z2gnMVX8Rn</t>
  </si>
  <si>
    <t>Declaraciones del Dr. Mauricio Pava sobre la solicitud que elevamos a la ONU para que la Fiscalía nos respete el pl… https://t.co/PCfdQ6HAaM</t>
  </si>
  <si>
    <t>RT @WRadioColombia: #Actualidad | ONU escuchó preocupaciones de Fajardo (@sergio_fajardo) por el proceso que adelanta la Fiscalía en su con…</t>
  </si>
  <si>
    <t>RT @ELTIEMPO: La historia de diez intensos años de un país que cambió para siempre'. Conéctese a la transmisión en la que la excanciller co…</t>
  </si>
  <si>
    <t>Que el gobernador de un departamento, que tiene protección del Estado, deba salir del país por amenazas de muerte h… https://t.co/jNXOFLhkFO</t>
  </si>
  <si>
    <t>La invitación es para que quienes estamos en política rechacemos la agresión y el matoneo en redes sociales. Usemos… https://t.co/Z31yYAutcr</t>
  </si>
  <si>
    <t>Ejemplo enorme Nelson Crispín y nuestros deportistas paralímpicos, dejando siempre en alto el nombre del país. Que… https://t.co/9LUS5Dj9CY</t>
  </si>
  <si>
    <t>RT @AngelicaLozanoC: Hace 3 años, 11.674.951 de ciudadanos de todas las corrientes políticas votamos SÍ en la #ConsultaAnticorrupción. El…</t>
  </si>
  <si>
    <t>Por fin la Fiscalía atendió nuestra reiterada solicitud de respetarnos el plazo razonable y proceder, después de 5… https://t.co/1rmYHfa51r</t>
  </si>
  <si>
    <t>Gracias, Gustavo. Una precisión: ni irregularidades, ni delitos. https://t.co/Byx6PbpD41</t>
  </si>
  <si>
    <t>Comunicado a la opinión pública. https://t.co/uGwMbBASCF</t>
  </si>
  <si>
    <t>Nunca en mi vida he cometido un delito, y así lo demostraré ante la Corte Suprema de Justicia. Aquí unos puntos y o… https://t.co/Q5IhfCcbMm</t>
  </si>
  <si>
    <t>Juan Pablo Salazar: un ser humano maravilloso. https://t.co/25iPGY4tjg</t>
  </si>
  <si>
    <t>Durante cinco años he esperado que este caso llegue a la Corte Suprema de Justicia. Ahora, con total transparencia… https://t.co/sXsWH19PCX</t>
  </si>
  <si>
    <t>RT @svilardyq: Como les parecieron las fichas de información para cada parque y sus contextos municipales que preparamos desde @ParquesComo…</t>
  </si>
  <si>
    <t>RT @Juan_Florez: El gran mensaje de Gandhi, Martín L. King y Mandela en su madurez es que no se puede vencer a un régimen oprobioso usando…</t>
  </si>
  <si>
    <t>Carrasquilla: no es un tema de pergaminos sino de principios. Su nombramiento no solo socava la independencia del B… https://t.co/KYLwlvas48</t>
  </si>
  <si>
    <t>RT @Daniel_Zarta: Los invitamos a escuchar nuestro recorrido por el sur del país en bici y conocer lo que viene. Mañana live por instagram,…</t>
  </si>
  <si>
    <t>RT @LuisGMurillo: En Día Internal de l@s Afrodescendientes, los invito a leer este informe d @mit_esi. Aborda la necesidad de consolidar lo…</t>
  </si>
  <si>
    <t>Mañana estaré en Valledupar, me hace muy feliz estar conversando con la gente del Cesar. Les dejo mi agenda para qu… https://t.co/oDyNLBAVBh</t>
  </si>
  <si>
    <t>Al aire en @RadioGuatapuri 740 AM hablando sobre nuestra visita en Valledupar https://t.co/draWhzEoDo</t>
  </si>
  <si>
    <t>Ahora en @CacicaStereo (89.7 FM), hablando sobre temas importantes para Valledupar y el Caribe. Pueden escucharnos… https://t.co/TpAgEnpmyQ</t>
  </si>
  <si>
    <t>RT @CacicaStereo: #AlAire Precandidato presidencial @sergio_fajardo habla en #CacicaNoticias sobre su visita a Valledupar. Se reunirá est…</t>
  </si>
  <si>
    <t>RT @CacicaStereo: #CacicaNoticias "Tenemos que avanzar y pasar a la matrícula cero en la educación superior pública en el país, al mismo t…</t>
  </si>
  <si>
    <t>Nadie sabe para quién trabaja. Después de mi proceso creativo, la metáfora de los tres platos, tan comentada en red… https://t.co/lcmQZVnEXn</t>
  </si>
  <si>
    <t>RT @CacicaStereo: #Audio | @sergio_fajardo se reunirá hoy miércoles con jóvenes para dialogar sobre educación y empleo juvenil https://t.co…</t>
  </si>
  <si>
    <t>RT @afajardoa: Enorme @Eganbernal, carreras se ganan seguido, y él ganado las grandes, pero la gloria es atacar a 60 km a Roglic, nada más…</t>
  </si>
  <si>
    <t>En el diario @El_Pilon expliqué que Valledupar debe ser una ciudad educadora, como Manizales o Tunja. Pero para eso… https://t.co/JYX2VQcEk0</t>
  </si>
  <si>
    <t>RT @compromisociu: "Acá podemos venir a decir los discursos más impresionantes, pero si no enfrentamos la corrupción en el Cesar, no hay de…</t>
  </si>
  <si>
    <t>Amigos de @PublimetroCol, no acusé a nadie de plagio. Un poco de humor siempre viene bien. Y, como su periódico, ¡e… https://t.co/iPbfXiVGQA</t>
  </si>
  <si>
    <t>2022 será clave. Mientras unos quieren mantener lo que hay hoy, existen 2 opciones de cambio. Una que busca arrasar… https://t.co/StOhWURdOx</t>
  </si>
  <si>
    <t>¿De verdad creen que mi foto de los platos da para reclamar plagio? La risa, remedio infalible. https://t.co/vyGBsNQKzn</t>
  </si>
  <si>
    <t>Lamento la muerte del periodista Javier Ayala. Recuerdo especialmente su cubrimiento del asesinato de Luis Carlos G… https://t.co/r5XySz4qWl</t>
  </si>
  <si>
    <t>Colombia necesita un centro fuerte, un centro para transformar. En la @CoaliEsperanza somos una coalición de oposic… https://t.co/Sz4EciAyqy</t>
  </si>
  <si>
    <t>Para qué le voy a negar que he tenido episodios en los que el ego ha jugado en contra. En eso tenemos que trabajar… https://t.co/jeDvs60Mmo</t>
  </si>
  <si>
    <t>RT @GONZALOQUIROZM: Con gusto. También me gustaría conocerlo e intercambiar opiniones sobre educación y políticas educativas.</t>
  </si>
  <si>
    <t>RT @compromisociu: 'La Perla de América' será el próximo destino de la @CoaliEsperanza. Allá estaremos junto a @sergio_fajardo para convers…</t>
  </si>
  <si>
    <t>La @CoaliEsperanza propone un cambio real, con la convicción de que Colombia puede ir por un buen camino. Somos opo… https://t.co/3zFqm8KkMZ</t>
  </si>
  <si>
    <t>Empezando un buen día de trabajo en Santa Marta con la @CoaliEsperanza. No hay mejor manera de hacerlo que con caye… https://t.co/dBR1JPOeQd</t>
  </si>
  <si>
    <t>No más platos vacíos jajaja 😅 un abrazo Vane! https://t.co/W8wawGEQSA</t>
  </si>
  <si>
    <t>Nos unen unos temas pero nos separan y tenemos una gran discrepancia acerca de las formas y los principios de cómo… https://t.co/vZGxPxyYuq</t>
  </si>
  <si>
    <t>Desde Santa Marta, reiteramos que la Coalición de la Esperanza es una coalición alternativa, de oposición. En Colom… https://t.co/SNUpJSMoUN</t>
  </si>
  <si>
    <t>Esta es una construcción seria. Alejada del gobierno y de los partidos que han caído en prácticas clientelistas. En… https://t.co/asiGMM3Ein</t>
  </si>
  <si>
    <t>Roy, pero hace 2 horas me pedías que nos sentamos a conversar y ahora me atacas con mentiras y más mentiras. Confir… https://t.co/rzztdnwvUI</t>
  </si>
  <si>
    <t>Estamos comprometidos en construir un centro para cambiar a nuestro país. Y es por eso que desde la @CoaliEsperanza… https://t.co/hl5HeFCccN</t>
  </si>
  <si>
    <t>Tenemos toda la disposición y el compromiso de trabajar desde la @CoaliEsperanza. Somos una alternativa política de… https://t.co/vb8m1VdNdm</t>
  </si>
  <si>
    <t>Vamos a demostrar que se puede construir país. Gracias @agaviriau por aceptar la invitación a conversar con la… https://t.co/fqtMckfyCo</t>
  </si>
  <si>
    <t>RT @CoaliEsperanza: Las explicaciones que dé la @MinTIC_responde ante la @CamaraColombia jamás serán suficientes ante el daño que ya se hiz…</t>
  </si>
  <si>
    <t>Que un Congreso con 82% de imagen desfavorable apoye a una de las ministras peor calificadas del gabinete no sorpre… https://t.co/OOUs2XIFZR</t>
  </si>
  <si>
    <t>Cierro una semana positiva, de mucho trabajo, con un #FF para dos grandes líderes que visité esta semana: @lumois e… https://t.co/HYqU7QMNgx</t>
  </si>
  <si>
    <t>Nadie tiene que arrodillársele a un político para que le compre su voto, ni para que le de un puesto, NADIE. No más… https://t.co/ionQTlTuHs</t>
  </si>
  <si>
    <t>Celso, en lo que a mí respecta, tu análisis es errado. Me he pronunciado en al menos 5 oportunidades en Twitter sob… https://t.co/VMoXI7t9Oa</t>
  </si>
  <si>
    <t>Les adjunto los tuits https://t.co/qQbxLcNyjp</t>
  </si>
  <si>
    <t>https://t.co/rNPLbAOYL9</t>
  </si>
  <si>
    <t>https://t.co/rZ1YxgPUtr</t>
  </si>
  <si>
    <t>La apertura económica en perspectiva https://t.co/a4A8VynTzn</t>
  </si>
  <si>
    <t>A Colombia no la va a sacar adelante una sola persona: la sacamos adelante todos, unidos. El próximo año, el centro… https://t.co/Uo1g76hLIs</t>
  </si>
  <si>
    <t>El próximo año estaremos ante una oportunidad histórica para el país, no la desperdiciemos con ataques. Valorémonos… https://t.co/GeTwkCq51u</t>
  </si>
  <si>
    <t>De acuerdo, Miguel. Unirnos es el único camino que tenemos para lograr la transformación que necesita Colombia. Sin… https://t.co/yJj7EGxK9z</t>
  </si>
  <si>
    <t>Amigo, date cuenta. No es con ataques que vamos a unir al centro. @CarlosAmayaR es fundamental en este camino hacia… https://t.co/ls0S5GH71a</t>
  </si>
  <si>
    <t>Tengo la certeza y la tranquilidad de que obramos bien, mi equipo obró bien, con transparencia absoluta. Trabajarem… https://t.co/vGtrRTdXjs</t>
  </si>
  <si>
    <t>RT @Compromiso_Ant: 💯 De uniforme en mano, en compañía de @sergio_fajardo y con la ciudadanía al lado, arrancamos este #TourDeLaEsperanza p…</t>
  </si>
  <si>
    <t>RT @Alejandra_LR85: Comienza este gran #TourDeLaEsperanza @sergio_fajardo Presidente https://t.co/OLBaqPwoce</t>
  </si>
  <si>
    <t>RT @danielduquev: Recorriendo a Medellín con la frente en alto, nada que ocultar, mucha esperanza por ofrecer. Empieza el #TourDeLaEsperanz…</t>
  </si>
  <si>
    <t>RT @Daniel_Zarta: Nuestra esencia ha sido siempre la #calle, el poder del saludo y la empatía con los ciudadanos que en muchas ocaciones se…</t>
  </si>
  <si>
    <t>Hoy empezamos el #TourDeLaEsperanza en el Parque Explora, con gente magnífica. Cuando pienso en Medellín, pienso en… https://t.co/8OZ9QDHgH0</t>
  </si>
  <si>
    <t>RT @DavidAragonP: Cuando viví allá, hablé con tanta gente que recuerda su alcaldía con alegría y más con Antioquia la más ocupada. #TourDeL…</t>
  </si>
  <si>
    <t>RT @compromisociu: ¡El #TourDeLaEsperanza arrancó en Medellín! Junto a @sergio_fajardo vienen tres días intensos de charlas y encuentros co…</t>
  </si>
  <si>
    <t>RT @danielduquev: Ahora estamos en Moravia con @sergio_fajardo, seguimos en el #TourDeLaEsperanza. En este barrio se lideró una transformac…</t>
  </si>
  <si>
    <t>RT @Compromiso_Ant: 🚴🏻‍♂️Vamos por las calles del barrio Moravia, en este #TourDeLaEsperanza conversamos, escuchamos y compartimos con toda…</t>
  </si>
  <si>
    <t>RT @EAGaleano: El #TourDeLaEsperanza ya empezó y recorriendo las calles vamos a fortalecer la creencia que este país puede tener un cambio…</t>
  </si>
  <si>
    <t>RT @Compromiso_Ant: 🚴🏻‍♂️El #TourDeLaEsperanza sigue por el barrio Moravia en Medellín. Hombro a hombro con sus habitantes escuchamos, conv…</t>
  </si>
  <si>
    <t>RT @danielduquev: Continúa el #TourDeLaEsperanza de @sergio_fajardo en López de Mesa, mirando a los ojos, la verdad saldrá a flote. https:/…</t>
  </si>
  <si>
    <t>RT @compromisociu: El #TourDeLaEsperanza continúa su recorrido por las comunas 6 y 7 de Medellín. Caminando las calles con alegría junto a…</t>
  </si>
  <si>
    <t>RT @Compromiso_Ant: 🚴🏻‍♂️ Por las comunas 6 y 7 seguimos en el #TourDeLaEsperanza junto a @sergio_fajardo y la comunidad. Esta primera etap…</t>
  </si>
  <si>
    <t>No voy a entrar en peleas, Alcalde. Me queda claro que usted lo disfruta. Es el talante que ha mostrado. Espero que… https://t.co/IhNu9x9uST</t>
  </si>
  <si>
    <t>La semana pasada visité Valledupar y Santa Marta, dos ciudades que se merecen un presente mucho mejor que el que ti… https://t.co/HRonL5eFOE</t>
  </si>
  <si>
    <t>RT @CoaliEsperanza: #ATENCIÓN La @CoaliEsperanza envía carta pública a @PartidoVerdeCoL . “Saludamos el mecanismo que eligieron para defini…</t>
  </si>
  <si>
    <t>Quise hacer una pausa en medio de estos días difíciles para agradecer por el apoyo y la solidaridad. Estoy convenci… https://t.co/n9Zn4Q8Qqv</t>
  </si>
  <si>
    <t>Muchas gracias, José Antonio. En días difíciles, agradezco mucho las muestras de solidaridad. ¡Un abrazo! https://t.co/HFCEgQg7Km</t>
  </si>
  <si>
    <t>Gracias por tus palabras, Jorge. Tengo la certeza de que actuamos bien, confío en las instituciones, y estoy conven… https://t.co/c3L7nKm5su</t>
  </si>
  <si>
    <t>Tienes razón, Santiago. No sólo es la política; es la vida la que necesita más valores que cálculo. Un abrazo. https://t.co/o3LNULkWEG</t>
  </si>
  <si>
    <t>RT @AntonioSanguino: “La política necesita más valores que calculo”. Me llega al alma esa afirmación de @sergio_fajardo En otras palabras :…</t>
  </si>
  <si>
    <t>Hace un año, 13 personas fueron asesinadas en Bogotá y Soacha. La Policía y el Gobierno nacional siguen sin respond… https://t.co/ENCCqyr48o</t>
  </si>
  <si>
    <t>¿Que el gobierno le pidió la renuncia a Karen Abudinen? Como siempre, Duque llega tarde.</t>
  </si>
  <si>
    <t>Gracias a ti por la solidaridad, Roberto. Soy un convencido de que, como se hace campaña, también se gobierna. Somo… https://t.co/XUlHYlx7sD</t>
  </si>
  <si>
    <t>Tuve la suerte de conocer a Cecilia. Un torrente impresionante de energía y alegría. Inolvidable. https://t.co/Fn1bYnwOsf</t>
  </si>
  <si>
    <t>Gracias, Daniel. Tengo la confianza de que actuamos bien. Seguiremos trabajando en demostrarlo. Sin ataques, porque… https://t.co/WpeBsZP4bk</t>
  </si>
  <si>
    <t>Gracias, Daniel. Necesitamos más política basada en valores y no en cálculos. Seguimos. Un abrazo. https://t.co/B2TG4HWmpS</t>
  </si>
  <si>
    <t>Jorge, gracias por la solidaridad. Seguimos concentrados en demostrar que actuamos bien, correctamente. Con confian… https://t.co/sstmlhbVY0</t>
  </si>
  <si>
    <t>Los jóvenes deben ser protagonistas en la política. Y deben serlo hoy; participar, atreverse. Deben ser el motor de… https://t.co/RQtKa2p7hr</t>
  </si>
  <si>
    <t>RT @RevistaSemana: "Lo que más me enorgullece es que tantas personas tengan confianza en nosotros": Sergio Fajardo @sergio_fajardo sobre r…</t>
  </si>
  <si>
    <t>Hoy volvimos a recorrer las calles de Medellín y Envigado. Siempre es motivo de alegría volver a los lugares donde… https://t.co/hT3ale7KpZ</t>
  </si>
  <si>
    <t>Eduardo Pérez profesor colombiano, cucuteño, es uno de los mejores maestros. Felicitaciones. Profesor colombiano e… https://t.co/CqQjbiKxyz</t>
  </si>
  <si>
    <t>La intolerancia a la crítica es inseguridad. No le busque más. Recomendada esta columna. https://t.co/0uVwKcKRko</t>
  </si>
  <si>
    <t>Triste noticia la muerte de Antonio Caballero, una voz crítica y una pluma única que hará mucha falta. Que su legad… https://t.co/0HkTCa6LW7</t>
  </si>
  <si>
    <t>Tremendo reconocimiento para Sebastián Hurtado, matemático colombiano. Sintamos orgullosos de personas como él que… https://t.co/UbN5RVcEWr</t>
  </si>
  <si>
    <t>Llevamos 20 años bajo la dominancia política del expresidente Álvaro Uribe y eso va a cambiar en 2022. El vaso se l… https://t.co/ipxJXilzPL</t>
  </si>
  <si>
    <t>Esta semana volví a caminar las calles de Medellín y pude ver de primera mano el deterioro en el que está la ciudad… https://t.co/xENjfJrTqk</t>
  </si>
  <si>
    <t>Lo que está pasando con la seguridad en Medellín es preocupante. Hay que actuar de la mano de la Policía Nacional y… https://t.co/styQHVRfTV</t>
  </si>
  <si>
    <t>Para estos días de ataques y tormentas. https://t.co/dHgLwoOSQw</t>
  </si>
  <si>
    <t>Medellín, unida, con la mirada hacia el frente, avanza a una velocidad extraordinaria. Y vamos a seguir caminándola… https://t.co/JNVHiAn7Sk</t>
  </si>
  <si>
    <t>Acabo de ser notificado que por orden del JUZGADO VEINTINUEVE PENAL DEL CIRCUITO CON FUNCIÓN DE CONOCIMIENTO DE BOG… https://t.co/ErL5jkKue9</t>
  </si>
  <si>
    <t>En cualquier caso, hoy radicamos recursos de reposición y apelación ante la Contraloría. Tenemos la confianza y la… https://t.co/W2qQ9OyCeE</t>
  </si>
  <si>
    <t>Sin embargo, me queda un sinsabor muy grande ante estas revelaciones hechas en el nuevo programa de @MJDuzan. Esper… https://t.co/mxPLxhBHBk</t>
  </si>
  <si>
    <t>RT @MJDuzan: Arrancamos hoy en #Afondo de @SpotifyColombia con entrevista a @sergio_fajardo sobre los líos judiciales que enfrenta en medio…</t>
  </si>
  <si>
    <t>Estaba en la Ciudad de México en 2016-2017. Me llamó una persona muy amiga y me dice: "estuve en una reunión donde… https://t.co/B2Y5TcZCdY</t>
  </si>
  <si>
    <t>Gracias, Yolanda. Acepto el #RioSucioChallenge: la opción es el centro, pero un centro construido desde las regione… https://t.co/1gjeM5UoeV</t>
  </si>
  <si>
    <t>Ojalá Gustavo Moreno, exfiscal anticorrupción, le cuente al país qué instrucciones recibió para enfrentarme a mí y… https://t.co/jh2YyIkWJK</t>
  </si>
  <si>
    <t>Siempre he respondido ante las autoridades por mis actuaciones, nunca me he escondido. Y vamos a ir ante la Corte S… https://t.co/2fHGvpGU0y</t>
  </si>
  <si>
    <t>José Luis Villaveces fue un gran señor. Serio, riguroso y siempre comprometido. Ejemplar https://t.co/KEJ6Ndk4ue</t>
  </si>
  <si>
    <t>Ya estamos en Barranquilla, nos vemos mañana desde las 5:30 a.m. para pedalear hasta el Malecón y luego caminar por… https://t.co/Vqi4RhL0VS</t>
  </si>
  <si>
    <t>RT @CompromisoATL_: #AEstaHora comenzamos la jornada de @sergio_fajardo y @CarlosAmayaR en #Barranquilla Curramba La Bella. Estamos en Cic…</t>
  </si>
  <si>
    <t>Nunca imaginé pedalear por Barranquilla. Llegamos hasta el Malecón junto a @CarlosAmayaR y varias personas más para… https://t.co/95uoGRVDK2</t>
  </si>
  <si>
    <t>RT @CarlosAmayaR: Junto a @sergio_fajardo pedaleamos por la #Esperanza en Barranquilla. Creemos firmemente que el cambio que necesita Colo…</t>
  </si>
  <si>
    <t>RT @CompromisoATL_: Comenzamos la jornada en #Barranquilla con una Ciclo Ruta por la calle 72 hasta llegar al malecón. Gracias a todas las…</t>
  </si>
  <si>
    <t>El balón de oro https://t.co/7wWbnI2nKz</t>
  </si>
  <si>
    <t>Recargando energías con esta vista del centro de Barranquilla. Ya vamos a caminar por el mercado. https://t.co/bmx4ejoW6b</t>
  </si>
  <si>
    <t>Recorrimos el mercado de Barranquilla y escuchamos a comerciantes y abarroteros. Como en muchas zonas del país, la… https://t.co/OpA3IIZPJf</t>
  </si>
  <si>
    <t>Mal mensaje que el presidente vete a un periodista como venganza personal. https://t.co/AbLlyTlZ7C</t>
  </si>
  <si>
    <t>De Barranquilla nos vamos para Villavicencio. Estaremos junto a la @CoaliEsperanza para seguir escuchando a la gent… https://t.co/wsO1KhdHiD</t>
  </si>
  <si>
    <t>Les dejo mi reflexión frente a las escabrosas revelaciones de @MJDuzan en su podcast y mi opinión sobre las decisio… https://t.co/iFR3BpiZDX</t>
  </si>
  <si>
    <t>Hola, Luis. Es justamente eso lo que estamos haciendo en ambos procesos. Iremos contando a medida que avancemos. Gr… https://t.co/1XKBRus2Kn</t>
  </si>
  <si>
    <t>RT @MJDuzan: A propósito de las revelaciones que hicimos en #AFondo mi nuevo podcast original de @Spotify</t>
  </si>
  <si>
    <t>Gracias por tus palabras, Guillermo, las valoro muchísimo en estos tiempos. Las instituciones no se salvan arrasánd… https://t.co/5JZOaJNAWi</t>
  </si>
  <si>
    <t>Te invito a que veas el video, pues lo que digo es justo lo contrario: a pesar de todo, confío en las instituciones… https://t.co/9pcuwrrY8W</t>
  </si>
  <si>
    <t>Así es, Santiago. Clave la acotación que haces, porque también debemos resaltar a quienes día a día hacen bien su t… https://t.co/duh5aSdaNW</t>
  </si>
  <si>
    <t>Agradezco tus generosas palabras, querido Camilo. A pesar de todo, debemos confiar. Tenemos la tranquilidad y la ce… https://t.co/EzAltiJ01b</t>
  </si>
  <si>
    <t>Es increíble a lo que llegamos. Atreverse a llamar así a @MJDuzan por diferencias políticas conmigo, a quien ella e… https://t.co/4m8mVUto4M</t>
  </si>
  <si>
    <t>Gracias por tu respaldo, Elizabeth. Coherencia siempre: insistir en que debemos respetar las instituciones. Demostr… https://t.co/t0nRU7BjLI</t>
  </si>
  <si>
    <t>Tantos tuits de tu candidato y eliges comentar los míos. Algo bien debo estar haciendo. Feliz noche. https://t.co/e6EolengET</t>
  </si>
  <si>
    <t>Este es un resultado que debemos evitar: la frustración de los jóvenes frente a la política. Necesitamos lo contrar… https://t.co/4JDOWzcR1G</t>
  </si>
  <si>
    <t>Gracias, John Jairo. Te agradezco mucho el apoyo, aunque creo que en casos como estos es secundario: lo prioritario… https://t.co/QMFWhvq12z</t>
  </si>
  <si>
    <t>Empezamos visita en Villavicencio junto a la @CoaliEsperanza visitando a medios de comunicación de la ciudad. Ya no… https://t.co/rcHrBZBj8r</t>
  </si>
  <si>
    <t>RT @CoaliEsperanza: "El malestar ciudadano viene creciendo y ese malestar necesita una voz. Nosotros somos un grupo diverso que está crecie…</t>
  </si>
  <si>
    <t>Gracias, Juan. A pesar de todo, confío en las instituciones. Demostraremos que actuamos bien. https://t.co/BIjcXvnJCv</t>
  </si>
  <si>
    <t>RT @CoaliEsperanza: Desde el Meta, anunciamos que estamos preparando una convocatoria para conformar listas al Congreso por la @CoaliEspera…</t>
  </si>
  <si>
    <t>RT @CoaliEsperanza: "Tendremos unos requisitos, contamos con los principios éticos de la @CoaliEsperanza y las bases programáticas, e invit…</t>
  </si>
  <si>
    <t>Siempre hay espacio para compartir con los compañeros de la @CoaliEsperanza entre reuniones. Seguimos recorriendo l… https://t.co/zzdbjB5T8g</t>
  </si>
  <si>
    <t>La Alianza Verde es crucial para construir el verdadero centro político de Colombia. Esta declaración de Antanas Mo… https://t.co/fTndGlzn7F</t>
  </si>
  <si>
    <t>Un gusto caminar hoy por las calles de Villavicencio, charlar con jóvenes y con la gente del Meta. Seguimos en la t… https://t.co/A9uNNt7Njj</t>
  </si>
  <si>
    <t>A pesar de las cosas que me dicen y las pruebas que me muestran, como las reveladas por @MJDuzan en su podcast, con… https://t.co/axlYMo6Ew6</t>
  </si>
  <si>
    <t>RT @AlejaValek: CaféConSaborACompromiso es un espacio lleno de conocimiento, aprendizajes y fortalecimiento de tejido social.Gracias @Compr…</t>
  </si>
  <si>
    <t>El reconocimiento de la personería jurídica de la Colombia Humana por parte de la Corte Constitucional es una buena… https://t.co/o9QtIeuAUu</t>
  </si>
  <si>
    <t>Juan Camilo, el 17 de junio de 2018, millones de colombianos votaron por la fórmula de la Colombia Humana compuesta… https://t.co/43ACXp4Xbd</t>
  </si>
  <si>
    <t>Mi #FF de hoy va para dos jóvenes políticos con quienes rara vez coincido en las ideas, pero les reconozco la coher… https://t.co/z7lvbJhkS5</t>
  </si>
  <si>
    <t>La gente ya no confía en esos políticos que creen que se las saben todas. Nuestra tarea hoy es construir en conjunt… https://t.co/tbHX3G3qw9</t>
  </si>
  <si>
    <t>Además de pedalear por sus calles hasta el imponente malecón, esta semana visité otra cara de Barranquilla. Comerci… https://t.co/58emXfTxI4</t>
  </si>
  <si>
    <t>Así es, Diego. Y las dos caras de Colombia también. https://t.co/DVJhLQ4gAe</t>
  </si>
  <si>
    <t>Gracias, Leonardo. Vamos a transformar a Colombia: somos una opción de cambio para unir al país. Un abrazo. https://t.co/0tHwKwFh1Z</t>
  </si>
  <si>
    <t>RT @Compromiso_Ant: Medellín está desorientada y sumida en peleas que distraen de lo importante. Esta ciudad es la prueba del poder de la e…</t>
  </si>
  <si>
    <t>La inseguridad en Barranquilla, y en otras capitales, es impresionante y tiene que cambiar. Es un compromiso que te… https://t.co/TlbMmJnEPa</t>
  </si>
  <si>
    <t>RT @manuel_rodb: Gran rajada de Colombia en cambio climático: se clasifica entre los países que muestran un desempeño altamente insuficient…</t>
  </si>
  <si>
    <t>Hoy nos reunimos en Cúcuta con nuestro equipo de voluntarias y voluntarios de @compromisociu. Qué gusto ver caras c… https://t.co/R0NsWmpDjX</t>
  </si>
  <si>
    <t>Recuerdo perfectamente cuando inauguramos el Parque Biblioteca de La Quintana Tomás Carrasquilla. Hoy veo con preoc… https://t.co/u0k0eWprBM</t>
  </si>
  <si>
    <t>Tenemos que hacer un esfuerzo grande para que Barranquilla se destaque por sus programas sociales y así derrotar la… https://t.co/ccTuxovAcQ</t>
  </si>
  <si>
    <t>RT @CoaliEsperanza: Lanzaremos nuestra propuesta de seguridad #SeguridadYEsperanza el próximo martes 21 de septiembre. Una propuesta que co…</t>
  </si>
  <si>
    <t>Nos vemos esta noche en @NoticiasCaracol a las 7 p.m. https://t.co/fmfWLJ0CM2</t>
  </si>
  <si>
    <t>https://t.co/lO1mQ4eHEu</t>
  </si>
  <si>
    <t>Las revelaciones de @MJDuzan son graves y coinciden con lo que ya me habían contado alguna vez. Hay un plan del 'ca… https://t.co/LVIetmaZ7O</t>
  </si>
  <si>
    <t>Las revelaciones de @MJDuzan son graves y coinciden con lo que ya me habían contado alguna vez. Hay un plan del 'ca… https://t.co/nKdlow6fYV</t>
  </si>
  <si>
    <t>Tanto en el proceso en la Fiscalía como en el de la Contraloría, han existido unas incoherencias que resultan, por… https://t.co/cBWJhMFC13</t>
  </si>
  <si>
    <t>A pesar de las críticas y la imagen de la ciudadanía sobre las instituciones, nosotros tenemos que cuidarlas. Yo qu… https://t.co/gcW4o5Yecz</t>
  </si>
  <si>
    <t>Las persecuciones políticas, eliminar a quienes son contradictores, son una cara criminal de la corrupción y eso lu… https://t.co/39wMnQf4AY</t>
  </si>
  <si>
    <t>RT @Juan_Florez: Aquí la inspiradora conversación que tuve con nuestra novelista y poeta Piedad Bonnett sobre los sueños, la vida en el fil…</t>
  </si>
  <si>
    <t>La verdad y la decencia siempre salen adelante aunque a veces se demoren. Así será en este caso. https://t.co/joC99MPc8z</t>
  </si>
  <si>
    <t>RT @CoaliEsperanza: ¿Qué cambios crees que necesita la Policía Nacional para que su relación con la ciudadanía mejore? #SeguridadYEsperanza…</t>
  </si>
  <si>
    <t>Nos toca hacer dos campañas, una para la presidencia y otra para demostrar que actuamos bien. No voy a dejar de hab… https://t.co/qObxTquWwz</t>
  </si>
  <si>
    <t>RT @LuisGMurillo: Este 30 de sept @Osgazu recibirá en la sede de @UniCauca el Doctorado Honoris Causa como reconocimiento a su trayectoria…</t>
  </si>
  <si>
    <t>RT @CoaliEsperanza: Una de las raíces de la inseguridad y de la delincuencia es la falta de oportunidades. ¿Qué propones para prevenir que…</t>
  </si>
  <si>
    <t>RT @elcolombiano: "Si en Hidroituango no hubo corrupción y el seguro está pagando: ¿cuál detrimento fiscal?", pregunta @LuisGuillermoVl, do…</t>
  </si>
  <si>
    <t>RT @ccexterior: Comenzó nuestro trabajo con @dignidad_colx para construir la @CoaliEsperanza en el #exterior .Somos #InnovacionPolitica #S…</t>
  </si>
  <si>
    <t>El homicidio de 6 personas por un hombre tomado, las alianzas con sectores antiderechos, la inseguridad en las ciud… https://t.co/QPo5Lj2Fot</t>
  </si>
  <si>
    <t>Hola Mario, gracias por tu interés. Junto a mi equipo programático hemos venido trabajando en varias propuestas. Ac… https://t.co/iuOh9r0o7R</t>
  </si>
  <si>
    <t>Gracias, Rebeca. Coincido contigo en que deberíamos hacerles más eco a las buenas noticias. Pensaré un formato dife… https://t.co/F6zs5Vd6bZ</t>
  </si>
  <si>
    <t>Gracias, Mario. He encontrado gran valor en lo que tú llamas 'tuitear banalidades': he podido conversar con gente i… https://t.co/jBlaBBDiQT</t>
  </si>
  <si>
    <t>RT @riveraalzate: Tanto la recusación que pretendía sacarme del debate sobre el POT, como los posibles conflictos de interés que presenté,…</t>
  </si>
  <si>
    <t>Dos noches seguidas saliendo en Caracol. Nada mal. https://t.co/VJiQpubJQe</t>
  </si>
  <si>
    <t>Para quienes no pudieron ver anoche: https://t.co/bbC3vewkHf</t>
  </si>
  <si>
    <t>Así es, Faber. Todos los colombianos esperamos ver un Congreso con capacidad de reformarse, sin tantas "jugaditas",… https://t.co/3sLlZQrvZr</t>
  </si>
  <si>
    <t>RT @federicogomezla: ¡Bienvenidos a un nuevo capítulo del periodismo en Colombia! Grandes cosas se vienen. Nos vemos por pronto en CAMBIO @…</t>
  </si>
  <si>
    <t>#QuéHueso tan duro de roer que la presidenta de la Cámara @JenniferAriasF dé su firma para reducir las vacaciones d… https://t.co/LATKA3VoTw</t>
  </si>
  <si>
    <t>Otra buena noticia: la selección femenina de voleibol, que por primera vez clasificó al mundial. ¡Tremendas! ¿Qué o… https://t.co/fQY1oJeHJM</t>
  </si>
  <si>
    <t>Nos vemos hoy a las 8:30 p.m. en mi página de Facebook y el YouTube de la @CoaliEsperanza para presentarle al país… https://t.co/alC1ZpmLiJ</t>
  </si>
  <si>
    <t>¿Qué pasó acá, presidente Duque? No más mezquindad política: no puede ser que como oposición derogar la ley de gara… https://t.co/mRLTj38NI6</t>
  </si>
  <si>
    <t>RT @CoaliEsperanza: #ATENCIÓN Hoy le presentamos al país nuestra propuesta de #SeguridadYEsperanza. La hemos construido por y para la ciuda…</t>
  </si>
  <si>
    <t>La declaración de Mockus y Navarro Wolff https://t.co/JG519ndzNc</t>
  </si>
  <si>
    <t>RT @saramoreno1: El alcalde de Cali se ofende con cada crítica, en vez de responder con transparencia sobre sus actuaciones. ¡Así no actú…</t>
  </si>
  <si>
    <t>RT @CoaliEsperanza: Les recordamos que tenemos una cita, esta noche, a las 8:30 p.m. para hablar sobre #SeguridadYEsperanza. Podrán seguir…</t>
  </si>
  <si>
    <t>RT @cataortizco: ¿Qué le pasa al Alcalde con las mujeres? Apenas lo criticamos con argumentos recurre a la descalificación. Nosotras simple…</t>
  </si>
  <si>
    <t>RT @CoaliEsperanza: #SeguridadYEsperanza https://t.co/XXPhFQuMwX</t>
  </si>
  <si>
    <t>Estamos en vivo presentando nuestra propuesta de Seguridad desde la @CoaliEsperanza. Pueden conectarse aquí:… https://t.co/xgN9U6ex5e</t>
  </si>
  <si>
    <t>RT @CoaliEsperanza: "Queremos entender la seguridad como un derecho básico ciudadano para vivir sin miedo": @sergio_fajardo explica a esta…</t>
  </si>
  <si>
    <t>RT @CoaliEsperanza: "Proponemos una reforma al ESMAD que parta desde el reconocimiento y formación en derechos humanos": @sergio_fajardo #S…</t>
  </si>
  <si>
    <t>La seguridad debe ser abordada como un derecho fundamental para vivir sin miedo. Desde la @CoaliEsperanza construim… https://t.co/KFnBow9fXX</t>
  </si>
  <si>
    <t>RT @CoaliEsperanza: Les dejamos nuestra propuesta de #SeguridadYEsperanza para que participemos entre todos en la construcción de una mejor…</t>
  </si>
  <si>
    <t>RT @Juan_Florez: Cuando una sociedad descubre que una rapaz minoría vive a costillas de ella y la condena a la desigualdad, la violencia, a…</t>
  </si>
  <si>
    <t>Un joven y valioso líder que merece atención en sus denuncias y cuidado con su vida. Atención https://t.co/vg2D3PuVac</t>
  </si>
  <si>
    <t>Desde la @CoaliEsperanza trabajamos en esta propuesta de seguridad que ya está disponible para recibir todos sus co… https://t.co/iA2rRRJIdS</t>
  </si>
  <si>
    <t>Mañana. #ParchandoConElContradictor https://t.co/FMWd44PI7B</t>
  </si>
  <si>
    <t>RT @cataortizco: El Gobierno solo ha cumplido con 28 de los 177 compromisos con Buenaventura del paro cívico de 2017. La cobertura de alcan…</t>
  </si>
  <si>
    <t>Ilusionar a la gente con mentiras es mezquino. Las condiciones de los trabajadores se mejoran con más competitivida… https://t.co/sKTb8U5yjC</t>
  </si>
  <si>
    <t>Mañana. #ParchandoConElContradictor https://t.co/MFJoP4VJIJ</t>
  </si>
  <si>
    <t>Sí, Gustavo, coincidimos en la necesidad de incrementar la productividad. Pero el punto es otro: cómo pretendes log… https://t.co/Re86IMCX0C</t>
  </si>
  <si>
    <t>RT @cataortizco: ¿Será que en Cali tendremos un escándalo como el de los 70 mil millones de MinTIC? Los recursos de todos están en peligro…</t>
  </si>
  <si>
    <t>RT @slondonouribe: El gran patriarca. Quintero: antiderechos, alérgico a la veeduría y al control ciudadano, culebrero, amiguista y encubr…</t>
  </si>
  <si>
    <t>Hoy. #ParchandoConElContradictor https://t.co/nn2iaNOZg6</t>
  </si>
  <si>
    <t>Mi #FF hoy es para @EddMarSan y @Andressibarra1, quienes tuvieron la valentía de alzar la mano para… https://t.co/R6ZiEd3MYt</t>
  </si>
  <si>
    <t>Hola, J. En varias oportunidades he debatido con Gustavo Petro, con Álvaro Uribe y con otros políticos. Pero igual… https://t.co/WxkvgMLjkb</t>
  </si>
  <si>
    <t>Gracias, Jorge. Escuchar a quien piensa distinto debería ser un pilar fundamental en la política, pero hoy en día l… https://t.co/FCMmo8CVsu</t>
  </si>
  <si>
    <t>Clave lo que dices, Armando. A veces las redes nos hacen olvidar que, antes que nada, somos seres humanos. Debemos… https://t.co/Fz7qDbQ0Hb</t>
  </si>
  <si>
    <t>Así es, respetado Moisés. El diálogo es posible y es el mejor camino para alejarnos de autoritarismos. https://t.co/olYx0F6IXR</t>
  </si>
  <si>
    <t>Tú lo has dicho, querido Santiago. El diálogo respetuoso debe ser el acuerdo fundamental para un país que va a camb… https://t.co/OweMMY0MFZ</t>
  </si>
  <si>
    <t>Yo invito a los demás candidatos pero también a todos los y las colombianas a que dialoguemos y entendamos y rescat… https://t.co/rwQwpIsWy2</t>
  </si>
  <si>
    <t>¿Por qué crecer? https://t.co/YikVdX3kkO</t>
  </si>
  <si>
    <t>No, Juan. Tal vez esa es gran parte del problema de nuestro país: creer que todo el que no piensa como uno es bobo,… https://t.co/AHMeJL8szq</t>
  </si>
  <si>
    <t>😂😂😂 https://t.co/a7MQSWmJRM</t>
  </si>
  <si>
    <t>Feliz sábado para ti también, Francisco. https://t.co/fnPvsUyASH</t>
  </si>
  <si>
    <t>RT @NataGM: Y en Santo Domingo Sabio, Johanatan, Daniel y Wilber se reunieron con voluntarios de la comuna 1 y 2 🎉🎉 Seguimos avanzando con…</t>
  </si>
  <si>
    <t>Por favor ayúdennos a buscar a Jorge Suaza. Urgente. 🙏🙏 https://t.co/GgfpRqpNgG</t>
  </si>
  <si>
    <t>RT @cachoecheverri: Los carros y el smog le ganaron a la @FiestaLibro de la gente, perdimos el Paseo Carabobo, ya es para los carros y no…</t>
  </si>
  <si>
    <t>Disculpas. Seguimos buscando a Jorge Suaza. La información anterior no era correcta. Esta si está bien. https://t.co/p3msKTQZaE</t>
  </si>
  <si>
    <t>Apareció! Muchas gracias. https://t.co/V1i5YzYr0x</t>
  </si>
  <si>
    <t>RT @TodosXMedellin: ¿Medellín fue la ciudad con mejor índice anticorrupción en 2020? Un análisis de @piedadrestrepor muestra que las cifras…</t>
  </si>
  <si>
    <t>Invitados e invitadas a postularse para hacer parte de la #ListaDeLaEsperanza al Congreso. Colombia va a cambiar. https://t.co/22cSEQsQx9</t>
  </si>
  <si>
    <t>Aníbal Gaviria siempre ha debido tener la posibilidad de defenderse en libertad. Celebro que ahora pueda hacerlo as… https://t.co/tfAFwK5R44</t>
  </si>
  <si>
    <t>Nos vemos esta noche en vivo con UltimaHoraCol y EstaPasandoCol. Pueden conectarse en mi cuenta de Instagram… https://t.co/ohEO3ObMLc</t>
  </si>
  <si>
    <t>Ya estamos listos para el Instagram Live de @ultimahorapp y @estapasandocol. 7:30 p.m. en mi cuenta de Instagram… https://t.co/wz1hNnXGGt</t>
  </si>
  <si>
    <t>En el Partido Liberal hay gente extraordinaria que valoro y reconozco, pero el Partido Liberal de César Gaviria no… https://t.co/ZnNgUfoheI</t>
  </si>
  <si>
    <t>Soy consciente del poder que tienen la Contraloría y la Fiscalía en las acusaciones en mi contra, pero yo tengo el… https://t.co/oJtItUUpjg</t>
  </si>
  <si>
    <t>Vamos a hacer las dos campañas, una por la presidencia y otra para demostrar que actuamos de manera correcta. Nadie… https://t.co/IZxRPrjZwj</t>
  </si>
  <si>
    <t>Alejandro Gaviria y yo tenemos orígenes y y maneras distintas en la política. Yo no vengo de un partido político tr… https://t.co/OatfV4rADz</t>
  </si>
  <si>
    <t>Nos vemos a las 12. https://t.co/1vmZc5uFrN</t>
  </si>
  <si>
    <t>No, Rebeca, al contrario. Creo en la consulta de centro en la Coalición de la Esperanza y quiero protegerla. Estoy… https://t.co/37iu4koUr4</t>
  </si>
  <si>
    <t>Estamos de acuerdo, Angélica. La consulta debe incluir a Alejandro y a los candidatos de la Coalición de la Esperan… https://t.co/nGyd8xN8pL</t>
  </si>
  <si>
    <t>RT @RevistaSemana: Habla @sergio_fajardo, quien en su carrera a la Presidencia de Colombia ha enfrentado momentos difíciles, además de 'pel…</t>
  </si>
  <si>
    <t>RT @RevistaSemana: "Yo estoy en paz conmigo mismo, sé lo que estoy haciendo": @sergio_fajardo #AFajardoLeDigo Vea más: https://t.co/8zG5m1…</t>
  </si>
  <si>
    <t>RT @RevistaSemana: ¿Es posible una alianza entre Alejandro Gaviria y Sergio Fajardo? "Le tienen que preguntar a él cuál es su mirada de la…</t>
  </si>
  <si>
    <t>RT @RevistaSemana: "No, yo no me he reunido con Alejandro Gaviria desde hace... no recuerdo, desde antes de que anunciara su candidatura":…</t>
  </si>
  <si>
    <t>RT @RevistaSemana: "Muchos quisieran que yo no estuviera participando en política, son muchos... pero sé que tengo que enfrentarlos, hay un…</t>
  </si>
  <si>
    <t>RT @RevistaSemana: "Yo nunca he sido el candidato de Santos (...) suficiente de expresidentes, Colombia tiene que cambiar, suficiente ilust…</t>
  </si>
  <si>
    <t>RT @RevistaSemana: "Es una propuesta populista, sin rigor y para llamar la atención": @sergio_fajardo sobre idea de Petro de repartir ganan…</t>
  </si>
  <si>
    <t>Si queremos cambiar, rechazar una alianza con el Partido Liberal de César Gaviria jamás será un error. Léase bien,… https://t.co/SxIV4OY9V3</t>
  </si>
  <si>
    <t>Alejandro, como tú mismo has dicho - y coincidimos - las formas importan. Construyamos un centro amplio, incluyente… https://t.co/nbbzsU4XPA</t>
  </si>
  <si>
    <t>Querido Daniel, con César Gaviria no vamos a cambiar este país. Lo que llamas emasculación, yo lo llamo principios.… https://t.co/VSo08qR6vw</t>
  </si>
  <si>
    <t>Declaraciones de César Gaviria: no se sabe si es un argumento o una amenaza. https://t.co/CjMQzfHagg</t>
  </si>
  <si>
    <t>Nos vemos a las 7:00 p.m. en @pulzo Live a través de Facebook. https://t.co/woNsp3CNuj</t>
  </si>
  <si>
    <t>Ya estamos al aire en @pulzo en vivo desde mi página de Facebook https://t.co/mxAFCpd9kS https://t.co/FJ44CcbrIo</t>
  </si>
  <si>
    <t>RT @CoaliEsperanza: "El cambio que estamos buscando no lo hacemos hacia los lados. Ni hacia la izquierda, ni hacia la derecha. El cambio qu…</t>
  </si>
  <si>
    <t>El clientelismo no se puede disfrazar de pragmatismo: tenemos cómo ganar sin acudir a viejas prácticas.</t>
  </si>
  <si>
    <t>Vamos a explicarle al país de qué se tratan los procesos que adelanta la Fiscalía y la Contraloría en mi contra, y… https://t.co/9reu3nHfvF</t>
  </si>
  <si>
    <t>RT @RedMasNoticias: Esta noche en #RedMásNoticias a las 8:00 p.m. estará el precandidato presidencial @sergio_fajardo en entrevista con @Gi…</t>
  </si>
  <si>
    <t>Ingrid Betancourt enaltece la política de Colombia y siempre es un gusto escucharla. Qué alegría que se identifique… https://t.co/9vzvGxpD5e</t>
  </si>
  <si>
    <t>Nos vemos hoy a las 8:00 p.m. en @RedMasNoticias con @GiovanniCelisS. https://t.co/AKalCZ275C</t>
  </si>
  <si>
    <t>Cristian, te invito a leer la propuesta, donde hay un componente fundamental en inversión social y prevención, como… https://t.co/EluToWPWcm</t>
  </si>
  <si>
    <t>Así es, Juan David. La seguridad debe ser vista de manera integral y entendida como un derecho básico de los y las… https://t.co/opFH2bc9QB</t>
  </si>
  <si>
    <t>Tienes razón, Moisés: la educación, la seguridad, son derechos de todos los y las colombianas. Colombia necesita un… https://t.co/DSXPc5nWK2</t>
  </si>
  <si>
    <t>Buenas noches, Martha Lucía. No me callo porque quiero ser presidente de Colombia y para ello he decidido presentar… https://t.co/h61q1bhZuD</t>
  </si>
  <si>
    <t>Esto es justamente lo que debemos evitar: que la seguridad sea vista como la bandera exclusiva de un sector polític… https://t.co/KiMoipshY5</t>
  </si>
  <si>
    <t>RT @RevistaSemana: “El concepto de seguridad está ideologizado”: Sergio Fajardo da un abrebocas sobre lo que será su plan de seguridad naci…</t>
  </si>
  <si>
    <t>Hola Diego, eso es parte de nuestra propuesta en seguridad. Acá la puedes leer y dejar tus comentarios:… https://t.co/qtzHzX3XyR</t>
  </si>
  <si>
    <t>RT @RedMasNoticias: #EnVivo | ¿Cómo le va a @sergio_fajardo haciendo dos campañas al tiempo? El precandidato presidencial responde en #Red…</t>
  </si>
  <si>
    <t>RT @RedMasNoticias: #EnVivo | ¿La investigación en contra @sergio_fajardo es una equivocación de los organismos de control o es un intento…</t>
  </si>
  <si>
    <t>En minutos estaremos desde Cartagena participando en el Congreso Nacional de Comerciantes #FenalcoNexos2021… https://t.co/zEtglHktRL</t>
  </si>
  <si>
    <t>Debemos pasar la página de la violencia y la destrucción y unirnos alrededor de la educación, la ciencia, la tecnol… https://t.co/UX6SJVWsS5</t>
  </si>
  <si>
    <t>Debemos pasar la página de la violencia y la destrucción y unirnos alrededor de la educación, la ciencia, la tecnol… https://t.co/PpEEMkFKVP</t>
  </si>
  <si>
    <t>A diferencia de Los Victorinos, acá podemos vivir los tres en paz #ParchandoConElContradictor https://t.co/Mda5VTvIFl</t>
  </si>
  <si>
    <t>Hola Catherine. Hoy teníamos un foro de Fenalco en Cartagena y Petro estaba en la programación. Anoche se excusó. Y… https://t.co/rha2uTfNjO</t>
  </si>
  <si>
    <t>RT @acadcienciacol: Comunicado a la opinión pública de la Academia Colombiana de Ciencias Exactas, Físicas y Naturales Sobre la situación…</t>
  </si>
  <si>
    <t>El facilismo de creer que todo lo que no es Petro, es entonces Uribe. No soy cercano ni jamás lo he sido a Luis Alf… https://t.co/jMLZhSjHwP</t>
  </si>
  <si>
    <t>Cesar, tiempo sin verte por acá. Felicitaciones por tu hijo, no hay alegría más grande en la vida. https://t.co/a1hV4JiqWu</t>
  </si>
  <si>
    <t>Entiendo tu punto. Claro que los símbolos importan. Yo elegí este: dar ejemplo de respeto y cordialidad, incluso en… https://t.co/tcNjaDNeiO</t>
  </si>
  <si>
    <t>Jajaja, lo que hay que ver. https://t.co/bhrjkOoVad</t>
  </si>
  <si>
    <t>RT @davalho: El alcalde de Medellín habla con ligereza y gobierna con cinismo. https://t.co/o8J8CUAbF9</t>
  </si>
  <si>
    <t>RT @CarlosFGalan: @CathyJuvinao https://t.co/C2FOE1vPC8</t>
  </si>
  <si>
    <t>En el diseño de las políticas de seguridad en todos los territorios debemos incorporar a las comunidades para que p… https://t.co/Ji6476fKeV</t>
  </si>
  <si>
    <t>Brasil, ejemplo a seguir https://t.co/ZX2FhUfl09</t>
  </si>
  <si>
    <t>Tenemos que pasar la página de la violencia y la destrucción, y unirnos alrededor de las propuestas que construyen… https://t.co/nrbkF5bYXr</t>
  </si>
  <si>
    <t>RT @BluRadioCo: ¡Hoy en #ElRadar! El precandidato presidencial @sergio_fajardo estará hablando de su aspiración a la Casa de Nariño y la…</t>
  </si>
  <si>
    <t>La Policía y el Ejército no pueden ser nuestros enemigos, estamos en una democracia y se necesitan, pero sí tenemos… https://t.co/vY71fDPzxk</t>
  </si>
  <si>
    <t>RT @BluRadioCo: @sergio_fajardo @ricarospina ¡Bienvenidos! Estamos #AlAire en #ElRadar, lo informamos con todos los hechos que son noticia…</t>
  </si>
  <si>
    <t>Al aire en #ElRadar de @BluRadioCo con @ricarospina. Pueden escucharnos en https://t.co/CIWgQO37XM</t>
  </si>
  <si>
    <t>RT @BluRadioCo: @sergio_fajardo @ricarospina #AlAire "La inseguridad es un tema muy complicado. La gente está asustada en todo el país, est…</t>
  </si>
  <si>
    <t>RT @BluRadioCo: @sergio_fajardo @ricarospina #AlAire "La Coalición de la Esperanza, existe mucho antes de Alejandro Gaviria, considerándolo…</t>
  </si>
  <si>
    <t>Gracias Martín por estar siempre ahí. Vamos a trabajar duro para eso! https://t.co/kvd0cRMkzn</t>
  </si>
  <si>
    <t>RT @Camiloenz: Ciudadan@s que creemos en que las formas formas SI importan y que la transformación del país es posible reunidos hoy en la #…</t>
  </si>
  <si>
    <t>RT @compromisobog: Ellos son algunos de nuestros valientes aspirantes para ser candidat@s al Senado y Cámara de Representantes en 2022. Tie…</t>
  </si>
  <si>
    <t>Las políticas de prevención y las intervenciones sociales no son cosas de mamerto, son necesarias en el tema de seg… https://t.co/JAAiV1rA14</t>
  </si>
  <si>
    <t>Vamos a explicarle a la ciudadanía en qué consisten los procesos que la Fiscalía y la Contraloría adelantan en mi c… https://t.co/n7ZLJujR7U</t>
  </si>
  <si>
    <t>https://t.co/aGFF3B1tn2</t>
  </si>
  <si>
    <t>RT @Marea_alcalina: Una amiga y cinco personas más están perdidas en Cerro Tusa. Necesitan ubicar a emergencias. AYUDA. @PoliciaColombia @G…</t>
  </si>
  <si>
    <t>RT @MireyaRamrezPu1: Soy Mireya Ramírez Pulido, de Compromiso Ciudadano, quiero hacer parte de la lista de la Esperanza, porque necesitamos…</t>
  </si>
  <si>
    <t>RT @MantillaIgnacio: Comparto esta cita del filósofo francés Michel Serres (1930-2019) para iniciar la semana: https://t.co/UX2wSzDPnh</t>
  </si>
  <si>
    <t>RT @alvaroforero: Las principales funciones de los partidos políticos —construir plataformas programáticas y escoger candidatos para elecci…</t>
  </si>
  <si>
    <t>El deporte es un componente clave de la educación que necesitamos nosotros en Colombia. El deporte trasforma vidas. https://t.co/y05wBId4V6</t>
  </si>
  <si>
    <t>Nunca he dicho que la actual Corte Suprema de Justicia sea parte del Cartel de la Toga. Nunca. Porque no lo creo: a… https://t.co/r4fQtJRcpx</t>
  </si>
  <si>
    <t>RT @CoaliEsperanza: Como lo dijimos en nuestra visita a Cúcuta el pasado 29 de julio, la reapertura gradual de la frontera entre Colombia y…</t>
  </si>
  <si>
    <t>RT @CoaliEsperanza: Esta decisión significa no seguir condenando a la población de dos naciones hermanas a acudir a trochas y pasos ilegale…</t>
  </si>
  <si>
    <t>RT @CoaliEsperanza: Es urgente renunciar a la diplomacia del micrófono y tomar acciones que permitan ejercer control en territorio fronteri…</t>
  </si>
  <si>
    <t>RT @CCONTRIAL: La IV medición del #CapitalSocial hace explícito graves problemas: -Gran pérdida de la confianza institucional. -La imposib…</t>
  </si>
  <si>
    <t>RT @CoaliEsperanza: En la @CoaliEsperanza damos la bienvenida al movimiento político #TrabajandoDeLaMano. Tuvimos el gusto de recibir a sus…</t>
  </si>
  <si>
    <t>RT @diariocriterio: #CULTURA || “Sin el río no es posible ni entender las raíces de Colombia, ni su pasado y tampoco es posible construir u…</t>
  </si>
  <si>
    <t>Diana Valencia científica, Física, Colombiana pone el nombre de nuestro país en alto. Orgullo y ejemplo. https://t.co/1ydX0IeJ3R</t>
  </si>
  <si>
    <t>Nos vemos mañana jueves en nuestro recorrido por Bogotá con la @CoaliEsperanza. https://t.co/9QaYiDbzVI</t>
  </si>
  <si>
    <t>RT @CoaliEsperanza: Agradecemos a los colombianos y colombianas en el exterior de la @CoaliEsperanza su compromiso con la renovación políti…</t>
  </si>
  <si>
    <t>Gracias Mónica, Cielo, Ángela y a las miles de voluntarias y voluntarios que le ponen el corazón a diario para que… https://t.co/MFVMhIZgUP</t>
  </si>
  <si>
    <t>RT @SandovalMCamila: Las mujeres @Compromisarias hoy estaremos en un diálogo con la @CoaliEsperanza y con el precandidato de @compromisociu…</t>
  </si>
  <si>
    <t>Desde la Plaza de mercado de la Perseverancia arrancamos este recorrido por Bogotá. Listos para encontrarnos con pr… https://t.co/dGUNeJmxnC</t>
  </si>
  <si>
    <t>Escuchar a las y los jóvenes es clave para avanzar como país. Hoy quieren educación de calidad y oportunidades de e… https://t.co/aGStA8uO35</t>
  </si>
  <si>
    <t>RT @compromisobog: "Sin educación la sociedad no puede avanzar. Esa es la gran motivación que me ha llevado a participar en política. Neces…</t>
  </si>
  <si>
    <t>RT @CoaliEsperanza: Concluimos con éxito nuestro encuentro con jóvenes en la Plazoleta de El Rosario. Gracias por escucharnos y, sobretodo,…</t>
  </si>
  <si>
    <t>RT @compromisobog: En Plazoleta del Rosario, realizamos un acto simbólico para representar la Colombia que vamos aconstruir con la @CoaliEs…</t>
  </si>
  <si>
    <t>Como en muchas partes de Colombia, los comerciantes y habitantes del 20 de Julio en Bogotá están cansados de la ins… https://t.co/V3DL60MV1i</t>
  </si>
  <si>
    <t>Cuando una niña o niño es reclutado por organizaciones criminales, el Estado les falla. Cuando esos mismos niños mu… https://t.co/kr3RFGPb8g</t>
  </si>
  <si>
    <t>Cuantas veces sea necesario repetiré que @agaviriau no está ni estará vetado de la @CoaliEsperanza. Tampoco la gent… https://t.co/GkwbVeHeQi</t>
  </si>
  <si>
    <t>La educación tiene que ser el hilo conductor de la transformación del país. La violencia y la destrucción han sido… https://t.co/DLVnKtuPHi</t>
  </si>
  <si>
    <t>RT @CompromisoCauca: Nosotros, los caucanos, siempre quedamos relegados. #ElOlvidoQueSeremos #SOSCauca https://t.co/t2w9cGHOhs</t>
  </si>
  <si>
    <t>Nos vemos al mediodía con @ZuluagaCamila en #MañanasBlu @BluRadioCo. https://t.co/NKJ16zPdcy</t>
  </si>
  <si>
    <t>RT @ZuluagaCamila: Al mediodía en #MañanasBLU hablaremos con el exgobernador de Antioquia @sergio_fajardo sobre las investigaciones que hoy…</t>
  </si>
  <si>
    <t>Al aire en @BluRadioCo con @ZuluagaCamila https://t.co/F1jBarNBI5</t>
  </si>
  <si>
    <t>RT @BluRadioCo: #AlAire Sergio Fajardo (@sergio_fajardo), candidato presidencial, se conecta a #FacebookLive para hablar sobre las investig…</t>
  </si>
  <si>
    <t>RT @BluRadioCo: @sergio_fajardo #AlAire “En el sector político se mueven muchos intereses, es así”: Sergio Fajardo (@sergio_fajardo) https:…</t>
  </si>
  <si>
    <t>RT @BluRadioCo: @sergio_fajardo #AlAire “Uno de los problemas más grandes de nuestro sistema de justicia es la relación directa entre la po…</t>
  </si>
  <si>
    <t>RT @BluRadioCo: @sergio_fajardo #AlAire “Hemos discutido en la transformación que queremos en nuestro país, cambiar la forma de la política…</t>
  </si>
  <si>
    <t>RT @BluRadioCo: @sergio_fajardo #AlAire “Me voy a defender, porque yo he construido una vida pública, he actuado de manera transparente y e…</t>
  </si>
  <si>
    <t>RT @BluRadioCo: @sergio_fajardo #AlAire “Yo respondo por las afirmaciones que hago, vamos para adelante; Colombia va a cambiar”: Sergio Faj…</t>
  </si>
  <si>
    <t>Mi #FF de hoy va acompañado de una disculpa pública. Les recomiendo seguir a @_ajaytuque, a quien antes había suger… https://t.co/KNjvEPDbhJ</t>
  </si>
  <si>
    <t>El camino que hemos recorrido junto a @compromisociu ha sido de acuerdo a unos principios que hemos construido en p… https://t.co/OD9E7LUzdc</t>
  </si>
  <si>
    <t>Estamos haciendo otra campaña, haciendo pedagogía pública para explicarle a la gente los procesos que enfrento y de… https://t.co/mTrgAyoWs2</t>
  </si>
  <si>
    <t>Un gusto participar en el IV Encuentro Nacional de Redes - ¿A qué escuela queremos volver? @EducapazC… https://t.co/0NgbKOIe1r</t>
  </si>
  <si>
    <t>Es una pena el asesinato de Juan Pablo Vallejo, subteniente de la Policía Nacional en cumplimiento de su deber. Mis… https://t.co/gcIfF8VC8q</t>
  </si>
  <si>
    <t>RT @ccexterior: @sergio_fajardo @EducapazC Dos de los candidatos de la @CoaliEsperanza toman parte de este evento que está pasando ahora mi…</t>
  </si>
  <si>
    <t>RT @OscarG_Sanchez: Gracias @sergio_fajardo por preparar y atender con rigor esta invitación de la Red de Jóvenes de @EducapazC</t>
  </si>
  <si>
    <t>Qué curioso que en la misma semana se filtren "pruebas reinas" de la Contraloría y la Fiscalía. Sabemos a qué nos e… https://t.co/SdeMgCHues</t>
  </si>
  <si>
    <t>Nos vemos a las 7:00 p.m. en un Instagram Live con @JuanDiegoAlvira. Pueden seguir a través de mi cuenta… https://t.co/qoYEj5rPob</t>
  </si>
  <si>
    <t>RT @CoaliEsperanza: Agradecemos a los expertos que comentaron nuestra propuesta de #SeguridadYEsperanza en @lasillavacia. El objetivo de ha…</t>
  </si>
  <si>
    <t>RT @ProfFeynman: Don't regret anything in life. If it's good, it's wonderful. If it's bad, it's experience! When you win, you win. When you…</t>
  </si>
  <si>
    <t>Me desperté muy temprano pensando en Doña Martha. Es imposible no imaginar el dolor que debe sentir hoy en cuerpo y… https://t.co/nQRcdaMgWY</t>
  </si>
  <si>
    <t>Entre varias curiosidades en ambos procesos, está el manejo de los tiempos. Lentos para investigar y acusar, pero e… https://t.co/TTxJXM7OsZ</t>
  </si>
  <si>
    <t>Una pregunta, entre tantas de mi puño y letra, y aportada por mí al proceso, es el argumento “demoledor” de la Cont… https://t.co/Se0O0dcvJJ</t>
  </si>
  <si>
    <t>Tibú: desgarrador. La ausencia total del Estado. Una sociedad que se toma la justicia por mano propia, que no respe… https://t.co/6ZDLaD1kRM</t>
  </si>
  <si>
    <t>La hipocresía de la equidad https://t.co/hhn43NmLsN</t>
  </si>
  <si>
    <t>RT @Oswleogo: Pareciera qué estamos condenados, en Medellín y Colombia toda. La intención de los políticos (en su inmensa mayoria) es pens…</t>
  </si>
  <si>
    <t>RT @JorgeMelguizo: Daniel @QuinteroCalle se dijo independiente. Gobierna amparado en César Gaviria y Luis Pérez, y respaldado por lo peor d…</t>
  </si>
  <si>
    <t>Hoy. 6:30 p.m. #LaOtraCampaña https://t.co/IcG9a9h9PO</t>
  </si>
  <si>
    <t>RT @pcolmenares: La #educacion genera #confianza , la #confianza genera #esperanza , la #esperanza genera #paz. Palabras de #Confucio que…</t>
  </si>
  <si>
    <t>RT @compromisociu: Los jóvenes son protagonistas del cambio en Colombia. Este martes 12 de octubre a las 7:00 p.m., te invitamos a conversa…</t>
  </si>
  <si>
    <t>Muy curioso y muy oportuno que tanto el proceso en la Fiscalía como el de la Contraloría coincidan con la campaña p… https://t.co/HhHzxTOrNi</t>
  </si>
  <si>
    <t>Hola, Amanda. Veo por tu tiempo de respuesta, y por tu respuesta, que no viste el video. Pero te agradezco las preg… https://t.co/27ktePh7Fc</t>
  </si>
  <si>
    <t>Gracias, Sharon. Es lo responsable: hacer pedagogía sobre ambos procesos y explicar las rarezas de los dos, en este… https://t.co/ULrs8hivsq</t>
  </si>
  <si>
    <t>Hola, Verónica. Daré las explicaciones que sean necesarias para aclarar ambos procesos. Por ejemplo: en ninguno de… https://t.co/3b0U6y58aj</t>
  </si>
  <si>
    <t>Gracias, Pedro. Ese es el objetivo: poder explicar de manera clara y pedagógica lo que está pasando en cada proceso… https://t.co/GvLdkHKyvl</t>
  </si>
  <si>
    <t>Gracias por tus palabras de apoyo, Luis Fernando. En esta serie de videos voy a explicar las irregularidades de amb… https://t.co/rEN3JJHVHK</t>
  </si>
  <si>
    <t>Gracias, Alejandro. Creo que nos corresponde, como líderes políticos, dar ejemplo. En esta serie de videos voy a ex… https://t.co/NBLAO4a1cS</t>
  </si>
  <si>
    <t>Así es, Esteban. Si no explicamos lo que sucede en ambos procesos, como lo vamos a hacer en #LaOtraCampaña, entonce… https://t.co/Nqm3ceHf0v</t>
  </si>
  <si>
    <t>Gracias por tus palabras de apoyo, Jorge. Son muy importantes en estos momentos, que nos toca hacer dos campañas. H… https://t.co/nQqonSodxD</t>
  </si>
  <si>
    <t>Gracias, Cristy, pero sobre todo es un acto de responsabilidad con el país: en #LaOtraCampaña vamos a explicar los… https://t.co/hiAwE3CiOr</t>
  </si>
  <si>
    <t>Así es, Juan José. Vamos a hacer dos campañas. La política, que hemos venido haciendo, y la pedagógica, que lanzamo… https://t.co/QmJVRuVi1v</t>
  </si>
  <si>
    <t>Gracias, Camilo. Estoy convencido de que debemos dar ejemplo de transparencia y responsabilidad. Por eso, en… https://t.co/iAWUVBkIuw</t>
  </si>
  <si>
    <t>RT @JorgeARestrepo: Los argumentos que muestra Sergio Fajardo 👇 sobre las actuaciones de la Contraloría y la Fiscalía en su contra, muestra…</t>
  </si>
  <si>
    <t>Gracias, Marco. Ese es del objetivo: hacer pedagogía con los procesos y lo que está ocurriendo con ellos. En los pr… https://t.co/s0UhFcxqRZ</t>
  </si>
  <si>
    <t>Lo responsable, en mi caso, es hacer pedagogía, explicar los procesos y sus irregularidades, lejos de bajarles el v… https://t.co/IeKjpkKi0y</t>
  </si>
  <si>
    <t>Hola, Roberto. Claro que me he defendido en derecho, respetando siempre las instituciones, y lo seguiré haciendo. N… https://t.co/p1YcLE53tV</t>
  </si>
  <si>
    <t>RT @cataortizco: ¡Jóvenes de Colombia! Sabemos que necesitan un espacio de debate y construcción para hablar de los temas más relevantes pa…</t>
  </si>
  <si>
    <t>RT @JuanSLopezM: Noticias como la de María Camila Ariza, ingeniera de Petróleos de la UIS, galardonada con una carrera exitosa, nos muestra…</t>
  </si>
  <si>
    <t>RT @compromisociu: Nuestra cita es hoy a las 7:00 p.m. en las cuentas de Facebook de Compromiso Ciudadano y @sergio_fajardo para hablar con…</t>
  </si>
  <si>
    <t>RT @danielduquev: ¡Jóvenes de Colombia! Sabemos que necesitan un espacio de debate y construcción para hablar de los temas más relevantes p…</t>
  </si>
  <si>
    <t>Tengo la ilusión de que se puede cambiar el rumbo de Colombia para construir, como lo hicimos en Medellín y en Anti… https://t.co/QoZemS6Pze</t>
  </si>
  <si>
    <t>Nuestro camino en la política ha sido a pie y eso me ha enseñado a valorar cada saludo y conversación que tengo con… https://t.co/N4dcw9nDYp</t>
  </si>
  <si>
    <t>Nos vemos a las 7:00 p.m. para una conversación con jóvenes de @compromisociu y de todos los rincones del país. Pue… https://t.co/WsgrzeMbNM</t>
  </si>
  <si>
    <t>RT @compromisociu: Estamos #EnVivo a través de Facebook junto a @sergio_fajardo para conversar con jóvenes de todo el país. Pueden conecta…</t>
  </si>
  <si>
    <t>RT @Compromiso_Ant: Este mes, casi 3,5 millones de niñas, niños y adolescentes (3 millones en los colegios oficiales), cumplen 19 meses sin…</t>
  </si>
  <si>
    <t>RT @compromisociu: Vamos a llevar a cabo el programa de recuperación y transformación de la educación para que los estudiantes y docentes p…</t>
  </si>
  <si>
    <t>#ElCambioEsConLosJóvenes y por eso estamos conversando con ellos para construir juntos la mejor propuesta para el p… https://t.co/FlraxSZ8UA</t>
  </si>
  <si>
    <t>RT @Compromiso_Ant: 📢 “Necesitamos que no se olviden de nosotros los jóvenes porque necesitamos la oportunidad” Kirsa Milena Arias Ramos. #…</t>
  </si>
  <si>
    <t>RT @Compromiso_Ant: 📢 “Hay que incentivar a los empresarios para que den más empleo.” Camilo Lagares. 📢 “Debería ser un propósito nacional…</t>
  </si>
  <si>
    <t>RT @Compromiso_Ant: 📢 “Estar aquí reunidos esta noche es un emprendimiento social, no estamos haciendo plata, pero estamos construyendo” @s…</t>
  </si>
  <si>
    <t>Hoy. 8:00 p.m. #LaOtraCampaña https://t.co/KD5Y70gVNS</t>
  </si>
  <si>
    <t>Por favor, ayúdennos a buscar a Martha Inés Ospina Idárraga en Medellín. https://t.co/eYUSPsnQdv</t>
  </si>
  <si>
    <t>RT @Juan_Florez: Fernando es uno de los pocas personas que conozco que tiene un criterio sobre los graves problemas y el deterioro del tran…</t>
  </si>
  <si>
    <t>Muchas gracias a @Andesco1 por la invitación al #CongresoAndesco desde Cartagena. En minutos estaré en el escenario… https://t.co/8842VCiyQm</t>
  </si>
  <si>
    <t>Hoy en el segundo capítulo de #LaOtraCampaña les explico cómo la Fiscalía y la Contraloría han ido modificando los… https://t.co/ay3B94txzg</t>
  </si>
  <si>
    <t>Gracias, Esteban. Tus palabras son valiosas para nosotros, más viniendo directamente de Ituango. Insistiremos en ha… https://t.co/5XElOccb6b</t>
  </si>
  <si>
    <t>Manejo de los tiempos, variación de las acusaciones, arbitrariedad en los acusados... Son varias las curiosidades d… https://t.co/SXQsSHed7K</t>
  </si>
  <si>
    <t>Las acusaciones han ido cambiando extrañamente a lo largo de ambos procesos. No parece importarles el rigor ni el a… https://t.co/cZ3W1QUfZN</t>
  </si>
  <si>
    <t>Roberto, de hecho en mi caso es lo opuesto. Hasta a la ONU he ido a pedir que se me juzgue en un plazo razonable. H… https://t.co/o25vAGfGLB</t>
  </si>
  <si>
    <t>Es este el objetivo de #LaOtraCampaña: hacer pedagogía sobre los procesos en mi contra, explicar las inconsistencia… https://t.co/cytW329hY1</t>
  </si>
  <si>
    <t>Gracias por tus palabras, Carlos. En 5 capítulos vamos a explicar las rarezas, por decir lo menos, de ambos proceso… https://t.co/OFaXd3QjL9</t>
  </si>
  <si>
    <t>Gracias por tu apoyo, Juan Carlos. Confianza es tal vez la palabra clave para mí en la política. Es ese el motor de… https://t.co/woC7DGWVAW</t>
  </si>
  <si>
    <t>Mañana desde temprano estaré en Ibagué con la @CoaliEsperanza, porque vamos a hacer dos campañas. Los invito a ver… https://t.co/RNYRqkbvxQ</t>
  </si>
  <si>
    <t>Gracias, Juan Carlos. Seguiremos con las dos campañas, ambas fundamentales. Tenemos el deber de hacer pedagogía con… https://t.co/2JR8LB4Ya0</t>
  </si>
  <si>
    <t>Me cuentan que la película #DelOtroLado, sobre el encuentro de un par de hermanos con el captor de su mamá es un te… https://t.co/weutfUHMx0</t>
  </si>
  <si>
    <t>La Contraloría, entre la investigación, acusación, imputación y el fallo, ha cambiado los cargos de los que se me a… https://t.co/F5vYl0j06H</t>
  </si>
  <si>
    <t>Al aire en @EcosdelCombeima para hablar sobre la @CoaliEsperanza. Pueden conectarse aquí https://t.co/enZzzzNX3Q</t>
  </si>
  <si>
    <t>RT @EcosdelCombeima: #Ahora en el PingPong Político de #Econoticias 7️⃣9️⃣0️⃣AM La Coalición de la Esperanza. (@sergio_fajardo) (@JERobled…</t>
  </si>
  <si>
    <t>RT @CoaliEsperanza: #Ahora hablamos de política en #Econoticias 7️⃣9️⃣0️⃣AM La @CoaliEsperanza está en vivo en @EcosdelCombeima https://t…</t>
  </si>
  <si>
    <t>RT @CoaliEsperanza: “Estoy haciendo dos campañas. Una, relacionada con lo que estamos haciendo hoy en Tolima y otra, en la que explico los…</t>
  </si>
  <si>
    <t>Muy contento de estar en Ibagué hoy en su cumpleaños 471, y con un clima maravilloso. Con la @CoaliEsperanza teníam… https://t.co/XKlHtPfQYd</t>
  </si>
  <si>
    <t>Los profesores sabemos que la principal forma de educar es con el ejemplo. Con #LaOtraCampaña estamos haciendo peda… https://t.co/xj8mAnEDRe</t>
  </si>
  <si>
    <t>Caminando por la carrera tercera en Ibagué. La gente está cansada de la corrupción, de la inseguridad y la falta de… https://t.co/MCxQmiP6HT</t>
  </si>
  <si>
    <t>RT @lasillavacia: #Opinión "El Gobierno de Colombia lanzó la Estrategia nacional de economía circular. Lograrlo exige incentivos y el i…</t>
  </si>
  <si>
    <t>La Fiscalía primero anunció que no prever que el dólar aumentara era una conducta penalmente censurable. Y luego, t… https://t.co/iNN6jqI6qC</t>
  </si>
  <si>
    <t>El principio de igualdad es fundamental. Lo curioso es que para la Fiscalía y la Contraloría no sea tan evidente. H… https://t.co/LtFyts3Rem</t>
  </si>
  <si>
    <t>RT @compromisociu: Hoy conmemoramos el #DíaDeLaMujerRural. La situación de las mujeres rurales en Colombia no es fácil y esto va a cambiar.…</t>
  </si>
  <si>
    <t>Hablando de reformas a la justicia... Si actualmente @CGR_Colombia y @FiscaliaCol no parecen respetar el principio… https://t.co/7PV9ds2T3g</t>
  </si>
  <si>
    <t>Así es, Jorge. Lo correcto es investigar, y ese escrutinio es al que nos sometemos quienes decidimos ser servidores… https://t.co/U3cSc0ffps</t>
  </si>
  <si>
    <t>Gracias, Enrique. En el capítulo 4 de #LaOtraCampaña abordaremos ese tema a profundidad: ¿por qué pagan las asegura… https://t.co/DSLzoBXWv2</t>
  </si>
  <si>
    <t>Tin marín de dó pingüé. Lo de la Contraloría en Hidroituango parece más un caso de señalar culpables con el dedo qu… https://t.co/vTLp5jMU1w</t>
  </si>
  <si>
    <t>La igualdad: un principio básico de nuestro ordenamiento jurídico. Si esto no es claro para los organismos de contr… https://t.co/NB3YHecSzL</t>
  </si>
  <si>
    <t>RT @mwassermannl: El tercer capítulo de la otra campaña de @sergio_fajardo</t>
  </si>
  <si>
    <t>Gracias, Brandon. En #LaOtraCampaña hacemos pedagogía sobre ambos procesos para explicarle a la gente las curiosida… https://t.co/LbuPCNIfBO</t>
  </si>
  <si>
    <t>Muchas gracias por tu apoyo, Mechas. Ambas campañas son igual de importantes: la política, que seguiremos haciendo,… https://t.co/7EJJGd2eho</t>
  </si>
  <si>
    <t>Exacto, Daniel. Eso es lo que tenemos que hacer: construir confianza. Es lo que buscamos con #LaOtraCampaña https://t.co/lDSijSRXWL</t>
  </si>
  <si>
    <t>RT @HoyosAhe: Esta pedagogía no solo es una forma en la que @sergio_fajardo esta demostrándole al país su inocencia, es también una herrami…</t>
  </si>
  <si>
    <t>Bienvenida a este maravilloso mundo de Twitter, querida Ingrid. Como siempre, tu presencia le dará una dimensión ad… https://t.co/7lIAw2Nmf2</t>
  </si>
  <si>
    <t>Para mí, no se ha respetado el principio fundamental de igualdad ni en el proceso por Hidroituango en la Contralorí… https://t.co/Wgxr9n2iOC</t>
  </si>
  <si>
    <t>RT @Compromiso_Ant: #TourDeLaEsperanza 🏅El concurso Capital Semilla incentivó e impulsó la creación de empleo y de microempresas en Medell…</t>
  </si>
  <si>
    <t>RT @compromisociu: #LaOtraCampaña también está en YouTube 👇 Capítulo 1: los tiempos de la Fiscalía y Contraloría - HIDROITUANGO - son perf…</t>
  </si>
  <si>
    <t>Hasta en El juego del Calamar respetan el principio de igualdad. #LaOtraCampaña https://t.co/Qzl8VNADAp</t>
  </si>
  <si>
    <t>En mi canal de YouTube también pueden ver los capítulos anteriores de #LaOtraCampaña. Seguimos haciendo pedagogía,… https://t.co/HxjPGmnE0O</t>
  </si>
  <si>
    <t>Hola, René. Me imagino que quisiste decir "en las instituciones". Ante la Contraloría interpuse recurso de apelació… https://t.co/gwf9mF7fiW</t>
  </si>
  <si>
    <t>Neider, discrepo de tu opinión. ¿Entonces la pedagogía solo la pueden hacer las instituciones que acusan? ¿O simple… https://t.co/17yU5BiydB</t>
  </si>
  <si>
    <t>Siempre he tenido una obsesión: crear una red nacional de emprendimiento juvenil para compartir experiencias y cono… https://t.co/4xdGzLCZej</t>
  </si>
  <si>
    <t>A veces se demora, pero la justicia siempre llega. Muy valiente @jbedoyalima insistir en su caso, en el que el Esta… https://t.co/GQunKUMzh9</t>
  </si>
  <si>
    <t>RT @CoaliEsperanza: Aplaudimos que, por fin, haya un cierre en #CasoJinethBedoya. Durante años, @jbedoyalima dio la lucha por demostrar la…</t>
  </si>
  <si>
    <t>Lo que necesita la gente en Colombia para salir adelante son oportunidades porque tenemos la inteligencia, la capac… https://t.co/zFtO0XFZlN</t>
  </si>
  <si>
    <t>RT @vanedelatorre: Hoy en @CaracolRadio #10AM: los candidatos de la @CoaliEsperanza ¿Qué le preguntarían a @JERobledo @juanmanuelgalan @ser…</t>
  </si>
  <si>
    <t>RT @CaracolRadio: Hoy en @CaracolRadio #10AM: los candidatos de la @CoaliEsperanza ¿Qué le preguntarían a @JERobledo @juanmanuelgalan @serg…</t>
  </si>
  <si>
    <t>Nos vemos hoy a las 10:00 a.m. con @vanedelatorre en @CaracolRadio junto a la @CoaliEsperanza.… https://t.co/KgjEEXUe9W</t>
  </si>
  <si>
    <t>Estamos al aire con @vanedelatorre en @CaracolRadio junto a la @CoaliEsperanza. Pueden ver la transmisión aquí https://t.co/7O6sdv4hQ3</t>
  </si>
  <si>
    <t>RT @compromisociu: #VanessaPregúnteleALaCoali La propuesta para combatir la inseguridad en Colombia de la @CoaliEsperanza | @sergio_fajard…</t>
  </si>
  <si>
    <t>RT @CoaliEsperanza: "@IBetancourtCol ha retornado a la política. Representa la cara dolorosa de nuestro país y me alegra que va a ser una m…</t>
  </si>
  <si>
    <t>RT @CaracolRadio: 📻 "En principio vamos a hacer una lista abierta": Sergio Fajardo (@sergio_fajardo) #VanessaPregunteleALaCoali</t>
  </si>
  <si>
    <t>RT @vanedelatorre: Estamos caracoleando con los candidatos de la @CoaliEsperanza desde la Av. Chile en Bogotá. Todos sus comentarios los le…</t>
  </si>
  <si>
    <t>RT @CompromisoUraba: #VanessaPregunteleALaCoali La Coalición de la Esperanza, se encuentra a esta hora en @CaracolRadio con @vanedelatorre…</t>
  </si>
  <si>
    <t>RT @vanedelatorre: 📻 "No hay posibilidades de hacer una alianza con el Pacto Histórico": Sergio Fajardo (@sergio_fajardo) #VanessaPreguntel…</t>
  </si>
  <si>
    <t>RT @vanedelatorre: 📻 "En 2003 le dije no a quien era el candidato de Luis Alfredo Ramos, Jorge Enrique Velez": Sergio Fajardo (@sergio_faja…</t>
  </si>
  <si>
    <t>RT @CaracolRadio: 📻 "No hay posibilidades de hacer una alianza con el Pacto Histórico": Sergio Fajardo (@sergio_fajardo) #VanessaPreguntele…</t>
  </si>
  <si>
    <t>RT @CaracolRadio: 📻 "No tiene sentido sentarse a hablar con Nicolas Maduro en este momento": Sergio Fajardo (@sergio_fajardo) #VanessaPregu…</t>
  </si>
  <si>
    <t>RT @CaracolRadio: 📻 "El Partido Liberal asociado con el clientelismo no puede hacer parte del cambio. @agaviriau tiene todo el derecho a es…</t>
  </si>
  <si>
    <t>Nuestra expresión política es la del cambio. Colombia va a cambiar. Gracias @vanedelatorre por invitarnos a estar e… https://t.co/WL2r22tDQ2</t>
  </si>
  <si>
    <t>Si en Hidroituango hubo culpa grave, como dice la Contraloría, ¿por qué pagan las aseguradoras? ¿Por caridad? No. L… https://t.co/XEES874tLT</t>
  </si>
  <si>
    <t>La Contraloría encontró, supuestamente, culpa grave y falló por 4.4 billones de pesos. Pero las aseguradoras encont… https://t.co/9YYUjbJvLP</t>
  </si>
  <si>
    <t>Hola, Aurelio. Mientras que el fallo de la Contraloría es por 4.4 billones de pesos, la póliza asciende a 3mil mill… https://t.co/0bu3TyLZJ9</t>
  </si>
  <si>
    <t>Hola, José. Gracias por tu interés. He hablado de que vamos a hacer dos campañas, así que ambas cosas no son excluy… https://t.co/1iZoYUXN9K</t>
  </si>
  <si>
    <t>No es eso lo que explico en el video de #LaOtraCampaña, Señor Bueno. Si las aseguradoras hubieran encontrado la cul… https://t.co/mt5XDuaoaT</t>
  </si>
  <si>
    <t>Hola, Jose. Es importante siempre mantener el rigor. No faltan 1.4billones. La póliza asciende a 3mil millones de d… https://t.co/jYDFAYew7c</t>
  </si>
  <si>
    <t>Andrés, ¿de verdad crees que una de las aseguradoras más grandes del mundo va a pagar 3 mil millones de dólares por… https://t.co/IceXiBLc58</t>
  </si>
  <si>
    <t>La verdad, Adolfo, es que la póliza asciende a 3 mil millones de dólares, que es casi tres veces el monto estableci… https://t.co/wPdhZ7CYK2</t>
  </si>
  <si>
    <t>El Congreso, de espalda al país. Eliminar la ley de garantías es una afrenta a la ciudadanía. Otra más. https://t.co/4jf8Q487ZD</t>
  </si>
  <si>
    <t>RT @slondonouribe: Los privados, aseguradoras, pagando porque no hubo culpa grave. La Contraloría, sin sustento y con contradicciones, busc…</t>
  </si>
  <si>
    <t>RT @leocharrisg: Si las aseguradoras están pagando la contingencia es porque su investigación arrojó que no hubo dolo o negligencia y que t…</t>
  </si>
  <si>
    <t>Juan, coincido contigo en la necesidad de dejar de repetir como loros. Las pólizas ascienden a más de 3 mil millone… https://t.co/mQiDI7ZvTo</t>
  </si>
  <si>
    <t>Curioso que la Contraloría haya elegido un universo en el que existió culpa grave por Hidroituango, mientras que la… https://t.co/sLhRMu516q</t>
  </si>
  <si>
    <t>Ya estamos en @RCN980cali con @rdgalvez611 (980 AM) https://t.co/6u6Zm75KAE</t>
  </si>
  <si>
    <t>Empezamos entrevista con @alvaronegromina en Radio Calidad (1.230 AM). Hoy me acompañan @cataortizco y @alejoeder https://t.co/VqMaGm8FWe</t>
  </si>
  <si>
    <t>Pronto presentaremos nuestra propuesta del Ministerio de las Mujeres. A la mujer hay que darle un reconocimiento po… https://t.co/PS2eqh9sUM</t>
  </si>
  <si>
    <t>Me alegra que @IBetancourtCol haya regresado a la política en este proceso de reconciliación en nuestro país. Sin d… https://t.co/wUPs7RdNng</t>
  </si>
  <si>
    <t>Si las aseguradoras están pagando y en su fallo la Contraloría ni siquiera habla de corrupción, entonces ¿dónde est… https://t.co/405ysNJyRo</t>
  </si>
  <si>
    <t>No, Mauricio. 1. No se trata de un desfalco. En Hidroituango ocurrió una contingencia causada por varios factores.… https://t.co/g9g6mJAlWg</t>
  </si>
  <si>
    <t>Hola, Lisandro. Claro que no son actividades excluyentes. Vamos a hacer las dos campañas al tiempo: la política y l… https://t.co/ipPt2vOvhv</t>
  </si>
  <si>
    <t>Juan, tal vez no viste, pero anoche mismo me pronuncié en contra de la modificación de la ley de garantías, igual q… https://t.co/Px2mYDHDFj</t>
  </si>
  <si>
    <t>RT @larepublica_co: "‘Ninis’ en Colombia": por Catalina Ortiz, representante a la Cámara https://t.co/ORMTCmDJGc</t>
  </si>
  <si>
    <t>Aunque a algunos no les funcione para el relato que quieren montar, las aseguradoras están pagando por la contingen… https://t.co/6hFVk7CpwU</t>
  </si>
  <si>
    <t>El resurgimiento del Nuevo Liberalismo es hoy una realidad. Queda un reto enorme por delante de responderle al país… https://t.co/NYPy1zJ9Cl</t>
  </si>
  <si>
    <t>Claro que la política de mujeres tiene (no debe) que ser transversal, pero desde mi experiencia como alcalde y gobe… https://t.co/BaMZYzZnXV</t>
  </si>
  <si>
    <t>La actual consejería no ha sido suficiente: Las desigualdades son aún prevalentes. La búsqueda de igualdad debe ser… https://t.co/labEwyhriV</t>
  </si>
  <si>
    <t>Urge un ministerio con poder para movilizar recursos para la igualdad y derechos de las mujeres, invertir en infra… https://t.co/RhkRH7jbvk</t>
  </si>
  <si>
    <t>En Medellín y en Antioquia la experiencia con las Secretarías de la Mujer nos dejaron lecciones claves que no podem… https://t.co/cWdrS82HwV</t>
  </si>
  <si>
    <t>Las burocracias se crean en función de quien lidera. Si se llega al poder con el clientelismo de siempre, tendremos… https://t.co/ZMAvKDRcPT</t>
  </si>
  <si>
    <t>En el último capítulo de #LaOtraCampaña explico el principio básico de que correlación no implica causalidad y cómo… https://t.co/7VrzBDnM9o</t>
  </si>
  <si>
    <t>Así parece, Santiago. Tomaron la conclusión a la que querían llegar y a partir de ahí construyeron un caso lleno de… https://t.co/eQcP2uqTU4</t>
  </si>
  <si>
    <t>Correlación no implica causalidad. Es casi que un "gracias, Faryd", pero para la Contraloría poco ha importado. https://t.co/NlFSfaHCSx</t>
  </si>
  <si>
    <t>Claro que sí, Jaime. Eso haremos. Cuenta con eso. Un abrazo. https://t.co/zWzi5FhOAr</t>
  </si>
  <si>
    <t>Si siguiéramos la teoría de la Contraloría, podríamos concluir que el calentamiento global es la causa de que cada… https://t.co/SoSvg58Q6m</t>
  </si>
  <si>
    <t>Bienvenidas todas las recomendaciones. https://t.co/ptyUo2Vjgp</t>
  </si>
  <si>
    <t>RT @Daniel_Zarta: Y a las #calles saldremos a explicar con respeto. Excelente @sergio_fajardo en #LaOtraCampaña evidenciando la confianza q…</t>
  </si>
  <si>
    <t>RT @AVallejoArias: A mi me queda muy clara #LaOtraCampaña. Un ejercicio de pedagogía política sin antecedentes. El que nada debe,nada teme.…</t>
  </si>
  <si>
    <t>RT @_ajaytuque: Bueno, @sergio_fajardo a través de #LaOtraCampaña ha dado sus explicaciones. La invito a que escuche sus videos. Claro, ust…</t>
  </si>
  <si>
    <t>Con este quinto capítulo, cerramos la primera temporada de #LaOtraCampaña. Hemos explicado las principales irregula… https://t.co/JxbfJLRQon</t>
  </si>
  <si>
    <t>Sí, Juan. Me comprometo a #NoEmpapelar a Bogotá. https://t.co/7WpPL0mxCh</t>
  </si>
  <si>
    <t>Tal vez la más grande irregularidad en la argumentación de la Contraloría en su fallo por Hidroituango, es utilizar… https://t.co/tjWqUGWJXw</t>
  </si>
  <si>
    <t>Felipe, una invitación al rigor y a evitar la desinformación. La recusación busca que el fallo sea revisado en 2a i… https://t.co/oOVi9u0Ozi</t>
  </si>
  <si>
    <t>Hoy es Anatolio, pero la verdad es que así es como decide el Congreso de la República, en muchos casos, los destino… https://t.co/f9vgHcAFJk</t>
  </si>
  <si>
    <t>Claro, Alexander. Acá te dejo la lista de reproducción en YouTube con los cinco capítulos #LaOtraCampaña… https://t.co/bsYW5WKMzY</t>
  </si>
  <si>
    <t>RT @CamilaGolarte: Oigaan, en unos minutos estaremos desde el Instagram de Forbes Lives hablando con @sergio_fajardo sobre su campaña presi…</t>
  </si>
  <si>
    <t>Estamos en Instagram Live con @ForbesColombia. Pueden conectarse a través de mi cuenta de Instagram… https://t.co/GUecu2Qz5e</t>
  </si>
  <si>
    <t>Terminamos la primera temporada de #LaOtraCampaña. Gracias por sus comentarios y el apoyo en esta estrategia de ped… https://t.co/4X8trvxfBN</t>
  </si>
  <si>
    <t>Capítulo 2: Derecho a la igualdad https://t.co/dpfgMjyYgl #LaOtraCampaña</t>
  </si>
  <si>
    <t>Capítulo 3: Modificación de las acusaciones tanto en Contraloría como en Fiscalía https://t.co/V1s9rXFgmu #LaOtraCampaña</t>
  </si>
  <si>
    <t>Capítulo 4: Si las aseguradoras están pagando por la contingencia de Hidroituango, ¿Cuál detrimento patrimonial?… https://t.co/MghaHJx9GZ</t>
  </si>
  <si>
    <t>Capítulo 5: Correlación no es causalidad https://t.co/FeO5xUGxbx #LaOtraCampaña</t>
  </si>
  <si>
    <t>Terminamos la primera temporada de #LaOtraCampaña. Gracias por sus comentarios y el apoyo en esta estrategia de ped… https://t.co/rXmMDCRoCt</t>
  </si>
  <si>
    <t>Capítulo 2: Derecho a la igualdad #LaOtraCampaña https://t.co/FSrjmY6sOK</t>
  </si>
  <si>
    <t>Capítulo 3: Modificación de las acusaciones tanto en Contraloría como en Fiscalía #LaOtraCampaña https://t.co/7eHIvyAFjR</t>
  </si>
  <si>
    <t>Capítulo 4: Si las aseguradoras están pagando por la contingencia de Hidroituango, ¿Cuál detrimento patrimonial?… https://t.co/kQnRNvaoBX</t>
  </si>
  <si>
    <t>Capítulo 5: Correlación no es causalidad #LaOtraCampana https://t.co/yGQ8vh3pwJ</t>
  </si>
  <si>
    <t>Mi #FF de hoy es para Yolanda Perea, una líder y defensora de derechos humanos que hace un trabajo tremendo desde e… https://t.co/Kx2KMuOCFZ</t>
  </si>
  <si>
    <t>RT @Compromiso_Ant: ¡Vamos a las calles! 🏃🏻 Este sábado 23 de octubre, estaremos en recorriendo el país con la Maratón por Colombia. Vamos…</t>
  </si>
  <si>
    <t>Mañana saldremos a las calles y plazas de más de 460 municipios. Así hemos hecho política siempre, escuchando a la… https://t.co/ITfXrbHBhc</t>
  </si>
  <si>
    <t>RT @compromisobol: #ElCambioEsConFajardo #Cordoba-Bolivar https://t.co/6k2ZjiOTYb</t>
  </si>
  <si>
    <t>RT @CompromisoATL_: Mañana SÁBADO 23 DE OCTUBRE es el gran día de volver a las calles del país con la Maratón por Colombia 💥💥 BARRANQUILLA…</t>
  </si>
  <si>
    <t>RT @compromisociu: Desde las 10:30 a.m. te esperamos en Villa de Leyva, Boyacá, con la presencia de @sergio_fajardo en esta maratón por Col…</t>
  </si>
  <si>
    <t>RT @compromisociu: Girón, Santander, también participa en esta maratón por Colombia #ElCambioEsConFajardo 🖐🏼🇨🇴 https://t.co/JlnnZLW6hy</t>
  </si>
  <si>
    <t>Buen ejemplo de que correlación no implica causalidad. https://t.co/uqhgbeHF1U</t>
  </si>
  <si>
    <t>RT @Camiloenz: Estamos en la #MaratónPorColombia. Ciudadanía receptiva y activa, lista para lograr #ElCambioEsConFajardo. https://t.co/5J87…</t>
  </si>
  <si>
    <t>Desde muy temprano empezó la maratón por Colombia. Así hemos hecho política siempre, a pie, conversando con la gent… https://t.co/oPoOu4tEnO</t>
  </si>
  <si>
    <t>RT @CompromisoCiud6: Nuestro proyecto de empleo juvenil pone a las mujeres en el centro para cerrar esta inaceptable brecha. #ElCambioEsCon…</t>
  </si>
  <si>
    <t>Recorriendo las calles de Villa de Leyva, conversando con la gente y contándoles nuestras propuestas de cara al 202… https://t.co/hcyOsy0Pal</t>
  </si>
  <si>
    <t>RT @Compromiso_Ant: ¡Hoy volvimos a las calles del país en la Maratón por Colombia!, estamos en más de 100 puntos conversando con los colom…</t>
  </si>
  <si>
    <t>RT @EliCrH: #ElCambioEsConFajardo y cómo más nos gusta, recorriendo el territorio, conversando, reconociéndonos ☺️. Aquí un pequeño hilo 🧵…</t>
  </si>
  <si>
    <t>Desde la plaza del mercado en Villa de Leyva, conversando con la gente y vendedores que quieren como nosotros un me… https://t.co/L0ES3QFWHG</t>
  </si>
  <si>
    <t>RT @AlejaValek: Es el momento de las mujeres en política, participación ciudadana, construcción colectiva, liderazgos femeninos confiables…</t>
  </si>
  <si>
    <t>RT @compromisociu: En Cali, #ElCambioEsConFajardo 🖐🏼🇨🇴 https://t.co/ixhlprBjSO</t>
  </si>
  <si>
    <t>RT @Compromiso_Ant: 🏃🏻 Empezamos la Maratón por Colombia en el municipio de Santa Rosa de Osos, norte antioqueño. Estamos listos y listas p…</t>
  </si>
  <si>
    <t>RT @saramoreno1: Estoy convencida de que Fajardo representa el cambio para Colombia. Los principios, sueños y la convicción profunda de que…</t>
  </si>
  <si>
    <t>RT @compromisobog: Desde muy temprano iniciamos la Maratón por Colombia, en este día que inicia soleado estaremos conectando con la ciudada…</t>
  </si>
  <si>
    <t>RT @compromisociu: ¡Hoy volvimos a las calles del país en la Maratón por Colombia! Estamos en más de 100 puntos conversando con los colombi…</t>
  </si>
  <si>
    <t>RT @Espanol_SandraS: #elcambioesconfajardo @sergiofajardo https://t.co/54QNxCDt88</t>
  </si>
  <si>
    <t>RT @faber_gonzalezp: En San Andrés y Providencia necesitamos un giro en la educación, la virtualidad es un lujo que la mayoría de nuestros…</t>
  </si>
  <si>
    <t>Hoy desde muchos municipios y ciudades de Colombia. Contándole a la gente por qué #ElCambioEsConFajardo… https://t.co/KoDDjHiwGL</t>
  </si>
  <si>
    <t>RT @EliCrH: @sergio_fajardo @compromisociu Felices sintiendo la esperanza y sumándonos a #ElCambioEsConFajardo 🥳🥳🥳 @Compromisarias @Comprom…</t>
  </si>
  <si>
    <t>RT @EliCrH: @ccexterior @sergio_fajardo @Compromiso_Ant @Compromisarias @compromisociu Las mujeres @Compromisarias también estamos presente…</t>
  </si>
  <si>
    <t>RT @Compromiso_Ant: 🏃🏻 El suroeste antioqueño también se suma a la Maratón por Colombia. Desde el municipio de Jardín, también le decimos a…</t>
  </si>
  <si>
    <t>Únete aquí a nuestra red de voluntarios por todo el país. ¡Colombia va a cambiar! https://t.co/2KbnGmDGjT 🖐🏼🇨🇴</t>
  </si>
  <si>
    <t>RT @Compromiso_Ant: 🏁 La lluvia no detiene esta Maratón por Colombia. Seguimos recorriendo calles y sectores, esta vez en Medellín. 🖐🏼 Des…</t>
  </si>
  <si>
    <t>RT @CompromisoCiud6: El 49% de las niñas y niños de 10 años no pueden leer y entender un texto adecuadamente en el país. #ElCambioEsConLosJ…</t>
  </si>
  <si>
    <t>Desde Santander, #ElCambioEsConFajardo 🖐🏼🇨🇴 Conversando con la gente en las calles y plazas @compromisociu https://t.co/Vpm0iqlAZ2</t>
  </si>
  <si>
    <t>RT @compromisociu: Santa Rosa de Osos también dice Presente #ElCambioEsConFajardo 🖐🏼🇨🇴 https://t.co/Taeq8OMOij</t>
  </si>
  <si>
    <t>RT @Compromisarias: Hoy en nuestros municipios y colombianas y colombianos en el exterior, iniciando nuestros recorridos, porque #ElCambioE…</t>
  </si>
  <si>
    <t>RT @Edwin_MoraGomez: Desde el comienzo y sigo firme con la causa. #ElCambioEsConFajardo, lo creo y sé que seremos gobierno en el 2022. @com…</t>
  </si>
  <si>
    <t>RT @Soyjhonatramir1: En agosto de 2021, el desempleo de las mujeres jóvenes fue cercano al 30%, 12 puntos por encima que el de los hombres…</t>
  </si>
  <si>
    <t>RT @Camiloenz: Chapinero - Zona T. #ElCambioEsConFajardo y con la ciudadanía que sabe que con el todo vale y los políticos tradicionales NO…</t>
  </si>
  <si>
    <t>RT @Compromiso_Ant: 🏃🏻 En el Valle de Aburrá también sabemos que #ElCambioEsConFajardo y por eso hoy desde el municipio de Envigado recorre…</t>
  </si>
  <si>
    <t>RT @Compromiso_Ant: 🖐🏼 "La oficina nuestra es la calle." Hoy lo ratificamos con la Maratón por Colombia recorriendo más de 400 municipios.…</t>
  </si>
  <si>
    <t>RT @CompromisoCiud6: Desde Villa del Rosario, Capital de la Gran Colombia #ElCambioEsConFajardo #ElCambioEsConLosJóvenes @sergio_fajardo h…</t>
  </si>
  <si>
    <t>RT @RoaSa77: La política necesita cambios estructurales de base, más y mejores oportunidades para todos. Ese cambio lo representa @sergio_f…</t>
  </si>
  <si>
    <t>RT @RetNubia: #ElCambioEsConFajardo #ColombiaVaACambiar @sergio_fajardo El ministerio de las mujeres es uma deuda social 💜🤛👏 https://t.co/8…</t>
  </si>
  <si>
    <t>RT @MildredAriasC: Recibimos las sonrisas! Hay esperanza! #CoalicionDeLaEsperanza #ElCambioEsConFajardo https://t.co/5u98fo2xKk</t>
  </si>
  <si>
    <t>RT @MildredAriasC: Seguimos a pesar de la lluvia en nuestra Sultana, creemos en que se puede! #CoalicionDeLaEsperanza #ElCambioEsConFajard…</t>
  </si>
  <si>
    <t>RT @CarlosIVQuinteQ: #ElCambioEsConFajardo porque la coherencia es primordial en la vida, mucho más en la política. @sergio_fajardo es un h…</t>
  </si>
  <si>
    <t>RT @chaelgrunge: "Nuestra sede es la calle y nuestra maquinaria son los zapatos. Por hablar con la gente no cobran y nosotros solo tomamos…</t>
  </si>
  <si>
    <t>En Colombia se llenó el vaso y cuando eso ocurre el pueblo quiere un cambio. Lo lograremos en 2022 con el apoyo de… https://t.co/CsAhou4NC8</t>
  </si>
  <si>
    <t>RT @juancarperez: Colombia tiene una oportunidad histórica de cambiar, de poner en el poder una gran coalición de centro, pluralista y refo…</t>
  </si>
  <si>
    <t>RT @guillermin40: Con @sergio_fajardo llegaremos a gobernar sin deber favores o cuotas burocráticas a nadie. Mucho menos a expresidentes.…</t>
  </si>
  <si>
    <t>RT @riveraalzate: Sin lugar a dudas, y sin temor a equivocarme, creo firmemente que en Colombia #ElCambioEsConFajardo.</t>
  </si>
  <si>
    <t>Únete aquí a nuestra red de voluntarios por todo el país. ¡Colombia va a cambiar! 🖐🏼🇨🇴 https://t.co/2KbnGmDGjT</t>
  </si>
  <si>
    <t>RT @CompromisoCiud7: Hoy volvemos a las calles, cómo nos enseñó el profe @sergio_fajardo Con volante en mano, tenis y conversando con la ge…</t>
  </si>
  <si>
    <t>RT @AlejaValek: En las calles, con la gente, escuchando y conociendo diversas realidades. Así hacemos política en @CCxSantander , mujeres,…</t>
  </si>
  <si>
    <t>RT @Compromiso_Ant: 🏃🏻 #ElCambioEsConFajardo y hoy en la Maratón por Colombia lo hacemos saber en varios sectores de la ciudad de Medellín.…</t>
  </si>
  <si>
    <t>RT @yhansui_O: #ElCambioEsConFajardo, ya lo vivimos en Medellín y Antioquia. @sergio_fajardo https://t.co/8xx3Mk0rbR</t>
  </si>
  <si>
    <t>RT @CompromisoCiud6: Desde Los Patios, Norte de Santander #ElCambioEsConFajardo #ElCambioEsConLosJóvenes @sergio_fajardo https://t.co/JhcVy…</t>
  </si>
  <si>
    <t>RT @CompromisoATL_: Volvemos a las calles como nos ha enseñado siempre @sergio_fajardo, volanteando, firmes, siempre con una sonrisa, la me…</t>
  </si>
  <si>
    <t>Importante logro de las fuerzas armadas y de policía la captura de alias Otoniel, máximo cabecilla del Clan del Gol… https://t.co/lTpyDDbyTk</t>
  </si>
  <si>
    <t>RT @CompromisoATL_: Ondeamos orgullosos la bandera del profre @sergio_fajardo porque sabemos que es con él con quien vamos a transformar el…</t>
  </si>
  <si>
    <t>RT @Compromiso_Ant: 🏃🏻 La Maratón por Colombia no se detiene. Ahora desde la comuna 13 seguimos conversando y diciendo que #ElCambioEsConFa…</t>
  </si>
  <si>
    <t>RT @ssancris1: Nada mejor que salir a la calle, hablar con la gente, compartir nuestras propuestas, y trabajar por un mejor país de la mano…</t>
  </si>
  <si>
    <t>RT @Soyjhonatramir1: Un país fragmentado como Colombia lo cambiamos todos si hacemos de la decencia y la transparencia la marca de nuestra…</t>
  </si>
  <si>
    <t>RT @compromisobol: #ElCambioEsConFajardo https://t.co/6unhfAbDUV</t>
  </si>
  <si>
    <t>RT @FavioPaz: Con el grupo 4 en el centro de nuestra querida Arauca. Empezó esto!!!!!!!! #ElCambioEsConFajardo #SePuede https://t.co/iAHn…</t>
  </si>
  <si>
    <t>RT @FavioPaz: Empezó esto!!!!!!!! #ElCambioEsConFajardo #SePuede Excelente oportunidad para volver a hablar con los ciudadanos. https://t…</t>
  </si>
  <si>
    <t>RT @CompromisoATL_: Los jóvenes están más despiertos que nunca, anhelan una Colombia llena de esperanza y oportunidades para todos y saben…</t>
  </si>
  <si>
    <t>RT @compromisobol: #ElCambioEsConFajardo #Cartagena #Castellana https://t.co/5MdzyzyOOB</t>
  </si>
  <si>
    <t>RT @compromisobol: #ElCambioEsConFajardo @sergio_fajardo https://t.co/0ZMTPJre8E</t>
  </si>
  <si>
    <t>Únete aquí a nuestra red de voluntarios por todo el país. ¡Colombia va a cambiar! https://t.co/2KbnGmDGjT</t>
  </si>
  <si>
    <t>RT @compromisobol: Carmen Rosa de Fadul, una Fajardista de gran talla, acompañada de su hija @ClaudiaFadulR #ElCambioEsConFajardo @sergi…</t>
  </si>
  <si>
    <t>¿Quieren joder a Fajardo? https://t.co/xY4CnhVKSw</t>
  </si>
  <si>
    <t>Les dejo mi entrevista con @el_pais https://t.co/pwHq5PvWS5 vía @elpais_america</t>
  </si>
  <si>
    <t>Mi entrevista hoy en @ElColombiano https://t.co/rudXcZWSTU</t>
  </si>
  <si>
    <t>No más clanes ni grupos manejando el país a su antojo. Nadie tiene que arrodillársele a un político para que le com… https://t.co/Lm8oIB2aiL</t>
  </si>
  <si>
    <t>Comparto esta entrevista hoy en El Tiempo: ‘En este 2022 se acaba el capítulo del que diga Uribe’: Sergio Fajardo https://t.co/pG506VpfLQ</t>
  </si>
  <si>
    <t>Gran noticia el renacimiento del Partido Verde Oxígeno. A @IBetancourtCol todo mi reconocimiento. Sin duda, esto co… https://t.co/J3dSm9bz6O</t>
  </si>
  <si>
    <t>RT @IBetancourtCol: Radicamos ante el CNE la solicitud para restituir la personería jurídica del partido Verde Oxígeno, y retomar de cara a…</t>
  </si>
  <si>
    <t>RT @FelipRamirez_: Honorables ciudadanos, ¡ganamos! De manos del presidente @IvanDuque recibí para todos ustedes el premio de Alta Gerenci…</t>
  </si>
  <si>
    <t>Alias Otoniel debe ser juzgado y condenado en Colombia por sus múltiples crímenes, de cara a sus víctimas y aportan… https://t.co/Q40ejDJnlF</t>
  </si>
  <si>
    <t>Su extradición anticipada sería una muestra más de la debilidad de nuestro sistema de justicia y del poco interés p… https://t.co/pfeVubJa9A</t>
  </si>
  <si>
    <t>Celebro la decisión de la ANLA de archivar el trámite de licencia ambiental del proyecto de minería de cobre Quebra… https://t.co/Tw9MhYDD7G</t>
  </si>
  <si>
    <t>RT @CoaliEsperanza: Hoy sostuvimos una primera reunión con @agaviriau para evaluar la posibilidad de construir conjuntamente una opción de…</t>
  </si>
  <si>
    <t>Hoy cumple años una persona muy importante para mí y para @compromisociu. Por muchas celebraciones más y por un 202… https://t.co/hiSoR4zopJ</t>
  </si>
  <si>
    <t>RT @ArielAnaliza: #ArielAlSenado https://t.co/RM9XBoXpVV</t>
  </si>
  <si>
    <t>RT @daperas: Soy David Pérez, activista, y estoy siendo amenazado de muerte por las Autodefensas Gaitanistas desde junio 04 de este año, po…</t>
  </si>
  <si>
    <t>No, señor registrador. Si hay dudas, su obligación es explicar, dar tranquilidad de que se hará todo para una conti… https://t.co/renRePJKbq</t>
  </si>
  <si>
    <t>Salir a la calle, mirar la gente a los ojos, entregar un volante con cariño, con convicción. Esa es la política que… https://t.co/hDxKJlvoM3</t>
  </si>
  <si>
    <t>Si quieres unirte a esta forma de hacer política, mirando a los ojos y con convicción, únete a nuestra red de volun… https://t.co/KMVnL4Be1W</t>
  </si>
  <si>
    <t>Así es, María Camila. Entregar un volante con cariño, por convicción y no por obligación, representa nuestra misión… https://t.co/YSR5B3Iw06</t>
  </si>
  <si>
    <t>Dices bien, Álvaro. No hay nada más poderoso que hacer política mirando a la gente a los ojos. Eso hemos hecho y se… https://t.co/4GLb6LBxK3</t>
  </si>
  <si>
    <t>Otra cosa bonita de entregar volantes mirando a la gente a los ojos es que siempre encuentra uno personas amables y… https://t.co/Cgi6Nj9YCD</t>
  </si>
  <si>
    <t>RT @EliCrH: La sensación esperanzadora de salir a las calles es inmensa, así nos gusta a nosotros: voluntarios, volante en mano, mirada a l…</t>
  </si>
  <si>
    <t>https://t.co/Fe2vP9LgAY</t>
  </si>
  <si>
    <t>Santiago, en la Gobernación de Antioquia respaldé la minería social y ambientalmente responsable. Enfrenté la miner… https://t.co/KloH5lJk0p</t>
  </si>
  <si>
    <t>Sin embargo, el proyecto Quebradona, ubicado en Jericó, no cumplía esos requisitos. Por fortuna la ANLA le negó la… https://t.co/f3NjFAWY5v</t>
  </si>
  <si>
    <t>Ahora que la discusión frente a Hidroituango parece centrarse en las aseguradoras, me pregunto nuevamente: ¿por qué… https://t.co/OarK0ab6Wc</t>
  </si>
  <si>
    <t>Una científica ejemplar en todos los sentidos. La admiro profundamente. https://t.co/JokXlAYcAD</t>
  </si>
  <si>
    <t>Buen trabajo! Así es https://t.co/YwCqo7DHaa</t>
  </si>
  <si>
    <t>RT @ZuluagaCamila: La representante a la cámara del @PartidoVerdeCoL por el Valle del Cauca @cataortizco, anunció que no aspirará al congre…</t>
  </si>
  <si>
    <t>RT @cataortizco: He tomado una decisión y quiero compartirla contigo. Todos y cada uno de ustedes son parte de esta transformación política…</t>
  </si>
  <si>
    <t>RT @SAColombia: #HOY siguen los Diálogos Presidenciales SAC: Es momento de que Colombia le cumpla al campo. Tendremos como invitados a @JER…</t>
  </si>
  <si>
    <t>Muchas gracias a la @SAColombia por esta invitación para hablar sobre el agro y el campo en el país. Nos vemos en m… https://t.co/dYXGrNf0xH</t>
  </si>
  <si>
    <t>RT @SAColombia: #EnMinutos empezará el segundo Diálogo Presidencial SAC: Es momento de que Colombia le cumpla al campo. Tendremos como invi…</t>
  </si>
  <si>
    <t>Ya estamos en vivo desde la @SAColombia para hablar sobre el agro y el campo. Pueden conectarse en este link https://t.co/kxZS4Tq1tW</t>
  </si>
  <si>
    <t>RT @SAColombia: Diálogos Presidenciales SAC: Es momento de que Colombia le cumpla al campo- Coalición de la Esperanza https://t.co/PaVXvMdv…</t>
  </si>
  <si>
    <t>RT @Acopi_Nacional: En pocos minutos daremos inicio a nuestro primer #DiálogoPoderMipyme ¡No se lo pierda!. Será un espacio donde los preca…</t>
  </si>
  <si>
    <t>Ya nos vemos en el #DiálogoPoderMipyme organizado por @Acopi_Nacional con mis compañeros de la @CoaliEsperanza. No… https://t.co/vYlMwn6IiE</t>
  </si>
  <si>
    <t>Ya estamos en vivo con mis compañeros de la @CoaliEsperanza en el #DiálogoPoderMipyme organizado por… https://t.co/36iZRAoh04</t>
  </si>
  <si>
    <t>RT @IBetancourtCol: Los colombianos estamos todos secuestrados por la corrupción y necesitamos liberarnos https://t.co/9nGyXNYsYl</t>
  </si>
  <si>
    <t>Aunque muchas veces sea difícil, el diálogo es siempre la fórmula. Debemos insistir en el diálogo. https://t.co/xIdEXAHXnr</t>
  </si>
  <si>
    <t>RT @CoaliEsperanza: #ATENCIÓN Compartimos comunicado a la opinión pública. "La @CoaliEsperanza es una coalición amplia e incluyente que bus…</t>
  </si>
  <si>
    <t>RT @sergio_fajardo: Aunque muchas veces sea difícil, el diálogo es siempre la fórmula. Debemos insistir en el diálogo. https://t.co/xIdEXAH…</t>
  </si>
  <si>
    <t>Al aire en @CaracolRadio para hablar sobre nuestra respuesta al video de Alejandro Gaviria. https://t.co/z8O5rZHi1A</t>
  </si>
  <si>
    <t>RT @IBetancourtCol: Las maquinarias sí son un problema. Uno tiene que escoger en qué país quiere vivir. Esta es la hora de deshacernos de l…</t>
  </si>
  <si>
    <t>Vamos a insistir en más diálogo y ese es el espíritu de la @CoaliEsperanza. A veces es difícil y requiere tiempo pa… https://t.co/ViKOvw5gmn</t>
  </si>
  <si>
    <t>RT @Compromiso_Ant: 🏃🏻 Que alegría haber vuelto a la calle y conversado con las personas. Acá les contamos dónde estuvimos y qué significó…</t>
  </si>
  <si>
    <t>Hemos aprendido a dialogar entre nosotros, a construir consensos y tramitar nuestras diferencias. Ese es el espírit… https://t.co/L49I8kWdCe</t>
  </si>
  <si>
    <t>Varias instituciones del mundo rural han tenido históricamente dueños políticos, y cuando se gobierna con el client… https://t.co/s8n6qTPDuT</t>
  </si>
  <si>
    <t>Me sumo al #CuidarAUnLíderSocialEs que hoy promueve @WRadioColombia. Tenemos la obligación de reconocerlos, respeta… https://t.co/9Z2xRQuQN0</t>
  </si>
  <si>
    <t>#CuidarAUnLíderSocialEs seguirlos Juana Ruiz: @JuanaAliciarui2 Arukin Torres: @ArukinNehemias Yolanda: @yolaperea Z… https://t.co/9r29jJ5CnH</t>
  </si>
  <si>
    <t>Una frase perversa que ha hecho carrera en Colombia es "que roben pero que hagan obras". No podemos permitir eso ba… https://t.co/QUw7IDv8Lg</t>
  </si>
  <si>
    <t>Ya mismo, a seguir a estos líderes sociales. #CuidarAUnLíderSocial es hablar de ellos y promoverlos sin sesgos polí… https://t.co/DrMgvahE2M</t>
  </si>
  <si>
    <t>RT @sidocsas: Para nosotros es muy importante la nominación a los #PremiosPortafolio2021, sabemos que una empresa crece en la medida en la…</t>
  </si>
  <si>
    <t>RT @CoaliEsperanza: Las denuncias de la @FLIP_org conocidas hoy son muy graves y contribuyen a deteriorar aún más las instituciones. El @mi…</t>
  </si>
  <si>
    <t>Diego Molano le debe una explicación al país. De ser cierta esta información de la @FLIP_org sobre el autosaboteo d… https://t.co/jtJqtOjbwe</t>
  </si>
  <si>
    <t>Es fundamental avanzar en la educación rural, y a la vez tenemos que enfrentar a la corrupción para que niñas, niño… https://t.co/wQOpF06cpS</t>
  </si>
  <si>
    <t>No es cierto que en Colombia sea imposible llegar al poder sin negociar con el clientelismo y la corrupción. Colomb… https://t.co/j0RIiy7uP5</t>
  </si>
  <si>
    <t>RT @compromisociu: En Valledupar y en el Cesar #ElCambioEsConFajardo. Nuestros equipos siguen caminando y conversando con la gente en las c…</t>
  </si>
  <si>
    <t>RT @MantillaIgnacio: Hoy se celebra en Colombia el Día del Químico. Felicitaciones para todos los estudiantes, profesores y egresados de la…</t>
  </si>
  <si>
    <t>RT @Marianafloga: Nuevamente en las calles de Valledupar llevando un mensaje de esperanza. Los colombianos nos cansamos de la política qu…</t>
  </si>
  <si>
    <t>RT @VLADDO: Bogotá es la ciudad más importante de las Américas que no tiene metro ni un diario local. — Por el metro, no podemos hacer much…</t>
  </si>
  <si>
    <t>La deforestación es el principal problema ambiental en Colombia. El Estado debe hacer cumplir las reglas y trabajar… https://t.co/GjiC2dnxcS</t>
  </si>
  <si>
    <t>RT @Daniel_Zarta: Invitados a escuchar el panel tan importante que han construído las @Compromisarias, con un asunto valioso y urgente; los…</t>
  </si>
  <si>
    <t>Les comparto mi entrevista en La Nación https://t.co/WI3TNAiT9N</t>
  </si>
  <si>
    <t>El mundo entero está mirando, con expectativa, a los líderes en la #COP26. Colombia ha hecho anuncios que celebro,… https://t.co/3QVHzx3Mlb</t>
  </si>
  <si>
    <t>El anuncio de Colombia, con otros países, de llevar deforestación a 0 para 2030 es, a hoy, quizás el punto más rele… https://t.co/QZPUtfPB5S</t>
  </si>
  <si>
    <t>El problema de la deforestación en Colombia debe abordarse desde una mirada integral, que abarque el problema del n… https://t.co/P8eQqaTS3H</t>
  </si>
  <si>
    <t>La financiación internacional que va a recibir Colombia para frenar deforestación y reducir emisiones de CO2 es una… https://t.co/E9FKEwENFM</t>
  </si>
  <si>
    <t>Presidente, ¿cómo se van a traducir en acciones que no afecten únicamente a los eslabones más débiles en la cadena… https://t.co/c40E8UvtYd</t>
  </si>
  <si>
    <t>Hay metas ambiciosas por parte del gobierno, pero es necesario pasar a acciones concretas El primer paso sería envi… https://t.co/A2RH60Vu20</t>
  </si>
  <si>
    <t>Mi propuesta sobre ambiente tiene 4 ejes: 1. Lucha contra deforestación con enfoque integral. 2. Enfrentar el cambi… https://t.co/n4DnGh6mks</t>
  </si>
  <si>
    <t>RT @MabelLaraNews: Se autoproclaman distintos y la opción renovadora y utilizan la misma fórmula de siempre: alianzas con los votos, no imp…</t>
  </si>
  <si>
    <t>Estamos al aire en el Facebook Live de Conexión Putumayo y Latina Estéreo 91.3 F.M. para hablarle a toda la gente d… https://t.co/7FSS3jZOVI</t>
  </si>
  <si>
    <t>Las palabras de Alonso Salazar: “Quintero se queda solo con su terquedad” via @ElColombiano https://t.co/N1OePDiTeh</t>
  </si>
  <si>
    <t>RT @compromisociu: Este jueves 4 de noviembre conéctate a este Space para hablar sobre medio ambiente a propósito de la #COP26 Con @daniel…</t>
  </si>
  <si>
    <t>RT @Juan_Florez: En las elecciones de 2022 hay que cuidarse mucho de quienes se disfrazan de mansas ovejas cuando en realidad son lobos des…</t>
  </si>
  <si>
    <t>Llevamos 22 años luchando por lo mismo que nos motivó a entrar en política en Medellín. Confianza = coherencia +… https://t.co/dsRGc9HkIs</t>
  </si>
  <si>
    <t>RT @compromisociu: AL AIRE: nos tomamos un momento en Space en Twitter para hablar sobre medio ambiente a propósito de la #COP26. https://t…</t>
  </si>
  <si>
    <t>RT @danielduquev: ¡Arrancamos el space sobre cambio climático con @compromisociu! https://t.co/JWEQPcC8qP</t>
  </si>
  <si>
    <t>RT @MPaDerechoPenal: Este viernes, conéctese al III #ForoArielOrtízCorrea, un homenaje a 30 años de nuestra Constitución Política, que orga…</t>
  </si>
  <si>
    <t>Todos los presidentes le han dicho a Iván Duque que lo más importante es el Acuerdo de Paz. Nosotros somos capaces… https://t.co/Whaa8AubRq</t>
  </si>
  <si>
    <t>La @CoaliEsperanza está firme. Estamos presentando nuestras propuestas, consolidando nuestras listas al Congreso y… https://t.co/zYIm9mpqMP</t>
  </si>
  <si>
    <t>RT @Compromiso_Ant: 🤔 ¿Quieres sumarte como voluntario? 🖐🏼 Contamos contigo para que seas parte de la fuerza de la esperanza que transform…</t>
  </si>
  <si>
    <t>Hoy hace 22 años nació @compromisociu en Medellín. Hemos demostrado que se puede cambiar la política y transformar… https://t.co/lNn2x7CJO0</t>
  </si>
  <si>
    <t>RT @compromisociu: Cuando Medellín estaba atrapada por el miedo y la desesperanza, Compromiso Ciudadano nació como una alternativa de cambi…</t>
  </si>
  <si>
    <t>RT @alvarogonzalezu: #FelizCumpleañosCompromiso. Recuerdos, historia. Nuestra primera presentación pública el 6 de julio del 2000: https://…</t>
  </si>
  <si>
    <t>RT @JuanJoLargo: #FelizCumpleañosCompromiso @compromisociu 22 años después hoy sigue siendo la apuesta transformadora para el cambio que ne…</t>
  </si>
  <si>
    <t>RT @SandovalMCamila: Feliz cumpleaños @compromisociu y a todas y todos los que motivados por transformar nuestra realidad, conformamos este…</t>
  </si>
  <si>
    <t>RT @Camiloenz: @compromisociu me ha dado la gran fortuna de conocer personas maravillosas, crecer a nivel personal y humano, y seguir tenie…</t>
  </si>
  <si>
    <t>RT @Compromisarias: Son 22 años de compromiso y amor por lo que hacemos. @compromisociu @Compromisarias 🎉</t>
  </si>
  <si>
    <t>RT @CaroTorresTol: ¡Conscientes de todos los retos que tenemos en nuestras regiones, se consolida @compromisociu un movimiento cívico lider…</t>
  </si>
  <si>
    <t>RT @alvarogonzalezu: #FelizCumpleañosCompromiso. En el 2013 escribí esta columna sobre parte de la historia de Medellín que se cruza con la…</t>
  </si>
  <si>
    <t>RT @pcolmenares: Feliz cumpleaños @compromisociu @ccexterior , gracias por enseñarme el valor de la #Participacion y la #Coherencia , un ab…</t>
  </si>
  <si>
    <t>RT @Paolaarenasm: Orgullosa de ser compromisaria! No es militancia, es identidad, asociada además a mentalidad y cultura: Principios y esen…</t>
  </si>
  <si>
    <t>Los programáticos parecen una especie en vía de extinción, menos requeridos y valorados en las campañas por el popu… https://t.co/b8yoNQeNWB</t>
  </si>
  <si>
    <t>Me uno a #SiganAUnLíderSocial e invito a mis contradictores @petrogustavo @ingrodolfohdez y @MariaFDacabal a que lo… https://t.co/uGb1aaBgCR</t>
  </si>
  <si>
    <t>#SiganAUnLíderSocial Juana: @JuanaAliciarui2 Arukin: @ArukinNehemias Yolanda: @yolaperea Zunga: @LaZungaRoja Lázaro… https://t.co/8fqLcPVDQH</t>
  </si>
  <si>
    <t>Quiero que las propuestas brillen en medio de todas las discusiones que tiene hoy la política en Colombia. Semana p… https://t.co/fTIxzQ1yUN</t>
  </si>
  <si>
    <t>Lamento el asesinato de 4 militares en Ituango a manos de Clan del Golfo. Mi solidaridad con sus familias. La tarea… https://t.co/Ek0oo2uqnb</t>
  </si>
  <si>
    <t>Lo de Nicaragua no es una democracia, no fueron elecciones, ni es ningún triunfo. Es una muestra más de hacia dónde… https://t.co/fkK0TScHQL</t>
  </si>
  <si>
    <t>Molano, ministro de defensa de un gobierno al que la seguridad se le salió de las manos, nuevamente demuestra su po… https://t.co/mGHqKo0xhq</t>
  </si>
  <si>
    <t>Iniciamos mañana en Cereté una visita de tres días al departamento de Córdoba y sus municipios. Colombia va a cambi… https://t.co/cOJIfpNcqg</t>
  </si>
  <si>
    <t>RT @CompromisoCiud7: Hoy iniciamos la #maratonporcordoba con la llegada de @sergio_fajardo nos vemos a las 5:45 pm en Cereté #FajardoEnCórd…</t>
  </si>
  <si>
    <t>RT @ArielAnaliza: Juez ordena detener la aplicación de la modificación a ley de garantías. La jugadita de @IvanDuque y su coalición de la c…</t>
  </si>
  <si>
    <t>Hoy, más que nunca, el clamor es a que nos unamos y lleguemos a marzo como una opción real de cambio. En 2022, Colo… https://t.co/FxF27V58O7</t>
  </si>
  <si>
    <t>Atardecer en Cereté. En frente de la iglesia de San Antonio. Empezamos la jornada. En la calle, persona por persona… https://t.co/InoZzN6j1C</t>
  </si>
  <si>
    <t>La cumbiambera de Cereté. https://t.co/CSalVuGnlR</t>
  </si>
  <si>
    <t>Felicitaciones, Catalina. Qué orgullo. https://t.co/5MgeGyp4rT</t>
  </si>
  <si>
    <t>Daniel Quintero es la politiquería disfrazada de cambio que no podemos dejar que engañe a los colombianos en el 22.… https://t.co/Durgl4UA1t</t>
  </si>
  <si>
    <t>Felicitaciones Mabel. En adición a lo que decía tu abuelo, recuerda que "con educación todo se puede". Lista para e… https://t.co/jDDsMLklhp</t>
  </si>
  <si>
    <t>RT @slondonouribe: Absurda la decisión inconsulta de la Alcaldía de Ituango de retirar el busto de Jesús María Valle del parque principal d…</t>
  </si>
  <si>
    <t>Si no fuera idealista ni soñador no estaría en Cereté ni recorriendo Córdoba donde estamos hoy. Hemos demostrado qu… https://t.co/D1HxBkKBlO</t>
  </si>
  <si>
    <t>RT @ZuluagaCamila: El candidato presidencial @sergio_fajardo hizo un llamado en donde manifiesta que, después de varias reflexiones intimas…</t>
  </si>
  <si>
    <t>Espero que la Corte Constitucional despenalice el aborto. Es hora de superar la discusión desde el ámbito penal y c… https://t.co/r65KfXoaxL</t>
  </si>
  <si>
    <t>Felicitaciones Jorge. Siempre un gusto trabajar juntos. 👊 https://t.co/yOhAoCdBvz</t>
  </si>
  <si>
    <t>Tenemos que dialogar e insistir en una unión del centro. Vamos a llegar a segunda vuelta porque somos capaces de li… https://t.co/rksv8H0fOP</t>
  </si>
  <si>
    <t>RT @DeLaCalleHum: Agradezco el llamado que me hacen @sergio_fajardo y la @CoaliEsperanza y convoco a los líderes de centro a enfrentar el r…</t>
  </si>
  <si>
    <t>En la carta que presenté propongo cuatro bases: acuerdos programáticos que podamos discutir y construir, lucha cont… https://t.co/KTLNjQDRIo</t>
  </si>
  <si>
    <t>RT @LeonVaLenciaA: #SomosPares 📢 | Nos complace anunciar que somos la ONG más admirada en Colombia por la opinión pública según @cifrasycon…</t>
  </si>
  <si>
    <t>Al aire en @CHICACERETE en nuestra visita a Córdoba. Pueden escucharnos en https://t.co/TFYVGATeZA https://t.co/WT0nb7tRYq</t>
  </si>
  <si>
    <t>RT @LaRazonCo: #EnVivo | Entrevista con el precandidato presidencial Sergio Fajardo https://t.co/4tWNx55J6h</t>
  </si>
  <si>
    <t>En vivo en @LaRazonCo para hablar de nuestras propuestas para Montería, Córdoba y toda Colombia. En vivo por… https://t.co/7mXArRLylz</t>
  </si>
  <si>
    <t>RT @LaRazonCo: #Entrevista | "Los que queremos gobernar este país debemos tener la serenidad para entender que Colombia va a cambiar (...)…</t>
  </si>
  <si>
    <t>RT @LaRazonCo: "Vamos a cambiar a Colombia, vamos a enfrentar las desigualdades, vamos a enfrentar la pobreza, la corrupción, la violencia,…</t>
  </si>
  <si>
    <t>Ella es Brenda. Una mujer indígena de Puerto Libertador, sector Mina del Alacrán, en el depto de Córdoba. Tremenda… https://t.co/BJ9W4lh8rG</t>
  </si>
  <si>
    <t>Estuve de visita en Montelíbano y Puerto Libertador durante nuestro recorrido por Córdoba. La capacidad de su gente… https://t.co/kKLzxxcLXa</t>
  </si>
  <si>
    <t>Celebro que la Corte Suprema de Justicia nos haya citado para el próximo 6 de diciembre a audiencia de formulación… https://t.co/UhMD3hNeav</t>
  </si>
  <si>
    <t>Les presento a parte de mi equipo programático, personas de distintos orígenes que aportan con sus ideas. ¿Qué expe… https://t.co/ZaXWQpkppC</t>
  </si>
  <si>
    <t>Gracias, Wilmar. De acuerdo contigo en que este es un proyecto de muchas personas, con diversas experiencias y sueñ… https://t.co/f6Z18E2MnR</t>
  </si>
  <si>
    <t>El orgullo, querida Ana Paulina, es mío. Juntos vamos a construir las propuestas para tener un país como dices: más… https://t.co/KUksbWf79T</t>
  </si>
  <si>
    <t>De acuerdo, Camilo. Todo parte de ahí: de trabajar por convicción, como lo hacen ustedes en el equipo programático.… https://t.co/qRtShy1MiV</t>
  </si>
  <si>
    <t>RT @mfajardoa: Me siento feliz de hacer parte de este equipo. Aprendo y debato ideas todos los días.</t>
  </si>
  <si>
    <t>¿Les gustaría trabajar en una campaña política? Esto le preguntamos a nuestro equipo programático que nos cuenta qu… https://t.co/sXWfPL0K3V</t>
  </si>
  <si>
    <t>Así es, Rosa Inés. Una construcción colectiva que nos permita, además, aprender a todos de la experiencia y conocim… https://t.co/gDnTwFJvXm</t>
  </si>
  <si>
    <t>Así es, Nubia. A veces damos por sentado el ser buenas personas, pero como dices, buscar y trabajar por el bien com… https://t.co/oOnUZPI8sF</t>
  </si>
  <si>
    <t>RT @juancarperez: Equipazo. Mucho ánimo y mucho éxito en la construcción de las mejores propuestas para Colombia. Bien ahí @sergio_fajardo</t>
  </si>
  <si>
    <t>Los programas de gobierno y las propuestas no se leen tanto como deberían, en eso coinciden varios de los miembros… https://t.co/IEdMWhNsqI</t>
  </si>
  <si>
    <t>Es curioso: todos los días me repiten que no hago propuestas, y cuando hablo de lo programático me dicen que el pro… https://t.co/XyOrfZ8VkI</t>
  </si>
  <si>
    <t>Así es, Diego. Clave hacer pedagogía con el tema programático: explicar las propuestas y sus implicaciones para las… https://t.co/XZPIOrfdEy</t>
  </si>
  <si>
    <t>Les comparto mi entrevista en @LaRazonCo durante la visita que hicimos a Montería. https://t.co/H3iCDopz2p</t>
  </si>
  <si>
    <t>RT @esteban_usuga: Hoy, un día triste para nuestra comunidad de Ituango y su corregimiento La Granja. Asesinan a una persona y su hijo de t…</t>
  </si>
  <si>
    <t>RT @JoseA_Ocampo: La cumbre de cambio climático de Glasgow dejó muchos temas pendientes. Todo depende ahora de los compromisos nacionales q…</t>
  </si>
  <si>
    <t>RT @afajardoa: Carolina Holguín fue una de las mejores personas que conocí en los últimos años. Siempre con buena energía, cariñosa y franc…</t>
  </si>
  <si>
    <t>RT @mfajardoa: Carolina Holguín era una señora -y ciclista- increíble. Un día yo andaba preocupada por no poder subir una loma en bici y me…</t>
  </si>
  <si>
    <t>En Córdoba se debe hacer una reflexión sobre el daño que ha hecho la corrupción en el departamento. Que nunca más e… https://t.co/Bzcuc2q9A5</t>
  </si>
  <si>
    <t>Me metí en política para apostarle a la inteligencia y capacidad de la gente. Donde yo esté, siempre la educación s… https://t.co/iyrmYvWdTn</t>
  </si>
  <si>
    <t>Imposible hablar de un barco sin nombrar a su capitán. José Antonio Ocampo no necesita presentación, pero para quie… https://t.co/I264L4Dt2s</t>
  </si>
  <si>
    <t>RT @mfajardoa: José Antonio es una combinación única: generosidad para transmitir conocimiento, capacidad de explicar de forma sencilla lo…</t>
  </si>
  <si>
    <t>Trabajamos en una construcción colectiva, alejada de proyectos personalistas. Colombia va a cambiar y es un orgullo… https://t.co/1AVDjI58OR</t>
  </si>
  <si>
    <t>Así es. Para nosotros es un lujo que José Antonio Ocampo sea parte de nuestro equipo programático. Pocos con su con… https://t.co/pNmlmPSlHR</t>
  </si>
  <si>
    <t>Gracias a @elespectador por esta entrevista. Colombia va a cambiar y lo que proponemos desde la @CoaliEsperanza es… https://t.co/Kxffk4jHA3</t>
  </si>
  <si>
    <t>Imposible hablar de un barco sin nombrar a su capitán. José Antonio Ocampo no necesita presentación, pero para quie… https://t.co/bfl7HR4ZK8</t>
  </si>
  <si>
    <t>RT @Compromiso_Ant: 📢 "Va a haber un cambio y lo que proponemos desde la @CoaliEsperanza es un cambio para construir y avanzar, no quedarse…</t>
  </si>
  <si>
    <t>RT @compromisociu: Este miércoles 17 de noviembre a las 7 p.m. hablaremos sobre los impactos de la corrupción en el Caribe y el país. Tra…</t>
  </si>
  <si>
    <t>RT @elespectador: #Entrevista "En Colombia va a haber un cambio y ese cambio no va a estar asociado al Centro Democrático y a este Gobierno…</t>
  </si>
  <si>
    <t>A partir de junio del 2022, después de la segunda vuelta, la educación en Colombia va a tener brújula. Esta semana… https://t.co/N0HwHqRh0a</t>
  </si>
  <si>
    <t>Bienvenido Carlos. Mucho trabajo por delante. El camino es largo y culebrero, pero por el Centro llegamos. No lo du… https://t.co/uzp0aWxNXO</t>
  </si>
  <si>
    <t>RT @Daniel_Zarta: #NuevaFotoDePerfil2021 Foto de pedaleada a la #Guajira por 16 departamentos al norte de #Colombia. Serán 7 semanas y 35…</t>
  </si>
  <si>
    <t>Un honor que José Antonio Ocampo sea parte fundamental de nuestro equipo programático. https://t.co/yzayx6KuZ9</t>
  </si>
  <si>
    <t>RT @Compromiso_Ant: #FelizCumpleañosCompromiso Hace 22 años Medellín conoció una forma diferente de ver y hacer política. La forma de @c…</t>
  </si>
  <si>
    <t>RT @compromisociu: El camino a la presidencia es largo y queremos que conozcas todos los detalles. Inscríbete y conoce las propuestas y opi…</t>
  </si>
  <si>
    <t>RT @Camiloenz: En @compromisociu @compromisobog soy libre para aportar al desarrollo del país. He crecido integralmente y reafirmado que se…</t>
  </si>
  <si>
    <t>RT @saramoreno1: Para mi ser Compromisaria es apostar por la transformación de la política para dignificar lo público. #FelizCumpleañosCom…</t>
  </si>
  <si>
    <t>RT @CompromisoCiud7: #FelizCumpleañosCompromiso Hace 22 años, un grupo de soñadores desencantados con la manera tradicional de hacer pol…</t>
  </si>
  <si>
    <t>RT @CompromisoATL_: #FelizCumpleañosCompromiso En estos años hemos participado en el debate público sin entrar a las cañerías de la politi…</t>
  </si>
  <si>
    <t>RT @eduardopinerosp: Hoy estaré de presentador en este Conversatorio sobre la corrupción en el Caribe. Analizaremos algunos de los casos má…</t>
  </si>
  <si>
    <t>RT @elespectador: #VIDEO El candidato presidencial @sergio_fajardo estuvo con El Espectador hablando de sus principales propuestas. https:/…</t>
  </si>
  <si>
    <t>RT @PaoHerreraC: Hasta hoy el día mas feliz de vida como periodista, vale la pena todo el trabajo, el esfuerzo, los sacrificios, las noches…</t>
  </si>
  <si>
    <t>RT @Paolaarenasm: Hace 22 años un grupo de soñadores con los pies bien puestos sobre el asfalto, pasó de la indignación a la acción para tr…</t>
  </si>
  <si>
    <t>Reitero mi disposición para dialogar y construir puntos de encuentro con las diferentes expresiones políticas del C… https://t.co/MuO1bilook</t>
  </si>
  <si>
    <t>En esta charla con @elespectador cuento un poco sobre nuestras propuestas para el 2022 y mis opiniones sobre aborto… https://t.co/HD8g5xq8Mt</t>
  </si>
  <si>
    <t>Coincidimos con @INTOSAI_IDI en la importancia de una @CGR_Colombia independiente, objetiva y TRANSPARENTE. Libre… https://t.co/WVp9dUmGjd</t>
  </si>
  <si>
    <t>Nos vemos a las 7:00 p.m. en mi página de Facebook para hablar sobre cómo ha afectado la corrupción al Caribe y a o… https://t.co/rHF2UZXaGo</t>
  </si>
  <si>
    <t>Estamos ya conectados en Facebook Live para hablar sobre la corrupción en el Caribe y en otras regiones del país. P… https://t.co/11ri2toJGP</t>
  </si>
  <si>
    <t>RT @saramoreno1: No se pierdan la conversación sobre la lucha contra la corrupción en el Caribe con Sergio Fajardo y nuestros equipos del C…</t>
  </si>
  <si>
    <t>RT @compromisociu: “Los problemas de corrupción afectan de manera muy importante la superación de desigualdades”: Rosa Inés Ospina #CaribeS…</t>
  </si>
  <si>
    <t>Las expresiones de César Gaviria hablan por sí solas y no merecen réplica. Celebro que coincidamos con @agaviriau e… https://t.co/JEocf5LDY3</t>
  </si>
  <si>
    <t>A leerlo, con urgencia. https://t.co/jZ42ycEXag</t>
  </si>
  <si>
    <t>RT @CoaliEsperanza: Celebramos la decisión del Consejo Directivo de @PartidoVerdeCoL para construir acuerdos y unificar las listas al Congr…</t>
  </si>
  <si>
    <t>A las 12:15 p.m. estaremos en #MañanasBlu con @ZuluagaCamila para hablar de la unión del centro.</t>
  </si>
  <si>
    <t>Al aire en #MañanasBlu en @BluRadioCo con @ZuluagaCamila. Pueden escucharnos en https://t.co/CIWgQO37XM.</t>
  </si>
  <si>
    <t>También pueden ver la entrevista en vivo en @BluRadioCo en Facebook Live #MañanasBlu https://t.co/kQBn0F6QnJ</t>
  </si>
  <si>
    <t>Nosotros somos la expresión de lo que quiere Colombia. Representamos una política que significa que el capítulo lid… https://t.co/F844Nu0cjk</t>
  </si>
  <si>
    <t>Vamos a tener una discusión franca y transparente para construir y unificar el centro. El país está profundamente i… https://t.co/CHNNnbs9uh</t>
  </si>
  <si>
    <t>RT @compromisociu: Revive aquí el encuentro #CaribeSinCorrupción, donde @sergio_fajardo junto a Rosa Inés Ospina, Compromisarios y Compromi…</t>
  </si>
  <si>
    <t>Las dinámicas electorales y las discusiones políticas, a veces nos hacen perder el foco de lo realmente importante:… https://t.co/dP3JTosB2m</t>
  </si>
  <si>
    <t>RT @AlvaroCastr0: Así quedó la recolección de firmas de la campaña presidencial anterior. El mejor % de firmas válidas fue el de nuestra c…</t>
  </si>
  <si>
    <t>Nosotros queremos construir y sabemos cómo hacerlo. Les presentaremos una serie de programas que son importantes pa… https://t.co/cClbcpy8AV</t>
  </si>
  <si>
    <t>Gabriel, nuestra apuesta política siempre ha puesto la educación en el centro de la transformación social. Con la c… https://t.co/KJxYu1qcDb</t>
  </si>
  <si>
    <t>RT @PartidoASI_: #NoSeDejeEngañar🔴| Queremos informar a la opinión pública que la Alianza Social Independiente sigue firme con la @CoaliEs…</t>
  </si>
  <si>
    <t>El acto de la Policía en Tuluá no tiene justificación. Además del irrespeto, evidencia la urgencia de fortalecer y… https://t.co/SuPFfKa1yg</t>
  </si>
  <si>
    <t>RT @Compromiso_Ant: 🚴🏻‍♂️¡El #TourDeLaEsperanza vuelve a Antioquia! 📢 Del 21 al 24 de noviembre nos volvemos a encontrar para hacer, junto…</t>
  </si>
  <si>
    <t>RT @slondonouribe: Logramos indisponer, en menos de un mes, a Israel, Alemania e Irán. Somos un caso de estudio en los programas de Relacio…</t>
  </si>
  <si>
    <t>Palabras sabias https://t.co/HPDV2zwmiY</t>
  </si>
  <si>
    <t>Desde mañana caminaremos nuevamente por Medellín y varios municipios de Antioquia con @Compromiso_Ant para conversa… https://t.co/o62ahBIhvF</t>
  </si>
  <si>
    <t>RT @Compromiso_Ant: 🚴🏻‍♂️ El #TourDeLaEsperanza vuelve recargado a Antioquia. 📆 Mañana domingo, 21 de noviembre, estaremos haciendo lo que…</t>
  </si>
  <si>
    <t>RT @Compromiso_Ant: 📌 Barbosa: El Carretero ⏰ 10:30 a.m. 📌 Girardota: Parque Principal. ⏰ 1:30 p.m. 📌 Copacabana: Parque Principal. ⏰ 3:0…</t>
  </si>
  <si>
    <t>La pandemia ha tenido consecuencias nefastas, pero es la oportunidad para transformar la educación en nuestro país:… https://t.co/fufbnHpeaS</t>
  </si>
  <si>
    <t>La educación también ha sido víctima de la polarización. No podemos dar una discusión seria en la materia sin darle… https://t.co/FfIZycnTnA</t>
  </si>
  <si>
    <t>RT @compromisociu: ¡Llegamos a Medellín y Antioquia para el #TourDeLaEsperanza! 🚲 Muy pendientes de nuestras redes sociales @compromisociu…</t>
  </si>
  <si>
    <t>RT @Compromiso_Ant: 🚴🏻‍♂️ Empezamos esta nueva etapa del #TourDeLaEsperanza en Antioquia. A esta hora iniciamos con una reunión con nuestro…</t>
  </si>
  <si>
    <t>Arrancamos el #TourDeLaEsperanza en Barbosa, Antioquia. Estamos en un momento muy bajo de credibilidad en la políti… https://t.co/uXfzFHkUY8</t>
  </si>
  <si>
    <t>“No hay que votar por los de las uñas largas”. Escuchen a Efigenia Mercado, hay que acabar con ese cuento de “mitad… https://t.co/8wJEycrYut</t>
  </si>
  <si>
    <t>RT @Compromiso_Ant: 📢 "Por usted hay que votar." Palabras de apoyo y motivación que nos expresa la ciudadanía en Barbosa. 🚴🏻‍♂️ Seguimos,…</t>
  </si>
  <si>
    <t>RT @Compromiso_Ant: 🚴🏻‍♂️ Empezamos a hacer lo que más nos gusta en este #TourDeLaEsperanza por Antioquia. A esta en el municipio de Barbos…</t>
  </si>
  <si>
    <t>Nos vemos pronto! https://t.co/Lm9by5zfHv</t>
  </si>
  <si>
    <t>Mirar a los ojos, dialogar y escuchar con respeto. La única política que sabemos hacer. #TourDeLaEsperanza #Barbosa… https://t.co/dffVZISjsN</t>
  </si>
  <si>
    <t>Continuamos nuestro #TourDeLaEsperanza en Girardota. La gente cansada del populismo y la prometedera. Este país va… https://t.co/rnrh1ysFii</t>
  </si>
  <si>
    <t>RT @Compromiso_Ant: 🚴🏻‍♂️ Esta etapa del #TourDeLaEsperanza no detiene su marcha. Seguimos en el norte del Valle de Aburrá, ahora en el mu…</t>
  </si>
  <si>
    <t>RT @compromisociu: En Compromiso Ciudadano la calle siempre ha sido nuestra sede. 🖐🏼🇨🇴 #TourDeLaEsperanza con @sergio_fajardo en Antioquia.…</t>
  </si>
  <si>
    <t>RT @Compromiso_Ant: 🖐🏼 En Girardota nos sentamos, conversamos y compartimos con los ciudadanos. La política que hacemos es mirando a los oj…</t>
  </si>
  <si>
    <t>Continuamos con nuestro #TourDeLaEsperanza en Copacabana. Acá la gente es muy amable y cariñosa. El patrón de todos… https://t.co/wHMqn23kXa</t>
  </si>
  <si>
    <t>Más fácil salir en medios y ser tendencia prometiendo acabar la contratación petrolera el 1er día, pero lo responsa… https://t.co/UHxegFdX22</t>
  </si>
  <si>
    <t>RT @yannbasset: ¡Que bueno! Todos los candidatos deberían hacer propuestas prioritarias para eso. En la práctica, hemos acabado con la escu…</t>
  </si>
  <si>
    <t>RT @cfreyes: Plan de recuperación y transformación de la educación: 1. Búsqueda activa para retorno 100% presencial 2. Medición del impact…</t>
  </si>
  <si>
    <t>RT @Compromiso_Ant: 🚴🏻‍♂️ El #TourDeLaEsperanza no se detiene. Prográmate y acompáñanos en esta nueva etapa. 📆 Mañana estaremos haciendo l…</t>
  </si>
  <si>
    <t>RT @Compromiso_Ant: 📢 En la noche tendremos un espacio de conversación y encuentro con Fajardo donde podrán interactuar, hacer preguntas, g…</t>
  </si>
  <si>
    <t>Buenas noches, Duvey. Claro que debemos tener propuestas para todos los sectores. Sobre empleo, hace un par de mese… https://t.co/KuzZCfINv0</t>
  </si>
  <si>
    <t>Hola, Fidel. Tal vez somos muchos los que no sabemos "leer o escuchar a Petro", pero acá parece ser bastante claro,… https://t.co/usvYI4Dtgk</t>
  </si>
  <si>
    <t>RT @compromisociu: #FajardoPropone un Plan Nacional de Recuperación y Transformación de la Educación: retorno masivo a las clases 100% pres…</t>
  </si>
  <si>
    <t>En Medellín, el Parque Explora es un sitio mágico de la ciudad. La ciencia y el conocimiento para todas las persona… https://t.co/wtuFcEno2O</t>
  </si>
  <si>
    <t>Martha Cecilia Bustamante, científica colombiana, otra mujer que por su inteligencia y dedicación se destaca y nos… https://t.co/BbiBga0ayz</t>
  </si>
  <si>
    <t>RT @antamanece: "Colombia va a cambiar en el 2022 cuando se cierre la página que ha dejado el expresidente @AlvaroUribeVel. Hay un cambio c…</t>
  </si>
  <si>
    <t>RT @antamanece: "Celebro porque a diferencia de la mayoría de personas en Colombia siempre pongo la cara, sé de dónde viene este proceso en…</t>
  </si>
  <si>
    <t>Este es uno de mis orgullos. El Parque Biblioteca Belén, diseñado por Hiroshi Naito como aporte de los japoneses a… https://t.co/AvsDwIxzpM</t>
  </si>
  <si>
    <t>RT @Compromiso_Ant: 🚴🏻‍♂️ Iniciamos este #TourDeLaEsperanza hoy junto a @sergio_fajardo en el barrio Belén. Visitamos el Parque Biblioteca,…</t>
  </si>
  <si>
    <t>Para @TheEconomist un gobierno nuestro sería la mejor salida para manejar las presiones sociales y económicas que e… https://t.co/XdvzymRvF5</t>
  </si>
  <si>
    <t>Arco iris en Medellín. https://t.co/LaaHTdJ0vf</t>
  </si>
  <si>
    <t>Esto no es una cuestión de partidos sino de simple ética. La presidenta de la Cámara de Representantes, Jennifer Ar… https://t.co/yn76SFaLdD</t>
  </si>
  <si>
    <t>A esta hora en @noscogiolanoche de Cosmovisión. https://t.co/9LD9XX30Bv</t>
  </si>
  <si>
    <t>RT @noscogiolanoche: El precandidato presidencial Sergio Fajardo está en La Primera Mesa de Opinión de Antioquia. @sergio_fajardo https://t…</t>
  </si>
  <si>
    <t>Un gusto estar en @noscogiolanoche en Cosmovisión. Pueden vernos aquí: https://t.co/wMguylUGO1 https://t.co/EFfPP6UuIs</t>
  </si>
  <si>
    <t>RT @Compromiso_Ant: 🚴🏻‍♂️ A esta hora continuamos nuestro recorrido del #TourDeLaEsperanza en el programa @noscogiolanoche del canal Cosmov…</t>
  </si>
  <si>
    <t>RT @Compromiso_Ant: 📢 “El daño que le está haciendo este gobierno a Medellín es gigantesco. Una empresa que tiene cuatro gerentes en dos añ…</t>
  </si>
  <si>
    <t>@noscogiolanoche Gracias por la invitación, acá les dejo nuestra propuesta de educación que presentamos para que co… https://t.co/aJHVBFrtrl</t>
  </si>
  <si>
    <t>RT @Compromiso_Ant: 🚴🏻‍♂️ El #TourDeLaEsperanza y el cambio que le proponemos a Colombia, lo hacemos entre todos. 🖐🏼 Ahora nos reunimos e…</t>
  </si>
  <si>
    <t>Te equivocas, Santiago. No se trata acá de un debate penal sino meramente ético. Y, lamentablemente, la fiscalía ac… https://t.co/HpyfsctDDD</t>
  </si>
  <si>
    <t>Urabá tiene un solo aeropuerto, el de Carepa. Hoy el Presidente va para allá con una persona notable y cancelan tod… https://t.co/2EY5C3cCPj</t>
  </si>
  <si>
    <t>En 2022 nos presentaremos 3 bloques a la presidencia: uno asociado con el actual gobierno, el otro con el cambio pa… https://t.co/wrDEABSGDn</t>
  </si>
  <si>
    <t>El Gobierno de Duque ha sido malo, sin liderazgo y con muchas contradicciones como en las reformas tributarias que… https://t.co/2RD1BFrMoJ</t>
  </si>
  <si>
    <t>Volveremos en diciembre a Urabá. Hoy nos cancelaron el vuelo abruptamente por la visita del Presidente. Es increíbl… https://t.co/EUZ2hFhsur</t>
  </si>
  <si>
    <t>Recuerden leer nuestra propuesta para recuperar y transformar la educación. Nos concentraremos en asegurar que estu… https://t.co/O8lmVDg1w1</t>
  </si>
  <si>
    <t>El daño que le están haciendo a Medellín es gigantesco. El alcalde Quintero sabe que yo soy un problema porque siem… https://t.co/1sziWM1w8h</t>
  </si>
  <si>
    <t>Sé a lo que me enfrento con las investigaciones en la Contraloría y la Fiscalía y nunca me he escondido, siempre he… https://t.co/6UtsIC4SiS</t>
  </si>
  <si>
    <t>Llevamos dos años trabajando en la @CoaliEsperanza, discutiendo y presentando propuestas. En marzo esperamos presen… https://t.co/JsKUPF5z0O</t>
  </si>
  <si>
    <t>Colombia está en una situación difícil y hay un malestar ciudadano muy grande. Ese malestar no lo podemos convertir… https://t.co/FMIR3p1CUW</t>
  </si>
  <si>
    <t>Esta noche a las 8:30 p.m. tenemos una cita en el espacio de Twitter de #LasOpinadoras para hablar de nuestras prop… https://t.co/CyXVsU7N3h</t>
  </si>
  <si>
    <t>Hoy presentamos nuestra segunda propuesta estratégica: el plan para profundizar la formación en ciencias, tecnologí… https://t.co/PoOyPAEguB</t>
  </si>
  <si>
    <t>Este proyecto estratégico es el resultado de un trabajo colectivo. Gracias a todas las personas que nos ayudaron en… https://t.co/Sitkvvmmfv</t>
  </si>
  <si>
    <t>RT @cfreyes: Propuesta para impulso a la formación STEAM (¡incluyendo artes!): 1. “Quién se le mide”: concursos con retos de la vida real…</t>
  </si>
  <si>
    <t>RT @AlvaroCastr0: Fajardo está presentando desde ya las propuestas con documentos claros en los que se puede leer, comentar y hasta aportar…</t>
  </si>
  <si>
    <t>Hola Ricardo, buenas noches. La semana pasada presentamos el Plan de Recuperación y Transformación de la Educación… https://t.co/QN4fxm7nez</t>
  </si>
  <si>
    <t>RT @Compromiso_Ant: 🚴🏻‍♂️ El #TourDeLaEsperanza sigue. Prográmate y acompáñanos en esta nueva etapa. 📆Mañana estaremos haciendo lo que más…</t>
  </si>
  <si>
    <t>RT @Compromiso_Ant: 📢 En la tarde estaremos en Rionegro, oriente antioqueño, en un recorrido junto a Fajardo, por las calles de este bello…</t>
  </si>
  <si>
    <t>RT @EEopinion: "Países como Colombia, que asumieron que el plazo para detener el daño ambiental (por las buenas) se podía seguir alargando,…</t>
  </si>
  <si>
    <t>Sobre mi edad no puedo hacer mucho, disculpas; soy quien presenta la propuesta como candidato. El otro “viejo” es e… https://t.co/J0j2nCUoX0</t>
  </si>
  <si>
    <t>Con el Plan de formación STEAM queremos profundizar el interés e incrementar la calidad educativa en las disciplina… https://t.co/8VdQ6dHVx6</t>
  </si>
  <si>
    <t>RT @mwassermannl: @TatianaAndia ¿Cuantas doctoras ha formado usted? Porque yo, tal vez por viejo, le he dirigido el doctorado en ciencias a…</t>
  </si>
  <si>
    <t>RT @cataortizco: Una propuesta fundamental para el crecimiento de nuestro país es una amplia y rigurosa formación en STEAM. @sergio_fajardo…</t>
  </si>
  <si>
    <t>Caminando por la avenida La Playa en el centro de Medellín. Seguimos escuchando a la gente y contándoles nuestras p… https://t.co/yTm1dLysVl</t>
  </si>
  <si>
    <t>RT @Compromiso_Ant: 🚴🏻‍♂️ El #TourDeLaEsperanza no se detiene. A esta hora recorremos, junto a @sergio_fajardo, las calles del centro de Me…</t>
  </si>
  <si>
    <t>El Contralor sabe que está impedido para decidir, y no descarto que haya sido a propósito. Sin yo ser abogado, me c… https://t.co/fiC7eM5jkA</t>
  </si>
  <si>
    <t>Desde el barrio Belén en Medellín. Cada persona, una por una, es importante. Por eso me gusta salir a la calle, ent… https://t.co/32KsGmsmXF</t>
  </si>
  <si>
    <t>De visita en Rionegro. El oriente antioqueño es un ejemplo y orgullo para nosotros, demostramos cómo se pueden hace… https://t.co/zGLGGjWWoV</t>
  </si>
  <si>
    <t>RT @Compromiso_Ant: 🚴🏻‍♂️ El #TourDeLaEsperanza llegó al corazón de Medellín. Junto a @sergio_fajardo recorrimos las calles del centro de l…</t>
  </si>
  <si>
    <t>RT @MiOriente: #Video🔵📲|En conversación con MiOriente, @sergio_fajardo habló de los problemas y retos que tiene la subregión. Él reconoci…</t>
  </si>
  <si>
    <t>El acuerdo de paz cumple hoy 5 años, un tiempo corto que se ha hecho muy largo por el poco compromiso del gobierno… https://t.co/98W3cdlBRG</t>
  </si>
  <si>
    <t>RT @alvarogonzalezu: Hoy, luego de 22 años, fue muy emocionante volver al Centro de Medellín donde empezamos a repartir volantes y a conver…</t>
  </si>
  <si>
    <t>Les comparto mi entrevista en @MiOriente donde hablo sobre varios temas y especialmente del oriente antioqueño, una… https://t.co/sMcopMWDiR</t>
  </si>
  <si>
    <t>RT @BLUAntioquia: Buscan que recusaciones contra Contraloría en caso Hidroituango lleguen al Consejo de Estado - - &gt; https://t.co/fuCz6kWTc…</t>
  </si>
  <si>
    <t>Hoy estaremos en Popayán con la @CoaliEsperanza. Nos vemos a las 11:00 a.m. para tener un diálogo abierto con la ge… https://t.co/B4Sks21muW</t>
  </si>
  <si>
    <t>Nos acercamos a Popayán. Traemos el mensaje de la Coalición de la Esperanza. https://t.co/RugUGbF6mq</t>
  </si>
  <si>
    <t>Con @JERobledo en Popayán de visita con la @CoaliEsperanza. Nos vemos en minutos en el encuentro con periodistas y… https://t.co/8gMANEcLxb</t>
  </si>
  <si>
    <t>Hoy se conmemora el día internacional de la no violencia contra las mujeres, pero seguimos demasiado lejos. De acue… https://t.co/6xQEF0RzxW</t>
  </si>
  <si>
    <t>Urge una apuesta muy ambiciosa de transformación cultural de toda la sociedad para que las mujeres tengan autonomía… https://t.co/Y3CkTY1SAb</t>
  </si>
  <si>
    <t>RT @Compromisarias: #DelMiedoALaEsperanza, unidas para resurgir y avanzar. Hoy #25N nos abrazamos y alzamos nuestra voz, para la eliminació…</t>
  </si>
  <si>
    <t>En las calles de Medellín y Antioquia es donde más he aprendido el respeto y la solidaridad por las personas. Estuv… https://t.co/mrWxxS8xxE</t>
  </si>
  <si>
    <t>Hoy conocí a Berney Trochez, líder del municipio de Suárez, Cauca, una región golpeada por la violencia y la minerí… https://t.co/NmIxdhz6hv</t>
  </si>
  <si>
    <t>Muchas inquietudes y propuestas han salido en este diálogo abierto con la ciudadanía de Popayán y el Cauca en la Co… https://t.co/40QsvTakiS</t>
  </si>
  <si>
    <t>Hoy el turno es para nuestra tercera propuesta: el proyecto de mejoramiento de la enseñanza y apropiación de las ma… https://t.co/EBFNlrUqdO</t>
  </si>
  <si>
    <t>RT @AZULinnovacion: La gestión del conocimiento es lo que marca la #innovación a nivel global. Me alegra ver que haya un candidato pensand…</t>
  </si>
  <si>
    <t>RT @jfsalanaya: Tenemos el objetivo de impulsar un proceso de diálogo público-privado que permita acordar una visión de departamento con un…</t>
  </si>
  <si>
    <t>RT @cfreyes: ¿Vale la pena un programa de fomento a las matemáticas en la campaña presidencial? Vale la pena: 1. Actualización planes de…</t>
  </si>
  <si>
    <t>RT @compromisociu: #FajardoPropone | Hoy el turno es de las matemáticas. Con este Plan Nacional que proponemos con @sergio_fajardo buscamos…</t>
  </si>
  <si>
    <t>En Colombia nos sobra la inteligencia, pero necesitamos mejorar el conocimiento en diferentes áreas. Nuestra propue… https://t.co/5fa1Izup76</t>
  </si>
  <si>
    <t>Pronunciamiento sobre fallo de la Contraloría General de la Nación sobre caso Hidroituango. https://t.co/way1VMlEvP</t>
  </si>
  <si>
    <t>RT @CoaliEsperanza: #ATENCIÓN Declaración conjunta de la @CoaliEsperanza. "Reiteramos nuestra plena confianza en la trayectoria transparent…</t>
  </si>
  <si>
    <t>RT @agaviriau: Creo en la honestidad de Sergio Fajardo (@sergio_fajardo). Su presencia en la contienda electoral fortalece la democracia de…</t>
  </si>
  <si>
    <t>RT @EnriquePenalosa: Reitero mi convicción de que Sergio Fajardo hizo lo que cualquier alcalde honesto y responsable hubiera hecho: lo que…</t>
  </si>
  <si>
    <t>Nace la #CoaliciónCentroEsperanza. Aquí no hay mesías. Vamos a avanzar de manera coordinada para derrotar a los ext… https://t.co/lDkUrVkLJI</t>
  </si>
  <si>
    <t>Decálogo de la #CoaliciónCentroEsperanza. https://t.co/iALrpPdBEi</t>
  </si>
  <si>
    <t>RT @slondonouribe: Les recomiendo este escrito de @AlonSalazarJ sobre el caprichoso e incoherente proceso liderado por la @CGR_Colombia en…</t>
  </si>
  <si>
    <t>En minutos estaremos en @WRadioColombia para hablar de la #CoaliciónCentroEsperanza. Bienvenidas sus preguntas. https://t.co/RY6mkpskcT</t>
  </si>
  <si>
    <t>Al aire en @WRadioColombia con la #CoaliciónCentroEsperanza. Pueden seguir la transmisión a través de Facebook: https://t.co/AjWErOH2nk</t>
  </si>
  <si>
    <t>Estamos para construir un centro distinto, una propuesta de cambio para Colombia. Estamos al aire en… https://t.co/reEVwQEUoA</t>
  </si>
  <si>
    <t>RT @WRadioColombia: #SigueLaW #LaNuevaCoaliciónEs | “No nos concentramos en hablar sobre César Gaviria, chao expresidentes”: Sergio Fajardo…</t>
  </si>
  <si>
    <t>Mañana martes a las 7:30 a.m. he citado a una rueda de prensa para hablar sobre el fallo del contralor Carlos Felip… https://t.co/0vPqpz82Jr</t>
  </si>
  <si>
    <t>Tantas mentiras, tantos insultos, tantas calumnias, y al final... https://t.co/31kO3vaAy2</t>
  </si>
  <si>
    <t>Isabel no es "las comunidades de hidroituango", Gustavo. No sólo me reuní con los habitantes de Ituango, sino que i… https://t.co/S6gA2SHQaD</t>
  </si>
  <si>
    <t>Inicia la rueda de prensa para hablar sobre el fallo del contralor Carlos Felipe Córdoba y decisiones sobre mi camp… https://t.co/yu71bp3l2I</t>
  </si>
  <si>
    <t>Seguimos en rueda de prensa. Colombia tiene que cambiar y el primer paso es quitarle el poder a los corruptos. En… https://t.co/aqe3qOFGQH</t>
  </si>
  <si>
    <t>RT @cataortizco: El talante, la ética y la decencia nos llevan a decir, tranquilamente, que #EstamosConFajardo. Respaldamos su accionar en…</t>
  </si>
  <si>
    <t>RT @JorgeARestrepo: "No puedo seguir moderado frente a algo tan descarado. Voy a dar esta lucha, usando los recursos que nos da la Ley." @s…</t>
  </si>
  <si>
    <t>RT @lasillavacia: #ElPaísEnVivo @sergio_fajardo se pronuncia por primera vez tras el fallo de la @CGR_Colombia por el caso Hidroituango.…</t>
  </si>
  <si>
    <t>RT @JorgeARestrepo: "No es una sorpresa, pero es una noticia difícil para mi candidatura. Carlos Felipe Córdoba es una ficha política." afi…</t>
  </si>
  <si>
    <t>RT @EspinosaRadio: "El @CGR_Colombia es una ficha política", dice @sergio_fajardo. Y menciona una lista de amigos políticos que tiene, empe…</t>
  </si>
  <si>
    <t>RT @vanedelatorre: Carlos Felipe Córdoba @CGR_Colombia no es un contralor, es un político ligado a @German_Vargas y César Gaviria, dice @s…</t>
  </si>
  <si>
    <t>RT @ricarospina: Atentos: @sergio_fajardo pidió medidas cautelares ante @CIDH para que garantice su candidatura presidencial, pese a fallo…</t>
  </si>
  <si>
    <t>RT @BluRadioCo: @sergio_fajardo #Atención Sergio Fajardo dijo que el contralor Carlos Felipe Córdoba es agente político del exvicepresident…</t>
  </si>
  <si>
    <t>RT @BluRadioCo: @sergio_fajardo “Yo quiero ser presidente y si no tenemos instituciones, esto se va a joder”, dijo el precandidato presiden…</t>
  </si>
  <si>
    <t>RT @6AMCaracol: #AlAire | "Hablé hoy porque todo lo que estamos viendo es grotesco": @sergio_fajardo Conéctese en https://t.co/JnR5xbO0kM…</t>
  </si>
  <si>
    <t>RT @EsperanzaRicoL: Carlos Felipe Córdoba no es un contralor, es una ficha política. Fue la mano derecha de Germán Vargas en las pasadas el…</t>
  </si>
  <si>
    <t>RT @EsperanzaRicoL: Pronunciamiento de @sergio_fajardo https://t.co/oiDDACsOVG</t>
  </si>
  <si>
    <t>RT @EsperanzaRicoL: https://t.co/uI44o35ZlX</t>
  </si>
  <si>
    <t>RT @Compromiso_Ant: Si bien la Contraloría confirmó el fallo de responsabilidad fiscal en el caso de Hidroituango, este aún no tiene efecto…</t>
  </si>
  <si>
    <t>RT @6AMCaracol: #AlAire | "Ellos saben que el tema es de generar dudas [...] Voy a Estados Unidos a explicar la persecución política: @ser…</t>
  </si>
  <si>
    <t>RT @AVallejoArias: Lo del Contralor es inocultable, un tipo que lo tienen haciendo mandados políticos para empapelar a la gente decente mie…</t>
  </si>
  <si>
    <t>RT @6AMCaracol: #AlAire | "Una empresa como EPM que ha tenido 4 gerentes en los últimos meses, da muestra de que está en crisis": @sergio_f…</t>
  </si>
  <si>
    <t>RT @6AMCaracol: #AlAire | "¿Recuedan al fiscal anticorrupción? Hoy ha decidido colaborar con la justicia. Pregúntenle quién lo puso en ese…</t>
  </si>
  <si>
    <t>RT @CaracolRadio: #LoÚltimo | En declaración oficial afirmó que el contralor hace política con su cargo. https://t.co/LY1AbOx19F</t>
  </si>
  <si>
    <t>RT @rcnradio: Fuertes críticas de Fajardo al contralor general, Felipe Córdoba https://t.co/7E9TRd1Gdg</t>
  </si>
  <si>
    <t>RT @RevistaSemana: El precandidato presidencial Sergio Fajardo, responde a la decisión de la Contraloría General por el caso de Hidroituang…</t>
  </si>
  <si>
    <t>RT @RevistaSemana: Parte 2: El precandidato presidencial Sergio Fajardo, responde a la decisión de la Contraloría General por el caso de Hi…</t>
  </si>
  <si>
    <t>RT @RevistaSemana: Sergio Fajardo: “Carlos Felipe Córdoba no es un contralor, es una ficha política”. https://t.co/6PIIBpdcmk</t>
  </si>
  <si>
    <t>RT @compromisobog: No nos detendremos ante los oscuros intereses que hay detrás del fallo de la Contraloría. Una institución en cabeza de C…</t>
  </si>
  <si>
    <t>RT @6AMCaracol: #AlAire | Sabíamos que esto se venía. Ellos son gente muy inteligente, pero también gente muy perversa": @sergio_fajardo…</t>
  </si>
  <si>
    <t>RT @WRadioColombia: #AlAireEnLaW | Sergio Fajardo, (@sergio_fajardo), precandidato presidencial, habla sobre el fallo de la Contraloría e i…</t>
  </si>
  <si>
    <t>RT @YolandaRuizCe: Dice @sergio_fajardo que Carlos Felipe Córdoba no es un Contralor es una ficha política. señala que tiene el apoyo de Cé…</t>
  </si>
  <si>
    <t>RT @WRadioColombia: @sergio_fajardo #AlAireEnLaW | "Lo que está ocurriendo es un acto corrupto de tratar de excluir a una persona, hay gent…</t>
  </si>
  <si>
    <t>RT @vanedelatorre: Dejo las declaraciones de @sergio_fajardo https://t.co/YeSydwGe0j</t>
  </si>
  <si>
    <t>RT @compromisobog: Al Contralor le interesa más sacar a @sergio_fajardo de la contienda electoral que esclarecer el caso de Hidroituango. C…</t>
  </si>
  <si>
    <t>RT @WRadioColombia: #AlAireEnLaW | "Continúo con mi candidatura, yo he obrado correctamente y no me tengo que doblegar. Es hoy una batalla…</t>
  </si>
  <si>
    <t>RT @6AMCaracol: #AlAire | @MJDuzan habla sobre la lista creada hace 4 años para "joder" a candidatos. Entre esos, estaban @sergio_fajardo y…</t>
  </si>
  <si>
    <t>RT @lasillavacia: Citó, además, las revelacione que hozo @MJDuzan en su podcast, donde aseguró que hay una conspiración relacionada con el…</t>
  </si>
  <si>
    <t>RT @lasillavacia: Señala directamente al contralor general @pipecordoba de tener intenciones politiqueras y de ser ficha política, pues fue…</t>
  </si>
  <si>
    <t>RT @lasillavacia: También señaló que @pipecordoba tenía intereses políticos al nombrar a Cristian Castro como uno de quienes tenían que def…</t>
  </si>
  <si>
    <t>Les comparto todos los documentos que hemos presentado en la defensa del caso en la Contraloría por Hidroituango. L… https://t.co/k6VSGq9COL</t>
  </si>
  <si>
    <t>RT @lasillavacia: #ElPaísEnVivo @sergio_fajardo se defendió atacando a @pipecordoba tras el fallo en segunda instancia por Hidroituango.…</t>
  </si>
  <si>
    <t>RT @RedMasNoticias: #EnVivo | #Atención 🔴 @sergio_fajardo se defiende por caso Hidroituango y acusa al contralor. Información con @Yener…</t>
  </si>
  <si>
    <t>RT @vanguardiacom: .@sergio_fajardo insiste en que fallo sobre caso Hidroituango no lo inhabilita y seguirá como precandidato presidencial.…</t>
  </si>
  <si>
    <t>RT @WRadioColombia: #AlAireEnLaW | "Yo no se si le hace una vuelta a César Gaviria, pero él hace vueltas": Sergio Fajardo, (@sergio_fajardo…</t>
  </si>
  <si>
    <t>RT @lafm: Fajardo arremete contra el Contralor: lo acusa de ficha política de Gaviria “necesitaban culparme” https://t.co/GLcyyuBe4j</t>
  </si>
  <si>
    <t>RT @CompromisoATL_: “Voy a defenderme porque es mi vida pública la que estaien juego. Yo quiero ser presidente de Colombia”. @sergio_fajard…</t>
  </si>
  <si>
    <t>Les dejo mi declaración completa en la rueda de prensa de esta mañana. Respondo por cada palabra ahí escrita. https://t.co/B84RClSI8o</t>
  </si>
  <si>
    <t>RT @RadNalCo: @sergio_fajardo 🔴#SeñalDeLaMañana | "La expresión política que represento lucha contra la corrupción, soy un candidato que vi…</t>
  </si>
  <si>
    <t>RT @RadNalCo: @sergio_fajardo 🔴#SeñalDeLaMañana | "Quieren crearle a le gente duda sobre mi, tengo que enfrentar eso, no puedo aceptar que…</t>
  </si>
  <si>
    <t>Hasta hoy he mantenido mi defensa en reserva para proteger a las instituciones, pero creo que es importante hacerla… https://t.co/vC9EY4Uagc</t>
  </si>
  <si>
    <t>La confirmación del fallo de la Contraloría en segunda instancia no fue una sorpresa. He usado y usaré todos los me… https://t.co/yjZaJCERq5</t>
  </si>
  <si>
    <t>Hace unos meses, @MJDuzan confirmó que desde 2016 existe un ataque coordinado: me dijo “a Fajardo lo quieren joder”… https://t.co/eP089PQsXn</t>
  </si>
  <si>
    <t>Carlos Felipe Córdoba no es un contralor, es una ficha política. Fue la mano derecha de Germán Vargas Lleras en las… https://t.co/xHqMIDAVti</t>
  </si>
  <si>
    <t>RT @lcvelez: A esta hora @sergio_fajardo en @lafm https://t.co/x72ycv7bfS</t>
  </si>
  <si>
    <t>Quiero destacar tres aspectos para mostrar el descaro y acomodo, o el acomodo descarado, del proceso: 1. Juan Carl… https://t.co/zwBA96Iuvw</t>
  </si>
  <si>
    <t>2. La Contraloría cambió la acusación inicial en mi contra. Después de una supuesta y ardua investigación, me acusa… https://t.co/HH2StUxM87</t>
  </si>
  <si>
    <t>3. Aquí aparece otro nombre clave: Cristian Castro, Contralor Delegado Anticorrupción. Cercano a César Gaviria y qu… https://t.co/Ust3vsgn1B</t>
  </si>
  <si>
    <t>No puedo seguir siendo moderado frente a algo tan descarado. Es infame ser señalado por un contralor que lleva años… https://t.co/iUAXaFIMIB</t>
  </si>
  <si>
    <t>RT @Compromiso_Ant: Al Contralor le interesa más sacar a @sergio_fajardo de la contienda electoral que esclarecer el caso de Hidroituango.…</t>
  </si>
  <si>
    <t>RT @Julianelpolit: No nos detendremos ante los oscuros intereses que hay detrás del fallo de la Contraloría. Una institución en cabeza de C…</t>
  </si>
  <si>
    <t>RT @eduardopinerosp: Quienes han dado la lucha política en Colombia para acabar con la corrupción necesitan de todo nuestro apoyo. Enfrenta…</t>
  </si>
  <si>
    <t>RT @jorgeadrianmu: Políticos poderosos han dispuesto de las entidades de control para acabar con @sergio_fajardo, pero no lo lograrán. Faja…</t>
  </si>
  <si>
    <t>RT @JohannaRoperoA: #EstamosConFajardo porque nos ha demostrado ser una persona transparente, que no le teme a seguir en la lucha por defen…</t>
  </si>
  <si>
    <t>RT @saramoreno1: Este fallo se trata de una irresponsable jugada política en esta época electoral. La Gobernación que @sergio_fajardo lider…</t>
  </si>
  <si>
    <t>RT @Compromisarias: #EstamosConFajardo</t>
  </si>
  <si>
    <t>RT @JERobledo: Son varios los argumentos que da @sergio_fajardo que muestran que estamos ante un caso en el que le están violando sus derec…</t>
  </si>
  <si>
    <t>RT @CoaliEsperanza: #EstamosConFajardo</t>
  </si>
  <si>
    <t>RT @CristoBustos: #estamosconfajardo</t>
  </si>
  <si>
    <t>RT @RedMasNoticias: #Justicia | @sergio_fajardo pide medidas cautelares a la CIDH por fallo de la Contraloría sobre caso #Hidroituango. Má…</t>
  </si>
  <si>
    <t>RT @Compromiso_Ant: @CoaliEsperanza El talante, la ética y la decencia nos llevan a decir, tranquilamente, que #EstamosConFajardo. @sergio_…</t>
  </si>
  <si>
    <t>Así arrancó Carlos Felipe Córdoba su discurso de posesión como contralor y en ese mismo instante empezó una adminis… https://t.co/JcdVmZKVBu</t>
  </si>
  <si>
    <t>RT @RedMasNoticias: #EnVivo | @sergio_fajardo pedirá medidas cautelares a la CIDH por el caso de Hidroituango. Los detalles de esta y otr…</t>
  </si>
  <si>
    <t>No quería dejar pasar el día sin agradecerle a @juanmanuelgalan @agaviriau @CristoBustos @CarlosAmayaR @JERobledo p… https://t.co/pjJMpkR1D5</t>
  </si>
  <si>
    <t>RT @sergio_fajardo: No quería dejar pasar el día sin agradecerle a @juanmanuelgalan @agaviriau @CristoBustos @CarlosAmayaR @JERobledo por s…</t>
  </si>
  <si>
    <t>Qué alegría saber que María Alejandra Úsuga @usuga_lopera, la concejal más joven de Ituango y compromisaria de… https://t.co/dx8wugJQ9R</t>
  </si>
  <si>
    <t>RT @Compromiso_Ant: Mensaje de @AlonSalazarJ a @sergio_fajardo. #EstamosConFajardo. https://t.co/h9jkTNkGxp</t>
  </si>
  <si>
    <t>Las actuaciones políticas del Contralor me han hecho cambiar de tono y decidí hacerlo porque es el momento de defen… https://t.co/mK5R5hq7nN</t>
  </si>
  <si>
    <t>La figura de César Gaviria ha estado presente en la trayectoria del contralor Carlos Felipe Córdoba, y esa es solo… https://t.co/8efcrU4xU4</t>
  </si>
  <si>
    <t>He adelantado dos campañas y las seguiré luchando con todas las herramientas que tengo, apelando a la confianza que… https://t.co/vg9kKiR84R</t>
  </si>
  <si>
    <t>A las 6:30 p.m. nos escuchamos en @VocesRCN con @jciragorri para hablar de mis declaraciones sobre el Contralor y el fallo de Hidroituango.</t>
  </si>
  <si>
    <t>Ya estamos al aire en @VocesRCN con @jciragorri. Pueden escucharnos en este enlace https://t.co/pESpXDd1s5</t>
  </si>
  <si>
    <t>RT @jciragorri: "Iré a la CIDH porque un ente de control no puede quitarle los derechos políticos a una persona", dice @sergio_fajardo en @…</t>
  </si>
  <si>
    <t>Esta noche a las 8 en vivo por @RedMasNoticias con @GiovanniCelisS. Nos pueden ver a través de YouTube y de los can… https://t.co/ILPJhdgakh</t>
  </si>
  <si>
    <t>RT @RodrigoUprimny: Muy buen hilo de @silviajserranog que muestra relevancia de doctrina de la @CorteIDH en caso Petro para caso @sergio_fa…</t>
  </si>
  <si>
    <t>Les comparto mi entrevista en @WRadioColombia https://t.co/Pu1cwQBB4a</t>
  </si>
  <si>
    <t>RT @GiovanniCelisS: @sergio_fajardo habló y habló muy duro. Él ha sido un hombre moderado y respetuoso de la justicia, pero dice que no agu…</t>
  </si>
  <si>
    <t>Ya estamos en directo por @RedMasNoticias con @GiovanniCelisS. Pueden vernos a través de YouTube: https://t.co/EXvKx9JDZ4</t>
  </si>
  <si>
    <t>RT @RedMasNoticias: #EnVivo | Fajardo (@sergio_fajardo) pide medidas cautelares a la CIDH por caso #Hidroituango. Los detalles de esta y…</t>
  </si>
  <si>
    <t>RT @RedMasNoticias: #EnVivo | ¿Por qué @sergio_fajardo pide medidas cautelares ante la CIDH? El exgobernador de Antioquia habla con @Giova…</t>
  </si>
  <si>
    <t>Buenos días. Al aire con @jorgecura1070 en @AtlanticoEmi para hablarle a la gente de Barranquilla y el Atlántico. P… https://t.co/wfcwTBUnPQ</t>
  </si>
  <si>
    <t>RT @AtlanticoEmi: "Han intentado sacarme": @sergio_fajardo en entrevista ahora con @jorgecura1070 https://t.co/uvkuIRKEXq</t>
  </si>
  <si>
    <t>RT @AtlanticoEmi: "Soy una persona honrada": @sergio_fajardo</t>
  </si>
  <si>
    <t>La Contraloría me quiere quitar mis derechos políticos y eso no puede ocurrir. Por eso iremos ante la Comisión Inte… https://t.co/GDlL5xRhpV</t>
  </si>
  <si>
    <t>RT @urbam_EAFIT: Un abrazo a ⁦@josepbohigas⁩ a Beth, a su familia, a Barcelona🌺 https://t.co/TyywFKYH5a</t>
  </si>
  <si>
    <t>Querida @IBetancourtCol, comparto contigo la alegría por el renacimiento del partido Verde Oxígeno. Me honra inmens… https://t.co/uxmKnvUWER</t>
  </si>
  <si>
    <t>RT @compromisociu: Destacamos la participación de @ROSAINESOSPINA1 en representación de @sergio_fajardo y nuestro equipo en la conversación…</t>
  </si>
  <si>
    <t>En mi página web están publicados todos los documentos que han hecho parte de mi defensa ante la Contraloría para q… https://t.co/5LDVKYg80Z</t>
  </si>
  <si>
    <t>Llevo 22 años luchando contra la corrupción. Me han investigado, han tratado de sacarme del camino de todas las man… https://t.co/3UNnlAruyM</t>
  </si>
  <si>
    <t>Allá nos vemos. Aroma verde https://t.co/uJRTeMAqVG</t>
  </si>
  <si>
    <t>Un almuerzo muy productivo con este par de mal...😇😇 https://t.co/9WIoIXu3Q1</t>
  </si>
  <si>
    <t>Acompañando a @CarlosAmayaR junto a la #CoaliciónCentroEsperanza y cientos de líderes y representantes del partido… https://t.co/kH3fNYnBRc</t>
  </si>
  <si>
    <t>RT @CarlosAmayaR: Es un orgullo recibir a @IBetancourtCol, @DeLaCalleHum, @agaviriau, @sergio_fajardo, @CristoBustos, @JERobledo y @Angelic…</t>
  </si>
  <si>
    <t>Llegó el momento de cambiar, Colombia va a cambiar y lo haremos con ustedes. Muy feliz de compartir con tanta gente… https://t.co/83hN7odIAB</t>
  </si>
  <si>
    <t>Nos vemos mañana viernes desde muy temprano en Bucaramanga. Para mí es un gusto regresar a Santander, compartir nue… https://t.co/6JOs9z7GB4</t>
  </si>
  <si>
    <t>Lindo amanecer en Bucaramanga. Arrancamos en minutos desde RCN Radio por los 800 am. @RCNBga https://t.co/0KSXrQJrRz</t>
  </si>
  <si>
    <t>RT @RCNBga: En @RCNBga el precandidato presidencial @sergio_fajardo en recorrido por #Santander https://t.co/8BF6phKw86</t>
  </si>
  <si>
    <t>Al aire desde @RCNBga, contestando preguntas de los oyentes en Bucaramanga. https://t.co/DsKErvrySd</t>
  </si>
  <si>
    <t>Siempre hemos soñado con una red nacional de micro, pequeña y mediana empresa. Queremos fortalecer el emprendimient… https://t.co/zGPB9O1Eyu</t>
  </si>
  <si>
    <t>Ahora en La Cariñosa 1180 am, hablando desde Bucaramanga sobre nuestras propuestas para transformar a Colombia. https://t.co/ZVzfdi31JP</t>
  </si>
  <si>
    <t>Ahora al aire por @CaracolBga, nos pueden escuchar por los 99.2 fm y 880 am desde Bucaramanga.</t>
  </si>
  <si>
    <t>Siempre donde esté en la vida tendré presente la educación. En Colombia tenemos el conocimiento y la capacidad, nec… https://t.co/e4OpHTodJY</t>
  </si>
  <si>
    <t>RT @compromisociu: Hoy con nuestras @Compromisarias en un encuentro con @sergio_fajardo desde Bucaramanga. Listas, decididas y capaces para…</t>
  </si>
  <si>
    <t>Cada propuesta que hemos presentado ha tenido en cuenta a las mujeres y queremos verlas en más campos del conocimie… https://t.co/PMdrcsPFOu</t>
  </si>
  <si>
    <t>Cuando uno da voz y visibiliza, las cosas empiezan a transformarse. Vamos a presentarle al país la propuesta del Mi… https://t.co/ravA7WdT9S</t>
  </si>
  <si>
    <t>Caminando por el paseo del comercio en Bucaramanga. Así hemos hecho política siempre, a pie, conversando con la gen… https://t.co/Yn7KOHi5A5</t>
  </si>
  <si>
    <t>RT @actualidadpanam: RT @sergio_fajardo Un sueño de muchos años que por fin realizo: ir a ver delfines. Lejos del mundanal ruido. 🐬🐬 https:…</t>
  </si>
  <si>
    <t>De visita en @vanguardiacom. Hablamos de educación, seguridad, medio ambiente, la #CoaliciónCentroEsperanza y lo q… https://t.co/oDgpHEhMa6</t>
  </si>
  <si>
    <t>En la #CoaliciónCentroEsperanza está la posibilidad de materializar los sueños de millones de personas en todos los… https://t.co/OATalMEjSa</t>
  </si>
  <si>
    <t>Les comparto mi entrevista en @vanguardiacom desde Bucaramanga https://t.co/ZyqRQ731V9</t>
  </si>
  <si>
    <t>RT @EAFIT: Por primera vez en la historia de #EAFIT otorgamos un título de Doctorado #HonorisCausa, que en esta primera oportunidad, desde…</t>
  </si>
  <si>
    <t>RT @AlejaValek: Gran jornada ayer #MujeresEnPolítica.Gracias a todas las mujeres que acompañaron este espacio.El poder de la decencia, la c…</t>
  </si>
  <si>
    <t>RT @CC_Jovenes: ¡ES HOY! Si tienes entre 14 y 28 años, apoya a nuestros candidatos en las urnas🗳 #SomosCCJoven #JovenEligeJoven https://t.…</t>
  </si>
  <si>
    <t>La participación de las y los jóvenes en política es muy importante. Invito a votar hoy en la gran jornada de los C… https://t.co/ewZWmIUcZN</t>
  </si>
  <si>
    <t>RT @compromisociu: En Medellín, Ibagué, Manizales, Ipiales, Valledupar, Bogotá, Cauca, Palmira, Yumbo, Neiva, San Juan del Cesar, Pamplona,…</t>
  </si>
  <si>
    <t>RT @compromisobog: Thomas es estudiante de 10º grado, líder estudiantil y es candidato a los Consejos Locales de Juventud en Suba por el @P…</t>
  </si>
  <si>
    <t>RT @compromisobog: Juan es ingeniero y candidato a los CLJ en Engativá, por la lista de @dignidad_col. Quiere velar e impulsar el empleo jo…</t>
  </si>
  <si>
    <t>RT @Compromiso_Ant: 🗳 ¡Es hoy! Si tienes entre 14 y 28 años de edad, te invitamos a participar de esta jornada electoral y ejercer tu derec…</t>
  </si>
  <si>
    <t>RT @jovccant: 🖐🏼 Hoy, como jóvenes, estamos Ad portas de esta gran oportunidad de poner nuestro granito de arena para el cambio de nuestro…</t>
  </si>
  <si>
    <t>RT @Uniandes: ¡Prográmate! Foro: Precandidatos presidenciales ante la población afrocolombiana➡️https://t.co/IObB5J7w1h Invitados: @Fran…</t>
  </si>
  <si>
    <t>Nos quieren sacar de la carrera porque somos un estorbo para los corruptos y para quienes siempre han gobernado. No… https://t.co/430an7A9wf</t>
  </si>
  <si>
    <t>Hoy, después de 5 años de investigación en la Fiscalía, por fin tendré la oportunidad de defenderme ante la Corte S… https://t.co/xGMiHXUAfF</t>
  </si>
  <si>
    <t>Tuve la fortuna de trabajar un tiempo con Yolanda. Conocí su rigor, seriedad y compromiso con el mejor periodismo.… https://t.co/h9qYEMeNq7</t>
  </si>
  <si>
    <t>RT @zuluagajorge: A esta hora estamos hablando de fusión nuclear con Daniel Fajardo... Conéctense pero ya: https://t.co/ogVwDCulMP https://…</t>
  </si>
  <si>
    <t>La audiencia ante la Corte Suprema se suspendió hasta las 3pm. No podré participar en el foro de la Fundación Color… https://t.co/PRYUkEC8ho</t>
  </si>
  <si>
    <t>En nuestro recorrido público hemos priorizado inversiones en los territorios de las comunidades afrocolombianas, co… https://t.co/98zniWzDGy</t>
  </si>
  <si>
    <t>Hicimos el Plan Integral de Desarrollo de Urabá que incluyó la construcción de la @UdeAntioquia en Apartadó, 7 Parq… https://t.co/dCIrLClqbK</t>
  </si>
  <si>
    <t>Las comunidades negras, afrocolombianas, raizales y palenqueras requieren un compromiso real y mucho mayor al actua… https://t.co/h1TxXHjF5U</t>
  </si>
  <si>
    <t>Reconocemos importancia de la ley 70/1993. Nuestro compromiso será su reglamentación integral. Mostraremos en su pr… https://t.co/aQXlwpb2DU</t>
  </si>
  <si>
    <t>Realizaremos censo de población y vivienda para superar las falencias y la invisibilidad estadística de las comunid… https://t.co/k39VQoH8y2</t>
  </si>
  <si>
    <t>Nuestro equipo de gobierno contará con profesionales afro calificados académicamente y con conocimiento de territor… https://t.co/mOz8NxoCUm</t>
  </si>
  <si>
    <t>Hoy por fin pude empezar a defenderme ante la Corte Suprema de las acusaciones erradas de la Fiscalía. Acá les cuen… https://t.co/cVgoS4TXmJ</t>
  </si>
  <si>
    <t>Buenos días. Al aire en @lafm con @lcvelez. Pueden escucharnos en vivo en este enlace https://t.co/UrVXqiUL40</t>
  </si>
  <si>
    <t>Buenos días, al aire en @lafm.</t>
  </si>
  <si>
    <t>Vamos a seguir explicando cada paso de este caso, porque nosotros no tenemos nada que esconder y vamos a demostrar… https://t.co/rejPkyNHsI</t>
  </si>
  <si>
    <t>Me estoy jugando la vida. Llevo 5 años con presión judicial permanente. Voy a seguir batallando y no voy a dejar qu… https://t.co/HL51eWRJHe</t>
  </si>
  <si>
    <t>Al aire en @CaracolRadio @6AMCaracol. https://t.co/jISU3k2Fi3</t>
  </si>
  <si>
    <t>Vamos a ir armando este rompecabezas. Muy extraño que Pipe Córdoba lleva desde 2016 acusándome de diferentes mentir… https://t.co/qCn7PCSWZA</t>
  </si>
  <si>
    <t>RT @6AMCaracol: #AlAire | "No voy a permitir que me destruyan la vida porque yo la he construído de manera pública y transparente": @sergio…</t>
  </si>
  <si>
    <t>RT @6AMCaracol: #AlAire | "Vamos a mostrar nuestra defensa sólida para decirle a la Fiscalía que está equivocada": @sergio_fajardo Conéct…</t>
  </si>
  <si>
    <t>RT @6AMCaracol: #AlAire | "Estas son pruebas que yo tengo que pasar para ser presidente de Colombia. Me estoy preparando y transformando":…</t>
  </si>
  <si>
    <t>Ahora al aire en @BluRadioCo. Pueden escucharnos en https://t.co/CIWgQO37XM</t>
  </si>
  <si>
    <t>RT @BluRadioCo: @sergio_fajardo #AlAire "La Fiscalía se demoró cinco años y aparece ahora. Hay que mirar la película desde el comienzo": @s…</t>
  </si>
  <si>
    <t>RT @BluRadioCo: @sergio_fajardo #AlAire "Ya llegamos al lugar donde yo me puedo defender": @sergio_fajardo #MañanasBLU</t>
  </si>
  <si>
    <t>Falta mucho aún por recorrer. A pesar de todas los obstáculos y ataques, seguimos enfocados en ganar la consulta de… https://t.co/DthRqkh3Kz</t>
  </si>
  <si>
    <t>Jaja quiero al pderoso DIM aunque gane https://t.co/XPgxK99SXM</t>
  </si>
  <si>
    <t>Por favor no hagan una F con las velitas esta noche. Disfruten con sus seres queridos y eviten pelear por política.</t>
  </si>
  <si>
    <t>A los ataques respondemos con propuestas porque Colombia va a cambiar. Y las mujeres serán protagonistas de ese cam… https://t.co/nl62ktjvK9</t>
  </si>
  <si>
    <t>RT @Compromisarias: Este ministerio promoverá los derechos de las mujeres en toda su diversidad, y lo hará buscando tanto su autonomía econ…</t>
  </si>
  <si>
    <t>RT @saramoreno1: Me siento muy orgullosa de hacer parte de este equipo liderado por Sergio Fajardo. Las mujeres seremos protagonistas de la…</t>
  </si>
  <si>
    <t>RT @DPATRICIARM: Un sueño que se trabajó y que se nos va cumplir. @Compromisarias @sergio_fajardo</t>
  </si>
  <si>
    <t>RT @CanalRCN: HOY a las 6:00 p.m. @sergio_fajardo estará en la redacción de @NoticiasRCN para hablar de propuestas, alianzas y su vida pers…</t>
  </si>
  <si>
    <t>El contacto con la gente en la calle es lo que más he valorado desde el día uno cuando empezamos a entregar volante… https://t.co/OjZP2w0FLq</t>
  </si>
  <si>
    <t>Nos vemos hoy a las 6:00 p.m. en las redes sociales de @CanalRCN @NoticiasRCN para contarles de mis propuestas y ot… https://t.co/9fCOsThpfj</t>
  </si>
  <si>
    <t>RT @NoticiasRCN: #ColombiaElige a través de #CandidatosEnLaRedacción, donde usted tendrá la oportunidad de escuchar las propuestas de los a…</t>
  </si>
  <si>
    <t>Ya estamos en #CandidatosEnLaRedacción para hablar de nuestras propuestas y otros temas en @NoticiasRCN. https://t.co/ND6Cw03KOz</t>
  </si>
  <si>
    <t>RT @compromisociu: Al aire @sergio_fajardo hablando sobre sus procesos en Contraloría y Fiscalía. Siempre dando la cara y haciendo pedagogí…</t>
  </si>
  <si>
    <t>RT @Compromiso_Ant: "Un niño o una niña que se nos salga del sistema educativo es una pérdida para toda la sociedad. Los tenemos que ir a r…</t>
  </si>
  <si>
    <t>RT @NoticiasRCN: 🔴#EnVivo | @sergio_fajardo está en #CandidatosEnLaRedacción para hablar de sus propuestas, afinidades políticas y su vida…</t>
  </si>
  <si>
    <t>De la #CoaliciónCentroEsperanza saldrá el próximo presidente. Hemos construido una opción política para transformar… https://t.co/66kr0da9BV</t>
  </si>
  <si>
    <t>Muchas gracias a @NoticiasRCN por invitarme a #CandidatosEnLaRedacción. Si se lo perdieron. aquí pueden ver la entr… https://t.co/RUKQgXIUS4</t>
  </si>
  <si>
    <t>La experiencia en Medellín y Antioquia nos mostró el poder transformador de contar con una instancia de alto nivel… https://t.co/JjLB5CLCz2</t>
  </si>
  <si>
    <t>Te rajaste en la más fácil, @RoyBarreras. Feliz noche.</t>
  </si>
  <si>
    <t>RT @compromisociu: 🙊 https://t.co/DGeANnB3uu</t>
  </si>
  <si>
    <t>Cuando gobernamos en Medellín y Antioquia tuvimos las notas más altas en transparencia y lucha contra la corrupción… https://t.co/WcP30TNOgR</t>
  </si>
  <si>
    <t>Mis procesos en Fiscalía y Contraloría no son por corrupción, eso es lo que buscan hacerle creer a la gente al inve… https://t.co/AndoWaEj7B</t>
  </si>
  <si>
    <t>RT @CoaliEsperanza: #ATENCIÓN Comunicado a la opinión pública de la #CoaliciónCentroEsperanza "La Coalición presentará dos listas al Senado…</t>
  </si>
  <si>
    <t>El panorama para la libertad de prensa en Colombia es preocupante. Mientras el Congreso aprueba artículos abiertame… https://t.co/0etUHwM0cC</t>
  </si>
  <si>
    <t>Hace poco presentamos nuestra propuesta para recuperar y transformar la educación en Colombia. En… https://t.co/uwi5Qg2dkN</t>
  </si>
  <si>
    <t>Creo en la paz, he tenido experiencias sobre temas de conflicto y creo que no se puede cerrar la puerta ante una po… https://t.co/HxmYW8cgz8</t>
  </si>
  <si>
    <t>Romaña, El Paisa e Iván Márquez son personas detestables para nuestro país, le hicieron trampa al acuerdo de paz. M… https://t.co/DgiIUvivUN</t>
  </si>
  <si>
    <t>Sobre el Esmad también hemos presentado propuesta: se debe reformar con un enfoque en DD.HH. También proponemos sac… https://t.co/0xUAg3uebO</t>
  </si>
  <si>
    <t>No soy ficha ni de Santos, de ni de Uribe, ni de Gaviria, ni de Pastrana. Chao expresidentes, que se alejen de la p… https://t.co/GBchkK9bqF</t>
  </si>
  <si>
    <t>Reforma Tributaria, vacunación y Ley de Garantías: aquí mis opiniones en #CandidatosEnLaRedacción @NoticiasRCN https://t.co/dHNo03uzCG</t>
  </si>
  <si>
    <t>La política de relaciones exteriores de Duque con Venezuela no ha estado a la altura. Por más diferencias que tenga… https://t.co/TK9BLmYsGf</t>
  </si>
  <si>
    <t>Nos vemos esta noche a las 7:00 con la #CoaliciónCentroEsperanza en directo por @NoticiasCaracol y @lasillavacia. https://t.co/nUMlyNPCjp</t>
  </si>
  <si>
    <t>RT @lasillavacia: #ColombiaDecide Nos vemos esta noche en el segundo debate de coaliciones, con la Centro Esperanza. Estarán @JERobledo…</t>
  </si>
  <si>
    <t>Pensiones, drogas, gabinete paritario y alianzas, la última parte de mi paso por #CandidatosEnLaRedacción… https://t.co/daD09uX2Pu</t>
  </si>
  <si>
    <t>Llegando a @CaracolTV para el debate de hoy con la #CoaliciónCentroEsperanza. Nos vemos a las 7:30 p.m. por… https://t.co/3OgJiawZsm</t>
  </si>
  <si>
    <t>RT @lasillavacia: #ColombiaDecide En pocos minutos comienza el debate entre candidatos de la @CoaliEsperanza, organizado entre @NoticiasC…</t>
  </si>
  <si>
    <t>RT @lasillavacia: #ColombiaDecide Aquí el sorteo del orden en el que hablarán los precandidatos de la @CoaliEsperanza. Arranca @sergio_f…</t>
  </si>
  <si>
    <t>Estamos listos, muy emocionante regresar a los debates de ideas y propuestas. En minutos empezamos en directo por… https://t.co/DNe7pxeVcv</t>
  </si>
  <si>
    <t>RT @lasillavacia: #ColombiaDecide Ya están en el set del debate los precandidatos de la @CoaliEsperanza. Hablarán, según el sorteo, en e…</t>
  </si>
  <si>
    <t>RT @CiudadanoTolima: “Me he venido transformando, entendiendo a Colombia, tengo el espíritu tranquilo, estoy listo para liderar el cambio d…</t>
  </si>
  <si>
    <t>RT @lasillavacia: #ColombiaDecide ¿Por qué @sergio_fajardo cree que deben votar por él en la consulta de la @CoaliEsperanza? Dice que "…</t>
  </si>
  <si>
    <t>RT @JulianGuti_: Una política que no ofrece mentiras, trasparente, una política cívica, alternativa e independente. Creo en @sergio_fajardo…</t>
  </si>
  <si>
    <t>RT @JDCastellanosO: Qué gran equipo tiene la @CoaliEsperanza !!! @juanmanuelgalan @sergio_fajardo @agaviriau Empezó esto señores… https:/…</t>
  </si>
  <si>
    <t>RT @ValentinaTunjo: Sobre la relación con el Congreso: Sin mermelada! “Vamos a trabajar con todos. Vamos a convocar a participar en la tran…</t>
  </si>
  <si>
    <t>Tenemos que cambiar esa idea de que para gobernar a Colombia hay que repartir puestos en Bogotá. Nosotros vamos a c… https://t.co/Vh0RwntO49</t>
  </si>
  <si>
    <t>Nosotros nos hemos ganado estar aquí, porque hemos caminado, porque la hemos luchado, porque no fuimos herederos de… https://t.co/GcXAR2hq9n</t>
  </si>
  <si>
    <t>RT @RoaSa77: "No distingo partidos políticos como buenos o malos", la política debe llegar a los ciudadanos, sin intermediarios y tampoco d…</t>
  </si>
  <si>
    <t>RT @JorgeARestrepo: "Hay que respetar el Acuerdo. Chao expresidentes; vamos Pa'lante":@sergio_fajardo</t>
  </si>
  <si>
    <t>RT @efechez: Chao Santos, Chao Uribe, vamos a escribir otra página. @sergio_fajardo #ColombiaDecide</t>
  </si>
  <si>
    <t>RT @Ramosrogmar: En este país hay que pasar la pagina de los expresidentes (Santos-Uribe), hay que escribir una nueva historia y avanzar: @…</t>
  </si>
  <si>
    <t>RT @Camiloenz: El mensaje de @sergio_fajardo es claro, “chao expresidentes”. Vamos a gobernar y a alcanzar la paz que requiere el país, emp…</t>
  </si>
  <si>
    <t>RT @ByronBerrio: "chao expresidentes, tenemos que avanzar" @sergio_fajardo #ElCambioEsConFajardo #ColombiaDecide https://t.co/0KmfRa7XQn</t>
  </si>
  <si>
    <t>RT @CompromisoATL_: "Nosotros en Colombia no podemos seguir hablando de la polarización "SANTOS Y URIBE"; CHAO ex presidentes, suficiente i…</t>
  </si>
  <si>
    <t>RT @rosembericardo: Solo la ciudadanía puede romper ese círculo vicioso y tradicional. Chaoo ex expresidentes #ElCambioEsConFajardo #Colom…</t>
  </si>
  <si>
    <t>RT @EAGaleano: #ElCambioEsConFajardo #ColombiaDecide Cuando uno escucha a @sergio_fajardo se da cuenta que tiene la experiencia para llev…</t>
  </si>
  <si>
    <t>RT @AlvaroCastr0: La #CoalicionCentroEsperanza es bien interesante, el debate de hoy está a la altura de lo que necesita Colombia 🇨🇴. ¡Apo…</t>
  </si>
  <si>
    <t>RT @PabloVallejoR: Una coalición muy buena y @sergio_fajardo seguro, a continuar que aún queda camino https://t.co/QGDVNBgHQ0</t>
  </si>
  <si>
    <t>RT @miguelgutierce: Hay una luz de esperanza en medio del populismo y la extrema derecha de este país. Colombia debe salir de la polarizaci…</t>
  </si>
  <si>
    <t>RT @yhansui_O: Seguimos creyendo que la educación es el principal motor para transformar nuestra sociedad. Colombia necesita más oportunida…</t>
  </si>
  <si>
    <t>RT @NoticiasCaracol: 🔴 EN VIVO | Los precandidatos presidenciales presentan sus propuestas y programas de gobierno. Únase a #Conversacion…</t>
  </si>
  <si>
    <t>RT @NoticiasCaracol: ¿Cómo negociaría Sergio Fajardo con el Congreso para sacar adelante la agenda legislativa? Esto dijo en las #Conversac…</t>
  </si>
  <si>
    <t>RT @dalejogamboa: La #CoalicionCentroEsperanza va a cortar la mala política, la demagógica basada en mesianismos. Todos y cada uno hacen u…</t>
  </si>
  <si>
    <t>RT @JorgeARestrepo: "Hay que cuidar la seguridad alimentaria; no podemos seguir importando 14 millones de toneladas de alimentos": @sergio_…</t>
  </si>
  <si>
    <t>RT @DanVargasCol: La @CoaliEsperanza definitivamente tiene una nómina de lujo! @sergio_fajardo @agaviriau @juanmanuelgalan @JERobledo @Carl…</t>
  </si>
  <si>
    <t>RT @JorgeARestrepo: "Tenemos que superar la dependencia del petróleo como principal producto nuestro".: @sergio_fajardo</t>
  </si>
  <si>
    <t>RT @athjuan0809: Vamos mijo!!!! El próximo presidente de Colombia.</t>
  </si>
  <si>
    <t>RT @lumois: Debemos pasar del miedo a la esperanza. @sergio_fajardo Argumentos para convocar al país y acordar el camino. La confrontació…</t>
  </si>
  <si>
    <t>RT @SantamariaCla: De la coalición centro esperanza solo puedo decir que me siento representado, especialmente por los dos candidatos que s…</t>
  </si>
  <si>
    <t>RT @MarioSanchezArm: Que diferencia de discurso. Consenso, base programática, defensa producción privada. Diferencias pero con una propuest…</t>
  </si>
  <si>
    <t>RT @Johanamll: Que orgullo escuchar a @sergio_fajardo a todos los de la coalición, me siento profundamente positiva... Se viene un gran Ca…</t>
  </si>
  <si>
    <t>RT @lasillavacia: #ColombiaDecide ¿En una segunda vuelta recibiría el apoyo del uribismo? Así responden los candidatos de la @coaliespera…</t>
  </si>
  <si>
    <t>RT @SantiagoSol30: Hoy me di cuenta que la Coalición Centro Esperanza @CoaliEsperanza tiene muchísimo campo para crecer ya que cuenta con u…</t>
  </si>
  <si>
    <t>Hace 22 años iniciamos en la política con un movimiento cívico e independiente. Derrotamos a las maquinarias en Med… https://t.co/wedWe7jjT5</t>
  </si>
  <si>
    <t>En @compromisociu hemos hecho política llegándole a la gente en la calle, con volantes y sin intermediarios. No ofr… https://t.co/1oNgOoNFzA</t>
  </si>
  <si>
    <t>Nos hemos ganado estar aquí porque hemos caminado, la hemos luchado y no somos herederos de nadie. Vamos a gobernar… https://t.co/W2o68mJ4JT</t>
  </si>
  <si>
    <t>Nos han hecho creer que hay que pagar para lograr las cosas, y desde la #CoaliciónCentroEsperanza vamos a cambiar e… https://t.co/s6Tn3G53p0</t>
  </si>
  <si>
    <t>No podemos seguir hablando de la polarización Santos-Uribe. Suficiente con eso, chao expresidentes. Tenemos que esc… https://t.co/ARJrLbZ1uV</t>
  </si>
  <si>
    <t>Colombia debe incorporar la seguridad alimentaria como proyecto estratégico. De igual forma, la ciencia, la tecnolo… https://t.co/VEo1KoZaNu</t>
  </si>
  <si>
    <t>RT @RevistaSemana: @sergio_fajardo le tiene una invitación. ¿Quién será el candidato de la Coalición Centro Esperanza? La competencia ya em…</t>
  </si>
  <si>
    <t>RT @DeLaCalleHum: Hoy sé que mi tarea en la ruta hacia un Centro deliberante en sus convicciones pero unido en su empeño es liderar la list…</t>
  </si>
  <si>
    <t>RT @DeLaCalleHum: @IBetancourtCol @JERobledo @sergio_fajardo @agaviriau @CristoBustos @CarlosAmayaR, @juanmanuelgalan me honra ser parte d…</t>
  </si>
  <si>
    <t>Redes sociales, marihuana y otros temas en la parte final del debate de anoche con la #CoaliciónCentroEsperanza… https://t.co/C0YM6KtDfK</t>
  </si>
  <si>
    <t>Esta semana presentamos nuestra propuesta del Ministerio de las Mujeres. Les invito a escuchar a @ROSAINESOSPINA1 q… https://t.co/4XX9QwAY5D</t>
  </si>
  <si>
    <t>Mañana domingo estaremos con la #CoaliciónCentroEsperanza en #ElDebate, transmitido en vivo por las redes sociales… https://t.co/RtSDyFKoiS</t>
  </si>
  <si>
    <t>Tengo la convicción de que la ciencia, la tecnología y la innovación son claves para el desarrollo del campo en Col… https://t.co/A3NnNBgPzT</t>
  </si>
  <si>
    <t>La invitación para que se conecten esta noche a las 7:00 p.m. en #ElDebate de @RevistaSemana con la… https://t.co/Nac2v7uRTR</t>
  </si>
  <si>
    <t>RT @CoaliEsperanza: Hoy, a partir de las 7:00 p.m. estaremos en #ElDebate de @RevistaSemana con @VickyDavilaH dando a conocer nuestras prop…</t>
  </si>
  <si>
    <t>La experiencia en Medellín y Antioquia nos mostró el poder transformador de contar con una instancia de alto nivel… https://t.co/nwh9S3W7Sn</t>
  </si>
  <si>
    <t>RT @compromisociu: #YoVotoPorFajardo | Falta poco para #ElDebate con la #CoaliciónCentroEsperanza. 🖐🏼🇨🇴 ⏰ 7:00 p.m. en las redes sociales…</t>
  </si>
  <si>
    <t>RT @RevistaSemana: La invitación de @sergio_fajardo HOY a #ElDebate de la Coalición de la Centro Esperanza. Opine con: #YoVotoPor Vea má…</t>
  </si>
  <si>
    <t>Empezamos #ElDebate en @RevistaSemana con @VickyDavilaH y la #CoaliciónCentroEsperanza. Pueden vernos aquí:… https://t.co/TloYONOSWz</t>
  </si>
  <si>
    <t>Pueden ver #ElDebate también en el Twitter de @RevistaSemana. https://t.co/rFRmm7XoFp</t>
  </si>
  <si>
    <t>RT @SandovalMCamila: En #ElDebate de la @CoaliEsperanza y en la consulta #YoVotoPor @sergio_fajardo porque nos hemos ganado estar aquí porq…</t>
  </si>
  <si>
    <t>RT @CompromisoATL_: Inicia #AEstaHora el debate de la @RevistaSemana con la @CoaliEsperanza. Aquí les dejamos el enlace. https://t.co/xwUB…</t>
  </si>
  <si>
    <t>RT @VickyDavilaH: Ya estamos EN VIVO en #ElDebate con @JERobledo, @agaviriau, @sergio_fajardo, @CarlosAmayaR, @CristoBustos y @juanmanuelga…</t>
  </si>
  <si>
    <t>RT @CompromisoATL_: "Tenemos que fortalecer algo que hemos mejorado en Colombia que es la interdicción y de acá salen muchos productos, ten…</t>
  </si>
  <si>
    <t>RT @CoaliEsperanza: Ya estamos #AlAire por @RevistaSemana en #ElDebate con @VickyDavilaH y la #CoaliciónCentroEsperanza. Les invitamos a qu…</t>
  </si>
  <si>
    <t>RT @RevistaSemana: #ElDebate | "No es solamente la presencia de la fuerza pública para combatir un mundo criminal que está asociado con lo…</t>
  </si>
  <si>
    <t>RT @RetNubia: Aquí esta el próximo presidente de Colombia #YoVotoPorFajardo 🇨🇴💪@sergio_fajardo Presidente @compromisociu https://t.co/6Hdf…</t>
  </si>
  <si>
    <t>El nombre Esperanza en esta Coalición no es en vano. Representamos un cambio para transformar, un cambio para const… https://t.co/OUNOODG3A6</t>
  </si>
  <si>
    <t>Hemos sido claros: chao expresidentes. Colombia debe hablar de otros temas, superar esa página. Vamos a transformar… https://t.co/S9C8cnuycT</t>
  </si>
  <si>
    <t>Los votos no son de un líder político o de un partido, los votos hay que trabajarlos, lucharlos en la calle. Los vo… https://t.co/PYclO2xgcG</t>
  </si>
  <si>
    <t>RT @HectorYairR0790: “En @compromisociu hemos hecho política en la calle, con volantes y sin intermediarios. No ofrecemos mentiras ni diner…</t>
  </si>
  <si>
    <t>RT @MoneytalksC: @juanmanuelgalan dice: @sergio_fajardo no es tibio, es contundente. chao expresidentes!!#YoVotoPorFajardo #YoVotoPor https…</t>
  </si>
  <si>
    <t>RT @nestorero18: Me gusta la idea de @sergio_fajardo sobre jubilar los expresidentes y aclarar la independencia de los colombianos #ElDebate</t>
  </si>
  <si>
    <t>RT @VickyDavilaH: ¿Qué opina sobre esta frase de @sergio_fajardo en #ElDebate de SEMANA. Opine: #YoVotoPor EN VIVO: https://t.co/1AvN0An…</t>
  </si>
  <si>
    <t>RT @compromisobog: “Nosotros significamos cambio, pero es un cambio para transformar, este es un cambio para construir la esperanza” @serg…</t>
  </si>
  <si>
    <t>RT @CompromisoATL_: "Hay que entender que nuestro país tiene consumos altos y que es un tema de salud pública en el que debemos educarnos y…</t>
  </si>
  <si>
    <t>RT @Compromiso_Ant: ”Los votos no son de nadie, los votos hay que trabajarlos, lucharlos, son de ustedes, los ciudadanos“ @sergio_fajardo #…</t>
  </si>
  <si>
    <t>RT @ccexterior: “Nosotros significamos cambio, pero es un cambio para transformar, este es un cambio para construir la esperanza” @sergio_…</t>
  </si>
  <si>
    <t>RT @JulianGuti_: Este discurso es el que llena de tranquilidad, calma, felicidad, ESPERANZA. Sí, este equipo son las personas idóneas y nec…</t>
  </si>
  <si>
    <t>RT @Compromiso_Ant: “Hay una forma de minimizar los miedos de la sociedad y es educando” @sergio_fajardo #YoVotoPor #YoVotoPorFajardo</t>
  </si>
  <si>
    <t>RT @EliCrH: #YoVotoPorFajardo #YoVotoPor @sergio_fajardo Los votos no se negocian a puerta cerrada, se debe llegar a la ciudadanía, porque…</t>
  </si>
  <si>
    <t>RT @ferguaya: “Seguimos creyendo que la educación es el principal motor para transformar nuestra sociedad. Colombia necesita más oportunida…</t>
  </si>
  <si>
    <t>Empezamos en la política hace 22 años, transformamos Medellín y Antioquia con @compromisociu a pie, con la gente en… https://t.co/vxgYjVbwvj</t>
  </si>
  <si>
    <t>RT @Espanol_SandraS: Con @sergio_fajardo habrá un gobierno que honra los compromisos internacionales y que promueve la paridad en los máxim…</t>
  </si>
  <si>
    <t>RT @ccexterior: “Sigo luchando en nombre de las personas que sabemos que la política es un oficio digno” #YoVotoPorFajardo #YoVotoPor @serg…</t>
  </si>
  <si>
    <t>RT @RevistaSemana: #ElDebate | "Sigo luchando en nombre de muchas personas que creemos que la política es un oficio digno": @sergio_fajard…</t>
  </si>
  <si>
    <t>RT @EliCrH: #ChaoExpresidentes es el momento de trabajar en un proyecto político de construcción de país, construcción que sólo se logrará…</t>
  </si>
  <si>
    <t>RT @ppalomine: ¡Nuestra política es en la calle, escuchando a la gente! Por eso #YoVotoPorFajardo</t>
  </si>
  <si>
    <t>RT @yhansui_O: “Ni Petro ni Duque le servían a Colombia, por eso voté en blanco y no me da pena” #YoVotoPorFajardo #YoVotoPor @sergio_fajar…</t>
  </si>
  <si>
    <t>RT @RevistaSemana: EN VIVO: aquí están las propuestas de los precandidatos @JERobledo, @agaviriau, @sergio_fajardo, @CarlosAmayaR, @CristoB…</t>
  </si>
  <si>
    <t>El primer paso para luchar contra la corrupción es la voluntad política de quien gobierna, es clave para devolverle… https://t.co/FLfHQL0lgX</t>
  </si>
  <si>
    <t>RT @ccexterior: “Todos tenemos que pagar, todos tenemos que cuidar a este país y no podemos permitir que los corruptos disfrazados, que dis…</t>
  </si>
  <si>
    <t>La discusión del salario mínimo no debe iniciar en diciembre. Por supuesto hay que tener en cuenta cifras como la i… https://t.co/wNy7PiaZgq</t>
  </si>
  <si>
    <t>Terminamos #ElDebate en @RevistaSemana. Muy nutrido y variado. Gracias a las personas que se conectaron y gracias a… https://t.co/0EgfTxZSEl</t>
  </si>
  <si>
    <t>RT @SantamariaCla: Como dice @sergio_fajardo el que paga para llegar, llega para robar. Cualquiera habla bonito, pero no todo el mundo tien…</t>
  </si>
  <si>
    <t>RT @Jorgehba: Excelente debate #CoalicionCentroEsperanza felicitaciones a @juanmanuelgalan @CarlosAmayaR @agaviriau @sergio_fajardo @JERobl…</t>
  </si>
  <si>
    <t>RT @MunozsCarlos: Que buen debate. Excelentes candidatos en la @CoaliEsperanza #YoVotoPor @sergio_fajardo</t>
  </si>
  <si>
    <t>RT @ilipepo: #YoVotoPor @sergio_fajardo sin ninguna duda</t>
  </si>
  <si>
    <t>RT @Camiloenz: #ElDebate fue todo un éxito, la @CoaliEsperanza se fortalece. Vamos juntos a transformar a Colombia 🇨🇴 https://t.co/IdeKyKxU…</t>
  </si>
  <si>
    <t>RT @CoaliEsperanza: Esta noche dimos un debate con ideas y propuestas serias para lograr los cambios que este país necesita. De esta #Coali…</t>
  </si>
  <si>
    <t>RT @juancar60320889: @sergio_fajardo @RevistaSemana Y seguiremos subiendo, Colombia va a Cambiar.. #FajardoPresidente2022 #ElCambioEsConFaj…</t>
  </si>
  <si>
    <t>RT @CompromisoATL_: "Le robaron el internet a las niñas y niños del mundo rural en Colombia. Un señor que ha robado no sé cuantas veces y q…</t>
  </si>
  <si>
    <t>RT @diego_polanko: #YoVotoPorFajardo ”Los votos no son de nadie, los votos hay que trabajarlos, lucharlos, son de ustedes, los ciudadanos“.…</t>
  </si>
  <si>
    <t>Si no identificamos hacia dónde va la plata podemos quedarnos toda una vida sin avanzar en la guerra contra el narc… https://t.co/3vGob7wCwy</t>
  </si>
  <si>
    <t>Entiendo el susto de padres y madres frente a la discusión de la regulación de las drogas, pero hay una forma de en… https://t.co/KuFrYRxeXY</t>
  </si>
  <si>
    <t>Colombia va a terminar este año viendo a la #CoaliciónCentroEsperanza como la opción ganadora. Estamos listos para… https://t.co/bwQNTzQnYx</t>
  </si>
  <si>
    <t>Nunca me sentaría con César Gaviria a negociar cuántos votos tiene. Nadie tiene votos de nadie. Nosotros sacamos mu… https://t.co/lGosPyM1Oz</t>
  </si>
  <si>
    <t>El día en que yo me acueste pensando por quién voy a votar en segunda vuelta, al otro día me quedo acostado y no ha… https://t.co/MFKyi6UugA</t>
  </si>
  <si>
    <t>Sumercé, con paciencia, todo se puede. https://t.co/w6zerOTsbr</t>
  </si>
  <si>
    <t>Seguro si Duque habla de aumentar el salario mínimo en 18.5%, Petro sale a solicitar 28%. No importa la justificaci… https://t.co/BXBYmXkB0k</t>
  </si>
  <si>
    <t>RT @ferrojasparra: Vienen elecciones decisivas. Por primera vez un gobierno alternativo puede ganar la presidencia. Por eso hay que cambiar…</t>
  </si>
  <si>
    <t>Otra vez el dolor en Cúcuta. Mis condolencias con las familias de los policías asesinados hoy. La falla es sistémic… https://t.co/o3DKr7srDy</t>
  </si>
  <si>
    <t>RT @davalho: Ayer inscribí mi candidatura a la Cámara de Representantes por Antioquia por la @CoaliEsperanza. Me emociona la idea de cont…</t>
  </si>
  <si>
    <t>Precandidato #CoaliciónCentroEsperanza. Ph.D. en Matemáticas. Excandidato presidencial 2018. Alcalde de Medellín 2004-2007. Gobernador de Antioquia 2012-2015.</t>
  </si>
  <si>
    <t>Hola, Yann. Un par de aclaraciones: claro que las leyes son necesarias, pero en Colombia, sin voluntad política, d… https://t.co/QHqfcD9F6X</t>
  </si>
  <si>
    <t>RT @Jorgebta: La vida nos exige cambios, tomar decisiones y dar más para servir mejor. Con el profe @AntanasMockus tomamos la decisión de r…</t>
  </si>
  <si>
    <t>#ElInformedeONUes confirmación de que fuerzas del Estado violaron DDHH. Estas violaciones deben ser juzgadas y corr… https://t.co/Ejo3sSCKHe</t>
  </si>
  <si>
    <t>1. Siempre es incómodo en una campaña decir “es inviable” sobre todo en temas que la gente anhela y necesita, pero… https://t.co/dAj7Xnj7Tz</t>
  </si>
  <si>
    <t>2. Entonces vamos por partes. Confundes -con frecuencia- lo deseable con lo viable. ¿Es deseable subir el salario d… https://t.co/erJ7OB55QL</t>
  </si>
  <si>
    <t>3. La productividad laboral es un factor importante, pero no el único, pues varía mucho entre industrias. Un aument… https://t.co/Ye66yccIQT</t>
  </si>
  <si>
    <t>4. Y dejo un dato no menor, para que midas el impacto de tu propuesta: el 70% del empleo en Colombia está en pequeñ… https://t.co/bqQ9LV9d6l</t>
  </si>
  <si>
    <t>5. Salarios de los colombianos son bajos. La solución es más productividad, competencia, formación para el trabajo,… https://t.co/nSQF1pJe8D</t>
  </si>
  <si>
    <t>6. Todos queremos mejores salarios y más oportunidades de empleo para los trabajadores. Por eso, propusimos un prog… https://t.co/KhlAkWtpJJ</t>
  </si>
  <si>
    <t>7. Ten en cuenta impacto de tu propuesta sobre formalidad laboral y los precios de bienes y servicios que pagan tod… https://t.co/SMHnWsO7FH</t>
  </si>
  <si>
    <t>En junio presentamos un plan de empleo juvenil que recibió más de mil comentarios suyos, que en su mayoría acogimos… https://t.co/QZbeCaQsBf</t>
  </si>
  <si>
    <t>Acá les comparto el enlace a mi página web con las propuestas que construimos. Bienvenidos sus comentarios: https://t.co/ZRT6nslu4g</t>
  </si>
  <si>
    <t>Estos son los puntos claves de nuestra propuesta 'Jóvenes en el centro de las oportunidades' para 1,6 millones de j… https://t.co/mv2fuiGXwU</t>
  </si>
  <si>
    <t>Oportunidades educativas, empleo y un sistema integral de cuidados son los tres ejes de nuestra propuesta 'Jóvenes… https://t.co/lCAaCN56h1</t>
  </si>
  <si>
    <t>Gracias a la @RevistaBOCAS por esta entrevista donde hablo sobre esta campaña, nuestro recorrido por la política y… https://t.co/KGx61xbBdy</t>
  </si>
  <si>
    <t>Hablar de 'aborto cero' es facilista y cruel. Como dice @FranciaMarquezM, termina siendo un cuento. Mientras tanto,… https://t.co/HHVgROZboH</t>
  </si>
  <si>
    <t>RT @RevistaBOCAS: 📢'Que me digan tibio, paramilitar, narcotraficante, uribista, todo eso me resbala': @sergio_fajardo nos habla sobre su li…</t>
  </si>
  <si>
    <t>Y bueno, hablar de 'aborto cero' siendo hombre...</t>
  </si>
  <si>
    <t>Lamentable, pero no sorprendente, que el Congreso de la República haya hundido el proyecto que buscaba reducir el r… https://t.co/7WtTUqdNE8</t>
  </si>
  <si>
    <t>RT @moliverag: Recibiendo el premio de la investigación sobre BEPS de la @OissSec.</t>
  </si>
  <si>
    <t>Buen día. Rumbo a La W. Los invito a que escuchen la entrevista que me van a hacer Julio Sánchez C y su equipo. 👍</t>
  </si>
  <si>
    <t>RT @WRadioColombia: #AlAireEnLaW | Sergio Fajardo (@sergio_fajardo), precandidato presidencial, habla desde Corferias sobre distintos temas…</t>
  </si>
  <si>
    <t>RT @WRadioColombia: @sergio_fajardo #AlAireEnLaW | "El señor veedor es una de las piezas que yo tengo señaladas por parte del Contralor en…</t>
  </si>
  <si>
    <t>RT @compromisociu: #DeFajardoPienso Aquí pueden consultar todos los documentos de la defensa de @sergio_fajardo en la investigación sobre H…</t>
  </si>
  <si>
    <t>RT @AlertasW: #NoticiaW | @sergio_fajardo reveló en @WRadioColombia que @cataortizco, actual representante a la Cámara, será su jefe de deb…</t>
  </si>
  <si>
    <t>RT @WRadioColombia: @sergio_fajardo #AlAireEnLaW | "Tenemos que empezar a entender que por más discrepancia con un gobierno, hay que respet…</t>
  </si>
  <si>
    <t>RT @WRadioColombia: @sergio_fajardo #AlAireEnLaW | "En Colombia hay un malestar muy grande desde antes de la pandemia y ese es el terreno f…</t>
  </si>
  <si>
    <t>RT @WRadioColombia: @sergio_fajardo #AlAireEnLaW | "No tengo ninguna preocupación, hay libre competencia y es legítimo lo que están haciend…</t>
  </si>
  <si>
    <t>RT @cataortizco: Un honor ser la jefe de debate de la campaña de @sergio_fajardo, como lo anunció hoy en @WRadioColombia. ¡Vamos porque la…</t>
  </si>
  <si>
    <t>RT @Compromiso_Ant: 💪🏼 ¿Estás en #Rionegro y quieres ser parte del equipo de campaña de @sergio_fajardo? ➡️ Te esperamos este sábado: 📅 1…</t>
  </si>
  <si>
    <t>Federico Gutiérrez y yo estamos en lugares muy diferentes. Él hace parte de una coalición distinta a lo que hemos c… https://t.co/cKQRh3vwW1</t>
  </si>
  <si>
    <t>Cada día que pasa en esta campaña estoy más convencido de que Colombia va a cambiar, y espero ser yo quien lidere e… https://t.co/Q4oOqvOmez</t>
  </si>
  <si>
    <t>El propósito del señor Pipe Córdoba es que yo esté respondiendo por Hidroituango en plena campaña y que la gente pi… https://t.co/er7ak3UjnI</t>
  </si>
  <si>
    <t>Cuando sea presidente invitaré a los congresistas a trabajar juntos, sin puestos ni contratos. En Colombia debemos… https://t.co/dzXKNtc3lZ</t>
  </si>
  <si>
    <t>Cada día que pasa, y cada ataque suyo, me reafirma que haber votado en blanco fue lo más responsable. Cambiar un po… https://t.co/NmJx3NOJK9</t>
  </si>
  <si>
    <t>La historia de Luz Nellis, la maestra que halló la tierra prometida en Montes de María https://t.co/f72RumV6xB</t>
  </si>
  <si>
    <t>El año económico en perspectiva https://t.co/UJ2BDc7YuE</t>
  </si>
  <si>
    <t>Creo que, de tanto taparse los ojos para aceptar alianzas cuestionables, no vio el hilo de respuesta. Calma, Gustav… https://t.co/WF9auuDPcS</t>
  </si>
  <si>
    <t>Boric no ganó polarizando, ganó dialogando y escuchando. Boric no ganó promoviendo odio, sino esperanza. Tiene un r… https://t.co/Ql2ZmNzrS1</t>
  </si>
  <si>
    <t>El humor Iván. Jaja. Feliz noche https://t.co/NqDG9OP6y2</t>
  </si>
  <si>
    <t>RT @Juan_Florez: En el congreso naufragan la mayoría de las iniciativas de cambio. Es por eso que son tan decisivas las elecciones de marzo…</t>
  </si>
  <si>
    <t>Su tiempo es el pasado, su juez será la historia, y sus críticas son, más bien, elogios. Disfrute a sus nietos, exp… https://t.co/U9OIRxEe9V</t>
  </si>
  <si>
    <t>Ah, otro que tiene que ver con lo de Pipe Córdoba. Le doy un consejo, expresidente Uribe: váyase a ver ballenas. https://t.co/WA9GX5G2ZU</t>
  </si>
  <si>
    <t>No haré alianzas con Petro. Esta es una competencia política y será la gente la que decida. No se trata de un indiv… https://t.co/pByf3ktb8G</t>
  </si>
  <si>
    <t>¿Qué le produce esto? ¿Qué busca en la vida con una ofensa tan fácil? ¿Alguna vez hemos hablado? ¿Qué le genera tan… https://t.co/C8nuSFiTf4</t>
  </si>
  <si>
    <t>Qué pobre entendimiento de la política, senadora. A partir del 2000 caminamos Medellín por 3 años y, a pie, les gan… https://t.co/4VNDJo94P4</t>
  </si>
  <si>
    <t>Se acaba otro año. Un 2021 difícil en muchos aspectos, pero aunque creyeron que nos iban a sacar del camino, se equ… https://t.co/HQ1HG33W4k</t>
  </si>
  <si>
    <t>RT @jciragorri: "Yo creo que la investigación contra @sergio_fajardo es oprobiosa. Sin fundamento, los del Cartel de la Toga, donde Luis Gu…</t>
  </si>
  <si>
    <t>El presidente 118 y la corrupción https://t.co/vj29ajWrQW</t>
  </si>
  <si>
    <t>RT @CoaliEsperanza: #ATENCIÓN Comunicado a la opinión pública. "La @CoaliEsperanza exige a @IvanDuque derogatoria del decreto que crea 1.2…</t>
  </si>
  <si>
    <t>RT @JoseA_Ocampo: Mi visión de la crisis latinoamericana publicada por El Tiempo. Estamos en una nueva década perdida, que comenzó antes de…</t>
  </si>
  <si>
    <t>El próximo año se cierra por fin un ciclo de poder que ha girado alrededor de la figura del expresidente Uribe. Y a… https://t.co/m05j8jvbsi</t>
  </si>
  <si>
    <t>RT @fuedicho: "La fuerza está en la calma". Angela Merkel #Fuedicho https://t.co/uxBKrk8fP3</t>
  </si>
  <si>
    <t>RT @WilberCortezG: # 1 del 2022 explica de manera básica los aspectos fundamentales del funcionamiento de 🇨🇴 , el capítulo 10 ‘La vida lab…</t>
  </si>
  <si>
    <t>RT @JoseA_Ocampo: La recuperación de la economía colombiana en 2021 fue buena, una de las mejores de Latinoamérica. Pero decir que es el cr…</t>
  </si>
  <si>
    <t>En Arauca ayer 22 muertos en combates y 2000 personas desplazadas. Y el Presidente Duque paralizado en Bogotá por s… https://t.co/PsFc52Gqje</t>
  </si>
  <si>
    <t>El regreso de Piero a la Argentina después del exilio https://t.co/KF53pCxcA1</t>
  </si>
  <si>
    <t>Sabiduría, resiliencia, confianza y calma. Mucho de lo que necesitamos en Colombia. Se los recomiendo. Feliz año. https://t.co/elEhrHr4Ra</t>
  </si>
  <si>
    <t>Si no salimos de la trampa facilista “Fecode vs. los colombianos" crecerá la profunda desigualdad entre la educació… https://t.co/qmOlbWS2CX</t>
  </si>
  <si>
    <t>Yo apoyo a la Comisión de la Verdad https://t.co/d8xtrHuCNT</t>
  </si>
  <si>
    <t>Muy bien escrito por Juan Gabriel Vásquez. Los viejos y queridos odios de nosotros colombianos. Se repiten, una y o… https://t.co/JtfRkLefH3</t>
  </si>
  <si>
    <t>RT @alvaroforero: A propósito de Trump. Todo populista es autoritario y busca quedarse en el poder con trampa. De los 5 populistas simultán…</t>
  </si>
  <si>
    <t>El ELN sigue demostrando su desprecio por Colombia, por la vida y por la paz. No les interesa nada fuera de la dest… https://t.co/o9mWKKBTeM</t>
  </si>
  <si>
    <t>La decencia no es negociable, estimado Rodolfo. Nosotros estamos haciendo una política muy distinta a la que propon… https://t.co/5rKX39EImG</t>
  </si>
  <si>
    <t>https://t.co/65AN3jVzzl https://t.co/JM7WVdl82g</t>
  </si>
  <si>
    <t>Alonso Salazar es una de las personas que más y mejor conoce y entiende a Medellín. Siempre es recomendable escuch… https://t.co/t79PONtmEY</t>
  </si>
  <si>
    <t>RT @AlonSalazarJ: Falso la biblioteca España debe ser reconstruida por el constructor. Todo se hizo con responsabilidad. La pregunta es: c…</t>
  </si>
  <si>
    <t>RT @elespectador: Ángel Cappa, campeón con @realmadrid de @LaLiga en 1995, habló sobre las diferencias entre las filosofías de juego de Men…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</si>
</sst>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>
    <font>
      <sz val="11"/>
      <color theme="1"/>
      <name val="Calibri"/>
      <family val="2"/>
      <scheme val="minor"/>
    </font>
    <font>
      <sz val="8"/>
      <color rgb="FFFFFFFF"/>
      <name val="Droid Sans"/>
    </font>
    <font>
      <sz val="8"/>
      <name val="Droid Sans"/>
    </font>
    <font>
      <u/>
      <sz val="8"/>
      <color rgb="FF0000FF"/>
      <name val="Droid Sans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.co/8U2h99Ihkd" TargetMode="External"/><Relationship Id="rId13" Type="http://schemas.openxmlformats.org/officeDocument/2006/relationships/hyperlink" Target="https://t.co/1ZyQhUmN3F" TargetMode="External"/><Relationship Id="rId18" Type="http://schemas.openxmlformats.org/officeDocument/2006/relationships/hyperlink" Target="https://t.co/Ktg0RpEBQr" TargetMode="External"/><Relationship Id="rId26" Type="http://schemas.openxmlformats.org/officeDocument/2006/relationships/hyperlink" Target="https://t.co/rZ1YxgPUtr" TargetMode="External"/><Relationship Id="rId3" Type="http://schemas.openxmlformats.org/officeDocument/2006/relationships/hyperlink" Target="https://t.co/beKMhT6W9F" TargetMode="External"/><Relationship Id="rId21" Type="http://schemas.openxmlformats.org/officeDocument/2006/relationships/hyperlink" Target="https://t.co/U6R9S8hSyj" TargetMode="External"/><Relationship Id="rId7" Type="http://schemas.openxmlformats.org/officeDocument/2006/relationships/hyperlink" Target="https://t.co/KQ9yAzcnV3" TargetMode="External"/><Relationship Id="rId12" Type="http://schemas.openxmlformats.org/officeDocument/2006/relationships/hyperlink" Target="https://t.co/yxqYhBnPxp" TargetMode="External"/><Relationship Id="rId17" Type="http://schemas.openxmlformats.org/officeDocument/2006/relationships/hyperlink" Target="https://t.co/Ktg0RpEBQr" TargetMode="External"/><Relationship Id="rId25" Type="http://schemas.openxmlformats.org/officeDocument/2006/relationships/hyperlink" Target="https://t.co/rNPLbAOYL9" TargetMode="External"/><Relationship Id="rId2" Type="http://schemas.openxmlformats.org/officeDocument/2006/relationships/hyperlink" Target="https://t.co/L0Oh8ey8Hs" TargetMode="External"/><Relationship Id="rId16" Type="http://schemas.openxmlformats.org/officeDocument/2006/relationships/hyperlink" Target="https://t.co/qTLebymNxP" TargetMode="External"/><Relationship Id="rId20" Type="http://schemas.openxmlformats.org/officeDocument/2006/relationships/hyperlink" Target="https://t.co/ylj0nuKkC9" TargetMode="External"/><Relationship Id="rId29" Type="http://schemas.openxmlformats.org/officeDocument/2006/relationships/hyperlink" Target="https://t.co/Fe2vP9LgAY" TargetMode="External"/><Relationship Id="rId1" Type="http://schemas.openxmlformats.org/officeDocument/2006/relationships/hyperlink" Target="https://t.co/V4WbCk8n6O" TargetMode="External"/><Relationship Id="rId6" Type="http://schemas.openxmlformats.org/officeDocument/2006/relationships/hyperlink" Target="https://t.co/QkiXGYXyqn" TargetMode="External"/><Relationship Id="rId11" Type="http://schemas.openxmlformats.org/officeDocument/2006/relationships/hyperlink" Target="https://t.co/O5EOd1Rn7t" TargetMode="External"/><Relationship Id="rId24" Type="http://schemas.openxmlformats.org/officeDocument/2006/relationships/hyperlink" Target="https://t.co/Jeaor2XaZ9" TargetMode="External"/><Relationship Id="rId5" Type="http://schemas.openxmlformats.org/officeDocument/2006/relationships/hyperlink" Target="https://t.co/5WTqsMEwoD" TargetMode="External"/><Relationship Id="rId15" Type="http://schemas.openxmlformats.org/officeDocument/2006/relationships/hyperlink" Target="https://t.co/1YU7usWiTE" TargetMode="External"/><Relationship Id="rId23" Type="http://schemas.openxmlformats.org/officeDocument/2006/relationships/hyperlink" Target="https://t.co/jnp3sDNo2R" TargetMode="External"/><Relationship Id="rId28" Type="http://schemas.openxmlformats.org/officeDocument/2006/relationships/hyperlink" Target="https://t.co/aGFF3B1tn2" TargetMode="External"/><Relationship Id="rId10" Type="http://schemas.openxmlformats.org/officeDocument/2006/relationships/hyperlink" Target="https://t.co/8GvLGq9eXm" TargetMode="External"/><Relationship Id="rId19" Type="http://schemas.openxmlformats.org/officeDocument/2006/relationships/hyperlink" Target="https://t.co/4vaEnmFn3k" TargetMode="External"/><Relationship Id="rId4" Type="http://schemas.openxmlformats.org/officeDocument/2006/relationships/hyperlink" Target="https://t.co/H15A4GFdZ6" TargetMode="External"/><Relationship Id="rId9" Type="http://schemas.openxmlformats.org/officeDocument/2006/relationships/hyperlink" Target="https://t.co/BaI17ozqaI" TargetMode="External"/><Relationship Id="rId14" Type="http://schemas.openxmlformats.org/officeDocument/2006/relationships/hyperlink" Target="https://t.co/319D9WnOlH" TargetMode="External"/><Relationship Id="rId22" Type="http://schemas.openxmlformats.org/officeDocument/2006/relationships/hyperlink" Target="https://t.co/hlPw09DxvF" TargetMode="External"/><Relationship Id="rId27" Type="http://schemas.openxmlformats.org/officeDocument/2006/relationships/hyperlink" Target="https://t.co/lO1mQ4eHE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535D-C575-4129-AAEB-375B79A04E80}">
  <dimension ref="A1:P4065"/>
  <sheetViews>
    <sheetView tabSelected="1" workbookViewId="0"/>
  </sheetViews>
  <sheetFormatPr defaultRowHeight="14.5"/>
  <cols>
    <col min="1" max="1" width="14.1796875" bestFit="1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43803.074120370366</v>
      </c>
      <c r="B2" s="4" t="str">
        <f>HYPERLINK("https://twitter.com/sergio_fajardo","@sergio_fajardo")</f>
        <v>@sergio_fajardo</v>
      </c>
      <c r="C2" s="5" t="s">
        <v>16</v>
      </c>
      <c r="D2" s="5" t="s">
        <v>26</v>
      </c>
      <c r="E2" s="6" t="str">
        <f>HYPERLINK("https://twitter.com/sergio_fajardo/status/1201958465444274176","1201958465444274176")</f>
        <v>1201958465444274176</v>
      </c>
      <c r="F2" s="7" t="s">
        <v>17</v>
      </c>
      <c r="G2" s="7">
        <v>1471318</v>
      </c>
      <c r="H2" s="7">
        <v>350</v>
      </c>
      <c r="I2" s="7">
        <v>9</v>
      </c>
      <c r="J2" s="7">
        <v>0</v>
      </c>
      <c r="K2" s="7" t="s">
        <v>18</v>
      </c>
      <c r="L2" s="8">
        <v>39891.213356481479</v>
      </c>
      <c r="M2" s="9" t="s">
        <v>19</v>
      </c>
      <c r="N2" s="9" t="s">
        <v>22</v>
      </c>
      <c r="O2" s="6" t="str">
        <f>HYPERLINK("https://pbs.twimg.com/profile_images/988971255679324162/jrqiIYf__normal.jpg","View")</f>
        <v>View</v>
      </c>
      <c r="P2" s="7"/>
    </row>
    <row r="3" spans="1:16">
      <c r="A3" s="3">
        <v>43803.075138888889</v>
      </c>
      <c r="B3" s="4" t="str">
        <f>HYPERLINK("https://twitter.com/sergio_fajardo","@sergio_fajardo")</f>
        <v>@sergio_fajardo</v>
      </c>
      <c r="C3" s="5" t="s">
        <v>16</v>
      </c>
      <c r="D3" s="5" t="s">
        <v>27</v>
      </c>
      <c r="E3" s="6" t="str">
        <f>HYPERLINK("https://twitter.com/sergio_fajardo/status/1201958837558882307","1201958837558882307")</f>
        <v>1201958837558882307</v>
      </c>
      <c r="F3" s="7" t="s">
        <v>17</v>
      </c>
      <c r="G3" s="7">
        <v>1471333</v>
      </c>
      <c r="H3" s="7">
        <v>350</v>
      </c>
      <c r="I3" s="7">
        <v>9</v>
      </c>
      <c r="J3" s="7">
        <v>0</v>
      </c>
      <c r="K3" s="7" t="s">
        <v>18</v>
      </c>
      <c r="L3" s="8">
        <v>39891.213356481479</v>
      </c>
      <c r="M3" s="9" t="s">
        <v>19</v>
      </c>
      <c r="N3" s="9" t="s">
        <v>22</v>
      </c>
      <c r="O3" s="6" t="str">
        <f>HYPERLINK("https://pbs.twimg.com/profile_images/988971255679324162/jrqiIYf__normal.jpg","View")</f>
        <v>View</v>
      </c>
      <c r="P3" s="7"/>
    </row>
    <row r="4" spans="1:16">
      <c r="A4" s="3">
        <v>43803.077013888891</v>
      </c>
      <c r="B4" s="4" t="str">
        <f>HYPERLINK("https://twitter.com/sergio_fajardo","@sergio_fajardo")</f>
        <v>@sergio_fajardo</v>
      </c>
      <c r="C4" s="5" t="s">
        <v>16</v>
      </c>
      <c r="D4" s="5" t="s">
        <v>28</v>
      </c>
      <c r="E4" s="6" t="str">
        <f>HYPERLINK("https://twitter.com/sergio_fajardo/status/1201959515568197632","1201959515568197632")</f>
        <v>1201959515568197632</v>
      </c>
      <c r="F4" s="7" t="s">
        <v>17</v>
      </c>
      <c r="G4" s="7">
        <v>1471333</v>
      </c>
      <c r="H4" s="7">
        <v>350</v>
      </c>
      <c r="I4" s="7">
        <v>77</v>
      </c>
      <c r="J4" s="7">
        <v>0</v>
      </c>
      <c r="K4" s="7" t="s">
        <v>18</v>
      </c>
      <c r="L4" s="8">
        <v>39891.213356481479</v>
      </c>
      <c r="M4" s="9" t="s">
        <v>19</v>
      </c>
      <c r="N4" s="9" t="s">
        <v>22</v>
      </c>
      <c r="O4" s="6" t="str">
        <f>HYPERLINK("https://pbs.twimg.com/profile_images/988971255679324162/jrqiIYf__normal.jpg","View")</f>
        <v>View</v>
      </c>
      <c r="P4" s="7"/>
    </row>
    <row r="5" spans="1:16">
      <c r="A5" s="3">
        <v>43803.078518518523</v>
      </c>
      <c r="B5" s="4" t="str">
        <f>HYPERLINK("https://twitter.com/sergio_fajardo","@sergio_fajardo")</f>
        <v>@sergio_fajardo</v>
      </c>
      <c r="C5" s="5" t="s">
        <v>16</v>
      </c>
      <c r="D5" s="5" t="s">
        <v>29</v>
      </c>
      <c r="E5" s="6" t="str">
        <f>HYPERLINK("https://twitter.com/sergio_fajardo/status/1201960061838512128","1201960061838512128")</f>
        <v>1201960061838512128</v>
      </c>
      <c r="F5" s="7" t="s">
        <v>17</v>
      </c>
      <c r="G5" s="7">
        <v>1471333</v>
      </c>
      <c r="H5" s="7">
        <v>350</v>
      </c>
      <c r="I5" s="7">
        <v>44</v>
      </c>
      <c r="J5" s="7">
        <v>0</v>
      </c>
      <c r="K5" s="7" t="s">
        <v>18</v>
      </c>
      <c r="L5" s="8">
        <v>39891.213356481479</v>
      </c>
      <c r="M5" s="9" t="s">
        <v>19</v>
      </c>
      <c r="N5" s="9" t="s">
        <v>22</v>
      </c>
      <c r="O5" s="6" t="str">
        <f>HYPERLINK("https://pbs.twimg.com/profile_images/988971255679324162/jrqiIYf__normal.jpg","View")</f>
        <v>View</v>
      </c>
      <c r="P5" s="7"/>
    </row>
    <row r="6" spans="1:16">
      <c r="A6" s="3">
        <v>43803.146469907406</v>
      </c>
      <c r="B6" s="4" t="str">
        <f>HYPERLINK("https://twitter.com/sergio_fajardo","@sergio_fajardo")</f>
        <v>@sergio_fajardo</v>
      </c>
      <c r="C6" s="5" t="s">
        <v>16</v>
      </c>
      <c r="D6" s="5" t="s">
        <v>30</v>
      </c>
      <c r="E6" s="6" t="str">
        <f>HYPERLINK("https://twitter.com/sergio_fajardo/status/1201984686681137152","1201984686681137152")</f>
        <v>1201984686681137152</v>
      </c>
      <c r="F6" s="7" t="s">
        <v>17</v>
      </c>
      <c r="G6" s="7">
        <v>1471360</v>
      </c>
      <c r="H6" s="7">
        <v>350</v>
      </c>
      <c r="I6" s="7">
        <v>47</v>
      </c>
      <c r="J6" s="7">
        <v>0</v>
      </c>
      <c r="K6" s="7" t="s">
        <v>18</v>
      </c>
      <c r="L6" s="8">
        <v>39891.213356481479</v>
      </c>
      <c r="M6" s="9" t="s">
        <v>19</v>
      </c>
      <c r="N6" s="9" t="s">
        <v>22</v>
      </c>
      <c r="O6" s="6" t="str">
        <f>HYPERLINK("https://pbs.twimg.com/profile_images/988971255679324162/jrqiIYf__normal.jpg","View")</f>
        <v>View</v>
      </c>
      <c r="P6" s="7"/>
    </row>
    <row r="7" spans="1:16">
      <c r="A7" s="3">
        <v>43803.150787037041</v>
      </c>
      <c r="B7" s="4" t="str">
        <f>HYPERLINK("https://twitter.com/sergio_fajardo","@sergio_fajardo")</f>
        <v>@sergio_fajardo</v>
      </c>
      <c r="C7" s="5" t="s">
        <v>16</v>
      </c>
      <c r="D7" s="5" t="s">
        <v>31</v>
      </c>
      <c r="E7" s="6" t="str">
        <f>HYPERLINK("https://twitter.com/sergio_fajardo/status/1201986249915076611","1201986249915076611")</f>
        <v>1201986249915076611</v>
      </c>
      <c r="F7" s="7" t="s">
        <v>17</v>
      </c>
      <c r="G7" s="7">
        <v>1471360</v>
      </c>
      <c r="H7" s="7">
        <v>350</v>
      </c>
      <c r="I7" s="7">
        <v>8</v>
      </c>
      <c r="J7" s="7">
        <v>38</v>
      </c>
      <c r="K7" s="7" t="s">
        <v>18</v>
      </c>
      <c r="L7" s="8">
        <v>39891.213356481479</v>
      </c>
      <c r="M7" s="9" t="s">
        <v>19</v>
      </c>
      <c r="N7" s="9" t="s">
        <v>22</v>
      </c>
      <c r="O7" s="6" t="str">
        <f>HYPERLINK("https://pbs.twimg.com/profile_images/988971255679324162/jrqiIYf__normal.jpg","View")</f>
        <v>View</v>
      </c>
      <c r="P7" s="7"/>
    </row>
    <row r="8" spans="1:16">
      <c r="A8" s="3">
        <v>43803.874062499999</v>
      </c>
      <c r="B8" s="4" t="str">
        <f>HYPERLINK("https://twitter.com/sergio_fajardo","@sergio_fajardo")</f>
        <v>@sergio_fajardo</v>
      </c>
      <c r="C8" s="5" t="s">
        <v>16</v>
      </c>
      <c r="D8" s="5" t="s">
        <v>32</v>
      </c>
      <c r="E8" s="6" t="str">
        <f>HYPERLINK("https://twitter.com/sergio_fajardo/status/1202248357139374080","1202248357139374080")</f>
        <v>1202248357139374080</v>
      </c>
      <c r="F8" s="7" t="s">
        <v>17</v>
      </c>
      <c r="G8" s="7">
        <v>1471697</v>
      </c>
      <c r="H8" s="7">
        <v>351</v>
      </c>
      <c r="I8" s="7">
        <v>102</v>
      </c>
      <c r="J8" s="7">
        <v>597</v>
      </c>
      <c r="K8" s="7" t="s">
        <v>18</v>
      </c>
      <c r="L8" s="8">
        <v>39891.213356481479</v>
      </c>
      <c r="M8" s="9" t="s">
        <v>19</v>
      </c>
      <c r="N8" s="9" t="s">
        <v>22</v>
      </c>
      <c r="O8" s="6" t="str">
        <f>HYPERLINK("https://pbs.twimg.com/profile_images/988971255679324162/jrqiIYf__normal.jpg","View")</f>
        <v>View</v>
      </c>
      <c r="P8" s="7"/>
    </row>
    <row r="9" spans="1:16">
      <c r="A9" s="3">
        <v>43803.916747685187</v>
      </c>
      <c r="B9" s="4" t="str">
        <f>HYPERLINK("https://twitter.com/sergio_fajardo","@sergio_fajardo")</f>
        <v>@sergio_fajardo</v>
      </c>
      <c r="C9" s="5" t="s">
        <v>16</v>
      </c>
      <c r="D9" s="5" t="s">
        <v>33</v>
      </c>
      <c r="E9" s="6" t="str">
        <f>HYPERLINK("https://twitter.com/sergio_fajardo/status/1202263824314904581","1202263824314904581")</f>
        <v>1202263824314904581</v>
      </c>
      <c r="F9" s="7" t="s">
        <v>17</v>
      </c>
      <c r="G9" s="7">
        <v>1471732</v>
      </c>
      <c r="H9" s="7">
        <v>351</v>
      </c>
      <c r="I9" s="7">
        <v>68</v>
      </c>
      <c r="J9" s="7">
        <v>282</v>
      </c>
      <c r="K9" s="7" t="s">
        <v>18</v>
      </c>
      <c r="L9" s="8">
        <v>39891.213356481479</v>
      </c>
      <c r="M9" s="9" t="s">
        <v>19</v>
      </c>
      <c r="N9" s="9" t="s">
        <v>22</v>
      </c>
      <c r="O9" s="6" t="str">
        <f>HYPERLINK("https://pbs.twimg.com/profile_images/988971255679324162/jrqiIYf__normal.jpg","View")</f>
        <v>View</v>
      </c>
      <c r="P9" s="7"/>
    </row>
    <row r="10" spans="1:16">
      <c r="A10" s="3">
        <v>43803.94153935185</v>
      </c>
      <c r="B10" s="4" t="str">
        <f>HYPERLINK("https://twitter.com/sergio_fajardo","@sergio_fajardo")</f>
        <v>@sergio_fajardo</v>
      </c>
      <c r="C10" s="5" t="s">
        <v>16</v>
      </c>
      <c r="D10" s="5" t="s">
        <v>34</v>
      </c>
      <c r="E10" s="6" t="str">
        <f>HYPERLINK("https://twitter.com/sergio_fajardo/status/1202272807448645633","1202272807448645633")</f>
        <v>1202272807448645633</v>
      </c>
      <c r="F10" s="7" t="s">
        <v>17</v>
      </c>
      <c r="G10" s="7">
        <v>1471744</v>
      </c>
      <c r="H10" s="7">
        <v>351</v>
      </c>
      <c r="I10" s="7">
        <v>16</v>
      </c>
      <c r="J10" s="7">
        <v>0</v>
      </c>
      <c r="K10" s="7" t="s">
        <v>18</v>
      </c>
      <c r="L10" s="8">
        <v>39891.213356481479</v>
      </c>
      <c r="M10" s="9" t="s">
        <v>19</v>
      </c>
      <c r="N10" s="9" t="s">
        <v>22</v>
      </c>
      <c r="O10" s="6" t="str">
        <f>HYPERLINK("https://pbs.twimg.com/profile_images/988971255679324162/jrqiIYf__normal.jpg","View")</f>
        <v>View</v>
      </c>
      <c r="P10" s="7"/>
    </row>
    <row r="11" spans="1:16">
      <c r="A11" s="3">
        <v>43803.963171296295</v>
      </c>
      <c r="B11" s="4" t="str">
        <f>HYPERLINK("https://twitter.com/sergio_fajardo","@sergio_fajardo")</f>
        <v>@sergio_fajardo</v>
      </c>
      <c r="C11" s="5" t="s">
        <v>16</v>
      </c>
      <c r="D11" s="5" t="s">
        <v>35</v>
      </c>
      <c r="E11" s="6" t="str">
        <f>HYPERLINK("https://twitter.com/sergio_fajardo/status/1202280649568268296","1202280649568268296")</f>
        <v>1202280649568268296</v>
      </c>
      <c r="F11" s="7" t="s">
        <v>17</v>
      </c>
      <c r="G11" s="7">
        <v>1471769</v>
      </c>
      <c r="H11" s="7">
        <v>351</v>
      </c>
      <c r="I11" s="7">
        <v>25</v>
      </c>
      <c r="J11" s="7">
        <v>119</v>
      </c>
      <c r="K11" s="7" t="s">
        <v>18</v>
      </c>
      <c r="L11" s="8">
        <v>39891.213356481479</v>
      </c>
      <c r="M11" s="9" t="s">
        <v>19</v>
      </c>
      <c r="N11" s="9" t="s">
        <v>22</v>
      </c>
      <c r="O11" s="6" t="str">
        <f>HYPERLINK("https://pbs.twimg.com/profile_images/988971255679324162/jrqiIYf__normal.jpg","View")</f>
        <v>View</v>
      </c>
      <c r="P11" s="7"/>
    </row>
    <row r="12" spans="1:16">
      <c r="A12" s="3">
        <v>43804.003321759257</v>
      </c>
      <c r="B12" s="4" t="str">
        <f>HYPERLINK("https://twitter.com/sergio_fajardo","@sergio_fajardo")</f>
        <v>@sergio_fajardo</v>
      </c>
      <c r="C12" s="5" t="s">
        <v>16</v>
      </c>
      <c r="D12" s="5" t="s">
        <v>36</v>
      </c>
      <c r="E12" s="6" t="str">
        <f>HYPERLINK("https://twitter.com/sergio_fajardo/status/1202295199357132800","1202295199357132800")</f>
        <v>1202295199357132800</v>
      </c>
      <c r="F12" s="7" t="s">
        <v>17</v>
      </c>
      <c r="G12" s="7">
        <v>1471817</v>
      </c>
      <c r="H12" s="7">
        <v>351</v>
      </c>
      <c r="I12" s="7">
        <v>10</v>
      </c>
      <c r="J12" s="7">
        <v>0</v>
      </c>
      <c r="K12" s="7" t="s">
        <v>18</v>
      </c>
      <c r="L12" s="8">
        <v>39891.213356481479</v>
      </c>
      <c r="M12" s="9" t="s">
        <v>19</v>
      </c>
      <c r="N12" s="9" t="s">
        <v>22</v>
      </c>
      <c r="O12" s="6" t="str">
        <f>HYPERLINK("https://pbs.twimg.com/profile_images/988971255679324162/jrqiIYf__normal.jpg","View")</f>
        <v>View</v>
      </c>
      <c r="P12" s="7"/>
    </row>
    <row r="13" spans="1:16">
      <c r="A13" s="3">
        <v>43804.080648148149</v>
      </c>
      <c r="B13" s="4" t="str">
        <f>HYPERLINK("https://twitter.com/sergio_fajardo","@sergio_fajardo")</f>
        <v>@sergio_fajardo</v>
      </c>
      <c r="C13" s="5" t="s">
        <v>16</v>
      </c>
      <c r="D13" s="5" t="s">
        <v>37</v>
      </c>
      <c r="E13" s="6" t="str">
        <f>HYPERLINK("https://twitter.com/sergio_fajardo/status/1202323221330182144","1202323221330182144")</f>
        <v>1202323221330182144</v>
      </c>
      <c r="F13" s="7" t="s">
        <v>17</v>
      </c>
      <c r="G13" s="7">
        <v>1471904</v>
      </c>
      <c r="H13" s="7">
        <v>351</v>
      </c>
      <c r="I13" s="7">
        <v>90</v>
      </c>
      <c r="J13" s="7">
        <v>0</v>
      </c>
      <c r="K13" s="7" t="s">
        <v>18</v>
      </c>
      <c r="L13" s="8">
        <v>39891.213356481479</v>
      </c>
      <c r="M13" s="9" t="s">
        <v>19</v>
      </c>
      <c r="N13" s="9" t="s">
        <v>22</v>
      </c>
      <c r="O13" s="6" t="str">
        <f>HYPERLINK("https://pbs.twimg.com/profile_images/988971255679324162/jrqiIYf__normal.jpg","View")</f>
        <v>View</v>
      </c>
      <c r="P13" s="7"/>
    </row>
    <row r="14" spans="1:16">
      <c r="A14" s="3">
        <v>43804.08293981482</v>
      </c>
      <c r="B14" s="4" t="str">
        <f>HYPERLINK("https://twitter.com/sergio_fajardo","@sergio_fajardo")</f>
        <v>@sergio_fajardo</v>
      </c>
      <c r="C14" s="5" t="s">
        <v>16</v>
      </c>
      <c r="D14" s="5" t="s">
        <v>38</v>
      </c>
      <c r="E14" s="6" t="str">
        <f>HYPERLINK("https://twitter.com/sergio_fajardo/status/1202324051420729344","1202324051420729344")</f>
        <v>1202324051420729344</v>
      </c>
      <c r="F14" s="7" t="s">
        <v>17</v>
      </c>
      <c r="G14" s="7">
        <v>1471904</v>
      </c>
      <c r="H14" s="7">
        <v>351</v>
      </c>
      <c r="I14" s="7">
        <v>12</v>
      </c>
      <c r="J14" s="7">
        <v>0</v>
      </c>
      <c r="K14" s="7" t="s">
        <v>18</v>
      </c>
      <c r="L14" s="8">
        <v>39891.213356481479</v>
      </c>
      <c r="M14" s="9" t="s">
        <v>19</v>
      </c>
      <c r="N14" s="9" t="s">
        <v>22</v>
      </c>
      <c r="O14" s="6" t="str">
        <f>HYPERLINK("https://pbs.twimg.com/profile_images/988971255679324162/jrqiIYf__normal.jpg","View")</f>
        <v>View</v>
      </c>
      <c r="P14" s="7"/>
    </row>
    <row r="15" spans="1:16">
      <c r="A15" s="3">
        <v>43804.083912037036</v>
      </c>
      <c r="B15" s="4" t="str">
        <f>HYPERLINK("https://twitter.com/sergio_fajardo","@sergio_fajardo")</f>
        <v>@sergio_fajardo</v>
      </c>
      <c r="C15" s="5" t="s">
        <v>16</v>
      </c>
      <c r="D15" s="5" t="s">
        <v>39</v>
      </c>
      <c r="E15" s="6" t="str">
        <f>HYPERLINK("https://twitter.com/sergio_fajardo/status/1202324402320367617","1202324402320367617")</f>
        <v>1202324402320367617</v>
      </c>
      <c r="F15" s="7" t="s">
        <v>17</v>
      </c>
      <c r="G15" s="7">
        <v>1471904</v>
      </c>
      <c r="H15" s="7">
        <v>351</v>
      </c>
      <c r="I15" s="7">
        <v>120</v>
      </c>
      <c r="J15" s="7">
        <v>0</v>
      </c>
      <c r="K15" s="7" t="s">
        <v>18</v>
      </c>
      <c r="L15" s="8">
        <v>39891.213356481479</v>
      </c>
      <c r="M15" s="9" t="s">
        <v>19</v>
      </c>
      <c r="N15" s="9" t="s">
        <v>22</v>
      </c>
      <c r="O15" s="6" t="str">
        <f>HYPERLINK("https://pbs.twimg.com/profile_images/988971255679324162/jrqiIYf__normal.jpg","View")</f>
        <v>View</v>
      </c>
      <c r="P15" s="7"/>
    </row>
    <row r="16" spans="1:16">
      <c r="A16" s="3">
        <v>43804.384791666671</v>
      </c>
      <c r="B16" s="4" t="str">
        <f>HYPERLINK("https://twitter.com/sergio_fajardo","@sergio_fajardo")</f>
        <v>@sergio_fajardo</v>
      </c>
      <c r="C16" s="5" t="s">
        <v>16</v>
      </c>
      <c r="D16" s="5" t="s">
        <v>40</v>
      </c>
      <c r="E16" s="6" t="str">
        <f>HYPERLINK("https://twitter.com/sergio_fajardo/status/1202433439263346688","1202433439263346688")</f>
        <v>1202433439263346688</v>
      </c>
      <c r="F16" s="7" t="s">
        <v>17</v>
      </c>
      <c r="G16" s="7">
        <v>1472170</v>
      </c>
      <c r="H16" s="7">
        <v>351</v>
      </c>
      <c r="I16" s="7">
        <v>9</v>
      </c>
      <c r="J16" s="7">
        <v>0</v>
      </c>
      <c r="K16" s="7" t="s">
        <v>18</v>
      </c>
      <c r="L16" s="8">
        <v>39891.213356481479</v>
      </c>
      <c r="M16" s="9" t="s">
        <v>19</v>
      </c>
      <c r="N16" s="9" t="s">
        <v>22</v>
      </c>
      <c r="O16" s="6" t="str">
        <f>HYPERLINK("https://pbs.twimg.com/profile_images/988971255679324162/jrqiIYf__normal.jpg","View")</f>
        <v>View</v>
      </c>
      <c r="P16" s="7"/>
    </row>
    <row r="17" spans="1:16">
      <c r="A17" s="3">
        <v>43804.390092592592</v>
      </c>
      <c r="B17" s="4" t="str">
        <f>HYPERLINK("https://twitter.com/sergio_fajardo","@sergio_fajardo")</f>
        <v>@sergio_fajardo</v>
      </c>
      <c r="C17" s="5" t="s">
        <v>16</v>
      </c>
      <c r="D17" s="5" t="s">
        <v>41</v>
      </c>
      <c r="E17" s="6" t="str">
        <f>HYPERLINK("https://twitter.com/sergio_fajardo/status/1202435361114329088","1202435361114329088")</f>
        <v>1202435361114329088</v>
      </c>
      <c r="F17" s="7" t="s">
        <v>17</v>
      </c>
      <c r="G17" s="7">
        <v>1472190</v>
      </c>
      <c r="H17" s="7">
        <v>351</v>
      </c>
      <c r="I17" s="7">
        <v>18</v>
      </c>
      <c r="J17" s="7">
        <v>0</v>
      </c>
      <c r="K17" s="7" t="s">
        <v>18</v>
      </c>
      <c r="L17" s="8">
        <v>39891.213356481479</v>
      </c>
      <c r="M17" s="9" t="s">
        <v>19</v>
      </c>
      <c r="N17" s="9" t="s">
        <v>22</v>
      </c>
      <c r="O17" s="6" t="str">
        <f>HYPERLINK("https://pbs.twimg.com/profile_images/988971255679324162/jrqiIYf__normal.jpg","View")</f>
        <v>View</v>
      </c>
      <c r="P17" s="7"/>
    </row>
    <row r="18" spans="1:16">
      <c r="A18" s="3">
        <v>43804.390960648147</v>
      </c>
      <c r="B18" s="4" t="str">
        <f>HYPERLINK("https://twitter.com/sergio_fajardo","@sergio_fajardo")</f>
        <v>@sergio_fajardo</v>
      </c>
      <c r="C18" s="5" t="s">
        <v>16</v>
      </c>
      <c r="D18" s="5" t="s">
        <v>42</v>
      </c>
      <c r="E18" s="6" t="str">
        <f>HYPERLINK("https://twitter.com/sergio_fajardo/status/1202435673963352064","1202435673963352064")</f>
        <v>1202435673963352064</v>
      </c>
      <c r="F18" s="7" t="s">
        <v>17</v>
      </c>
      <c r="G18" s="7">
        <v>1472190</v>
      </c>
      <c r="H18" s="7">
        <v>351</v>
      </c>
      <c r="I18" s="7">
        <v>40</v>
      </c>
      <c r="J18" s="7">
        <v>0</v>
      </c>
      <c r="K18" s="7" t="s">
        <v>18</v>
      </c>
      <c r="L18" s="8">
        <v>39891.213356481479</v>
      </c>
      <c r="M18" s="9" t="s">
        <v>19</v>
      </c>
      <c r="N18" s="9" t="s">
        <v>22</v>
      </c>
      <c r="O18" s="6" t="str">
        <f>HYPERLINK("https://pbs.twimg.com/profile_images/988971255679324162/jrqiIYf__normal.jpg","View")</f>
        <v>View</v>
      </c>
      <c r="P18" s="7"/>
    </row>
    <row r="19" spans="1:16">
      <c r="A19" s="3">
        <v>43804.681828703702</v>
      </c>
      <c r="B19" s="4" t="str">
        <f>HYPERLINK("https://twitter.com/sergio_fajardo","@sergio_fajardo")</f>
        <v>@sergio_fajardo</v>
      </c>
      <c r="C19" s="5" t="s">
        <v>16</v>
      </c>
      <c r="D19" s="5" t="s">
        <v>43</v>
      </c>
      <c r="E19" s="6" t="str">
        <f>HYPERLINK("https://twitter.com/sergio_fajardo/status/1202541079398100992","1202541079398100992")</f>
        <v>1202541079398100992</v>
      </c>
      <c r="F19" s="7" t="s">
        <v>17</v>
      </c>
      <c r="G19" s="7">
        <v>1472214</v>
      </c>
      <c r="H19" s="7">
        <v>351</v>
      </c>
      <c r="I19" s="7">
        <v>45</v>
      </c>
      <c r="J19" s="7">
        <v>174</v>
      </c>
      <c r="K19" s="7" t="s">
        <v>18</v>
      </c>
      <c r="L19" s="8">
        <v>39891.213356481479</v>
      </c>
      <c r="M19" s="9" t="s">
        <v>19</v>
      </c>
      <c r="N19" s="9" t="s">
        <v>22</v>
      </c>
      <c r="O19" s="6" t="str">
        <f>HYPERLINK("https://pbs.twimg.com/profile_images/988971255679324162/jrqiIYf__normal.jpg","View")</f>
        <v>View</v>
      </c>
      <c r="P19" s="7"/>
    </row>
    <row r="20" spans="1:16">
      <c r="A20" s="3">
        <v>43804.689560185187</v>
      </c>
      <c r="B20" s="4" t="str">
        <f>HYPERLINK("https://twitter.com/sergio_fajardo","@sergio_fajardo")</f>
        <v>@sergio_fajardo</v>
      </c>
      <c r="C20" s="5" t="s">
        <v>16</v>
      </c>
      <c r="D20" s="5" t="s">
        <v>44</v>
      </c>
      <c r="E20" s="6" t="str">
        <f>HYPERLINK("https://twitter.com/sergio_fajardo/status/1202543883927932933","1202543883927932933")</f>
        <v>1202543883927932933</v>
      </c>
      <c r="F20" s="7" t="s">
        <v>17</v>
      </c>
      <c r="G20" s="7">
        <v>1472214</v>
      </c>
      <c r="H20" s="7">
        <v>351</v>
      </c>
      <c r="I20" s="7">
        <v>1448</v>
      </c>
      <c r="J20" s="7">
        <v>0</v>
      </c>
      <c r="K20" s="7" t="s">
        <v>18</v>
      </c>
      <c r="L20" s="8">
        <v>39891.213356481479</v>
      </c>
      <c r="M20" s="9" t="s">
        <v>19</v>
      </c>
      <c r="N20" s="9" t="s">
        <v>22</v>
      </c>
      <c r="O20" s="6" t="str">
        <f>HYPERLINK("https://pbs.twimg.com/profile_images/988971255679324162/jrqiIYf__normal.jpg","View")</f>
        <v>View</v>
      </c>
      <c r="P20" s="7"/>
    </row>
    <row r="21" spans="1:16">
      <c r="A21" s="3">
        <v>43805.38890046296</v>
      </c>
      <c r="B21" s="4" t="str">
        <f>HYPERLINK("https://twitter.com/sergio_fajardo","@sergio_fajardo")</f>
        <v>@sergio_fajardo</v>
      </c>
      <c r="C21" s="5" t="s">
        <v>16</v>
      </c>
      <c r="D21" s="5" t="s">
        <v>45</v>
      </c>
      <c r="E21" s="6" t="str">
        <f>HYPERLINK("https://twitter.com/sergio_fajardo/status/1202797315033055234","1202797315033055234")</f>
        <v>1202797315033055234</v>
      </c>
      <c r="F21" s="7" t="s">
        <v>17</v>
      </c>
      <c r="G21" s="7">
        <v>1472669</v>
      </c>
      <c r="H21" s="7">
        <v>351</v>
      </c>
      <c r="I21" s="7">
        <v>48</v>
      </c>
      <c r="J21" s="7">
        <v>0</v>
      </c>
      <c r="K21" s="7" t="s">
        <v>18</v>
      </c>
      <c r="L21" s="8">
        <v>39891.213356481479</v>
      </c>
      <c r="M21" s="9" t="s">
        <v>19</v>
      </c>
      <c r="N21" s="9" t="s">
        <v>22</v>
      </c>
      <c r="O21" s="6" t="str">
        <f>HYPERLINK("https://pbs.twimg.com/profile_images/988971255679324162/jrqiIYf__normal.jpg","View")</f>
        <v>View</v>
      </c>
      <c r="P21" s="7"/>
    </row>
    <row r="22" spans="1:16">
      <c r="A22" s="3">
        <v>43805.423761574071</v>
      </c>
      <c r="B22" s="4" t="str">
        <f>HYPERLINK("https://twitter.com/sergio_fajardo","@sergio_fajardo")</f>
        <v>@sergio_fajardo</v>
      </c>
      <c r="C22" s="5" t="s">
        <v>16</v>
      </c>
      <c r="D22" s="5" t="s">
        <v>46</v>
      </c>
      <c r="E22" s="6" t="str">
        <f>HYPERLINK("https://twitter.com/sergio_fajardo/status/1202809950419984386","1202809950419984386")</f>
        <v>1202809950419984386</v>
      </c>
      <c r="F22" s="7" t="s">
        <v>17</v>
      </c>
      <c r="G22" s="7">
        <v>1472678</v>
      </c>
      <c r="H22" s="7">
        <v>351</v>
      </c>
      <c r="I22" s="7">
        <v>6</v>
      </c>
      <c r="J22" s="7">
        <v>0</v>
      </c>
      <c r="K22" s="7" t="s">
        <v>18</v>
      </c>
      <c r="L22" s="8">
        <v>39891.213356481479</v>
      </c>
      <c r="M22" s="9" t="s">
        <v>19</v>
      </c>
      <c r="N22" s="9" t="s">
        <v>22</v>
      </c>
      <c r="O22" s="6" t="str">
        <f>HYPERLINK("https://pbs.twimg.com/profile_images/988971255679324162/jrqiIYf__normal.jpg","View")</f>
        <v>View</v>
      </c>
      <c r="P22" s="7"/>
    </row>
    <row r="23" spans="1:16">
      <c r="A23" s="3">
        <v>43805.681724537033</v>
      </c>
      <c r="B23" s="4" t="str">
        <f>HYPERLINK("https://twitter.com/sergio_fajardo","@sergio_fajardo")</f>
        <v>@sergio_fajardo</v>
      </c>
      <c r="C23" s="5" t="s">
        <v>16</v>
      </c>
      <c r="D23" s="5" t="s">
        <v>47</v>
      </c>
      <c r="E23" s="6" t="str">
        <f>HYPERLINK("https://twitter.com/sergio_fajardo/status/1202903429645000704","1202903429645000704")</f>
        <v>1202903429645000704</v>
      </c>
      <c r="F23" s="7" t="s">
        <v>17</v>
      </c>
      <c r="G23" s="7">
        <v>1472706</v>
      </c>
      <c r="H23" s="7">
        <v>351</v>
      </c>
      <c r="I23" s="7">
        <v>33</v>
      </c>
      <c r="J23" s="7">
        <v>0</v>
      </c>
      <c r="K23" s="7" t="s">
        <v>18</v>
      </c>
      <c r="L23" s="8">
        <v>39891.213356481479</v>
      </c>
      <c r="M23" s="9" t="s">
        <v>19</v>
      </c>
      <c r="N23" s="9" t="s">
        <v>22</v>
      </c>
      <c r="O23" s="6" t="str">
        <f>HYPERLINK("https://pbs.twimg.com/profile_images/988971255679324162/jrqiIYf__normal.jpg","View")</f>
        <v>View</v>
      </c>
      <c r="P23" s="7"/>
    </row>
    <row r="24" spans="1:16">
      <c r="A24" s="3">
        <v>43805.793310185181</v>
      </c>
      <c r="B24" s="4" t="str">
        <f>HYPERLINK("https://twitter.com/sergio_fajardo","@sergio_fajardo")</f>
        <v>@sergio_fajardo</v>
      </c>
      <c r="C24" s="5" t="s">
        <v>16</v>
      </c>
      <c r="D24" s="5" t="s">
        <v>48</v>
      </c>
      <c r="E24" s="6" t="str">
        <f>HYPERLINK("https://twitter.com/sergio_fajardo/status/1202943868997656579","1202943868997656579")</f>
        <v>1202943868997656579</v>
      </c>
      <c r="F24" s="7" t="s">
        <v>17</v>
      </c>
      <c r="G24" s="7">
        <v>1472756</v>
      </c>
      <c r="H24" s="7">
        <v>351</v>
      </c>
      <c r="I24" s="7">
        <v>8</v>
      </c>
      <c r="J24" s="7">
        <v>32</v>
      </c>
      <c r="K24" s="7" t="s">
        <v>18</v>
      </c>
      <c r="L24" s="8">
        <v>39891.213356481479</v>
      </c>
      <c r="M24" s="9" t="s">
        <v>19</v>
      </c>
      <c r="N24" s="9" t="s">
        <v>22</v>
      </c>
      <c r="O24" s="6" t="str">
        <f>HYPERLINK("https://pbs.twimg.com/profile_images/988971255679324162/jrqiIYf__normal.jpg","View")</f>
        <v>View</v>
      </c>
      <c r="P24" s="7"/>
    </row>
    <row r="25" spans="1:16">
      <c r="A25" s="3">
        <v>43806.91196759259</v>
      </c>
      <c r="B25" s="4" t="str">
        <f>HYPERLINK("https://twitter.com/sergio_fajardo","@sergio_fajardo")</f>
        <v>@sergio_fajardo</v>
      </c>
      <c r="C25" s="5" t="s">
        <v>16</v>
      </c>
      <c r="D25" s="5" t="s">
        <v>49</v>
      </c>
      <c r="E25" s="6" t="str">
        <f>HYPERLINK("https://twitter.com/sergio_fajardo/status/1203349255907360768","1203349255907360768")</f>
        <v>1203349255907360768</v>
      </c>
      <c r="F25" s="7" t="s">
        <v>17</v>
      </c>
      <c r="G25" s="7">
        <v>1473107</v>
      </c>
      <c r="H25" s="7">
        <v>352</v>
      </c>
      <c r="I25" s="7">
        <v>24</v>
      </c>
      <c r="J25" s="7">
        <v>72</v>
      </c>
      <c r="K25" s="7" t="s">
        <v>18</v>
      </c>
      <c r="L25" s="8">
        <v>39891.213356481479</v>
      </c>
      <c r="M25" s="9" t="s">
        <v>19</v>
      </c>
      <c r="N25" s="9" t="s">
        <v>22</v>
      </c>
      <c r="O25" s="6" t="str">
        <f>HYPERLINK("https://pbs.twimg.com/profile_images/988971255679324162/jrqiIYf__normal.jpg","View")</f>
        <v>View</v>
      </c>
      <c r="P25" s="7"/>
    </row>
    <row r="26" spans="1:16">
      <c r="A26" s="3">
        <v>43806.961087962962</v>
      </c>
      <c r="B26" s="4" t="str">
        <f>HYPERLINK("https://twitter.com/sergio_fajardo","@sergio_fajardo")</f>
        <v>@sergio_fajardo</v>
      </c>
      <c r="C26" s="5" t="s">
        <v>16</v>
      </c>
      <c r="D26" s="5" t="s">
        <v>50</v>
      </c>
      <c r="E26" s="6" t="str">
        <f>HYPERLINK("https://twitter.com/sergio_fajardo/status/1203367055304642567","1203367055304642567")</f>
        <v>1203367055304642567</v>
      </c>
      <c r="F26" s="7" t="s">
        <v>17</v>
      </c>
      <c r="G26" s="7">
        <v>1473119</v>
      </c>
      <c r="H26" s="7">
        <v>352</v>
      </c>
      <c r="I26" s="7">
        <v>7</v>
      </c>
      <c r="J26" s="7">
        <v>12</v>
      </c>
      <c r="K26" s="7" t="s">
        <v>18</v>
      </c>
      <c r="L26" s="8">
        <v>39891.213356481479</v>
      </c>
      <c r="M26" s="9" t="s">
        <v>19</v>
      </c>
      <c r="N26" s="9" t="s">
        <v>22</v>
      </c>
      <c r="O26" s="6" t="str">
        <f>HYPERLINK("https://pbs.twimg.com/profile_images/988971255679324162/jrqiIYf__normal.jpg","View")</f>
        <v>View</v>
      </c>
      <c r="P26" s="7"/>
    </row>
    <row r="27" spans="1:16">
      <c r="A27" s="3">
        <v>43807.144201388888</v>
      </c>
      <c r="B27" s="4" t="str">
        <f>HYPERLINK("https://twitter.com/sergio_fajardo","@sergio_fajardo")</f>
        <v>@sergio_fajardo</v>
      </c>
      <c r="C27" s="5" t="s">
        <v>16</v>
      </c>
      <c r="D27" s="5" t="s">
        <v>51</v>
      </c>
      <c r="E27" s="6" t="str">
        <f>HYPERLINK("https://twitter.com/sergio_fajardo/status/1203433416760451075","1203433416760451075")</f>
        <v>1203433416760451075</v>
      </c>
      <c r="F27" s="7" t="s">
        <v>17</v>
      </c>
      <c r="G27" s="7">
        <v>1473199</v>
      </c>
      <c r="H27" s="7">
        <v>352</v>
      </c>
      <c r="I27" s="7">
        <v>2297</v>
      </c>
      <c r="J27" s="7">
        <v>0</v>
      </c>
      <c r="K27" s="7" t="s">
        <v>18</v>
      </c>
      <c r="L27" s="8">
        <v>39891.213356481479</v>
      </c>
      <c r="M27" s="9" t="s">
        <v>19</v>
      </c>
      <c r="N27" s="9" t="s">
        <v>22</v>
      </c>
      <c r="O27" s="6" t="str">
        <f>HYPERLINK("https://pbs.twimg.com/profile_images/988971255679324162/jrqiIYf__normal.jpg","View")</f>
        <v>View</v>
      </c>
      <c r="P27" s="7"/>
    </row>
    <row r="28" spans="1:16">
      <c r="A28" s="3">
        <v>43807.980752314819</v>
      </c>
      <c r="B28" s="4" t="str">
        <f>HYPERLINK("https://twitter.com/sergio_fajardo","@sergio_fajardo")</f>
        <v>@sergio_fajardo</v>
      </c>
      <c r="C28" s="5" t="s">
        <v>16</v>
      </c>
      <c r="D28" s="5" t="s">
        <v>52</v>
      </c>
      <c r="E28" s="6" t="str">
        <f>HYPERLINK("https://twitter.com/sergio_fajardo/status/1203736569154351106","1203736569154351106")</f>
        <v>1203736569154351106</v>
      </c>
      <c r="F28" s="7" t="s">
        <v>17</v>
      </c>
      <c r="G28" s="7">
        <v>1473402</v>
      </c>
      <c r="H28" s="7">
        <v>351</v>
      </c>
      <c r="I28" s="7">
        <v>18</v>
      </c>
      <c r="J28" s="7">
        <v>0</v>
      </c>
      <c r="K28" s="7" t="s">
        <v>18</v>
      </c>
      <c r="L28" s="8">
        <v>39891.213356481479</v>
      </c>
      <c r="M28" s="9" t="s">
        <v>19</v>
      </c>
      <c r="N28" s="9" t="s">
        <v>22</v>
      </c>
      <c r="O28" s="6" t="str">
        <f>HYPERLINK("https://pbs.twimg.com/profile_images/988971255679324162/jrqiIYf__normal.jpg","View")</f>
        <v>View</v>
      </c>
      <c r="P28" s="7"/>
    </row>
    <row r="29" spans="1:16">
      <c r="A29" s="3">
        <v>43808.135497685187</v>
      </c>
      <c r="B29" s="4" t="str">
        <f>HYPERLINK("https://twitter.com/sergio_fajardo","@sergio_fajardo")</f>
        <v>@sergio_fajardo</v>
      </c>
      <c r="C29" s="5" t="s">
        <v>16</v>
      </c>
      <c r="D29" s="5" t="s">
        <v>53</v>
      </c>
      <c r="E29" s="6" t="str">
        <f>HYPERLINK("https://twitter.com/sergio_fajardo/status/1203792650698199041","1203792650698199041")</f>
        <v>1203792650698199041</v>
      </c>
      <c r="F29" s="7" t="s">
        <v>17</v>
      </c>
      <c r="G29" s="7">
        <v>1473454</v>
      </c>
      <c r="H29" s="7">
        <v>351</v>
      </c>
      <c r="I29" s="7">
        <v>4962</v>
      </c>
      <c r="J29" s="7">
        <v>0</v>
      </c>
      <c r="K29" s="7" t="s">
        <v>18</v>
      </c>
      <c r="L29" s="8">
        <v>39891.213356481479</v>
      </c>
      <c r="M29" s="9" t="s">
        <v>19</v>
      </c>
      <c r="N29" s="9" t="s">
        <v>22</v>
      </c>
      <c r="O29" s="6" t="str">
        <f>HYPERLINK("https://pbs.twimg.com/profile_images/988971255679324162/jrqiIYf__normal.jpg","View")</f>
        <v>View</v>
      </c>
      <c r="P29" s="7"/>
    </row>
    <row r="30" spans="1:16">
      <c r="A30" s="3">
        <v>43808.210381944446</v>
      </c>
      <c r="B30" s="4" t="str">
        <f>HYPERLINK("https://twitter.com/sergio_fajardo","@sergio_fajardo")</f>
        <v>@sergio_fajardo</v>
      </c>
      <c r="C30" s="5" t="s">
        <v>16</v>
      </c>
      <c r="D30" s="5" t="s">
        <v>54</v>
      </c>
      <c r="E30" s="6" t="str">
        <f>HYPERLINK("https://twitter.com/sergio_fajardo/status/1203819785332674562","1203819785332674562")</f>
        <v>1203819785332674562</v>
      </c>
      <c r="F30" s="7" t="s">
        <v>17</v>
      </c>
      <c r="G30" s="7">
        <v>1473496</v>
      </c>
      <c r="H30" s="7">
        <v>352</v>
      </c>
      <c r="I30" s="7">
        <v>1624</v>
      </c>
      <c r="J30" s="7">
        <v>0</v>
      </c>
      <c r="K30" s="7" t="s">
        <v>18</v>
      </c>
      <c r="L30" s="8">
        <v>39891.213356481479</v>
      </c>
      <c r="M30" s="9" t="s">
        <v>19</v>
      </c>
      <c r="N30" s="9" t="s">
        <v>22</v>
      </c>
      <c r="O30" s="6" t="str">
        <f>HYPERLINK("https://pbs.twimg.com/profile_images/988971255679324162/jrqiIYf__normal.jpg","View")</f>
        <v>View</v>
      </c>
      <c r="P30" s="7"/>
    </row>
    <row r="31" spans="1:16">
      <c r="A31" s="3">
        <v>43809.155312499999</v>
      </c>
      <c r="B31" s="4" t="str">
        <f>HYPERLINK("https://twitter.com/sergio_fajardo","@sergio_fajardo")</f>
        <v>@sergio_fajardo</v>
      </c>
      <c r="C31" s="5" t="s">
        <v>16</v>
      </c>
      <c r="D31" s="5" t="s">
        <v>55</v>
      </c>
      <c r="E31" s="6" t="str">
        <f>HYPERLINK("https://twitter.com/sergio_fajardo/status/1204162219065401351","1204162219065401351")</f>
        <v>1204162219065401351</v>
      </c>
      <c r="F31" s="7" t="s">
        <v>17</v>
      </c>
      <c r="G31" s="7">
        <v>1473941</v>
      </c>
      <c r="H31" s="7">
        <v>353</v>
      </c>
      <c r="I31" s="7">
        <v>6</v>
      </c>
      <c r="J31" s="7">
        <v>30</v>
      </c>
      <c r="K31" s="7" t="s">
        <v>18</v>
      </c>
      <c r="L31" s="8">
        <v>39891.213356481479</v>
      </c>
      <c r="M31" s="9" t="s">
        <v>19</v>
      </c>
      <c r="N31" s="9" t="s">
        <v>22</v>
      </c>
      <c r="O31" s="6" t="str">
        <f>HYPERLINK("https://pbs.twimg.com/profile_images/988971255679324162/jrqiIYf__normal.jpg","View")</f>
        <v>View</v>
      </c>
      <c r="P31" s="7"/>
    </row>
    <row r="32" spans="1:16">
      <c r="A32" s="3">
        <v>43809.358356481476</v>
      </c>
      <c r="B32" s="4" t="str">
        <f>HYPERLINK("https://twitter.com/sergio_fajardo","@sergio_fajardo")</f>
        <v>@sergio_fajardo</v>
      </c>
      <c r="C32" s="5" t="s">
        <v>16</v>
      </c>
      <c r="D32" s="5" t="s">
        <v>56</v>
      </c>
      <c r="E32" s="6" t="str">
        <f>HYPERLINK("https://twitter.com/sergio_fajardo/status/1204235799325224960","1204235799325224960")</f>
        <v>1204235799325224960</v>
      </c>
      <c r="F32" s="7" t="s">
        <v>17</v>
      </c>
      <c r="G32" s="7">
        <v>1474072</v>
      </c>
      <c r="H32" s="7">
        <v>353</v>
      </c>
      <c r="I32" s="7">
        <v>331</v>
      </c>
      <c r="J32" s="7">
        <v>0</v>
      </c>
      <c r="K32" s="7" t="s">
        <v>18</v>
      </c>
      <c r="L32" s="8">
        <v>39891.213356481479</v>
      </c>
      <c r="M32" s="9" t="s">
        <v>19</v>
      </c>
      <c r="N32" s="9" t="s">
        <v>22</v>
      </c>
      <c r="O32" s="6" t="str">
        <f>HYPERLINK("https://pbs.twimg.com/profile_images/988971255679324162/jrqiIYf__normal.jpg","View")</f>
        <v>View</v>
      </c>
      <c r="P32" s="7"/>
    </row>
    <row r="33" spans="1:16">
      <c r="A33" s="3">
        <v>43810.02034722222</v>
      </c>
      <c r="B33" s="4" t="str">
        <f>HYPERLINK("https://twitter.com/sergio_fajardo","@sergio_fajardo")</f>
        <v>@sergio_fajardo</v>
      </c>
      <c r="C33" s="5" t="s">
        <v>16</v>
      </c>
      <c r="D33" s="5" t="s">
        <v>57</v>
      </c>
      <c r="E33" s="6" t="str">
        <f>HYPERLINK("https://twitter.com/sergio_fajardo/status/1204475694723543040","1204475694723543040")</f>
        <v>1204475694723543040</v>
      </c>
      <c r="F33" s="7" t="s">
        <v>17</v>
      </c>
      <c r="G33" s="7">
        <v>1474325</v>
      </c>
      <c r="H33" s="7">
        <v>353</v>
      </c>
      <c r="I33" s="7">
        <v>599</v>
      </c>
      <c r="J33" s="7">
        <v>0</v>
      </c>
      <c r="K33" s="7" t="s">
        <v>18</v>
      </c>
      <c r="L33" s="8">
        <v>39891.213356481479</v>
      </c>
      <c r="M33" s="9" t="s">
        <v>19</v>
      </c>
      <c r="N33" s="9" t="s">
        <v>22</v>
      </c>
      <c r="O33" s="6" t="str">
        <f>HYPERLINK("https://pbs.twimg.com/profile_images/988971255679324162/jrqiIYf__normal.jpg","View")</f>
        <v>View</v>
      </c>
      <c r="P33" s="7"/>
    </row>
    <row r="34" spans="1:16">
      <c r="A34" s="3">
        <v>43810.14770833333</v>
      </c>
      <c r="B34" s="4" t="str">
        <f>HYPERLINK("https://twitter.com/sergio_fajardo","@sergio_fajardo")</f>
        <v>@sergio_fajardo</v>
      </c>
      <c r="C34" s="5" t="s">
        <v>16</v>
      </c>
      <c r="D34" s="5" t="s">
        <v>58</v>
      </c>
      <c r="E34" s="6" t="str">
        <f>HYPERLINK("https://twitter.com/sergio_fajardo/status/1204521851537498114","1204521851537498114")</f>
        <v>1204521851537498114</v>
      </c>
      <c r="F34" s="7" t="s">
        <v>17</v>
      </c>
      <c r="G34" s="7">
        <v>1474414</v>
      </c>
      <c r="H34" s="7">
        <v>353</v>
      </c>
      <c r="I34" s="7">
        <v>192</v>
      </c>
      <c r="J34" s="7">
        <v>0</v>
      </c>
      <c r="K34" s="7" t="s">
        <v>18</v>
      </c>
      <c r="L34" s="8">
        <v>39891.213356481479</v>
      </c>
      <c r="M34" s="9" t="s">
        <v>19</v>
      </c>
      <c r="N34" s="9" t="s">
        <v>22</v>
      </c>
      <c r="O34" s="6" t="str">
        <f>HYPERLINK("https://pbs.twimg.com/profile_images/988971255679324162/jrqiIYf__normal.jpg","View")</f>
        <v>View</v>
      </c>
      <c r="P34" s="7"/>
    </row>
    <row r="35" spans="1:16">
      <c r="A35" s="3">
        <v>43810.150925925926</v>
      </c>
      <c r="B35" s="4" t="str">
        <f>HYPERLINK("https://twitter.com/sergio_fajardo","@sergio_fajardo")</f>
        <v>@sergio_fajardo</v>
      </c>
      <c r="C35" s="5" t="s">
        <v>16</v>
      </c>
      <c r="D35" s="5" t="s">
        <v>59</v>
      </c>
      <c r="E35" s="6" t="str">
        <f>HYPERLINK("https://twitter.com/sergio_fajardo/status/1204523016522272768","1204523016522272768")</f>
        <v>1204523016522272768</v>
      </c>
      <c r="F35" s="7" t="s">
        <v>17</v>
      </c>
      <c r="G35" s="7">
        <v>1474414</v>
      </c>
      <c r="H35" s="7">
        <v>353</v>
      </c>
      <c r="I35" s="7">
        <v>73</v>
      </c>
      <c r="J35" s="7">
        <v>0</v>
      </c>
      <c r="K35" s="7" t="s">
        <v>18</v>
      </c>
      <c r="L35" s="8">
        <v>39891.213356481479</v>
      </c>
      <c r="M35" s="9" t="s">
        <v>19</v>
      </c>
      <c r="N35" s="9" t="s">
        <v>22</v>
      </c>
      <c r="O35" s="6" t="str">
        <f>HYPERLINK("https://pbs.twimg.com/profile_images/988971255679324162/jrqiIYf__normal.jpg","View")</f>
        <v>View</v>
      </c>
      <c r="P35" s="7"/>
    </row>
    <row r="36" spans="1:16">
      <c r="A36" s="3">
        <v>43810.215173611112</v>
      </c>
      <c r="B36" s="4" t="str">
        <f>HYPERLINK("https://twitter.com/sergio_fajardo","@sergio_fajardo")</f>
        <v>@sergio_fajardo</v>
      </c>
      <c r="C36" s="5" t="s">
        <v>16</v>
      </c>
      <c r="D36" s="5" t="s">
        <v>60</v>
      </c>
      <c r="E36" s="6" t="str">
        <f>HYPERLINK("https://twitter.com/sergio_fajardo/status/1204546300034928640","1204546300034928640")</f>
        <v>1204546300034928640</v>
      </c>
      <c r="F36" s="7" t="s">
        <v>17</v>
      </c>
      <c r="G36" s="7">
        <v>1474437</v>
      </c>
      <c r="H36" s="7">
        <v>353</v>
      </c>
      <c r="I36" s="7">
        <v>532</v>
      </c>
      <c r="J36" s="7">
        <v>0</v>
      </c>
      <c r="K36" s="7" t="s">
        <v>18</v>
      </c>
      <c r="L36" s="8">
        <v>39891.213356481479</v>
      </c>
      <c r="M36" s="9" t="s">
        <v>19</v>
      </c>
      <c r="N36" s="9" t="s">
        <v>22</v>
      </c>
      <c r="O36" s="6" t="str">
        <f>HYPERLINK("https://pbs.twimg.com/profile_images/988971255679324162/jrqiIYf__normal.jpg","View")</f>
        <v>View</v>
      </c>
      <c r="P36" s="7"/>
    </row>
    <row r="37" spans="1:16">
      <c r="A37" s="3">
        <v>43810.249502314815</v>
      </c>
      <c r="B37" s="4" t="str">
        <f>HYPERLINK("https://twitter.com/sergio_fajardo","@sergio_fajardo")</f>
        <v>@sergio_fajardo</v>
      </c>
      <c r="C37" s="5" t="s">
        <v>16</v>
      </c>
      <c r="D37" s="5" t="s">
        <v>61</v>
      </c>
      <c r="E37" s="6" t="str">
        <f>HYPERLINK("https://twitter.com/sergio_fajardo/status/1204558739497508864","1204558739497508864")</f>
        <v>1204558739497508864</v>
      </c>
      <c r="F37" s="7" t="s">
        <v>17</v>
      </c>
      <c r="G37" s="7">
        <v>1474471</v>
      </c>
      <c r="H37" s="7">
        <v>353</v>
      </c>
      <c r="I37" s="7">
        <v>7</v>
      </c>
      <c r="J37" s="7">
        <v>37</v>
      </c>
      <c r="K37" s="7" t="s">
        <v>18</v>
      </c>
      <c r="L37" s="8">
        <v>39891.213356481479</v>
      </c>
      <c r="M37" s="9" t="s">
        <v>19</v>
      </c>
      <c r="N37" s="9" t="s">
        <v>22</v>
      </c>
      <c r="O37" s="6" t="str">
        <f>HYPERLINK("https://pbs.twimg.com/profile_images/988971255679324162/jrqiIYf__normal.jpg","View")</f>
        <v>View</v>
      </c>
      <c r="P37" s="7"/>
    </row>
    <row r="38" spans="1:16">
      <c r="A38" s="3">
        <v>43810.32413194445</v>
      </c>
      <c r="B38" s="4" t="str">
        <f>HYPERLINK("https://twitter.com/sergio_fajardo","@sergio_fajardo")</f>
        <v>@sergio_fajardo</v>
      </c>
      <c r="C38" s="5" t="s">
        <v>16</v>
      </c>
      <c r="D38" s="5" t="s">
        <v>62</v>
      </c>
      <c r="E38" s="6" t="str">
        <f>HYPERLINK("https://twitter.com/sergio_fajardo/status/1204585783094652928","1204585783094652928")</f>
        <v>1204585783094652928</v>
      </c>
      <c r="F38" s="7" t="s">
        <v>17</v>
      </c>
      <c r="G38" s="7">
        <v>1474514</v>
      </c>
      <c r="H38" s="7">
        <v>353</v>
      </c>
      <c r="I38" s="7">
        <v>62</v>
      </c>
      <c r="J38" s="7">
        <v>0</v>
      </c>
      <c r="K38" s="7" t="s">
        <v>18</v>
      </c>
      <c r="L38" s="8">
        <v>39891.213356481479</v>
      </c>
      <c r="M38" s="9" t="s">
        <v>19</v>
      </c>
      <c r="N38" s="9" t="s">
        <v>22</v>
      </c>
      <c r="O38" s="6" t="str">
        <f>HYPERLINK("https://pbs.twimg.com/profile_images/988971255679324162/jrqiIYf__normal.jpg","View")</f>
        <v>View</v>
      </c>
      <c r="P38" s="7"/>
    </row>
    <row r="39" spans="1:16">
      <c r="A39" s="3">
        <v>43810.792118055557</v>
      </c>
      <c r="B39" s="4" t="str">
        <f>HYPERLINK("https://twitter.com/sergio_fajardo","@sergio_fajardo")</f>
        <v>@sergio_fajardo</v>
      </c>
      <c r="C39" s="5" t="s">
        <v>16</v>
      </c>
      <c r="D39" s="5" t="s">
        <v>63</v>
      </c>
      <c r="E39" s="6" t="str">
        <f>HYPERLINK("https://twitter.com/sergio_fajardo/status/1204755374894698496","1204755374894698496")</f>
        <v>1204755374894698496</v>
      </c>
      <c r="F39" s="7" t="s">
        <v>17</v>
      </c>
      <c r="G39" s="7">
        <v>1474703</v>
      </c>
      <c r="H39" s="7">
        <v>353</v>
      </c>
      <c r="I39" s="7">
        <v>357</v>
      </c>
      <c r="J39" s="7">
        <v>0</v>
      </c>
      <c r="K39" s="7" t="s">
        <v>18</v>
      </c>
      <c r="L39" s="8">
        <v>39891.213356481479</v>
      </c>
      <c r="M39" s="9" t="s">
        <v>19</v>
      </c>
      <c r="N39" s="9" t="s">
        <v>22</v>
      </c>
      <c r="O39" s="6" t="str">
        <f>HYPERLINK("https://pbs.twimg.com/profile_images/988971255679324162/jrqiIYf__normal.jpg","View")</f>
        <v>View</v>
      </c>
      <c r="P39" s="7"/>
    </row>
    <row r="40" spans="1:16">
      <c r="A40" s="3">
        <v>43810.872824074075</v>
      </c>
      <c r="B40" s="4" t="str">
        <f>HYPERLINK("https://twitter.com/sergio_fajardo","@sergio_fajardo")</f>
        <v>@sergio_fajardo</v>
      </c>
      <c r="C40" s="5" t="s">
        <v>16</v>
      </c>
      <c r="D40" s="5" t="s">
        <v>64</v>
      </c>
      <c r="E40" s="6" t="str">
        <f>HYPERLINK("https://twitter.com/sergio_fajardo/status/1204784621570985984","1204784621570985984")</f>
        <v>1204784621570985984</v>
      </c>
      <c r="F40" s="7" t="s">
        <v>17</v>
      </c>
      <c r="G40" s="7">
        <v>1474758</v>
      </c>
      <c r="H40" s="7">
        <v>353</v>
      </c>
      <c r="I40" s="7">
        <v>36741</v>
      </c>
      <c r="J40" s="7">
        <v>0</v>
      </c>
      <c r="K40" s="7" t="s">
        <v>18</v>
      </c>
      <c r="L40" s="8">
        <v>39891.213356481479</v>
      </c>
      <c r="M40" s="9" t="s">
        <v>19</v>
      </c>
      <c r="N40" s="9" t="s">
        <v>22</v>
      </c>
      <c r="O40" s="6" t="str">
        <f>HYPERLINK("https://pbs.twimg.com/profile_images/988971255679324162/jrqiIYf__normal.jpg","View")</f>
        <v>View</v>
      </c>
      <c r="P40" s="7"/>
    </row>
    <row r="41" spans="1:16">
      <c r="A41" s="3">
        <v>43811.224409722221</v>
      </c>
      <c r="B41" s="4" t="str">
        <f>HYPERLINK("https://twitter.com/sergio_fajardo","@sergio_fajardo")</f>
        <v>@sergio_fajardo</v>
      </c>
      <c r="C41" s="5" t="s">
        <v>16</v>
      </c>
      <c r="D41" s="5" t="s">
        <v>65</v>
      </c>
      <c r="E41" s="6" t="str">
        <f>HYPERLINK("https://twitter.com/sergio_fajardo/status/1204912034367918080","1204912034367918080")</f>
        <v>1204912034367918080</v>
      </c>
      <c r="F41" s="7" t="s">
        <v>17</v>
      </c>
      <c r="G41" s="7">
        <v>1474918</v>
      </c>
      <c r="H41" s="7">
        <v>353</v>
      </c>
      <c r="I41" s="7">
        <v>73</v>
      </c>
      <c r="J41" s="7">
        <v>0</v>
      </c>
      <c r="K41" s="7" t="s">
        <v>18</v>
      </c>
      <c r="L41" s="8">
        <v>39891.213356481479</v>
      </c>
      <c r="M41" s="9" t="s">
        <v>19</v>
      </c>
      <c r="N41" s="9" t="s">
        <v>22</v>
      </c>
      <c r="O41" s="6" t="str">
        <f>HYPERLINK("https://pbs.twimg.com/profile_images/988971255679324162/jrqiIYf__normal.jpg","View")</f>
        <v>View</v>
      </c>
      <c r="P41" s="7"/>
    </row>
    <row r="42" spans="1:16">
      <c r="A42" s="3">
        <v>43811.225659722222</v>
      </c>
      <c r="B42" s="4" t="str">
        <f>HYPERLINK("https://twitter.com/sergio_fajardo","@sergio_fajardo")</f>
        <v>@sergio_fajardo</v>
      </c>
      <c r="C42" s="5" t="s">
        <v>16</v>
      </c>
      <c r="D42" s="5" t="s">
        <v>66</v>
      </c>
      <c r="E42" s="6" t="str">
        <f>HYPERLINK("https://twitter.com/sergio_fajardo/status/1204912484404072448","1204912484404072448")</f>
        <v>1204912484404072448</v>
      </c>
      <c r="F42" s="7" t="s">
        <v>17</v>
      </c>
      <c r="G42" s="7">
        <v>1474918</v>
      </c>
      <c r="H42" s="7">
        <v>353</v>
      </c>
      <c r="I42" s="7">
        <v>4926</v>
      </c>
      <c r="J42" s="7">
        <v>0</v>
      </c>
      <c r="K42" s="7" t="s">
        <v>18</v>
      </c>
      <c r="L42" s="8">
        <v>39891.213356481479</v>
      </c>
      <c r="M42" s="9" t="s">
        <v>19</v>
      </c>
      <c r="N42" s="9" t="s">
        <v>22</v>
      </c>
      <c r="O42" s="6" t="str">
        <f>HYPERLINK("https://pbs.twimg.com/profile_images/988971255679324162/jrqiIYf__normal.jpg","View")</f>
        <v>View</v>
      </c>
      <c r="P42" s="7"/>
    </row>
    <row r="43" spans="1:16">
      <c r="A43" s="3">
        <v>43811.829965277779</v>
      </c>
      <c r="B43" s="4" t="str">
        <f>HYPERLINK("https://twitter.com/sergio_fajardo","@sergio_fajardo")</f>
        <v>@sergio_fajardo</v>
      </c>
      <c r="C43" s="5" t="s">
        <v>16</v>
      </c>
      <c r="D43" s="5" t="s">
        <v>67</v>
      </c>
      <c r="E43" s="6" t="str">
        <f>HYPERLINK("https://twitter.com/sergio_fajardo/status/1205131477895307266","1205131477895307266")</f>
        <v>1205131477895307266</v>
      </c>
      <c r="F43" s="7" t="s">
        <v>17</v>
      </c>
      <c r="G43" s="7">
        <v>1475079</v>
      </c>
      <c r="H43" s="7">
        <v>353</v>
      </c>
      <c r="I43" s="7">
        <v>8</v>
      </c>
      <c r="J43" s="7">
        <v>0</v>
      </c>
      <c r="K43" s="7" t="s">
        <v>18</v>
      </c>
      <c r="L43" s="8">
        <v>39891.213356481479</v>
      </c>
      <c r="M43" s="9" t="s">
        <v>19</v>
      </c>
      <c r="N43" s="9" t="s">
        <v>22</v>
      </c>
      <c r="O43" s="6" t="str">
        <f>HYPERLINK("https://pbs.twimg.com/profile_images/988971255679324162/jrqiIYf__normal.jpg","View")</f>
        <v>View</v>
      </c>
      <c r="P43" s="7"/>
    </row>
    <row r="44" spans="1:16">
      <c r="A44" s="3">
        <v>43812.754988425921</v>
      </c>
      <c r="B44" s="4" t="str">
        <f>HYPERLINK("https://twitter.com/sergio_fajardo","@sergio_fajardo")</f>
        <v>@sergio_fajardo</v>
      </c>
      <c r="C44" s="5" t="s">
        <v>16</v>
      </c>
      <c r="D44" s="5" t="s">
        <v>68</v>
      </c>
      <c r="E44" s="6" t="str">
        <f>HYPERLINK("https://twitter.com/sergio_fajardo/status/1205466695646765057","1205466695646765057")</f>
        <v>1205466695646765057</v>
      </c>
      <c r="F44" s="7" t="s">
        <v>17</v>
      </c>
      <c r="G44" s="7">
        <v>1475395</v>
      </c>
      <c r="H44" s="7">
        <v>353</v>
      </c>
      <c r="I44" s="7">
        <v>217</v>
      </c>
      <c r="J44" s="7">
        <v>0</v>
      </c>
      <c r="K44" s="7" t="s">
        <v>18</v>
      </c>
      <c r="L44" s="8">
        <v>39891.213356481479</v>
      </c>
      <c r="M44" s="9" t="s">
        <v>19</v>
      </c>
      <c r="N44" s="9" t="s">
        <v>22</v>
      </c>
      <c r="O44" s="6" t="str">
        <f>HYPERLINK("https://pbs.twimg.com/profile_images/988971255679324162/jrqiIYf__normal.jpg","View")</f>
        <v>View</v>
      </c>
      <c r="P44" s="7"/>
    </row>
    <row r="45" spans="1:16">
      <c r="A45" s="3">
        <v>43813.028460648144</v>
      </c>
      <c r="B45" s="4" t="str">
        <f>HYPERLINK("https://twitter.com/sergio_fajardo","@sergio_fajardo")</f>
        <v>@sergio_fajardo</v>
      </c>
      <c r="C45" s="5" t="s">
        <v>16</v>
      </c>
      <c r="D45" s="5" t="s">
        <v>69</v>
      </c>
      <c r="E45" s="6" t="str">
        <f>HYPERLINK("https://twitter.com/sergio_fajardo/status/1205565798028398593","1205565798028398593")</f>
        <v>1205565798028398593</v>
      </c>
      <c r="F45" s="7" t="s">
        <v>17</v>
      </c>
      <c r="G45" s="7">
        <v>1475476</v>
      </c>
      <c r="H45" s="7">
        <v>353</v>
      </c>
      <c r="I45" s="7">
        <v>40</v>
      </c>
      <c r="J45" s="7">
        <v>0</v>
      </c>
      <c r="K45" s="7" t="s">
        <v>18</v>
      </c>
      <c r="L45" s="8">
        <v>39891.213356481479</v>
      </c>
      <c r="M45" s="9" t="s">
        <v>19</v>
      </c>
      <c r="N45" s="9" t="s">
        <v>22</v>
      </c>
      <c r="O45" s="6" t="str">
        <f>HYPERLINK("https://pbs.twimg.com/profile_images/988971255679324162/jrqiIYf__normal.jpg","View")</f>
        <v>View</v>
      </c>
      <c r="P45" s="7"/>
    </row>
    <row r="46" spans="1:16">
      <c r="A46" s="3">
        <v>43813.952106481476</v>
      </c>
      <c r="B46" s="4" t="str">
        <f>HYPERLINK("https://twitter.com/sergio_fajardo","@sergio_fajardo")</f>
        <v>@sergio_fajardo</v>
      </c>
      <c r="C46" s="5" t="s">
        <v>16</v>
      </c>
      <c r="D46" s="5" t="s">
        <v>70</v>
      </c>
      <c r="E46" s="6" t="str">
        <f>HYPERLINK("https://twitter.com/sergio_fajardo/status/1205900516766756869","1205900516766756869")</f>
        <v>1205900516766756869</v>
      </c>
      <c r="F46" s="7" t="s">
        <v>17</v>
      </c>
      <c r="G46" s="7">
        <v>1475713</v>
      </c>
      <c r="H46" s="7">
        <v>353</v>
      </c>
      <c r="I46" s="7">
        <v>208</v>
      </c>
      <c r="J46" s="7">
        <v>0</v>
      </c>
      <c r="K46" s="7" t="s">
        <v>18</v>
      </c>
      <c r="L46" s="8">
        <v>39891.213356481479</v>
      </c>
      <c r="M46" s="9" t="s">
        <v>19</v>
      </c>
      <c r="N46" s="9" t="s">
        <v>22</v>
      </c>
      <c r="O46" s="6" t="str">
        <f>HYPERLINK("https://pbs.twimg.com/profile_images/988971255679324162/jrqiIYf__normal.jpg","View")</f>
        <v>View</v>
      </c>
      <c r="P46" s="7"/>
    </row>
    <row r="47" spans="1:16">
      <c r="A47" s="3">
        <v>43816.184085648143</v>
      </c>
      <c r="B47" s="4" t="str">
        <f>HYPERLINK("https://twitter.com/sergio_fajardo","@sergio_fajardo")</f>
        <v>@sergio_fajardo</v>
      </c>
      <c r="C47" s="5" t="s">
        <v>16</v>
      </c>
      <c r="D47" s="5" t="s">
        <v>71</v>
      </c>
      <c r="E47" s="6" t="str">
        <f>HYPERLINK("https://twitter.com/sergio_fajardo/status/1206709361000820741","1206709361000820741")</f>
        <v>1206709361000820741</v>
      </c>
      <c r="F47" s="7" t="s">
        <v>17</v>
      </c>
      <c r="G47" s="7">
        <v>1476197</v>
      </c>
      <c r="H47" s="7">
        <v>353</v>
      </c>
      <c r="I47" s="7">
        <v>33</v>
      </c>
      <c r="J47" s="7">
        <v>514</v>
      </c>
      <c r="K47" s="7" t="s">
        <v>18</v>
      </c>
      <c r="L47" s="8">
        <v>39891.213356481479</v>
      </c>
      <c r="M47" s="9" t="s">
        <v>19</v>
      </c>
      <c r="N47" s="9" t="s">
        <v>22</v>
      </c>
      <c r="O47" s="6" t="str">
        <f>HYPERLINK("https://pbs.twimg.com/profile_images/988971255679324162/jrqiIYf__normal.jpg","View")</f>
        <v>View</v>
      </c>
      <c r="P47" s="7"/>
    </row>
    <row r="48" spans="1:16">
      <c r="A48" s="3">
        <v>43816.190902777773</v>
      </c>
      <c r="B48" s="4" t="str">
        <f>HYPERLINK("https://twitter.com/sergio_fajardo","@sergio_fajardo")</f>
        <v>@sergio_fajardo</v>
      </c>
      <c r="C48" s="5" t="s">
        <v>16</v>
      </c>
      <c r="D48" s="5" t="s">
        <v>72</v>
      </c>
      <c r="E48" s="6" t="str">
        <f>HYPERLINK("https://twitter.com/sergio_fajardo/status/1206711831642988545","1206711831642988545")</f>
        <v>1206711831642988545</v>
      </c>
      <c r="F48" s="7" t="s">
        <v>17</v>
      </c>
      <c r="G48" s="7">
        <v>1476197</v>
      </c>
      <c r="H48" s="7">
        <v>353</v>
      </c>
      <c r="I48" s="7">
        <v>71</v>
      </c>
      <c r="J48" s="7">
        <v>0</v>
      </c>
      <c r="K48" s="7" t="s">
        <v>18</v>
      </c>
      <c r="L48" s="8">
        <v>39891.213356481479</v>
      </c>
      <c r="M48" s="9" t="s">
        <v>19</v>
      </c>
      <c r="N48" s="9" t="s">
        <v>22</v>
      </c>
      <c r="O48" s="6" t="str">
        <f>HYPERLINK("https://pbs.twimg.com/profile_images/988971255679324162/jrqiIYf__normal.jpg","View")</f>
        <v>View</v>
      </c>
      <c r="P48" s="7"/>
    </row>
    <row r="49" spans="1:16">
      <c r="A49" s="3">
        <v>43816.191122685181</v>
      </c>
      <c r="B49" s="4" t="str">
        <f>HYPERLINK("https://twitter.com/sergio_fajardo","@sergio_fajardo")</f>
        <v>@sergio_fajardo</v>
      </c>
      <c r="C49" s="5" t="s">
        <v>16</v>
      </c>
      <c r="D49" s="5" t="s">
        <v>73</v>
      </c>
      <c r="E49" s="6" t="str">
        <f>HYPERLINK("https://twitter.com/sergio_fajardo/status/1206711910110027782","1206711910110027782")</f>
        <v>1206711910110027782</v>
      </c>
      <c r="F49" s="7" t="s">
        <v>17</v>
      </c>
      <c r="G49" s="7">
        <v>1476197</v>
      </c>
      <c r="H49" s="7">
        <v>353</v>
      </c>
      <c r="I49" s="7">
        <v>41</v>
      </c>
      <c r="J49" s="7">
        <v>0</v>
      </c>
      <c r="K49" s="7" t="s">
        <v>18</v>
      </c>
      <c r="L49" s="8">
        <v>39891.213356481479</v>
      </c>
      <c r="M49" s="9" t="s">
        <v>19</v>
      </c>
      <c r="N49" s="9" t="s">
        <v>22</v>
      </c>
      <c r="O49" s="6" t="str">
        <f>HYPERLINK("https://pbs.twimg.com/profile_images/988971255679324162/jrqiIYf__normal.jpg","View")</f>
        <v>View</v>
      </c>
      <c r="P49" s="7"/>
    </row>
    <row r="50" spans="1:16">
      <c r="A50" s="3">
        <v>43816.254166666666</v>
      </c>
      <c r="B50" s="4" t="str">
        <f>HYPERLINK("https://twitter.com/sergio_fajardo","@sergio_fajardo")</f>
        <v>@sergio_fajardo</v>
      </c>
      <c r="C50" s="5" t="s">
        <v>16</v>
      </c>
      <c r="D50" s="5" t="s">
        <v>74</v>
      </c>
      <c r="E50" s="6" t="str">
        <f>HYPERLINK("https://twitter.com/sergio_fajardo/status/1206734754378321920","1206734754378321920")</f>
        <v>1206734754378321920</v>
      </c>
      <c r="F50" s="7" t="s">
        <v>17</v>
      </c>
      <c r="G50" s="7">
        <v>1476224</v>
      </c>
      <c r="H50" s="7">
        <v>353</v>
      </c>
      <c r="I50" s="7">
        <v>4</v>
      </c>
      <c r="J50" s="7">
        <v>0</v>
      </c>
      <c r="K50" s="7" t="s">
        <v>18</v>
      </c>
      <c r="L50" s="8">
        <v>39891.213356481479</v>
      </c>
      <c r="M50" s="9" t="s">
        <v>19</v>
      </c>
      <c r="N50" s="9" t="s">
        <v>22</v>
      </c>
      <c r="O50" s="6" t="str">
        <f>HYPERLINK("https://pbs.twimg.com/profile_images/988971255679324162/jrqiIYf__normal.jpg","View")</f>
        <v>View</v>
      </c>
      <c r="P50" s="7"/>
    </row>
    <row r="51" spans="1:16">
      <c r="A51" s="3">
        <v>43816.774548611109</v>
      </c>
      <c r="B51" s="4" t="str">
        <f>HYPERLINK("https://twitter.com/sergio_fajardo","@sergio_fajardo")</f>
        <v>@sergio_fajardo</v>
      </c>
      <c r="C51" s="5" t="s">
        <v>16</v>
      </c>
      <c r="D51" s="5" t="s">
        <v>75</v>
      </c>
      <c r="E51" s="6" t="str">
        <f>HYPERLINK("https://twitter.com/sergio_fajardo/status/1206923335650676738","1206923335650676738")</f>
        <v>1206923335650676738</v>
      </c>
      <c r="F51" s="7" t="s">
        <v>17</v>
      </c>
      <c r="G51" s="7">
        <v>1476337</v>
      </c>
      <c r="H51" s="7">
        <v>353</v>
      </c>
      <c r="I51" s="7">
        <v>9</v>
      </c>
      <c r="J51" s="7">
        <v>0</v>
      </c>
      <c r="K51" s="7" t="s">
        <v>18</v>
      </c>
      <c r="L51" s="8">
        <v>39891.213356481479</v>
      </c>
      <c r="M51" s="9" t="s">
        <v>19</v>
      </c>
      <c r="N51" s="9" t="s">
        <v>22</v>
      </c>
      <c r="O51" s="6" t="str">
        <f>HYPERLINK("https://pbs.twimg.com/profile_images/988971255679324162/jrqiIYf__normal.jpg","View")</f>
        <v>View</v>
      </c>
      <c r="P51" s="7"/>
    </row>
    <row r="52" spans="1:16">
      <c r="A52" s="3">
        <v>43816.775092592594</v>
      </c>
      <c r="B52" s="4" t="str">
        <f>HYPERLINK("https://twitter.com/sergio_fajardo","@sergio_fajardo")</f>
        <v>@sergio_fajardo</v>
      </c>
      <c r="C52" s="5" t="s">
        <v>16</v>
      </c>
      <c r="D52" s="5" t="s">
        <v>76</v>
      </c>
      <c r="E52" s="6" t="str">
        <f>HYPERLINK("https://twitter.com/sergio_fajardo/status/1206923534259412996","1206923534259412996")</f>
        <v>1206923534259412996</v>
      </c>
      <c r="F52" s="7" t="s">
        <v>17</v>
      </c>
      <c r="G52" s="7">
        <v>1476337</v>
      </c>
      <c r="H52" s="7">
        <v>353</v>
      </c>
      <c r="I52" s="7">
        <v>4514</v>
      </c>
      <c r="J52" s="7">
        <v>0</v>
      </c>
      <c r="K52" s="7" t="s">
        <v>18</v>
      </c>
      <c r="L52" s="8">
        <v>39891.213356481479</v>
      </c>
      <c r="M52" s="9" t="s">
        <v>19</v>
      </c>
      <c r="N52" s="9" t="s">
        <v>22</v>
      </c>
      <c r="O52" s="6" t="str">
        <f>HYPERLINK("https://pbs.twimg.com/profile_images/988971255679324162/jrqiIYf__normal.jpg","View")</f>
        <v>View</v>
      </c>
      <c r="P52" s="7"/>
    </row>
    <row r="53" spans="1:16">
      <c r="A53" s="3">
        <v>43816.897615740745</v>
      </c>
      <c r="B53" s="4" t="str">
        <f>HYPERLINK("https://twitter.com/sergio_fajardo","@sergio_fajardo")</f>
        <v>@sergio_fajardo</v>
      </c>
      <c r="C53" s="5" t="s">
        <v>16</v>
      </c>
      <c r="D53" s="5" t="s">
        <v>77</v>
      </c>
      <c r="E53" s="6" t="str">
        <f>HYPERLINK("https://twitter.com/sergio_fajardo/status/1206967933928382471","1206967933928382471")</f>
        <v>1206967933928382471</v>
      </c>
      <c r="F53" s="7" t="s">
        <v>23</v>
      </c>
      <c r="G53" s="7">
        <v>1476384</v>
      </c>
      <c r="H53" s="7">
        <v>353</v>
      </c>
      <c r="I53" s="7">
        <v>14</v>
      </c>
      <c r="J53" s="7">
        <v>57</v>
      </c>
      <c r="K53" s="7" t="s">
        <v>18</v>
      </c>
      <c r="L53" s="8">
        <v>39891.213356481479</v>
      </c>
      <c r="M53" s="9" t="s">
        <v>19</v>
      </c>
      <c r="N53" s="9" t="s">
        <v>22</v>
      </c>
      <c r="O53" s="6" t="str">
        <f>HYPERLINK("https://pbs.twimg.com/profile_images/988971255679324162/jrqiIYf__normal.jpg","View")</f>
        <v>View</v>
      </c>
      <c r="P53" s="7"/>
    </row>
    <row r="54" spans="1:16">
      <c r="A54" s="3">
        <v>43816.941261574073</v>
      </c>
      <c r="B54" s="4" t="str">
        <f>HYPERLINK("https://twitter.com/sergio_fajardo","@sergio_fajardo")</f>
        <v>@sergio_fajardo</v>
      </c>
      <c r="C54" s="5" t="s">
        <v>16</v>
      </c>
      <c r="D54" s="5" t="s">
        <v>78</v>
      </c>
      <c r="E54" s="6" t="str">
        <f>HYPERLINK("https://twitter.com/sergio_fajardo/status/1206983752104206336","1206983752104206336")</f>
        <v>1206983752104206336</v>
      </c>
      <c r="F54" s="7" t="s">
        <v>17</v>
      </c>
      <c r="G54" s="7">
        <v>1476391</v>
      </c>
      <c r="H54" s="7">
        <v>353</v>
      </c>
      <c r="I54" s="7">
        <v>29</v>
      </c>
      <c r="J54" s="7">
        <v>0</v>
      </c>
      <c r="K54" s="7" t="s">
        <v>18</v>
      </c>
      <c r="L54" s="8">
        <v>39891.213356481479</v>
      </c>
      <c r="M54" s="9" t="s">
        <v>19</v>
      </c>
      <c r="N54" s="9" t="s">
        <v>22</v>
      </c>
      <c r="O54" s="6" t="str">
        <f>HYPERLINK("https://pbs.twimg.com/profile_images/988971255679324162/jrqiIYf__normal.jpg","View")</f>
        <v>View</v>
      </c>
      <c r="P54" s="7"/>
    </row>
    <row r="55" spans="1:16">
      <c r="A55" s="3">
        <v>43817.010289351849</v>
      </c>
      <c r="B55" s="4" t="str">
        <f>HYPERLINK("https://twitter.com/sergio_fajardo","@sergio_fajardo")</f>
        <v>@sergio_fajardo</v>
      </c>
      <c r="C55" s="5" t="s">
        <v>16</v>
      </c>
      <c r="D55" s="5" t="s">
        <v>79</v>
      </c>
      <c r="E55" s="6" t="str">
        <f>HYPERLINK("https://twitter.com/sergio_fajardo/status/1207008767201742848","1207008767201742848")</f>
        <v>1207008767201742848</v>
      </c>
      <c r="F55" s="7" t="s">
        <v>17</v>
      </c>
      <c r="G55" s="7">
        <v>1476411</v>
      </c>
      <c r="H55" s="7">
        <v>353</v>
      </c>
      <c r="I55" s="7">
        <v>422</v>
      </c>
      <c r="J55" s="7">
        <v>0</v>
      </c>
      <c r="K55" s="7" t="s">
        <v>18</v>
      </c>
      <c r="L55" s="8">
        <v>39891.213356481479</v>
      </c>
      <c r="M55" s="9" t="s">
        <v>19</v>
      </c>
      <c r="N55" s="9" t="s">
        <v>22</v>
      </c>
      <c r="O55" s="6" t="str">
        <f>HYPERLINK("https://pbs.twimg.com/profile_images/988971255679324162/jrqiIYf__normal.jpg","View")</f>
        <v>View</v>
      </c>
      <c r="P55" s="7"/>
    </row>
    <row r="56" spans="1:16">
      <c r="A56" s="3">
        <v>43817.948229166665</v>
      </c>
      <c r="B56" s="4" t="str">
        <f>HYPERLINK("https://twitter.com/sergio_fajardo","@sergio_fajardo")</f>
        <v>@sergio_fajardo</v>
      </c>
      <c r="C56" s="5" t="s">
        <v>16</v>
      </c>
      <c r="D56" s="5" t="s">
        <v>80</v>
      </c>
      <c r="E56" s="6" t="str">
        <f>HYPERLINK("https://twitter.com/sergio_fajardo/status/1207348662977867776","1207348662977867776")</f>
        <v>1207348662977867776</v>
      </c>
      <c r="F56" s="7" t="s">
        <v>17</v>
      </c>
      <c r="G56" s="7">
        <v>1476645</v>
      </c>
      <c r="H56" s="7">
        <v>355</v>
      </c>
      <c r="I56" s="7">
        <v>3</v>
      </c>
      <c r="J56" s="7">
        <v>0</v>
      </c>
      <c r="K56" s="7" t="s">
        <v>18</v>
      </c>
      <c r="L56" s="8">
        <v>39891.213356481479</v>
      </c>
      <c r="M56" s="9" t="s">
        <v>19</v>
      </c>
      <c r="N56" s="9" t="s">
        <v>22</v>
      </c>
      <c r="O56" s="6" t="str">
        <f>HYPERLINK("https://pbs.twimg.com/profile_images/988971255679324162/jrqiIYf__normal.jpg","View")</f>
        <v>View</v>
      </c>
      <c r="P56" s="7"/>
    </row>
    <row r="57" spans="1:16">
      <c r="A57" s="3">
        <v>43817.949583333335</v>
      </c>
      <c r="B57" s="4" t="str">
        <f>HYPERLINK("https://twitter.com/sergio_fajardo","@sergio_fajardo")</f>
        <v>@sergio_fajardo</v>
      </c>
      <c r="C57" s="5" t="s">
        <v>16</v>
      </c>
      <c r="D57" s="5" t="s">
        <v>81</v>
      </c>
      <c r="E57" s="6" t="str">
        <f>HYPERLINK("https://twitter.com/sergio_fajardo/status/1207349155653443586","1207349155653443586")</f>
        <v>1207349155653443586</v>
      </c>
      <c r="F57" s="7" t="s">
        <v>17</v>
      </c>
      <c r="G57" s="7">
        <v>1476645</v>
      </c>
      <c r="H57" s="7">
        <v>355</v>
      </c>
      <c r="I57" s="7">
        <v>969</v>
      </c>
      <c r="J57" s="7">
        <v>0</v>
      </c>
      <c r="K57" s="7" t="s">
        <v>18</v>
      </c>
      <c r="L57" s="8">
        <v>39891.213356481479</v>
      </c>
      <c r="M57" s="9" t="s">
        <v>19</v>
      </c>
      <c r="N57" s="9" t="s">
        <v>22</v>
      </c>
      <c r="O57" s="6" t="str">
        <f>HYPERLINK("https://pbs.twimg.com/profile_images/988971255679324162/jrqiIYf__normal.jpg","View")</f>
        <v>View</v>
      </c>
      <c r="P57" s="7"/>
    </row>
    <row r="58" spans="1:16">
      <c r="A58" s="3">
        <v>43818.733946759261</v>
      </c>
      <c r="B58" s="4" t="str">
        <f>HYPERLINK("https://twitter.com/sergio_fajardo","@sergio_fajardo")</f>
        <v>@sergio_fajardo</v>
      </c>
      <c r="C58" s="5" t="s">
        <v>16</v>
      </c>
      <c r="D58" s="5" t="s">
        <v>82</v>
      </c>
      <c r="E58" s="6" t="str">
        <f>HYPERLINK("https://twitter.com/sergio_fajardo/status/1207633396916277248","1207633396916277248")</f>
        <v>1207633396916277248</v>
      </c>
      <c r="F58" s="7" t="s">
        <v>17</v>
      </c>
      <c r="G58" s="7">
        <v>1476811</v>
      </c>
      <c r="H58" s="7">
        <v>356</v>
      </c>
      <c r="I58" s="7">
        <v>10</v>
      </c>
      <c r="J58" s="7">
        <v>79</v>
      </c>
      <c r="K58" s="7" t="s">
        <v>18</v>
      </c>
      <c r="L58" s="8">
        <v>39891.213356481479</v>
      </c>
      <c r="M58" s="9" t="s">
        <v>19</v>
      </c>
      <c r="N58" s="9" t="s">
        <v>22</v>
      </c>
      <c r="O58" s="6" t="str">
        <f>HYPERLINK("https://pbs.twimg.com/profile_images/988971255679324162/jrqiIYf__normal.jpg","View")</f>
        <v>View</v>
      </c>
      <c r="P58" s="7"/>
    </row>
    <row r="59" spans="1:16">
      <c r="A59" s="3">
        <v>43818.911261574074</v>
      </c>
      <c r="B59" s="4" t="str">
        <f>HYPERLINK("https://twitter.com/sergio_fajardo","@sergio_fajardo")</f>
        <v>@sergio_fajardo</v>
      </c>
      <c r="C59" s="5" t="s">
        <v>16</v>
      </c>
      <c r="D59" s="5" t="s">
        <v>83</v>
      </c>
      <c r="E59" s="6" t="str">
        <f>HYPERLINK("https://twitter.com/sergio_fajardo/status/1207697652839780353","1207697652839780353")</f>
        <v>1207697652839780353</v>
      </c>
      <c r="F59" s="7" t="s">
        <v>17</v>
      </c>
      <c r="G59" s="7">
        <v>1476892</v>
      </c>
      <c r="H59" s="7">
        <v>356</v>
      </c>
      <c r="I59" s="7">
        <v>924</v>
      </c>
      <c r="J59" s="7">
        <v>0</v>
      </c>
      <c r="K59" s="7" t="s">
        <v>18</v>
      </c>
      <c r="L59" s="8">
        <v>39891.213356481479</v>
      </c>
      <c r="M59" s="9" t="s">
        <v>19</v>
      </c>
      <c r="N59" s="9" t="s">
        <v>22</v>
      </c>
      <c r="O59" s="6" t="str">
        <f>HYPERLINK("https://pbs.twimg.com/profile_images/988971255679324162/jrqiIYf__normal.jpg","View")</f>
        <v>View</v>
      </c>
      <c r="P59" s="7"/>
    </row>
    <row r="60" spans="1:16">
      <c r="A60" s="3">
        <v>43819.161574074074</v>
      </c>
      <c r="B60" s="4" t="str">
        <f>HYPERLINK("https://twitter.com/sergio_fajardo","@sergio_fajardo")</f>
        <v>@sergio_fajardo</v>
      </c>
      <c r="C60" s="5" t="s">
        <v>16</v>
      </c>
      <c r="D60" s="5" t="s">
        <v>84</v>
      </c>
      <c r="E60" s="6" t="str">
        <f>HYPERLINK("https://twitter.com/sergio_fajardo/status/1207788365283766279","1207788365283766279")</f>
        <v>1207788365283766279</v>
      </c>
      <c r="F60" s="7" t="s">
        <v>17</v>
      </c>
      <c r="G60" s="7">
        <v>1476991</v>
      </c>
      <c r="H60" s="7">
        <v>356</v>
      </c>
      <c r="I60" s="7">
        <v>105</v>
      </c>
      <c r="J60" s="7">
        <v>0</v>
      </c>
      <c r="K60" s="7" t="s">
        <v>18</v>
      </c>
      <c r="L60" s="8">
        <v>39891.213356481479</v>
      </c>
      <c r="M60" s="9" t="s">
        <v>19</v>
      </c>
      <c r="N60" s="9" t="s">
        <v>22</v>
      </c>
      <c r="O60" s="6" t="str">
        <f>HYPERLINK("https://pbs.twimg.com/profile_images/988971255679324162/jrqiIYf__normal.jpg","View")</f>
        <v>View</v>
      </c>
      <c r="P60" s="7"/>
    </row>
    <row r="61" spans="1:16">
      <c r="A61" s="3">
        <v>43819.162951388891</v>
      </c>
      <c r="B61" s="4" t="str">
        <f>HYPERLINK("https://twitter.com/sergio_fajardo","@sergio_fajardo")</f>
        <v>@sergio_fajardo</v>
      </c>
      <c r="C61" s="5" t="s">
        <v>16</v>
      </c>
      <c r="D61" s="5" t="s">
        <v>85</v>
      </c>
      <c r="E61" s="6" t="str">
        <f>HYPERLINK("https://twitter.com/sergio_fajardo/status/1207788864183648256","1207788864183648256")</f>
        <v>1207788864183648256</v>
      </c>
      <c r="F61" s="7" t="s">
        <v>17</v>
      </c>
      <c r="G61" s="7">
        <v>1476991</v>
      </c>
      <c r="H61" s="7">
        <v>356</v>
      </c>
      <c r="I61" s="7">
        <v>36</v>
      </c>
      <c r="J61" s="7">
        <v>0</v>
      </c>
      <c r="K61" s="7" t="s">
        <v>18</v>
      </c>
      <c r="L61" s="8">
        <v>39891.213356481479</v>
      </c>
      <c r="M61" s="9" t="s">
        <v>19</v>
      </c>
      <c r="N61" s="9" t="s">
        <v>22</v>
      </c>
      <c r="O61" s="6" t="str">
        <f>HYPERLINK("https://pbs.twimg.com/profile_images/988971255679324162/jrqiIYf__normal.jpg","View")</f>
        <v>View</v>
      </c>
      <c r="P61" s="7"/>
    </row>
    <row r="62" spans="1:16">
      <c r="A62" s="3">
        <v>43819.163113425922</v>
      </c>
      <c r="B62" s="4" t="str">
        <f>HYPERLINK("https://twitter.com/sergio_fajardo","@sergio_fajardo")</f>
        <v>@sergio_fajardo</v>
      </c>
      <c r="C62" s="5" t="s">
        <v>16</v>
      </c>
      <c r="D62" s="5" t="s">
        <v>86</v>
      </c>
      <c r="E62" s="6" t="str">
        <f>HYPERLINK("https://twitter.com/sergio_fajardo/status/1207788924095074315","1207788924095074315")</f>
        <v>1207788924095074315</v>
      </c>
      <c r="F62" s="7" t="s">
        <v>17</v>
      </c>
      <c r="G62" s="7">
        <v>1476991</v>
      </c>
      <c r="H62" s="7">
        <v>356</v>
      </c>
      <c r="I62" s="7">
        <v>266</v>
      </c>
      <c r="J62" s="7">
        <v>0</v>
      </c>
      <c r="K62" s="7" t="s">
        <v>18</v>
      </c>
      <c r="L62" s="8">
        <v>39891.213356481479</v>
      </c>
      <c r="M62" s="9" t="s">
        <v>19</v>
      </c>
      <c r="N62" s="9" t="s">
        <v>22</v>
      </c>
      <c r="O62" s="6" t="str">
        <f>HYPERLINK("https://pbs.twimg.com/profile_images/988971255679324162/jrqiIYf__normal.jpg","View")</f>
        <v>View</v>
      </c>
      <c r="P62" s="7"/>
    </row>
    <row r="63" spans="1:16">
      <c r="A63" s="3">
        <v>43820.744340277779</v>
      </c>
      <c r="B63" s="4" t="str">
        <f>HYPERLINK("https://twitter.com/sergio_fajardo","@sergio_fajardo")</f>
        <v>@sergio_fajardo</v>
      </c>
      <c r="C63" s="5" t="s">
        <v>16</v>
      </c>
      <c r="D63" s="5" t="s">
        <v>87</v>
      </c>
      <c r="E63" s="6" t="str">
        <f>HYPERLINK("https://twitter.com/sergio_fajardo/status/1208361938327093249","1208361938327093249")</f>
        <v>1208361938327093249</v>
      </c>
      <c r="F63" s="7" t="s">
        <v>17</v>
      </c>
      <c r="G63" s="7">
        <v>1477332</v>
      </c>
      <c r="H63" s="7">
        <v>356</v>
      </c>
      <c r="I63" s="7">
        <v>12</v>
      </c>
      <c r="J63" s="7">
        <v>78</v>
      </c>
      <c r="K63" s="7" t="s">
        <v>18</v>
      </c>
      <c r="L63" s="8">
        <v>39891.213356481479</v>
      </c>
      <c r="M63" s="9" t="s">
        <v>19</v>
      </c>
      <c r="N63" s="9" t="s">
        <v>22</v>
      </c>
      <c r="O63" s="6" t="str">
        <f>HYPERLINK("https://pbs.twimg.com/profile_images/988971255679324162/jrqiIYf__normal.jpg","View")</f>
        <v>View</v>
      </c>
      <c r="P63" s="7"/>
    </row>
    <row r="64" spans="1:16">
      <c r="A64" s="3">
        <v>43820.753553240742</v>
      </c>
      <c r="B64" s="4" t="str">
        <f>HYPERLINK("https://twitter.com/sergio_fajardo","@sergio_fajardo")</f>
        <v>@sergio_fajardo</v>
      </c>
      <c r="C64" s="5" t="s">
        <v>16</v>
      </c>
      <c r="D64" s="5" t="s">
        <v>88</v>
      </c>
      <c r="E64" s="6" t="str">
        <f>HYPERLINK("https://twitter.com/sergio_fajardo/status/1208365278024912897","1208365278024912897")</f>
        <v>1208365278024912897</v>
      </c>
      <c r="F64" s="7" t="s">
        <v>17</v>
      </c>
      <c r="G64" s="7">
        <v>1477332</v>
      </c>
      <c r="H64" s="7">
        <v>356</v>
      </c>
      <c r="I64" s="7">
        <v>72</v>
      </c>
      <c r="J64" s="7">
        <v>0</v>
      </c>
      <c r="K64" s="7" t="s">
        <v>18</v>
      </c>
      <c r="L64" s="8">
        <v>39891.213356481479</v>
      </c>
      <c r="M64" s="9" t="s">
        <v>19</v>
      </c>
      <c r="N64" s="9" t="s">
        <v>22</v>
      </c>
      <c r="O64" s="6" t="str">
        <f>HYPERLINK("https://pbs.twimg.com/profile_images/988971255679324162/jrqiIYf__normal.jpg","View")</f>
        <v>View</v>
      </c>
      <c r="P64" s="7"/>
    </row>
    <row r="65" spans="1:16">
      <c r="A65" s="3">
        <v>43820.760081018518</v>
      </c>
      <c r="B65" s="4" t="str">
        <f>HYPERLINK("https://twitter.com/sergio_fajardo","@sergio_fajardo")</f>
        <v>@sergio_fajardo</v>
      </c>
      <c r="C65" s="5" t="s">
        <v>16</v>
      </c>
      <c r="D65" s="5" t="s">
        <v>89</v>
      </c>
      <c r="E65" s="6" t="str">
        <f>HYPERLINK("https://twitter.com/sergio_fajardo/status/1208367645529182209","1208367645529182209")</f>
        <v>1208367645529182209</v>
      </c>
      <c r="F65" s="7" t="s">
        <v>17</v>
      </c>
      <c r="G65" s="7">
        <v>1477332</v>
      </c>
      <c r="H65" s="7">
        <v>356</v>
      </c>
      <c r="I65" s="7">
        <v>1392</v>
      </c>
      <c r="J65" s="7">
        <v>0</v>
      </c>
      <c r="K65" s="7" t="s">
        <v>18</v>
      </c>
      <c r="L65" s="8">
        <v>39891.213356481479</v>
      </c>
      <c r="M65" s="9" t="s">
        <v>19</v>
      </c>
      <c r="N65" s="9" t="s">
        <v>22</v>
      </c>
      <c r="O65" s="6" t="str">
        <f>HYPERLINK("https://pbs.twimg.com/profile_images/988971255679324162/jrqiIYf__normal.jpg","View")</f>
        <v>View</v>
      </c>
      <c r="P65" s="7"/>
    </row>
    <row r="66" spans="1:16">
      <c r="A66" s="3">
        <v>43820.940393518518</v>
      </c>
      <c r="B66" s="4" t="str">
        <f>HYPERLINK("https://twitter.com/sergio_fajardo","@sergio_fajardo")</f>
        <v>@sergio_fajardo</v>
      </c>
      <c r="C66" s="5" t="s">
        <v>16</v>
      </c>
      <c r="D66" s="5" t="s">
        <v>90</v>
      </c>
      <c r="E66" s="6" t="str">
        <f>HYPERLINK("https://twitter.com/sergio_fajardo/status/1208432989530669056","1208432989530669056")</f>
        <v>1208432989530669056</v>
      </c>
      <c r="F66" s="7" t="s">
        <v>17</v>
      </c>
      <c r="G66" s="7">
        <v>1477386</v>
      </c>
      <c r="H66" s="7">
        <v>356</v>
      </c>
      <c r="I66" s="7">
        <v>4</v>
      </c>
      <c r="J66" s="7">
        <v>0</v>
      </c>
      <c r="K66" s="7" t="s">
        <v>18</v>
      </c>
      <c r="L66" s="8">
        <v>39891.213356481479</v>
      </c>
      <c r="M66" s="9" t="s">
        <v>19</v>
      </c>
      <c r="N66" s="9" t="s">
        <v>22</v>
      </c>
      <c r="O66" s="6" t="str">
        <f>HYPERLINK("https://pbs.twimg.com/profile_images/988971255679324162/jrqiIYf__normal.jpg","View")</f>
        <v>View</v>
      </c>
      <c r="P66" s="7"/>
    </row>
    <row r="67" spans="1:16">
      <c r="A67" s="3">
        <v>43822.888032407413</v>
      </c>
      <c r="B67" s="4" t="str">
        <f>HYPERLINK("https://twitter.com/sergio_fajardo","@sergio_fajardo")</f>
        <v>@sergio_fajardo</v>
      </c>
      <c r="C67" s="5" t="s">
        <v>16</v>
      </c>
      <c r="D67" s="5" t="s">
        <v>91</v>
      </c>
      <c r="E67" s="6" t="str">
        <f>HYPERLINK("https://twitter.com/sergio_fajardo/status/1209138787441369089","1209138787441369089")</f>
        <v>1209138787441369089</v>
      </c>
      <c r="F67" s="7" t="s">
        <v>17</v>
      </c>
      <c r="G67" s="7">
        <v>1477785</v>
      </c>
      <c r="H67" s="7">
        <v>356</v>
      </c>
      <c r="I67" s="7">
        <v>23</v>
      </c>
      <c r="J67" s="7">
        <v>0</v>
      </c>
      <c r="K67" s="7" t="s">
        <v>18</v>
      </c>
      <c r="L67" s="8">
        <v>39891.213356481479</v>
      </c>
      <c r="M67" s="9" t="s">
        <v>19</v>
      </c>
      <c r="N67" s="9" t="s">
        <v>22</v>
      </c>
      <c r="O67" s="6" t="str">
        <f>HYPERLINK("https://pbs.twimg.com/profile_images/988971255679324162/jrqiIYf__normal.jpg","View")</f>
        <v>View</v>
      </c>
      <c r="P67" s="7"/>
    </row>
    <row r="68" spans="1:16">
      <c r="A68" s="3">
        <v>43823.231516203705</v>
      </c>
      <c r="B68" s="4" t="str">
        <f>HYPERLINK("https://twitter.com/sergio_fajardo","@sergio_fajardo")</f>
        <v>@sergio_fajardo</v>
      </c>
      <c r="C68" s="5" t="s">
        <v>16</v>
      </c>
      <c r="D68" s="5" t="s">
        <v>92</v>
      </c>
      <c r="E68" s="6" t="str">
        <f>HYPERLINK("https://twitter.com/sergio_fajardo/status/1209263264724598784","1209263264724598784")</f>
        <v>1209263264724598784</v>
      </c>
      <c r="F68" s="7" t="s">
        <v>17</v>
      </c>
      <c r="G68" s="7">
        <v>1477884</v>
      </c>
      <c r="H68" s="7">
        <v>356</v>
      </c>
      <c r="I68" s="7">
        <v>13</v>
      </c>
      <c r="J68" s="7">
        <v>52</v>
      </c>
      <c r="K68" s="7" t="s">
        <v>18</v>
      </c>
      <c r="L68" s="8">
        <v>39891.213356481479</v>
      </c>
      <c r="M68" s="9" t="s">
        <v>19</v>
      </c>
      <c r="N68" s="9" t="s">
        <v>22</v>
      </c>
      <c r="O68" s="6" t="str">
        <f>HYPERLINK("https://pbs.twimg.com/profile_images/988971255679324162/jrqiIYf__normal.jpg","View")</f>
        <v>View</v>
      </c>
      <c r="P68" s="7"/>
    </row>
    <row r="69" spans="1:16">
      <c r="A69" s="3">
        <v>43823.27449074074</v>
      </c>
      <c r="B69" s="4" t="str">
        <f>HYPERLINK("https://twitter.com/sergio_fajardo","@sergio_fajardo")</f>
        <v>@sergio_fajardo</v>
      </c>
      <c r="C69" s="5" t="s">
        <v>16</v>
      </c>
      <c r="D69" s="5" t="s">
        <v>93</v>
      </c>
      <c r="E69" s="6" t="str">
        <f>HYPERLINK("https://twitter.com/sergio_fajardo/status/1209278834803167232","1209278834803167232")</f>
        <v>1209278834803167232</v>
      </c>
      <c r="F69" s="7" t="s">
        <v>17</v>
      </c>
      <c r="G69" s="7">
        <v>1477897</v>
      </c>
      <c r="H69" s="7">
        <v>356</v>
      </c>
      <c r="I69" s="7">
        <v>1122</v>
      </c>
      <c r="J69" s="7">
        <v>0</v>
      </c>
      <c r="K69" s="7" t="s">
        <v>18</v>
      </c>
      <c r="L69" s="8">
        <v>39891.213356481479</v>
      </c>
      <c r="M69" s="9" t="s">
        <v>19</v>
      </c>
      <c r="N69" s="9" t="s">
        <v>22</v>
      </c>
      <c r="O69" s="6" t="str">
        <f>HYPERLINK("https://pbs.twimg.com/profile_images/988971255679324162/jrqiIYf__normal.jpg","View")</f>
        <v>View</v>
      </c>
      <c r="P69" s="7"/>
    </row>
    <row r="70" spans="1:16">
      <c r="A70" s="3">
        <v>43825.012511574074</v>
      </c>
      <c r="B70" s="4" t="str">
        <f>HYPERLINK("https://twitter.com/sergio_fajardo","@sergio_fajardo")</f>
        <v>@sergio_fajardo</v>
      </c>
      <c r="C70" s="5" t="s">
        <v>16</v>
      </c>
      <c r="D70" s="5" t="s">
        <v>94</v>
      </c>
      <c r="E70" s="6" t="str">
        <f>HYPERLINK("https://twitter.com/sergio_fajardo/status/1209908673239273474","1209908673239273474")</f>
        <v>1209908673239273474</v>
      </c>
      <c r="F70" s="7" t="s">
        <v>17</v>
      </c>
      <c r="G70" s="7">
        <v>1478175</v>
      </c>
      <c r="H70" s="7">
        <v>356</v>
      </c>
      <c r="I70" s="7">
        <v>1809</v>
      </c>
      <c r="J70" s="7">
        <v>0</v>
      </c>
      <c r="K70" s="7" t="s">
        <v>18</v>
      </c>
      <c r="L70" s="8">
        <v>39891.213356481479</v>
      </c>
      <c r="M70" s="9" t="s">
        <v>19</v>
      </c>
      <c r="N70" s="9" t="s">
        <v>22</v>
      </c>
      <c r="O70" s="6" t="str">
        <f>HYPERLINK("https://pbs.twimg.com/profile_images/988971255679324162/jrqiIYf__normal.jpg","View")</f>
        <v>View</v>
      </c>
      <c r="P70" s="7"/>
    </row>
    <row r="71" spans="1:16">
      <c r="A71" s="3">
        <v>43825.224386574075</v>
      </c>
      <c r="B71" s="4" t="str">
        <f>HYPERLINK("https://twitter.com/sergio_fajardo","@sergio_fajardo")</f>
        <v>@sergio_fajardo</v>
      </c>
      <c r="C71" s="5" t="s">
        <v>16</v>
      </c>
      <c r="D71" s="5" t="s">
        <v>95</v>
      </c>
      <c r="E71" s="6" t="str">
        <f>HYPERLINK("https://twitter.com/sergio_fajardo/status/1209985455686635526","1209985455686635526")</f>
        <v>1209985455686635526</v>
      </c>
      <c r="F71" s="7" t="s">
        <v>17</v>
      </c>
      <c r="G71" s="7">
        <v>1478212</v>
      </c>
      <c r="H71" s="7">
        <v>356</v>
      </c>
      <c r="I71" s="7">
        <v>33</v>
      </c>
      <c r="J71" s="7">
        <v>0</v>
      </c>
      <c r="K71" s="7" t="s">
        <v>18</v>
      </c>
      <c r="L71" s="8">
        <v>39891.213356481479</v>
      </c>
      <c r="M71" s="9" t="s">
        <v>19</v>
      </c>
      <c r="N71" s="9" t="s">
        <v>22</v>
      </c>
      <c r="O71" s="6" t="str">
        <f>HYPERLINK("https://pbs.twimg.com/profile_images/988971255679324162/jrqiIYf__normal.jpg","View")</f>
        <v>View</v>
      </c>
      <c r="P71" s="7"/>
    </row>
    <row r="72" spans="1:16">
      <c r="A72" s="3">
        <v>43826.300324074073</v>
      </c>
      <c r="B72" s="4" t="str">
        <f>HYPERLINK("https://twitter.com/sergio_fajardo","@sergio_fajardo")</f>
        <v>@sergio_fajardo</v>
      </c>
      <c r="C72" s="5" t="s">
        <v>16</v>
      </c>
      <c r="D72" s="5" t="s">
        <v>96</v>
      </c>
      <c r="E72" s="6" t="str">
        <f>HYPERLINK("https://twitter.com/sergio_fajardo/status/1210375361185361920","1210375361185361920")</f>
        <v>1210375361185361920</v>
      </c>
      <c r="F72" s="7" t="s">
        <v>17</v>
      </c>
      <c r="G72" s="7">
        <v>1478448</v>
      </c>
      <c r="H72" s="7">
        <v>356</v>
      </c>
      <c r="I72" s="7">
        <v>6</v>
      </c>
      <c r="J72" s="7">
        <v>31</v>
      </c>
      <c r="K72" s="7" t="s">
        <v>18</v>
      </c>
      <c r="L72" s="8">
        <v>39891.213356481479</v>
      </c>
      <c r="M72" s="9" t="s">
        <v>19</v>
      </c>
      <c r="N72" s="9" t="s">
        <v>22</v>
      </c>
      <c r="O72" s="6" t="str">
        <f>HYPERLINK("https://pbs.twimg.com/profile_images/988971255679324162/jrqiIYf__normal.jpg","View")</f>
        <v>View</v>
      </c>
      <c r="P72" s="7"/>
    </row>
    <row r="73" spans="1:16">
      <c r="A73" s="3">
        <v>43827.605451388888</v>
      </c>
      <c r="B73" s="4" t="str">
        <f>HYPERLINK("https://twitter.com/sergio_fajardo","@sergio_fajardo")</f>
        <v>@sergio_fajardo</v>
      </c>
      <c r="C73" s="5" t="s">
        <v>16</v>
      </c>
      <c r="D73" s="5" t="s">
        <v>97</v>
      </c>
      <c r="E73" s="6" t="str">
        <f>HYPERLINK("https://twitter.com/sergio_fajardo/status/1210848323516719109","1210848323516719109")</f>
        <v>1210848323516719109</v>
      </c>
      <c r="F73" s="7" t="s">
        <v>17</v>
      </c>
      <c r="G73" s="7">
        <v>1478628</v>
      </c>
      <c r="H73" s="7">
        <v>356</v>
      </c>
      <c r="I73" s="7">
        <v>35</v>
      </c>
      <c r="J73" s="7">
        <v>0</v>
      </c>
      <c r="K73" s="7" t="s">
        <v>18</v>
      </c>
      <c r="L73" s="8">
        <v>39891.213356481479</v>
      </c>
      <c r="M73" s="9" t="s">
        <v>19</v>
      </c>
      <c r="N73" s="9" t="s">
        <v>22</v>
      </c>
      <c r="O73" s="6" t="str">
        <f>HYPERLINK("https://pbs.twimg.com/profile_images/988971255679324162/jrqiIYf__normal.jpg","View")</f>
        <v>View</v>
      </c>
      <c r="P73" s="7"/>
    </row>
    <row r="74" spans="1:16">
      <c r="A74" s="3">
        <v>43829.002604166672</v>
      </c>
      <c r="B74" s="4" t="str">
        <f>HYPERLINK("https://twitter.com/sergio_fajardo","@sergio_fajardo")</f>
        <v>@sergio_fajardo</v>
      </c>
      <c r="C74" s="5" t="s">
        <v>16</v>
      </c>
      <c r="D74" s="5" t="s">
        <v>98</v>
      </c>
      <c r="E74" s="6" t="str">
        <f>HYPERLINK("https://twitter.com/sergio_fajardo/status/1211354634960408577","1211354634960408577")</f>
        <v>1211354634960408577</v>
      </c>
      <c r="F74" s="7" t="s">
        <v>17</v>
      </c>
      <c r="G74" s="7">
        <v>1478890</v>
      </c>
      <c r="H74" s="7">
        <v>356</v>
      </c>
      <c r="I74" s="7">
        <v>12</v>
      </c>
      <c r="J74" s="7">
        <v>24</v>
      </c>
      <c r="K74" s="7" t="s">
        <v>18</v>
      </c>
      <c r="L74" s="8">
        <v>39891.213356481479</v>
      </c>
      <c r="M74" s="9" t="s">
        <v>19</v>
      </c>
      <c r="N74" s="9" t="s">
        <v>22</v>
      </c>
      <c r="O74" s="6" t="str">
        <f>HYPERLINK("https://pbs.twimg.com/profile_images/988971255679324162/jrqiIYf__normal.jpg","View")</f>
        <v>View</v>
      </c>
      <c r="P74" s="7"/>
    </row>
    <row r="75" spans="1:16">
      <c r="A75" s="3">
        <v>43829.327789351853</v>
      </c>
      <c r="B75" s="4" t="str">
        <f>HYPERLINK("https://twitter.com/sergio_fajardo","@sergio_fajardo")</f>
        <v>@sergio_fajardo</v>
      </c>
      <c r="C75" s="5" t="s">
        <v>16</v>
      </c>
      <c r="D75" s="5" t="s">
        <v>99</v>
      </c>
      <c r="E75" s="6" t="str">
        <f>HYPERLINK("https://twitter.com/sergio_fajardo/status/1211472480021426176","1211472480021426176")</f>
        <v>1211472480021426176</v>
      </c>
      <c r="F75" s="7" t="s">
        <v>17</v>
      </c>
      <c r="G75" s="7">
        <v>1478985</v>
      </c>
      <c r="H75" s="7">
        <v>356</v>
      </c>
      <c r="I75" s="7">
        <v>10</v>
      </c>
      <c r="J75" s="7">
        <v>0</v>
      </c>
      <c r="K75" s="7" t="s">
        <v>18</v>
      </c>
      <c r="L75" s="8">
        <v>39891.213356481479</v>
      </c>
      <c r="M75" s="9" t="s">
        <v>19</v>
      </c>
      <c r="N75" s="9" t="s">
        <v>22</v>
      </c>
      <c r="O75" s="6" t="str">
        <f>HYPERLINK("https://pbs.twimg.com/profile_images/988971255679324162/jrqiIYf__normal.jpg","View")</f>
        <v>View</v>
      </c>
      <c r="P75" s="7"/>
    </row>
    <row r="76" spans="1:16">
      <c r="A76" s="3">
        <v>43830.732627314814</v>
      </c>
      <c r="B76" s="4" t="str">
        <f>HYPERLINK("https://twitter.com/sergio_fajardo","@sergio_fajardo")</f>
        <v>@sergio_fajardo</v>
      </c>
      <c r="C76" s="5" t="s">
        <v>16</v>
      </c>
      <c r="D76" s="5" t="s">
        <v>100</v>
      </c>
      <c r="E76" s="6" t="str">
        <f>HYPERLINK("https://twitter.com/sergio_fajardo/status/1211981574583046145","1211981574583046145")</f>
        <v>1211981574583046145</v>
      </c>
      <c r="F76" s="7" t="s">
        <v>17</v>
      </c>
      <c r="G76" s="7">
        <v>1479172</v>
      </c>
      <c r="H76" s="7">
        <v>356</v>
      </c>
      <c r="I76" s="7">
        <v>6</v>
      </c>
      <c r="J76" s="7">
        <v>0</v>
      </c>
      <c r="K76" s="7" t="s">
        <v>18</v>
      </c>
      <c r="L76" s="8">
        <v>39891.213356481479</v>
      </c>
      <c r="M76" s="9" t="s">
        <v>19</v>
      </c>
      <c r="N76" s="9" t="s">
        <v>22</v>
      </c>
      <c r="O76" s="6" t="str">
        <f>HYPERLINK("https://pbs.twimg.com/profile_images/988971255679324162/jrqiIYf__normal.jpg","View")</f>
        <v>View</v>
      </c>
      <c r="P76" s="7"/>
    </row>
    <row r="77" spans="1:16">
      <c r="A77" s="3">
        <v>43831.017025462963</v>
      </c>
      <c r="B77" s="4" t="str">
        <f>HYPERLINK("https://twitter.com/sergio_fajardo","@sergio_fajardo")</f>
        <v>@sergio_fajardo</v>
      </c>
      <c r="C77" s="5" t="s">
        <v>16</v>
      </c>
      <c r="D77" s="5" t="s">
        <v>101</v>
      </c>
      <c r="E77" s="6" t="str">
        <f>HYPERLINK("https://twitter.com/sergio_fajardo/status/1212084636593065984","1212084636593065984")</f>
        <v>1212084636593065984</v>
      </c>
      <c r="F77" s="7" t="s">
        <v>17</v>
      </c>
      <c r="G77" s="7">
        <v>1479239</v>
      </c>
      <c r="H77" s="7">
        <v>356</v>
      </c>
      <c r="I77" s="7">
        <v>12</v>
      </c>
      <c r="J77" s="7">
        <v>80</v>
      </c>
      <c r="K77" s="7" t="s">
        <v>18</v>
      </c>
      <c r="L77" s="8">
        <v>39891.213356481479</v>
      </c>
      <c r="M77" s="9" t="s">
        <v>19</v>
      </c>
      <c r="N77" s="9" t="s">
        <v>22</v>
      </c>
      <c r="O77" s="6" t="str">
        <f>HYPERLINK("https://pbs.twimg.com/profile_images/988971255679324162/jrqiIYf__normal.jpg","View")</f>
        <v>View</v>
      </c>
      <c r="P77" s="7"/>
    </row>
    <row r="78" spans="1:16">
      <c r="A78" s="3">
        <v>43831.017268518517</v>
      </c>
      <c r="B78" s="4" t="str">
        <f>HYPERLINK("https://twitter.com/sergio_fajardo","@sergio_fajardo")</f>
        <v>@sergio_fajardo</v>
      </c>
      <c r="C78" s="5" t="s">
        <v>16</v>
      </c>
      <c r="D78" s="5" t="s">
        <v>102</v>
      </c>
      <c r="E78" s="6" t="str">
        <f>HYPERLINK("https://twitter.com/sergio_fajardo/status/1212084724119810048","1212084724119810048")</f>
        <v>1212084724119810048</v>
      </c>
      <c r="F78" s="7" t="s">
        <v>17</v>
      </c>
      <c r="G78" s="7">
        <v>1479239</v>
      </c>
      <c r="H78" s="7">
        <v>356</v>
      </c>
      <c r="I78" s="7">
        <v>6</v>
      </c>
      <c r="J78" s="7">
        <v>0</v>
      </c>
      <c r="K78" s="7" t="s">
        <v>18</v>
      </c>
      <c r="L78" s="8">
        <v>39891.213356481479</v>
      </c>
      <c r="M78" s="9" t="s">
        <v>19</v>
      </c>
      <c r="N78" s="9" t="s">
        <v>22</v>
      </c>
      <c r="O78" s="6" t="str">
        <f>HYPERLINK("https://pbs.twimg.com/profile_images/988971255679324162/jrqiIYf__normal.jpg","View")</f>
        <v>View</v>
      </c>
      <c r="P78" s="7"/>
    </row>
    <row r="79" spans="1:16">
      <c r="A79" s="3">
        <v>43831.231898148151</v>
      </c>
      <c r="B79" s="4" t="str">
        <f>HYPERLINK("https://twitter.com/sergio_fajardo","@sergio_fajardo")</f>
        <v>@sergio_fajardo</v>
      </c>
      <c r="C79" s="5" t="s">
        <v>16</v>
      </c>
      <c r="D79" s="5" t="s">
        <v>103</v>
      </c>
      <c r="E79" s="6" t="str">
        <f>HYPERLINK("https://twitter.com/sergio_fajardo/status/1212162503754563584","1212162503754563584")</f>
        <v>1212162503754563584</v>
      </c>
      <c r="F79" s="7" t="s">
        <v>17</v>
      </c>
      <c r="G79" s="7">
        <v>1479269</v>
      </c>
      <c r="H79" s="7">
        <v>356</v>
      </c>
      <c r="I79" s="7">
        <v>1799</v>
      </c>
      <c r="J79" s="7">
        <v>0</v>
      </c>
      <c r="K79" s="7" t="s">
        <v>18</v>
      </c>
      <c r="L79" s="8">
        <v>39891.213356481479</v>
      </c>
      <c r="M79" s="9" t="s">
        <v>19</v>
      </c>
      <c r="N79" s="9" t="s">
        <v>22</v>
      </c>
      <c r="O79" s="6" t="str">
        <f>HYPERLINK("https://pbs.twimg.com/profile_images/988971255679324162/jrqiIYf__normal.jpg","View")</f>
        <v>View</v>
      </c>
      <c r="P79" s="7"/>
    </row>
    <row r="80" spans="1:16">
      <c r="A80" s="3">
        <v>43831.249884259261</v>
      </c>
      <c r="B80" s="4" t="str">
        <f>HYPERLINK("https://twitter.com/sergio_fajardo","@sergio_fajardo")</f>
        <v>@sergio_fajardo</v>
      </c>
      <c r="C80" s="5" t="s">
        <v>16</v>
      </c>
      <c r="D80" s="5" t="s">
        <v>104</v>
      </c>
      <c r="E80" s="6" t="str">
        <f>HYPERLINK("https://twitter.com/sergio_fajardo/status/1212169021652635648","1212169021652635648")</f>
        <v>1212169021652635648</v>
      </c>
      <c r="F80" s="7" t="s">
        <v>17</v>
      </c>
      <c r="G80" s="7">
        <v>1479270</v>
      </c>
      <c r="H80" s="7">
        <v>356</v>
      </c>
      <c r="I80" s="7">
        <v>9</v>
      </c>
      <c r="J80" s="7">
        <v>39</v>
      </c>
      <c r="K80" s="7" t="s">
        <v>18</v>
      </c>
      <c r="L80" s="8">
        <v>39891.213356481479</v>
      </c>
      <c r="M80" s="9" t="s">
        <v>19</v>
      </c>
      <c r="N80" s="9" t="s">
        <v>22</v>
      </c>
      <c r="O80" s="6" t="str">
        <f>HYPERLINK("https://pbs.twimg.com/profile_images/988971255679324162/jrqiIYf__normal.jpg","View")</f>
        <v>View</v>
      </c>
      <c r="P80" s="7"/>
    </row>
    <row r="81" spans="1:16">
      <c r="A81" s="3">
        <v>43831.250543981485</v>
      </c>
      <c r="B81" s="4" t="str">
        <f>HYPERLINK("https://twitter.com/sergio_fajardo","@sergio_fajardo")</f>
        <v>@sergio_fajardo</v>
      </c>
      <c r="C81" s="5" t="s">
        <v>16</v>
      </c>
      <c r="D81" s="5" t="s">
        <v>105</v>
      </c>
      <c r="E81" s="6" t="str">
        <f>HYPERLINK("https://twitter.com/sergio_fajardo/status/1212169260308537344","1212169260308537344")</f>
        <v>1212169260308537344</v>
      </c>
      <c r="F81" s="7" t="s">
        <v>17</v>
      </c>
      <c r="G81" s="7">
        <v>1479270</v>
      </c>
      <c r="H81" s="7">
        <v>356</v>
      </c>
      <c r="I81" s="7">
        <v>5</v>
      </c>
      <c r="J81" s="7">
        <v>0</v>
      </c>
      <c r="K81" s="7" t="s">
        <v>18</v>
      </c>
      <c r="L81" s="8">
        <v>39891.213356481479</v>
      </c>
      <c r="M81" s="9" t="s">
        <v>19</v>
      </c>
      <c r="N81" s="9" t="s">
        <v>22</v>
      </c>
      <c r="O81" s="6" t="str">
        <f>HYPERLINK("https://pbs.twimg.com/profile_images/988971255679324162/jrqiIYf__normal.jpg","View")</f>
        <v>View</v>
      </c>
      <c r="P81" s="7"/>
    </row>
    <row r="82" spans="1:16">
      <c r="A82" s="3">
        <v>43832.171273148153</v>
      </c>
      <c r="B82" s="4" t="str">
        <f>HYPERLINK("https://twitter.com/sergio_fajardo","@sergio_fajardo")</f>
        <v>@sergio_fajardo</v>
      </c>
      <c r="C82" s="5" t="s">
        <v>16</v>
      </c>
      <c r="D82" s="5" t="s">
        <v>106</v>
      </c>
      <c r="E82" s="6" t="str">
        <f>HYPERLINK("https://twitter.com/sergio_fajardo/status/1212502920412962816","1212502920412962816")</f>
        <v>1212502920412962816</v>
      </c>
      <c r="F82" s="7" t="s">
        <v>17</v>
      </c>
      <c r="G82" s="7">
        <v>1479429</v>
      </c>
      <c r="H82" s="7">
        <v>356</v>
      </c>
      <c r="I82" s="7">
        <v>32</v>
      </c>
      <c r="J82" s="7">
        <v>210</v>
      </c>
      <c r="K82" s="7" t="s">
        <v>18</v>
      </c>
      <c r="L82" s="8">
        <v>39891.213356481479</v>
      </c>
      <c r="M82" s="9" t="s">
        <v>19</v>
      </c>
      <c r="N82" s="9" t="s">
        <v>22</v>
      </c>
      <c r="O82" s="6" t="str">
        <f>HYPERLINK("https://pbs.twimg.com/profile_images/988971255679324162/jrqiIYf__normal.jpg","View")</f>
        <v>View</v>
      </c>
      <c r="P82" s="7"/>
    </row>
    <row r="83" spans="1:16">
      <c r="A83" s="3">
        <v>43832.172962962963</v>
      </c>
      <c r="B83" s="4" t="str">
        <f>HYPERLINK("https://twitter.com/sergio_fajardo","@sergio_fajardo")</f>
        <v>@sergio_fajardo</v>
      </c>
      <c r="C83" s="5" t="s">
        <v>16</v>
      </c>
      <c r="D83" s="5" t="s">
        <v>107</v>
      </c>
      <c r="E83" s="6" t="str">
        <f>HYPERLINK("https://twitter.com/sergio_fajardo/status/1212503534824022021","1212503534824022021")</f>
        <v>1212503534824022021</v>
      </c>
      <c r="F83" s="7" t="s">
        <v>17</v>
      </c>
      <c r="G83" s="7">
        <v>1479429</v>
      </c>
      <c r="H83" s="7">
        <v>356</v>
      </c>
      <c r="I83" s="7">
        <v>17</v>
      </c>
      <c r="J83" s="7">
        <v>0</v>
      </c>
      <c r="K83" s="7" t="s">
        <v>18</v>
      </c>
      <c r="L83" s="8">
        <v>39891.213356481479</v>
      </c>
      <c r="M83" s="9" t="s">
        <v>19</v>
      </c>
      <c r="N83" s="9" t="s">
        <v>22</v>
      </c>
      <c r="O83" s="6" t="str">
        <f>HYPERLINK("https://pbs.twimg.com/profile_images/988971255679324162/jrqiIYf__normal.jpg","View")</f>
        <v>View</v>
      </c>
      <c r="P83" s="7"/>
    </row>
    <row r="84" spans="1:16">
      <c r="A84" s="3">
        <v>43832.355937500004</v>
      </c>
      <c r="B84" s="4" t="str">
        <f>HYPERLINK("https://twitter.com/sergio_fajardo","@sergio_fajardo")</f>
        <v>@sergio_fajardo</v>
      </c>
      <c r="C84" s="5" t="s">
        <v>16</v>
      </c>
      <c r="D84" s="5" t="s">
        <v>108</v>
      </c>
      <c r="E84" s="6" t="str">
        <f>HYPERLINK("https://twitter.com/sergio_fajardo/status/1212569841644769282","1212569841644769282")</f>
        <v>1212569841644769282</v>
      </c>
      <c r="F84" s="7" t="s">
        <v>17</v>
      </c>
      <c r="G84" s="7">
        <v>1479490</v>
      </c>
      <c r="H84" s="7">
        <v>356</v>
      </c>
      <c r="I84" s="7">
        <v>2</v>
      </c>
      <c r="J84" s="7">
        <v>0</v>
      </c>
      <c r="K84" s="7" t="s">
        <v>18</v>
      </c>
      <c r="L84" s="8">
        <v>39891.213356481479</v>
      </c>
      <c r="M84" s="9" t="s">
        <v>19</v>
      </c>
      <c r="N84" s="9" t="s">
        <v>22</v>
      </c>
      <c r="O84" s="6" t="str">
        <f>HYPERLINK("https://pbs.twimg.com/profile_images/988971255679324162/jrqiIYf__normal.jpg","View")</f>
        <v>View</v>
      </c>
      <c r="P84" s="7"/>
    </row>
    <row r="85" spans="1:16">
      <c r="A85" s="3">
        <v>43833.220081018517</v>
      </c>
      <c r="B85" s="4" t="str">
        <f>HYPERLINK("https://twitter.com/sergio_fajardo","@sergio_fajardo")</f>
        <v>@sergio_fajardo</v>
      </c>
      <c r="C85" s="5" t="s">
        <v>16</v>
      </c>
      <c r="D85" s="5" t="s">
        <v>109</v>
      </c>
      <c r="E85" s="6" t="str">
        <f>HYPERLINK("https://twitter.com/sergio_fajardo/status/1212882997696966657","1212882997696966657")</f>
        <v>1212882997696966657</v>
      </c>
      <c r="F85" s="7" t="s">
        <v>17</v>
      </c>
      <c r="G85" s="7">
        <v>1479704</v>
      </c>
      <c r="H85" s="7">
        <v>355</v>
      </c>
      <c r="I85" s="7">
        <v>3</v>
      </c>
      <c r="J85" s="7">
        <v>0</v>
      </c>
      <c r="K85" s="7" t="s">
        <v>18</v>
      </c>
      <c r="L85" s="8">
        <v>39891.213356481479</v>
      </c>
      <c r="M85" s="9" t="s">
        <v>19</v>
      </c>
      <c r="N85" s="9" t="s">
        <v>22</v>
      </c>
      <c r="O85" s="6" t="str">
        <f>HYPERLINK("https://pbs.twimg.com/profile_images/988971255679324162/jrqiIYf__normal.jpg","View")</f>
        <v>View</v>
      </c>
      <c r="P85" s="7"/>
    </row>
    <row r="86" spans="1:16">
      <c r="A86" s="3">
        <v>43833.220254629632</v>
      </c>
      <c r="B86" s="4" t="str">
        <f>HYPERLINK("https://twitter.com/sergio_fajardo","@sergio_fajardo")</f>
        <v>@sergio_fajardo</v>
      </c>
      <c r="C86" s="5" t="s">
        <v>16</v>
      </c>
      <c r="D86" s="5" t="s">
        <v>110</v>
      </c>
      <c r="E86" s="6" t="str">
        <f>HYPERLINK("https://twitter.com/sergio_fajardo/status/1212883060284370944","1212883060284370944")</f>
        <v>1212883060284370944</v>
      </c>
      <c r="F86" s="7" t="s">
        <v>17</v>
      </c>
      <c r="G86" s="7">
        <v>1479704</v>
      </c>
      <c r="H86" s="7">
        <v>355</v>
      </c>
      <c r="I86" s="7">
        <v>2</v>
      </c>
      <c r="J86" s="7">
        <v>0</v>
      </c>
      <c r="K86" s="7" t="s">
        <v>18</v>
      </c>
      <c r="L86" s="8">
        <v>39891.213356481479</v>
      </c>
      <c r="M86" s="9" t="s">
        <v>19</v>
      </c>
      <c r="N86" s="9" t="s">
        <v>22</v>
      </c>
      <c r="O86" s="6" t="str">
        <f>HYPERLINK("https://pbs.twimg.com/profile_images/988971255679324162/jrqiIYf__normal.jpg","View")</f>
        <v>View</v>
      </c>
      <c r="P86" s="7"/>
    </row>
    <row r="87" spans="1:16">
      <c r="A87" s="3">
        <v>43833.220347222217</v>
      </c>
      <c r="B87" s="4" t="str">
        <f>HYPERLINK("https://twitter.com/sergio_fajardo","@sergio_fajardo")</f>
        <v>@sergio_fajardo</v>
      </c>
      <c r="C87" s="5" t="s">
        <v>16</v>
      </c>
      <c r="D87" s="5" t="s">
        <v>111</v>
      </c>
      <c r="E87" s="6" t="str">
        <f>HYPERLINK("https://twitter.com/sergio_fajardo/status/1212883094321139712","1212883094321139712")</f>
        <v>1212883094321139712</v>
      </c>
      <c r="F87" s="7" t="s">
        <v>17</v>
      </c>
      <c r="G87" s="7">
        <v>1479711</v>
      </c>
      <c r="H87" s="7">
        <v>355</v>
      </c>
      <c r="I87" s="7">
        <v>2</v>
      </c>
      <c r="J87" s="7">
        <v>0</v>
      </c>
      <c r="K87" s="7" t="s">
        <v>18</v>
      </c>
      <c r="L87" s="8">
        <v>39891.213356481479</v>
      </c>
      <c r="M87" s="9" t="s">
        <v>19</v>
      </c>
      <c r="N87" s="9" t="s">
        <v>22</v>
      </c>
      <c r="O87" s="6" t="str">
        <f>HYPERLINK("https://pbs.twimg.com/profile_images/988971255679324162/jrqiIYf__normal.jpg","View")</f>
        <v>View</v>
      </c>
      <c r="P87" s="7"/>
    </row>
    <row r="88" spans="1:16">
      <c r="A88" s="3">
        <v>43833.220370370371</v>
      </c>
      <c r="B88" s="4" t="str">
        <f>HYPERLINK("https://twitter.com/sergio_fajardo","@sergio_fajardo")</f>
        <v>@sergio_fajardo</v>
      </c>
      <c r="C88" s="5" t="s">
        <v>16</v>
      </c>
      <c r="D88" s="5" t="s">
        <v>112</v>
      </c>
      <c r="E88" s="6" t="str">
        <f>HYPERLINK("https://twitter.com/sergio_fajardo/status/1212883103833825280","1212883103833825280")</f>
        <v>1212883103833825280</v>
      </c>
      <c r="F88" s="7" t="s">
        <v>17</v>
      </c>
      <c r="G88" s="7">
        <v>1479711</v>
      </c>
      <c r="H88" s="7">
        <v>355</v>
      </c>
      <c r="I88" s="7">
        <v>3</v>
      </c>
      <c r="J88" s="7">
        <v>0</v>
      </c>
      <c r="K88" s="7" t="s">
        <v>18</v>
      </c>
      <c r="L88" s="8">
        <v>39891.213356481479</v>
      </c>
      <c r="M88" s="9" t="s">
        <v>19</v>
      </c>
      <c r="N88" s="9" t="s">
        <v>22</v>
      </c>
      <c r="O88" s="6" t="str">
        <f>HYPERLINK("https://pbs.twimg.com/profile_images/988971255679324162/jrqiIYf__normal.jpg","View")</f>
        <v>View</v>
      </c>
      <c r="P88" s="7"/>
    </row>
    <row r="89" spans="1:16">
      <c r="A89" s="3">
        <v>43833.220497685186</v>
      </c>
      <c r="B89" s="4" t="str">
        <f>HYPERLINK("https://twitter.com/sergio_fajardo","@sergio_fajardo")</f>
        <v>@sergio_fajardo</v>
      </c>
      <c r="C89" s="5" t="s">
        <v>16</v>
      </c>
      <c r="D89" s="5" t="s">
        <v>113</v>
      </c>
      <c r="E89" s="6" t="str">
        <f>HYPERLINK("https://twitter.com/sergio_fajardo/status/1212883147597271040","1212883147597271040")</f>
        <v>1212883147597271040</v>
      </c>
      <c r="F89" s="7" t="s">
        <v>17</v>
      </c>
      <c r="G89" s="7">
        <v>1479711</v>
      </c>
      <c r="H89" s="7">
        <v>355</v>
      </c>
      <c r="I89" s="7">
        <v>13</v>
      </c>
      <c r="J89" s="7">
        <v>0</v>
      </c>
      <c r="K89" s="7" t="s">
        <v>18</v>
      </c>
      <c r="L89" s="8">
        <v>39891.213356481479</v>
      </c>
      <c r="M89" s="9" t="s">
        <v>19</v>
      </c>
      <c r="N89" s="9" t="s">
        <v>22</v>
      </c>
      <c r="O89" s="6" t="str">
        <f>HYPERLINK("https://pbs.twimg.com/profile_images/988971255679324162/jrqiIYf__normal.jpg","View")</f>
        <v>View</v>
      </c>
      <c r="P89" s="7"/>
    </row>
    <row r="90" spans="1:16">
      <c r="A90" s="3">
        <v>43833.220625000002</v>
      </c>
      <c r="B90" s="4" t="str">
        <f>HYPERLINK("https://twitter.com/sergio_fajardo","@sergio_fajardo")</f>
        <v>@sergio_fajardo</v>
      </c>
      <c r="C90" s="5" t="s">
        <v>16</v>
      </c>
      <c r="D90" s="5" t="s">
        <v>114</v>
      </c>
      <c r="E90" s="6" t="str">
        <f>HYPERLINK("https://twitter.com/sergio_fajardo/status/1212883194753585152","1212883194753585152")</f>
        <v>1212883194753585152</v>
      </c>
      <c r="F90" s="7" t="s">
        <v>17</v>
      </c>
      <c r="G90" s="7">
        <v>1479711</v>
      </c>
      <c r="H90" s="7">
        <v>355</v>
      </c>
      <c r="I90" s="7">
        <v>8</v>
      </c>
      <c r="J90" s="7">
        <v>0</v>
      </c>
      <c r="K90" s="7" t="s">
        <v>18</v>
      </c>
      <c r="L90" s="8">
        <v>39891.213356481479</v>
      </c>
      <c r="M90" s="9" t="s">
        <v>19</v>
      </c>
      <c r="N90" s="9" t="s">
        <v>22</v>
      </c>
      <c r="O90" s="6" t="str">
        <f>HYPERLINK("https://pbs.twimg.com/profile_images/988971255679324162/jrqiIYf__normal.jpg","View")</f>
        <v>View</v>
      </c>
      <c r="P90" s="7"/>
    </row>
    <row r="91" spans="1:16">
      <c r="A91" s="3">
        <v>43833.220763888894</v>
      </c>
      <c r="B91" s="4" t="str">
        <f>HYPERLINK("https://twitter.com/sergio_fajardo","@sergio_fajardo")</f>
        <v>@sergio_fajardo</v>
      </c>
      <c r="C91" s="5" t="s">
        <v>16</v>
      </c>
      <c r="D91" s="5" t="s">
        <v>115</v>
      </c>
      <c r="E91" s="6" t="str">
        <f>HYPERLINK("https://twitter.com/sergio_fajardo/status/1212883245932728321","1212883245932728321")</f>
        <v>1212883245932728321</v>
      </c>
      <c r="F91" s="7" t="s">
        <v>17</v>
      </c>
      <c r="G91" s="7">
        <v>1479711</v>
      </c>
      <c r="H91" s="7">
        <v>355</v>
      </c>
      <c r="I91" s="7">
        <v>7</v>
      </c>
      <c r="J91" s="7">
        <v>0</v>
      </c>
      <c r="K91" s="7" t="s">
        <v>18</v>
      </c>
      <c r="L91" s="8">
        <v>39891.213356481479</v>
      </c>
      <c r="M91" s="9" t="s">
        <v>19</v>
      </c>
      <c r="N91" s="9" t="s">
        <v>22</v>
      </c>
      <c r="O91" s="6" t="str">
        <f>HYPERLINK("https://pbs.twimg.com/profile_images/988971255679324162/jrqiIYf__normal.jpg","View")</f>
        <v>View</v>
      </c>
      <c r="P91" s="7"/>
    </row>
    <row r="92" spans="1:16">
      <c r="A92" s="3">
        <v>43833.220775462964</v>
      </c>
      <c r="B92" s="4" t="str">
        <f>HYPERLINK("https://twitter.com/sergio_fajardo","@sergio_fajardo")</f>
        <v>@sergio_fajardo</v>
      </c>
      <c r="C92" s="5" t="s">
        <v>16</v>
      </c>
      <c r="D92" s="5" t="s">
        <v>116</v>
      </c>
      <c r="E92" s="6" t="str">
        <f>HYPERLINK("https://twitter.com/sergio_fajardo/status/1212883247530725381","1212883247530725381")</f>
        <v>1212883247530725381</v>
      </c>
      <c r="F92" s="7" t="s">
        <v>17</v>
      </c>
      <c r="G92" s="7">
        <v>1479711</v>
      </c>
      <c r="H92" s="7">
        <v>355</v>
      </c>
      <c r="I92" s="7">
        <v>7</v>
      </c>
      <c r="J92" s="7">
        <v>0</v>
      </c>
      <c r="K92" s="7" t="s">
        <v>18</v>
      </c>
      <c r="L92" s="8">
        <v>39891.213356481479</v>
      </c>
      <c r="M92" s="9" t="s">
        <v>19</v>
      </c>
      <c r="N92" s="9" t="s">
        <v>22</v>
      </c>
      <c r="O92" s="6" t="str">
        <f>HYPERLINK("https://pbs.twimg.com/profile_images/988971255679324162/jrqiIYf__normal.jpg","View")</f>
        <v>View</v>
      </c>
      <c r="P92" s="7"/>
    </row>
    <row r="93" spans="1:16">
      <c r="A93" s="3">
        <v>43833.383784722224</v>
      </c>
      <c r="B93" s="4" t="str">
        <f>HYPERLINK("https://twitter.com/sergio_fajardo","@sergio_fajardo")</f>
        <v>@sergio_fajardo</v>
      </c>
      <c r="C93" s="5" t="s">
        <v>16</v>
      </c>
      <c r="D93" s="5" t="s">
        <v>117</v>
      </c>
      <c r="E93" s="6" t="str">
        <f>HYPERLINK("https://twitter.com/sergio_fajardo/status/1212942320678703110","1212942320678703110")</f>
        <v>1212942320678703110</v>
      </c>
      <c r="F93" s="7" t="s">
        <v>17</v>
      </c>
      <c r="G93" s="7">
        <v>1479787</v>
      </c>
      <c r="H93" s="7">
        <v>356</v>
      </c>
      <c r="I93" s="7">
        <v>6</v>
      </c>
      <c r="J93" s="7">
        <v>0</v>
      </c>
      <c r="K93" s="7" t="s">
        <v>18</v>
      </c>
      <c r="L93" s="8">
        <v>39891.213356481479</v>
      </c>
      <c r="M93" s="9" t="s">
        <v>19</v>
      </c>
      <c r="N93" s="9" t="s">
        <v>22</v>
      </c>
      <c r="O93" s="6" t="str">
        <f>HYPERLINK("https://pbs.twimg.com/profile_images/988971255679324162/jrqiIYf__normal.jpg","View")</f>
        <v>View</v>
      </c>
      <c r="P93" s="7"/>
    </row>
    <row r="94" spans="1:16">
      <c r="A94" s="3">
        <v>43833.42460648148</v>
      </c>
      <c r="B94" s="4" t="str">
        <f>HYPERLINK("https://twitter.com/sergio_fajardo","@sergio_fajardo")</f>
        <v>@sergio_fajardo</v>
      </c>
      <c r="C94" s="5" t="s">
        <v>16</v>
      </c>
      <c r="D94" s="5" t="s">
        <v>118</v>
      </c>
      <c r="E94" s="6" t="str">
        <f>HYPERLINK("https://twitter.com/sergio_fajardo/status/1212957116857753600","1212957116857753600")</f>
        <v>1212957116857753600</v>
      </c>
      <c r="F94" s="7" t="s">
        <v>17</v>
      </c>
      <c r="G94" s="7">
        <v>1479797</v>
      </c>
      <c r="H94" s="7">
        <v>356</v>
      </c>
      <c r="I94" s="7">
        <v>6</v>
      </c>
      <c r="J94" s="7">
        <v>0</v>
      </c>
      <c r="K94" s="7" t="s">
        <v>18</v>
      </c>
      <c r="L94" s="8">
        <v>39891.213356481479</v>
      </c>
      <c r="M94" s="9" t="s">
        <v>19</v>
      </c>
      <c r="N94" s="9" t="s">
        <v>22</v>
      </c>
      <c r="O94" s="6" t="str">
        <f>HYPERLINK("https://pbs.twimg.com/profile_images/988971255679324162/jrqiIYf__normal.jpg","View")</f>
        <v>View</v>
      </c>
      <c r="P94" s="7"/>
    </row>
    <row r="95" spans="1:16">
      <c r="A95" s="3">
        <v>43833.852222222224</v>
      </c>
      <c r="B95" s="4" t="str">
        <f>HYPERLINK("https://twitter.com/sergio_fajardo","@sergio_fajardo")</f>
        <v>@sergio_fajardo</v>
      </c>
      <c r="C95" s="5" t="s">
        <v>16</v>
      </c>
      <c r="D95" s="5" t="s">
        <v>119</v>
      </c>
      <c r="E95" s="6" t="str">
        <f>HYPERLINK("https://twitter.com/sergio_fajardo/status/1213112075783983110","1213112075783983110")</f>
        <v>1213112075783983110</v>
      </c>
      <c r="F95" s="7" t="s">
        <v>17</v>
      </c>
      <c r="G95" s="7">
        <v>1479900</v>
      </c>
      <c r="H95" s="7">
        <v>356</v>
      </c>
      <c r="I95" s="7">
        <v>3</v>
      </c>
      <c r="J95" s="7">
        <v>0</v>
      </c>
      <c r="K95" s="7" t="s">
        <v>18</v>
      </c>
      <c r="L95" s="8">
        <v>39891.213356481479</v>
      </c>
      <c r="M95" s="9" t="s">
        <v>19</v>
      </c>
      <c r="N95" s="9" t="s">
        <v>22</v>
      </c>
      <c r="O95" s="6" t="str">
        <f>HYPERLINK("https://pbs.twimg.com/profile_images/988971255679324162/jrqiIYf__normal.jpg","View")</f>
        <v>View</v>
      </c>
      <c r="P95" s="7"/>
    </row>
    <row r="96" spans="1:16">
      <c r="A96" s="3">
        <v>43833.938761574071</v>
      </c>
      <c r="B96" s="4" t="str">
        <f>HYPERLINK("https://twitter.com/sergio_fajardo","@sergio_fajardo")</f>
        <v>@sergio_fajardo</v>
      </c>
      <c r="C96" s="5" t="s">
        <v>16</v>
      </c>
      <c r="D96" s="5" t="s">
        <v>120</v>
      </c>
      <c r="E96" s="6" t="str">
        <f>HYPERLINK("https://twitter.com/sergio_fajardo/status/1213143439602307072","1213143439602307072")</f>
        <v>1213143439602307072</v>
      </c>
      <c r="F96" s="7" t="s">
        <v>17</v>
      </c>
      <c r="G96" s="7">
        <v>1479939</v>
      </c>
      <c r="H96" s="7">
        <v>356</v>
      </c>
      <c r="I96" s="7">
        <v>1</v>
      </c>
      <c r="J96" s="7">
        <v>0</v>
      </c>
      <c r="K96" s="7" t="s">
        <v>18</v>
      </c>
      <c r="L96" s="8">
        <v>39891.213356481479</v>
      </c>
      <c r="M96" s="9" t="s">
        <v>19</v>
      </c>
      <c r="N96" s="9" t="s">
        <v>22</v>
      </c>
      <c r="O96" s="6" t="str">
        <f>HYPERLINK("https://pbs.twimg.com/profile_images/988971255679324162/jrqiIYf__normal.jpg","View")</f>
        <v>View</v>
      </c>
      <c r="P96" s="7"/>
    </row>
    <row r="97" spans="1:16">
      <c r="A97" s="3">
        <v>43833.938969907409</v>
      </c>
      <c r="B97" s="4" t="str">
        <f>HYPERLINK("https://twitter.com/sergio_fajardo","@sergio_fajardo")</f>
        <v>@sergio_fajardo</v>
      </c>
      <c r="C97" s="5" t="s">
        <v>16</v>
      </c>
      <c r="D97" s="5" t="s">
        <v>121</v>
      </c>
      <c r="E97" s="6" t="str">
        <f>HYPERLINK("https://twitter.com/sergio_fajardo/status/1213143514101493760","1213143514101493760")</f>
        <v>1213143514101493760</v>
      </c>
      <c r="F97" s="7" t="s">
        <v>17</v>
      </c>
      <c r="G97" s="7">
        <v>1479939</v>
      </c>
      <c r="H97" s="7">
        <v>356</v>
      </c>
      <c r="I97" s="7">
        <v>17</v>
      </c>
      <c r="J97" s="7">
        <v>0</v>
      </c>
      <c r="K97" s="7" t="s">
        <v>18</v>
      </c>
      <c r="L97" s="8">
        <v>39891.213356481479</v>
      </c>
      <c r="M97" s="9" t="s">
        <v>19</v>
      </c>
      <c r="N97" s="9" t="s">
        <v>22</v>
      </c>
      <c r="O97" s="6" t="str">
        <f>HYPERLINK("https://pbs.twimg.com/profile_images/988971255679324162/jrqiIYf__normal.jpg","View")</f>
        <v>View</v>
      </c>
      <c r="P97" s="7"/>
    </row>
    <row r="98" spans="1:16">
      <c r="A98" s="3">
        <v>43833.950208333335</v>
      </c>
      <c r="B98" s="4" t="str">
        <f>HYPERLINK("https://twitter.com/sergio_fajardo","@sergio_fajardo")</f>
        <v>@sergio_fajardo</v>
      </c>
      <c r="C98" s="5" t="s">
        <v>16</v>
      </c>
      <c r="D98" s="5" t="s">
        <v>122</v>
      </c>
      <c r="E98" s="6" t="str">
        <f>HYPERLINK("https://twitter.com/sergio_fajardo/status/1213147585361387527","1213147585361387527")</f>
        <v>1213147585361387527</v>
      </c>
      <c r="F98" s="7" t="s">
        <v>17</v>
      </c>
      <c r="G98" s="7">
        <v>1479935</v>
      </c>
      <c r="H98" s="7">
        <v>356</v>
      </c>
      <c r="I98" s="7">
        <v>36</v>
      </c>
      <c r="J98" s="7">
        <v>119</v>
      </c>
      <c r="K98" s="7" t="s">
        <v>18</v>
      </c>
      <c r="L98" s="8">
        <v>39891.213356481479</v>
      </c>
      <c r="M98" s="9" t="s">
        <v>19</v>
      </c>
      <c r="N98" s="9" t="s">
        <v>22</v>
      </c>
      <c r="O98" s="6" t="str">
        <f>HYPERLINK("https://pbs.twimg.com/profile_images/988971255679324162/jrqiIYf__normal.jpg","View")</f>
        <v>View</v>
      </c>
      <c r="P98" s="7"/>
    </row>
    <row r="99" spans="1:16">
      <c r="A99" s="3">
        <v>43833.957245370373</v>
      </c>
      <c r="B99" s="4" t="str">
        <f>HYPERLINK("https://twitter.com/sergio_fajardo","@sergio_fajardo")</f>
        <v>@sergio_fajardo</v>
      </c>
      <c r="C99" s="5" t="s">
        <v>16</v>
      </c>
      <c r="D99" s="5" t="s">
        <v>123</v>
      </c>
      <c r="E99" s="6" t="str">
        <f>HYPERLINK("https://twitter.com/sergio_fajardo/status/1213150136857223170","1213150136857223170")</f>
        <v>1213150136857223170</v>
      </c>
      <c r="F99" s="7" t="s">
        <v>17</v>
      </c>
      <c r="G99" s="7">
        <v>1479935</v>
      </c>
      <c r="H99" s="7">
        <v>356</v>
      </c>
      <c r="I99" s="7">
        <v>16</v>
      </c>
      <c r="J99" s="7">
        <v>43</v>
      </c>
      <c r="K99" s="7" t="s">
        <v>18</v>
      </c>
      <c r="L99" s="8">
        <v>39891.213356481479</v>
      </c>
      <c r="M99" s="9" t="s">
        <v>19</v>
      </c>
      <c r="N99" s="9" t="s">
        <v>22</v>
      </c>
      <c r="O99" s="6" t="str">
        <f>HYPERLINK("https://pbs.twimg.com/profile_images/988971255679324162/jrqiIYf__normal.jpg","View")</f>
        <v>View</v>
      </c>
      <c r="P99" s="7"/>
    </row>
    <row r="100" spans="1:16">
      <c r="A100" s="3">
        <v>43833.957928240736</v>
      </c>
      <c r="B100" s="4" t="str">
        <f>HYPERLINK("https://twitter.com/sergio_fajardo","@sergio_fajardo")</f>
        <v>@sergio_fajardo</v>
      </c>
      <c r="C100" s="5" t="s">
        <v>16</v>
      </c>
      <c r="D100" s="5" t="s">
        <v>124</v>
      </c>
      <c r="E100" s="6" t="str">
        <f>HYPERLINK("https://twitter.com/sergio_fajardo/status/1213150384069451777","1213150384069451777")</f>
        <v>1213150384069451777</v>
      </c>
      <c r="F100" s="7" t="s">
        <v>17</v>
      </c>
      <c r="G100" s="7">
        <v>1479935</v>
      </c>
      <c r="H100" s="7">
        <v>356</v>
      </c>
      <c r="I100" s="7">
        <v>59</v>
      </c>
      <c r="J100" s="7">
        <v>0</v>
      </c>
      <c r="K100" s="7" t="s">
        <v>18</v>
      </c>
      <c r="L100" s="8">
        <v>39891.213356481479</v>
      </c>
      <c r="M100" s="9" t="s">
        <v>19</v>
      </c>
      <c r="N100" s="9" t="s">
        <v>22</v>
      </c>
      <c r="O100" s="6" t="str">
        <f>HYPERLINK("https://pbs.twimg.com/profile_images/988971255679324162/jrqiIYf__normal.jpg","View")</f>
        <v>View</v>
      </c>
      <c r="P100" s="7"/>
    </row>
    <row r="101" spans="1:16">
      <c r="A101" s="3">
        <v>43833.975266203706</v>
      </c>
      <c r="B101" s="4" t="str">
        <f>HYPERLINK("https://twitter.com/sergio_fajardo","@sergio_fajardo")</f>
        <v>@sergio_fajardo</v>
      </c>
      <c r="C101" s="5" t="s">
        <v>16</v>
      </c>
      <c r="D101" s="5" t="s">
        <v>125</v>
      </c>
      <c r="E101" s="6" t="str">
        <f>HYPERLINK("https://twitter.com/sergio_fajardo/status/1213156666214100995","1213156666214100995")</f>
        <v>1213156666214100995</v>
      </c>
      <c r="F101" s="7" t="s">
        <v>17</v>
      </c>
      <c r="G101" s="7">
        <v>1479945</v>
      </c>
      <c r="H101" s="7">
        <v>356</v>
      </c>
      <c r="I101" s="7">
        <v>10</v>
      </c>
      <c r="J101" s="7">
        <v>0</v>
      </c>
      <c r="K101" s="7" t="s">
        <v>18</v>
      </c>
      <c r="L101" s="8">
        <v>39891.213356481479</v>
      </c>
      <c r="M101" s="9" t="s">
        <v>19</v>
      </c>
      <c r="N101" s="9" t="s">
        <v>22</v>
      </c>
      <c r="O101" s="6" t="str">
        <f>HYPERLINK("https://pbs.twimg.com/profile_images/988971255679324162/jrqiIYf__normal.jpg","View")</f>
        <v>View</v>
      </c>
      <c r="P101" s="7"/>
    </row>
    <row r="102" spans="1:16">
      <c r="A102" s="3">
        <v>43834.001388888893</v>
      </c>
      <c r="B102" s="4" t="str">
        <f>HYPERLINK("https://twitter.com/sergio_fajardo","@sergio_fajardo")</f>
        <v>@sergio_fajardo</v>
      </c>
      <c r="C102" s="5" t="s">
        <v>16</v>
      </c>
      <c r="D102" s="5" t="s">
        <v>126</v>
      </c>
      <c r="E102" s="6" t="str">
        <f>HYPERLINK("https://twitter.com/sergio_fajardo/status/1213166132733054983","1213166132733054983")</f>
        <v>1213166132733054983</v>
      </c>
      <c r="F102" s="7" t="s">
        <v>17</v>
      </c>
      <c r="G102" s="7">
        <v>1479955</v>
      </c>
      <c r="H102" s="7">
        <v>356</v>
      </c>
      <c r="I102" s="7">
        <v>13</v>
      </c>
      <c r="J102" s="7">
        <v>29</v>
      </c>
      <c r="K102" s="7" t="s">
        <v>18</v>
      </c>
      <c r="L102" s="8">
        <v>39891.213356481479</v>
      </c>
      <c r="M102" s="9" t="s">
        <v>19</v>
      </c>
      <c r="N102" s="9" t="s">
        <v>22</v>
      </c>
      <c r="O102" s="6" t="str">
        <f>HYPERLINK("https://pbs.twimg.com/profile_images/988971255679324162/jrqiIYf__normal.jpg","View")</f>
        <v>View</v>
      </c>
      <c r="P102" s="7"/>
    </row>
    <row r="103" spans="1:16">
      <c r="A103" s="3">
        <v>43834.068252314813</v>
      </c>
      <c r="B103" s="4" t="str">
        <f>HYPERLINK("https://twitter.com/sergio_fajardo","@sergio_fajardo")</f>
        <v>@sergio_fajardo</v>
      </c>
      <c r="C103" s="5" t="s">
        <v>16</v>
      </c>
      <c r="D103" s="5" t="s">
        <v>127</v>
      </c>
      <c r="E103" s="6" t="str">
        <f>HYPERLINK("https://twitter.com/sergio_fajardo/status/1213190363671859200","1213190363671859200")</f>
        <v>1213190363671859200</v>
      </c>
      <c r="F103" s="7" t="s">
        <v>17</v>
      </c>
      <c r="G103" s="7">
        <v>1479993</v>
      </c>
      <c r="H103" s="7">
        <v>356</v>
      </c>
      <c r="I103" s="7">
        <v>588</v>
      </c>
      <c r="J103" s="7">
        <v>0</v>
      </c>
      <c r="K103" s="7" t="s">
        <v>18</v>
      </c>
      <c r="L103" s="8">
        <v>39891.213356481479</v>
      </c>
      <c r="M103" s="9" t="s">
        <v>19</v>
      </c>
      <c r="N103" s="9" t="s">
        <v>22</v>
      </c>
      <c r="O103" s="6" t="str">
        <f>HYPERLINK("https://pbs.twimg.com/profile_images/988971255679324162/jrqiIYf__normal.jpg","View")</f>
        <v>View</v>
      </c>
      <c r="P103" s="7"/>
    </row>
    <row r="104" spans="1:16">
      <c r="A104" s="3">
        <v>43835.107476851852</v>
      </c>
      <c r="B104" s="4" t="str">
        <f>HYPERLINK("https://twitter.com/sergio_fajardo","@sergio_fajardo")</f>
        <v>@sergio_fajardo</v>
      </c>
      <c r="C104" s="5" t="s">
        <v>16</v>
      </c>
      <c r="D104" s="5" t="s">
        <v>128</v>
      </c>
      <c r="E104" s="6" t="str">
        <f>HYPERLINK("https://twitter.com/sergio_fajardo/status/1213566967698866178","1213566967698866178")</f>
        <v>1213566967698866178</v>
      </c>
      <c r="F104" s="7" t="s">
        <v>17</v>
      </c>
      <c r="G104" s="7">
        <v>1480355</v>
      </c>
      <c r="H104" s="7">
        <v>356</v>
      </c>
      <c r="I104" s="7">
        <v>1</v>
      </c>
      <c r="J104" s="7">
        <v>7</v>
      </c>
      <c r="K104" s="7" t="s">
        <v>18</v>
      </c>
      <c r="L104" s="8">
        <v>39891.213356481479</v>
      </c>
      <c r="M104" s="9" t="s">
        <v>19</v>
      </c>
      <c r="N104" s="9" t="s">
        <v>22</v>
      </c>
      <c r="O104" s="6" t="str">
        <f>HYPERLINK("https://pbs.twimg.com/profile_images/988971255679324162/jrqiIYf__normal.jpg","View")</f>
        <v>View</v>
      </c>
      <c r="P104" s="7"/>
    </row>
    <row r="105" spans="1:16">
      <c r="A105" s="3">
        <v>43835.109155092592</v>
      </c>
      <c r="B105" s="4" t="str">
        <f>HYPERLINK("https://twitter.com/sergio_fajardo","@sergio_fajardo")</f>
        <v>@sergio_fajardo</v>
      </c>
      <c r="C105" s="5" t="s">
        <v>16</v>
      </c>
      <c r="D105" s="5" t="s">
        <v>129</v>
      </c>
      <c r="E105" s="6" t="str">
        <f>HYPERLINK("https://twitter.com/sergio_fajardo/status/1213567575763955717","1213567575763955717")</f>
        <v>1213567575763955717</v>
      </c>
      <c r="F105" s="7" t="s">
        <v>17</v>
      </c>
      <c r="G105" s="7">
        <v>1480355</v>
      </c>
      <c r="H105" s="7">
        <v>356</v>
      </c>
      <c r="I105" s="7">
        <v>209</v>
      </c>
      <c r="J105" s="7">
        <v>0</v>
      </c>
      <c r="K105" s="7" t="s">
        <v>18</v>
      </c>
      <c r="L105" s="8">
        <v>39891.213356481479</v>
      </c>
      <c r="M105" s="9" t="s">
        <v>19</v>
      </c>
      <c r="N105" s="9" t="s">
        <v>22</v>
      </c>
      <c r="O105" s="6" t="str">
        <f>HYPERLINK("https://pbs.twimg.com/profile_images/988971255679324162/jrqiIYf__normal.jpg","View")</f>
        <v>View</v>
      </c>
      <c r="P105" s="7"/>
    </row>
    <row r="106" spans="1:16">
      <c r="A106" s="3">
        <v>43835.109224537038</v>
      </c>
      <c r="B106" s="4" t="str">
        <f>HYPERLINK("https://twitter.com/sergio_fajardo","@sergio_fajardo")</f>
        <v>@sergio_fajardo</v>
      </c>
      <c r="C106" s="5" t="s">
        <v>16</v>
      </c>
      <c r="D106" s="5" t="s">
        <v>130</v>
      </c>
      <c r="E106" s="6" t="str">
        <f>HYPERLINK("https://twitter.com/sergio_fajardo/status/1213567600908754944","1213567600908754944")</f>
        <v>1213567600908754944</v>
      </c>
      <c r="F106" s="7" t="s">
        <v>17</v>
      </c>
      <c r="G106" s="7">
        <v>1480355</v>
      </c>
      <c r="H106" s="7">
        <v>356</v>
      </c>
      <c r="I106" s="7">
        <v>57</v>
      </c>
      <c r="J106" s="7">
        <v>0</v>
      </c>
      <c r="K106" s="7" t="s">
        <v>18</v>
      </c>
      <c r="L106" s="8">
        <v>39891.213356481479</v>
      </c>
      <c r="M106" s="9" t="s">
        <v>19</v>
      </c>
      <c r="N106" s="9" t="s">
        <v>22</v>
      </c>
      <c r="O106" s="6" t="str">
        <f>HYPERLINK("https://pbs.twimg.com/profile_images/988971255679324162/jrqiIYf__normal.jpg","View")</f>
        <v>View</v>
      </c>
      <c r="P106" s="7"/>
    </row>
    <row r="107" spans="1:16">
      <c r="A107" s="3">
        <v>43835.344791666663</v>
      </c>
      <c r="B107" s="4" t="str">
        <f>HYPERLINK("https://twitter.com/sergio_fajardo","@sergio_fajardo")</f>
        <v>@sergio_fajardo</v>
      </c>
      <c r="C107" s="5" t="s">
        <v>16</v>
      </c>
      <c r="D107" s="5" t="s">
        <v>131</v>
      </c>
      <c r="E107" s="6" t="str">
        <f>HYPERLINK("https://twitter.com/sergio_fajardo/status/1213652966906957825","1213652966906957825")</f>
        <v>1213652966906957825</v>
      </c>
      <c r="F107" s="7" t="s">
        <v>17</v>
      </c>
      <c r="G107" s="7">
        <v>1480431</v>
      </c>
      <c r="H107" s="7">
        <v>356</v>
      </c>
      <c r="I107" s="7">
        <v>6</v>
      </c>
      <c r="J107" s="7">
        <v>0</v>
      </c>
      <c r="K107" s="7" t="s">
        <v>18</v>
      </c>
      <c r="L107" s="8">
        <v>39891.213356481479</v>
      </c>
      <c r="M107" s="9" t="s">
        <v>19</v>
      </c>
      <c r="N107" s="9" t="s">
        <v>22</v>
      </c>
      <c r="O107" s="6" t="str">
        <f>HYPERLINK("https://pbs.twimg.com/profile_images/988971255679324162/jrqiIYf__normal.jpg","View")</f>
        <v>View</v>
      </c>
      <c r="P107" s="7"/>
    </row>
    <row r="108" spans="1:16">
      <c r="A108" s="3">
        <v>43835.348240740743</v>
      </c>
      <c r="B108" s="4" t="str">
        <f>HYPERLINK("https://twitter.com/sergio_fajardo","@sergio_fajardo")</f>
        <v>@sergio_fajardo</v>
      </c>
      <c r="C108" s="5" t="s">
        <v>16</v>
      </c>
      <c r="D108" s="5" t="s">
        <v>132</v>
      </c>
      <c r="E108" s="6" t="str">
        <f>HYPERLINK("https://twitter.com/sergio_fajardo/status/1213654218101469185","1213654218101469185")</f>
        <v>1213654218101469185</v>
      </c>
      <c r="F108" s="7" t="s">
        <v>17</v>
      </c>
      <c r="G108" s="7">
        <v>1480441</v>
      </c>
      <c r="H108" s="7">
        <v>356</v>
      </c>
      <c r="I108" s="7">
        <v>203</v>
      </c>
      <c r="J108" s="7">
        <v>0</v>
      </c>
      <c r="K108" s="7" t="s">
        <v>18</v>
      </c>
      <c r="L108" s="8">
        <v>39891.213356481479</v>
      </c>
      <c r="M108" s="9" t="s">
        <v>19</v>
      </c>
      <c r="N108" s="9" t="s">
        <v>22</v>
      </c>
      <c r="O108" s="6" t="str">
        <f>HYPERLINK("https://pbs.twimg.com/profile_images/988971255679324162/jrqiIYf__normal.jpg","View")</f>
        <v>View</v>
      </c>
      <c r="P108" s="7"/>
    </row>
    <row r="109" spans="1:16">
      <c r="A109" s="3">
        <v>43836.913263888884</v>
      </c>
      <c r="B109" s="4" t="str">
        <f>HYPERLINK("https://twitter.com/sergio_fajardo","@sergio_fajardo")</f>
        <v>@sergio_fajardo</v>
      </c>
      <c r="C109" s="5" t="s">
        <v>16</v>
      </c>
      <c r="D109" s="5" t="s">
        <v>133</v>
      </c>
      <c r="E109" s="6" t="str">
        <f>HYPERLINK("https://twitter.com/sergio_fajardo/status/1214221362295955456","1214221362295955456")</f>
        <v>1214221362295955456</v>
      </c>
      <c r="F109" s="7" t="s">
        <v>17</v>
      </c>
      <c r="G109" s="7">
        <v>1480768</v>
      </c>
      <c r="H109" s="7">
        <v>356</v>
      </c>
      <c r="I109" s="7">
        <v>198</v>
      </c>
      <c r="J109" s="7">
        <v>0</v>
      </c>
      <c r="K109" s="7" t="s">
        <v>18</v>
      </c>
      <c r="L109" s="8">
        <v>39891.213356481479</v>
      </c>
      <c r="M109" s="9" t="s">
        <v>19</v>
      </c>
      <c r="N109" s="9" t="s">
        <v>22</v>
      </c>
      <c r="O109" s="6" t="str">
        <f>HYPERLINK("https://pbs.twimg.com/profile_images/988971255679324162/jrqiIYf__normal.jpg","View")</f>
        <v>View</v>
      </c>
      <c r="P109" s="7"/>
    </row>
    <row r="110" spans="1:16">
      <c r="A110" s="3">
        <v>43838.262615740736</v>
      </c>
      <c r="B110" s="4" t="str">
        <f>HYPERLINK("https://twitter.com/sergio_fajardo","@sergio_fajardo")</f>
        <v>@sergio_fajardo</v>
      </c>
      <c r="C110" s="5" t="s">
        <v>16</v>
      </c>
      <c r="D110" s="5" t="s">
        <v>134</v>
      </c>
      <c r="E110" s="6" t="str">
        <f>HYPERLINK("https://twitter.com/sergio_fajardo/status/1214710349196406786","1214710349196406786")</f>
        <v>1214710349196406786</v>
      </c>
      <c r="F110" s="7" t="s">
        <v>17</v>
      </c>
      <c r="G110" s="7">
        <v>1481159</v>
      </c>
      <c r="H110" s="7">
        <v>356</v>
      </c>
      <c r="I110" s="7">
        <v>272</v>
      </c>
      <c r="J110" s="7">
        <v>0</v>
      </c>
      <c r="K110" s="7" t="s">
        <v>18</v>
      </c>
      <c r="L110" s="8">
        <v>39891.213356481479</v>
      </c>
      <c r="M110" s="9" t="s">
        <v>19</v>
      </c>
      <c r="N110" s="9" t="s">
        <v>22</v>
      </c>
      <c r="O110" s="6" t="str">
        <f>HYPERLINK("https://pbs.twimg.com/profile_images/988971255679324162/jrqiIYf__normal.jpg","View")</f>
        <v>View</v>
      </c>
      <c r="P110" s="7"/>
    </row>
    <row r="111" spans="1:16">
      <c r="A111" s="3">
        <v>43840.388182870374</v>
      </c>
      <c r="B111" s="4" t="str">
        <f>HYPERLINK("https://twitter.com/sergio_fajardo","@sergio_fajardo")</f>
        <v>@sergio_fajardo</v>
      </c>
      <c r="C111" s="5" t="s">
        <v>16</v>
      </c>
      <c r="D111" s="5" t="s">
        <v>135</v>
      </c>
      <c r="E111" s="6" t="str">
        <f>HYPERLINK("https://twitter.com/sergio_fajardo/status/1215480630710063109","1215480630710063109")</f>
        <v>1215480630710063109</v>
      </c>
      <c r="F111" s="7" t="s">
        <v>17</v>
      </c>
      <c r="G111" s="7">
        <v>1481764</v>
      </c>
      <c r="H111" s="7">
        <v>356</v>
      </c>
      <c r="I111" s="7">
        <v>259</v>
      </c>
      <c r="J111" s="7">
        <v>0</v>
      </c>
      <c r="K111" s="7" t="s">
        <v>18</v>
      </c>
      <c r="L111" s="8">
        <v>39891.213356481479</v>
      </c>
      <c r="M111" s="9" t="s">
        <v>19</v>
      </c>
      <c r="N111" s="9" t="s">
        <v>22</v>
      </c>
      <c r="O111" s="6" t="str">
        <f>HYPERLINK("https://pbs.twimg.com/profile_images/988971255679324162/jrqiIYf__normal.jpg","View")</f>
        <v>View</v>
      </c>
      <c r="P111" s="7"/>
    </row>
    <row r="112" spans="1:16">
      <c r="A112" s="3">
        <v>43840.93950231481</v>
      </c>
      <c r="B112" s="4" t="str">
        <f>HYPERLINK("https://twitter.com/sergio_fajardo","@sergio_fajardo")</f>
        <v>@sergio_fajardo</v>
      </c>
      <c r="C112" s="5" t="s">
        <v>16</v>
      </c>
      <c r="D112" s="5" t="s">
        <v>136</v>
      </c>
      <c r="E112" s="6" t="str">
        <f>HYPERLINK("https://twitter.com/sergio_fajardo/status/1215680420127367169","1215680420127367169")</f>
        <v>1215680420127367169</v>
      </c>
      <c r="F112" s="7" t="s">
        <v>17</v>
      </c>
      <c r="G112" s="7">
        <v>1481868</v>
      </c>
      <c r="H112" s="7">
        <v>356</v>
      </c>
      <c r="I112" s="7">
        <v>10</v>
      </c>
      <c r="J112" s="7">
        <v>0</v>
      </c>
      <c r="K112" s="7" t="s">
        <v>18</v>
      </c>
      <c r="L112" s="8">
        <v>39891.213356481479</v>
      </c>
      <c r="M112" s="9" t="s">
        <v>19</v>
      </c>
      <c r="N112" s="9" t="s">
        <v>22</v>
      </c>
      <c r="O112" s="6" t="str">
        <f>HYPERLINK("https://pbs.twimg.com/profile_images/988971255679324162/jrqiIYf__normal.jpg","View")</f>
        <v>View</v>
      </c>
      <c r="P112" s="7"/>
    </row>
    <row r="113" spans="1:16">
      <c r="A113" s="3">
        <v>43840.946099537032</v>
      </c>
      <c r="B113" s="4" t="str">
        <f>HYPERLINK("https://twitter.com/sergio_fajardo","@sergio_fajardo")</f>
        <v>@sergio_fajardo</v>
      </c>
      <c r="C113" s="5" t="s">
        <v>16</v>
      </c>
      <c r="D113" s="5" t="s">
        <v>137</v>
      </c>
      <c r="E113" s="6" t="str">
        <f>HYPERLINK("https://twitter.com/sergio_fajardo/status/1215682812306653184","1215682812306653184")</f>
        <v>1215682812306653184</v>
      </c>
      <c r="F113" s="7" t="s">
        <v>17</v>
      </c>
      <c r="G113" s="7">
        <v>1481868</v>
      </c>
      <c r="H113" s="7">
        <v>356</v>
      </c>
      <c r="I113" s="7">
        <v>288</v>
      </c>
      <c r="J113" s="7">
        <v>0</v>
      </c>
      <c r="K113" s="7" t="s">
        <v>18</v>
      </c>
      <c r="L113" s="8">
        <v>39891.213356481479</v>
      </c>
      <c r="M113" s="9" t="s">
        <v>19</v>
      </c>
      <c r="N113" s="9" t="s">
        <v>22</v>
      </c>
      <c r="O113" s="6" t="str">
        <f>HYPERLINK("https://pbs.twimg.com/profile_images/988971255679324162/jrqiIYf__normal.jpg","View")</f>
        <v>View</v>
      </c>
      <c r="P113" s="7"/>
    </row>
    <row r="114" spans="1:16">
      <c r="A114" s="3">
        <v>43840.952060185184</v>
      </c>
      <c r="B114" s="4" t="str">
        <f>HYPERLINK("https://twitter.com/sergio_fajardo","@sergio_fajardo")</f>
        <v>@sergio_fajardo</v>
      </c>
      <c r="C114" s="5" t="s">
        <v>16</v>
      </c>
      <c r="D114" s="5" t="s">
        <v>138</v>
      </c>
      <c r="E114" s="6" t="str">
        <f>HYPERLINK("https://twitter.com/sergio_fajardo/status/1215684971995766784","1215684971995766784")</f>
        <v>1215684971995766784</v>
      </c>
      <c r="F114" s="7" t="s">
        <v>17</v>
      </c>
      <c r="G114" s="7">
        <v>1481874</v>
      </c>
      <c r="H114" s="7">
        <v>356</v>
      </c>
      <c r="I114" s="7">
        <v>36</v>
      </c>
      <c r="J114" s="7">
        <v>79</v>
      </c>
      <c r="K114" s="7" t="s">
        <v>18</v>
      </c>
      <c r="L114" s="8">
        <v>39891.213356481479</v>
      </c>
      <c r="M114" s="9" t="s">
        <v>19</v>
      </c>
      <c r="N114" s="9" t="s">
        <v>22</v>
      </c>
      <c r="O114" s="6" t="str">
        <f>HYPERLINK("https://pbs.twimg.com/profile_images/988971255679324162/jrqiIYf__normal.jpg","View")</f>
        <v>View</v>
      </c>
      <c r="P114" s="7"/>
    </row>
    <row r="115" spans="1:16">
      <c r="A115" s="3">
        <v>43840.95784722222</v>
      </c>
      <c r="B115" s="4" t="str">
        <f>HYPERLINK("https://twitter.com/sergio_fajardo","@sergio_fajardo")</f>
        <v>@sergio_fajardo</v>
      </c>
      <c r="C115" s="5" t="s">
        <v>16</v>
      </c>
      <c r="D115" s="5" t="s">
        <v>139</v>
      </c>
      <c r="E115" s="6" t="str">
        <f>HYPERLINK("https://twitter.com/sergio_fajardo/status/1215687071161036800","1215687071161036800")</f>
        <v>1215687071161036800</v>
      </c>
      <c r="F115" s="7" t="s">
        <v>17</v>
      </c>
      <c r="G115" s="7">
        <v>1481874</v>
      </c>
      <c r="H115" s="7">
        <v>356</v>
      </c>
      <c r="I115" s="7">
        <v>21</v>
      </c>
      <c r="J115" s="7">
        <v>0</v>
      </c>
      <c r="K115" s="7" t="s">
        <v>18</v>
      </c>
      <c r="L115" s="8">
        <v>39891.213356481479</v>
      </c>
      <c r="M115" s="9" t="s">
        <v>19</v>
      </c>
      <c r="N115" s="9" t="s">
        <v>22</v>
      </c>
      <c r="O115" s="6" t="str">
        <f>HYPERLINK("https://pbs.twimg.com/profile_images/988971255679324162/jrqiIYf__normal.jpg","View")</f>
        <v>View</v>
      </c>
      <c r="P115" s="7"/>
    </row>
    <row r="116" spans="1:16">
      <c r="A116" s="3">
        <v>43844.231354166666</v>
      </c>
      <c r="B116" s="4" t="str">
        <f>HYPERLINK("https://twitter.com/sergio_fajardo","@sergio_fajardo")</f>
        <v>@sergio_fajardo</v>
      </c>
      <c r="C116" s="5" t="s">
        <v>16</v>
      </c>
      <c r="D116" s="5" t="s">
        <v>140</v>
      </c>
      <c r="E116" s="6" t="str">
        <f>HYPERLINK("https://twitter.com/sergio_fajardo/status/1216873349244125184","1216873349244125184")</f>
        <v>1216873349244125184</v>
      </c>
      <c r="F116" s="7" t="s">
        <v>17</v>
      </c>
      <c r="G116" s="7">
        <v>1482724</v>
      </c>
      <c r="H116" s="7">
        <v>356</v>
      </c>
      <c r="I116" s="7">
        <v>16</v>
      </c>
      <c r="J116" s="7">
        <v>0</v>
      </c>
      <c r="K116" s="7" t="s">
        <v>18</v>
      </c>
      <c r="L116" s="8">
        <v>39891.213356481479</v>
      </c>
      <c r="M116" s="9" t="s">
        <v>19</v>
      </c>
      <c r="N116" s="9" t="s">
        <v>22</v>
      </c>
      <c r="O116" s="6" t="str">
        <f>HYPERLINK("https://pbs.twimg.com/profile_images/988971255679324162/jrqiIYf__normal.jpg","View")</f>
        <v>View</v>
      </c>
      <c r="P116" s="7"/>
    </row>
    <row r="117" spans="1:16">
      <c r="A117" s="3">
        <v>43844.286574074074</v>
      </c>
      <c r="B117" s="4" t="str">
        <f>HYPERLINK("https://twitter.com/sergio_fajardo","@sergio_fajardo")</f>
        <v>@sergio_fajardo</v>
      </c>
      <c r="C117" s="5" t="s">
        <v>16</v>
      </c>
      <c r="D117" s="5" t="s">
        <v>141</v>
      </c>
      <c r="E117" s="6" t="str">
        <f>HYPERLINK("https://twitter.com/sergio_fajardo/status/1216893361782689792","1216893361782689792")</f>
        <v>1216893361782689792</v>
      </c>
      <c r="F117" s="7" t="s">
        <v>17</v>
      </c>
      <c r="G117" s="7">
        <v>1482764</v>
      </c>
      <c r="H117" s="7">
        <v>356</v>
      </c>
      <c r="I117" s="7">
        <v>4865</v>
      </c>
      <c r="J117" s="7">
        <v>0</v>
      </c>
      <c r="K117" s="7" t="s">
        <v>18</v>
      </c>
      <c r="L117" s="8">
        <v>39891.213356481479</v>
      </c>
      <c r="M117" s="9" t="s">
        <v>19</v>
      </c>
      <c r="N117" s="9" t="s">
        <v>22</v>
      </c>
      <c r="O117" s="6" t="str">
        <f>HYPERLINK("https://pbs.twimg.com/profile_images/988971255679324162/jrqiIYf__normal.jpg","View")</f>
        <v>View</v>
      </c>
      <c r="P117" s="7"/>
    </row>
    <row r="118" spans="1:16">
      <c r="A118" s="3">
        <v>43846.070520833338</v>
      </c>
      <c r="B118" s="4" t="str">
        <f>HYPERLINK("https://twitter.com/sergio_fajardo","@sergio_fajardo")</f>
        <v>@sergio_fajardo</v>
      </c>
      <c r="C118" s="5" t="s">
        <v>16</v>
      </c>
      <c r="D118" s="5" t="s">
        <v>142</v>
      </c>
      <c r="E118" s="6" t="str">
        <f>HYPERLINK("https://twitter.com/sergio_fajardo/status/1217539839794581510","1217539839794581510")</f>
        <v>1217539839794581510</v>
      </c>
      <c r="F118" s="7" t="s">
        <v>17</v>
      </c>
      <c r="G118" s="7">
        <v>1483271</v>
      </c>
      <c r="H118" s="7">
        <v>356</v>
      </c>
      <c r="I118" s="7">
        <v>7</v>
      </c>
      <c r="J118" s="7">
        <v>27</v>
      </c>
      <c r="K118" s="7" t="s">
        <v>18</v>
      </c>
      <c r="L118" s="8">
        <v>39891.213356481479</v>
      </c>
      <c r="M118" s="9" t="s">
        <v>19</v>
      </c>
      <c r="N118" s="9" t="s">
        <v>22</v>
      </c>
      <c r="O118" s="6" t="str">
        <f>HYPERLINK("https://pbs.twimg.com/profile_images/988971255679324162/jrqiIYf__normal.jpg","View")</f>
        <v>View</v>
      </c>
      <c r="P118" s="7"/>
    </row>
    <row r="119" spans="1:16">
      <c r="A119" s="3">
        <v>43846.070625</v>
      </c>
      <c r="B119" s="4" t="str">
        <f>HYPERLINK("https://twitter.com/sergio_fajardo","@sergio_fajardo")</f>
        <v>@sergio_fajardo</v>
      </c>
      <c r="C119" s="5" t="s">
        <v>16</v>
      </c>
      <c r="D119" s="5" t="s">
        <v>143</v>
      </c>
      <c r="E119" s="6" t="str">
        <f>HYPERLINK("https://twitter.com/sergio_fajardo/status/1217539878872850432","1217539878872850432")</f>
        <v>1217539878872850432</v>
      </c>
      <c r="F119" s="7" t="s">
        <v>17</v>
      </c>
      <c r="G119" s="7">
        <v>1483271</v>
      </c>
      <c r="H119" s="7">
        <v>356</v>
      </c>
      <c r="I119" s="7">
        <v>85</v>
      </c>
      <c r="J119" s="7">
        <v>0</v>
      </c>
      <c r="K119" s="7" t="s">
        <v>18</v>
      </c>
      <c r="L119" s="8">
        <v>39891.213356481479</v>
      </c>
      <c r="M119" s="9" t="s">
        <v>19</v>
      </c>
      <c r="N119" s="9" t="s">
        <v>22</v>
      </c>
      <c r="O119" s="6" t="str">
        <f>HYPERLINK("https://pbs.twimg.com/profile_images/988971255679324162/jrqiIYf__normal.jpg","View")</f>
        <v>View</v>
      </c>
      <c r="P119" s="7"/>
    </row>
    <row r="120" spans="1:16">
      <c r="A120" s="3">
        <v>43846.796782407408</v>
      </c>
      <c r="B120" s="4" t="str">
        <f>HYPERLINK("https://twitter.com/sergio_fajardo","@sergio_fajardo")</f>
        <v>@sergio_fajardo</v>
      </c>
      <c r="C120" s="5" t="s">
        <v>16</v>
      </c>
      <c r="D120" s="5" t="s">
        <v>144</v>
      </c>
      <c r="E120" s="6" t="str">
        <f>HYPERLINK("https://twitter.com/sergio_fajardo/status/1217803030608957441","1217803030608957441")</f>
        <v>1217803030608957441</v>
      </c>
      <c r="F120" s="7" t="s">
        <v>23</v>
      </c>
      <c r="G120" s="7">
        <v>1483411</v>
      </c>
      <c r="H120" s="7">
        <v>356</v>
      </c>
      <c r="I120" s="7">
        <v>14</v>
      </c>
      <c r="J120" s="7">
        <v>29</v>
      </c>
      <c r="K120" s="7" t="s">
        <v>18</v>
      </c>
      <c r="L120" s="8">
        <v>39891.213356481479</v>
      </c>
      <c r="M120" s="9" t="s">
        <v>19</v>
      </c>
      <c r="N120" s="9" t="s">
        <v>22</v>
      </c>
      <c r="O120" s="6" t="str">
        <f>HYPERLINK("https://pbs.twimg.com/profile_images/988971255679324162/jrqiIYf__normal.jpg","View")</f>
        <v>View</v>
      </c>
      <c r="P120" s="7"/>
    </row>
    <row r="121" spans="1:16">
      <c r="A121" s="3">
        <v>43847.259375000001</v>
      </c>
      <c r="B121" s="4" t="str">
        <f>HYPERLINK("https://twitter.com/sergio_fajardo","@sergio_fajardo")</f>
        <v>@sergio_fajardo</v>
      </c>
      <c r="C121" s="5" t="s">
        <v>16</v>
      </c>
      <c r="D121" s="5" t="s">
        <v>145</v>
      </c>
      <c r="E121" s="6" t="str">
        <f>HYPERLINK("https://twitter.com/sergio_fajardo/status/1217970667292975105","1217970667292975105")</f>
        <v>1217970667292975105</v>
      </c>
      <c r="F121" s="7" t="s">
        <v>17</v>
      </c>
      <c r="G121" s="7">
        <v>1483591</v>
      </c>
      <c r="H121" s="7">
        <v>356</v>
      </c>
      <c r="I121" s="7">
        <v>6</v>
      </c>
      <c r="J121" s="7">
        <v>0</v>
      </c>
      <c r="K121" s="7" t="s">
        <v>18</v>
      </c>
      <c r="L121" s="8">
        <v>39891.213356481479</v>
      </c>
      <c r="M121" s="9" t="s">
        <v>19</v>
      </c>
      <c r="N121" s="9" t="s">
        <v>22</v>
      </c>
      <c r="O121" s="6" t="str">
        <f>HYPERLINK("https://pbs.twimg.com/profile_images/988971255679324162/jrqiIYf__normal.jpg","View")</f>
        <v>View</v>
      </c>
      <c r="P121" s="7"/>
    </row>
    <row r="122" spans="1:16">
      <c r="A122" s="3">
        <v>43847.797743055555</v>
      </c>
      <c r="B122" s="4" t="str">
        <f>HYPERLINK("https://twitter.com/sergio_fajardo","@sergio_fajardo")</f>
        <v>@sergio_fajardo</v>
      </c>
      <c r="C122" s="5" t="s">
        <v>16</v>
      </c>
      <c r="D122" s="5" t="s">
        <v>146</v>
      </c>
      <c r="E122" s="6" t="str">
        <f>HYPERLINK("https://twitter.com/sergio_fajardo/status/1218165767004442627","1218165767004442627")</f>
        <v>1218165767004442627</v>
      </c>
      <c r="F122" s="7" t="s">
        <v>17</v>
      </c>
      <c r="G122" s="7">
        <v>1483775</v>
      </c>
      <c r="H122" s="7">
        <v>356</v>
      </c>
      <c r="I122" s="7">
        <v>2</v>
      </c>
      <c r="J122" s="7">
        <v>8</v>
      </c>
      <c r="K122" s="7" t="s">
        <v>18</v>
      </c>
      <c r="L122" s="8">
        <v>39891.213356481479</v>
      </c>
      <c r="M122" s="9" t="s">
        <v>19</v>
      </c>
      <c r="N122" s="9" t="s">
        <v>22</v>
      </c>
      <c r="O122" s="6" t="str">
        <f>HYPERLINK("https://pbs.twimg.com/profile_images/988971255679324162/jrqiIYf__normal.jpg","View")</f>
        <v>View</v>
      </c>
      <c r="P122" s="7"/>
    </row>
    <row r="123" spans="1:16">
      <c r="A123" s="3">
        <v>43848.160787037035</v>
      </c>
      <c r="B123" s="4" t="str">
        <f>HYPERLINK("https://twitter.com/sergio_fajardo","@sergio_fajardo")</f>
        <v>@sergio_fajardo</v>
      </c>
      <c r="C123" s="5" t="s">
        <v>16</v>
      </c>
      <c r="D123" s="5" t="s">
        <v>147</v>
      </c>
      <c r="E123" s="6" t="str">
        <f>HYPERLINK("https://twitter.com/sergio_fajardo/status/1218297329758937090","1218297329758937090")</f>
        <v>1218297329758937090</v>
      </c>
      <c r="F123" s="7" t="s">
        <v>17</v>
      </c>
      <c r="G123" s="7">
        <v>1483923</v>
      </c>
      <c r="H123" s="7">
        <v>356</v>
      </c>
      <c r="I123" s="7">
        <v>36</v>
      </c>
      <c r="J123" s="7">
        <v>187</v>
      </c>
      <c r="K123" s="7" t="s">
        <v>18</v>
      </c>
      <c r="L123" s="8">
        <v>39891.213356481479</v>
      </c>
      <c r="M123" s="9" t="s">
        <v>19</v>
      </c>
      <c r="N123" s="9" t="s">
        <v>22</v>
      </c>
      <c r="O123" s="6" t="str">
        <f>HYPERLINK("https://pbs.twimg.com/profile_images/988971255679324162/jrqiIYf__normal.jpg","View")</f>
        <v>View</v>
      </c>
      <c r="P123" s="7"/>
    </row>
    <row r="124" spans="1:16">
      <c r="A124" s="3">
        <v>43848.247731481482</v>
      </c>
      <c r="B124" s="4" t="str">
        <f>HYPERLINK("https://twitter.com/sergio_fajardo","@sergio_fajardo")</f>
        <v>@sergio_fajardo</v>
      </c>
      <c r="C124" s="5" t="s">
        <v>16</v>
      </c>
      <c r="D124" s="5" t="s">
        <v>148</v>
      </c>
      <c r="E124" s="6" t="str">
        <f>HYPERLINK("https://twitter.com/sergio_fajardo/status/1218328835940323328","1218328835940323328")</f>
        <v>1218328835940323328</v>
      </c>
      <c r="F124" s="7" t="s">
        <v>17</v>
      </c>
      <c r="G124" s="7">
        <v>1483944</v>
      </c>
      <c r="H124" s="7">
        <v>356</v>
      </c>
      <c r="I124" s="7">
        <v>1</v>
      </c>
      <c r="J124" s="7">
        <v>10</v>
      </c>
      <c r="K124" s="7" t="s">
        <v>18</v>
      </c>
      <c r="L124" s="8">
        <v>39891.213356481479</v>
      </c>
      <c r="M124" s="9" t="s">
        <v>19</v>
      </c>
      <c r="N124" s="9" t="s">
        <v>22</v>
      </c>
      <c r="O124" s="6" t="str">
        <f>HYPERLINK("https://pbs.twimg.com/profile_images/988971255679324162/jrqiIYf__normal.jpg","View")</f>
        <v>View</v>
      </c>
      <c r="P124" s="7"/>
    </row>
    <row r="125" spans="1:16">
      <c r="A125" s="3">
        <v>43849.980856481481</v>
      </c>
      <c r="B125" s="4" t="str">
        <f>HYPERLINK("https://twitter.com/sergio_fajardo","@sergio_fajardo")</f>
        <v>@sergio_fajardo</v>
      </c>
      <c r="C125" s="5" t="s">
        <v>16</v>
      </c>
      <c r="D125" s="5" t="s">
        <v>149</v>
      </c>
      <c r="E125" s="6" t="str">
        <f>HYPERLINK("https://twitter.com/sergio_fajardo/status/1218956897300221954","1218956897300221954")</f>
        <v>1218956897300221954</v>
      </c>
      <c r="F125" s="7" t="s">
        <v>17</v>
      </c>
      <c r="G125" s="7">
        <v>1484197</v>
      </c>
      <c r="H125" s="7">
        <v>356</v>
      </c>
      <c r="I125" s="7">
        <v>399</v>
      </c>
      <c r="J125" s="7">
        <v>0</v>
      </c>
      <c r="K125" s="7" t="s">
        <v>18</v>
      </c>
      <c r="L125" s="8">
        <v>39891.213356481479</v>
      </c>
      <c r="M125" s="9" t="s">
        <v>19</v>
      </c>
      <c r="N125" s="9" t="s">
        <v>22</v>
      </c>
      <c r="O125" s="6" t="str">
        <f>HYPERLINK("https://pbs.twimg.com/profile_images/988971255679324162/jrqiIYf__normal.jpg","View")</f>
        <v>View</v>
      </c>
      <c r="P125" s="7"/>
    </row>
    <row r="126" spans="1:16">
      <c r="A126" s="3">
        <v>43850.174525462964</v>
      </c>
      <c r="B126" s="4" t="str">
        <f>HYPERLINK("https://twitter.com/sergio_fajardo","@sergio_fajardo")</f>
        <v>@sergio_fajardo</v>
      </c>
      <c r="C126" s="5" t="s">
        <v>16</v>
      </c>
      <c r="D126" s="5" t="s">
        <v>150</v>
      </c>
      <c r="E126" s="6" t="str">
        <f>HYPERLINK("https://twitter.com/sergio_fajardo/status/1219027082686205953","1219027082686205953")</f>
        <v>1219027082686205953</v>
      </c>
      <c r="F126" s="7" t="s">
        <v>17</v>
      </c>
      <c r="G126" s="7">
        <v>1484270</v>
      </c>
      <c r="H126" s="7">
        <v>356</v>
      </c>
      <c r="I126" s="7">
        <v>569</v>
      </c>
      <c r="J126" s="7">
        <v>0</v>
      </c>
      <c r="K126" s="7" t="s">
        <v>18</v>
      </c>
      <c r="L126" s="8">
        <v>39891.213356481479</v>
      </c>
      <c r="M126" s="9" t="s">
        <v>19</v>
      </c>
      <c r="N126" s="9" t="s">
        <v>22</v>
      </c>
      <c r="O126" s="6" t="str">
        <f>HYPERLINK("https://pbs.twimg.com/profile_images/988971255679324162/jrqiIYf__normal.jpg","View")</f>
        <v>View</v>
      </c>
      <c r="P126" s="7"/>
    </row>
    <row r="127" spans="1:16">
      <c r="A127" s="3">
        <v>43851.19568287037</v>
      </c>
      <c r="B127" s="4" t="str">
        <f>HYPERLINK("https://twitter.com/sergio_fajardo","@sergio_fajardo")</f>
        <v>@sergio_fajardo</v>
      </c>
      <c r="C127" s="5" t="s">
        <v>16</v>
      </c>
      <c r="D127" s="5" t="s">
        <v>151</v>
      </c>
      <c r="E127" s="6" t="str">
        <f>HYPERLINK("https://twitter.com/sergio_fajardo/status/1219397138653859841","1219397138653859841")</f>
        <v>1219397138653859841</v>
      </c>
      <c r="F127" s="7" t="s">
        <v>17</v>
      </c>
      <c r="G127" s="7">
        <v>1484680</v>
      </c>
      <c r="H127" s="7">
        <v>356</v>
      </c>
      <c r="I127" s="7">
        <v>3</v>
      </c>
      <c r="J127" s="7">
        <v>38</v>
      </c>
      <c r="K127" s="7" t="s">
        <v>18</v>
      </c>
      <c r="L127" s="8">
        <v>39891.213356481479</v>
      </c>
      <c r="M127" s="9" t="s">
        <v>19</v>
      </c>
      <c r="N127" s="9" t="s">
        <v>22</v>
      </c>
      <c r="O127" s="6" t="str">
        <f>HYPERLINK("https://pbs.twimg.com/profile_images/988971255679324162/jrqiIYf__normal.jpg","View")</f>
        <v>View</v>
      </c>
      <c r="P127" s="7"/>
    </row>
    <row r="128" spans="1:16">
      <c r="A128" s="3">
        <v>43851.200173611112</v>
      </c>
      <c r="B128" s="4" t="str">
        <f>HYPERLINK("https://twitter.com/sergio_fajardo","@sergio_fajardo")</f>
        <v>@sergio_fajardo</v>
      </c>
      <c r="C128" s="5" t="s">
        <v>16</v>
      </c>
      <c r="D128" s="5" t="s">
        <v>152</v>
      </c>
      <c r="E128" s="6" t="str">
        <f>HYPERLINK("https://twitter.com/sergio_fajardo/status/1219398762801565696","1219398762801565696")</f>
        <v>1219398762801565696</v>
      </c>
      <c r="F128" s="7" t="s">
        <v>17</v>
      </c>
      <c r="G128" s="7">
        <v>1484680</v>
      </c>
      <c r="H128" s="7">
        <v>356</v>
      </c>
      <c r="I128" s="7">
        <v>7</v>
      </c>
      <c r="J128" s="7">
        <v>0</v>
      </c>
      <c r="K128" s="7" t="s">
        <v>18</v>
      </c>
      <c r="L128" s="8">
        <v>39891.213356481479</v>
      </c>
      <c r="M128" s="9" t="s">
        <v>19</v>
      </c>
      <c r="N128" s="9" t="s">
        <v>22</v>
      </c>
      <c r="O128" s="6" t="str">
        <f>HYPERLINK("https://pbs.twimg.com/profile_images/988971255679324162/jrqiIYf__normal.jpg","View")</f>
        <v>View</v>
      </c>
      <c r="P128" s="7"/>
    </row>
    <row r="129" spans="1:16">
      <c r="A129" s="3">
        <v>43851.673333333332</v>
      </c>
      <c r="B129" s="4" t="str">
        <f>HYPERLINK("https://twitter.com/sergio_fajardo","@sergio_fajardo")</f>
        <v>@sergio_fajardo</v>
      </c>
      <c r="C129" s="5" t="s">
        <v>16</v>
      </c>
      <c r="D129" s="5" t="s">
        <v>25</v>
      </c>
      <c r="E129" s="6" t="str">
        <f>HYPERLINK("https://twitter.com/sergio_fajardo/status/1219570231863017472","1219570231863017472")</f>
        <v>1219570231863017472</v>
      </c>
      <c r="F129" s="7" t="s">
        <v>17</v>
      </c>
      <c r="G129" s="7">
        <v>1484774</v>
      </c>
      <c r="H129" s="7">
        <v>356</v>
      </c>
      <c r="I129" s="7">
        <v>1565</v>
      </c>
      <c r="J129" s="7">
        <v>0</v>
      </c>
      <c r="K129" s="7" t="s">
        <v>18</v>
      </c>
      <c r="L129" s="8">
        <v>39891.213356481479</v>
      </c>
      <c r="M129" s="9" t="s">
        <v>19</v>
      </c>
      <c r="N129" s="9" t="s">
        <v>22</v>
      </c>
      <c r="O129" s="6" t="str">
        <f>HYPERLINK("https://pbs.twimg.com/profile_images/988971255679324162/jrqiIYf__normal.jpg","View")</f>
        <v>View</v>
      </c>
      <c r="P129" s="7"/>
    </row>
    <row r="130" spans="1:16">
      <c r="A130" s="3">
        <v>43852.327372685184</v>
      </c>
      <c r="B130" s="4" t="str">
        <f>HYPERLINK("https://twitter.com/sergio_fajardo","@sergio_fajardo")</f>
        <v>@sergio_fajardo</v>
      </c>
      <c r="C130" s="5" t="s">
        <v>16</v>
      </c>
      <c r="D130" s="5" t="s">
        <v>153</v>
      </c>
      <c r="E130" s="6" t="str">
        <f>HYPERLINK("https://twitter.com/sergio_fajardo/status/1219807246407884800","1219807246407884800")</f>
        <v>1219807246407884800</v>
      </c>
      <c r="F130" s="7" t="s">
        <v>17</v>
      </c>
      <c r="G130" s="7">
        <v>1485289</v>
      </c>
      <c r="H130" s="7">
        <v>356</v>
      </c>
      <c r="I130" s="7">
        <v>63</v>
      </c>
      <c r="J130" s="7">
        <v>0</v>
      </c>
      <c r="K130" s="7" t="s">
        <v>18</v>
      </c>
      <c r="L130" s="8">
        <v>39891.213356481479</v>
      </c>
      <c r="M130" s="9" t="s">
        <v>19</v>
      </c>
      <c r="N130" s="9" t="s">
        <v>22</v>
      </c>
      <c r="O130" s="6" t="str">
        <f>HYPERLINK("https://pbs.twimg.com/profile_images/988971255679324162/jrqiIYf__normal.jpg","View")</f>
        <v>View</v>
      </c>
      <c r="P130" s="7"/>
    </row>
    <row r="131" spans="1:16">
      <c r="A131" s="3">
        <v>43852.860208333332</v>
      </c>
      <c r="B131" s="4" t="str">
        <f>HYPERLINK("https://twitter.com/sergio_fajardo","@sergio_fajardo")</f>
        <v>@sergio_fajardo</v>
      </c>
      <c r="C131" s="5" t="s">
        <v>16</v>
      </c>
      <c r="D131" s="5" t="s">
        <v>154</v>
      </c>
      <c r="E131" s="6" t="str">
        <f>HYPERLINK("https://twitter.com/sergio_fajardo/status/1220000341237870593","1220000341237870593")</f>
        <v>1220000341237870593</v>
      </c>
      <c r="F131" s="7" t="s">
        <v>17</v>
      </c>
      <c r="G131" s="7">
        <v>1485491</v>
      </c>
      <c r="H131" s="7">
        <v>356</v>
      </c>
      <c r="I131" s="7">
        <v>10</v>
      </c>
      <c r="J131" s="7">
        <v>12</v>
      </c>
      <c r="K131" s="7" t="s">
        <v>18</v>
      </c>
      <c r="L131" s="8">
        <v>39891.213356481479</v>
      </c>
      <c r="M131" s="9" t="s">
        <v>19</v>
      </c>
      <c r="N131" s="9" t="s">
        <v>22</v>
      </c>
      <c r="O131" s="6" t="str">
        <f>HYPERLINK("https://pbs.twimg.com/profile_images/988971255679324162/jrqiIYf__normal.jpg","View")</f>
        <v>View</v>
      </c>
      <c r="P131" s="7"/>
    </row>
    <row r="132" spans="1:16">
      <c r="A132" s="3">
        <v>43854.337800925925</v>
      </c>
      <c r="B132" s="4" t="str">
        <f>HYPERLINK("https://twitter.com/sergio_fajardo","@sergio_fajardo")</f>
        <v>@sergio_fajardo</v>
      </c>
      <c r="C132" s="5" t="s">
        <v>16</v>
      </c>
      <c r="D132" s="5" t="s">
        <v>155</v>
      </c>
      <c r="E132" s="6" t="str">
        <f>HYPERLINK("https://twitter.com/sergio_fajardo/status/1220535803996229632","1220535803996229632")</f>
        <v>1220535803996229632</v>
      </c>
      <c r="F132" s="7" t="s">
        <v>17</v>
      </c>
      <c r="G132" s="7">
        <v>1486231</v>
      </c>
      <c r="H132" s="7">
        <v>356</v>
      </c>
      <c r="I132" s="7">
        <v>89</v>
      </c>
      <c r="J132" s="7">
        <v>0</v>
      </c>
      <c r="K132" s="7" t="s">
        <v>18</v>
      </c>
      <c r="L132" s="8">
        <v>39891.213356481479</v>
      </c>
      <c r="M132" s="9" t="s">
        <v>19</v>
      </c>
      <c r="N132" s="9" t="s">
        <v>22</v>
      </c>
      <c r="O132" s="6" t="str">
        <f>HYPERLINK("https://pbs.twimg.com/profile_images/988971255679324162/jrqiIYf__normal.jpg","View")</f>
        <v>View</v>
      </c>
      <c r="P132" s="7"/>
    </row>
    <row r="133" spans="1:16">
      <c r="A133" s="3">
        <v>43855.111192129625</v>
      </c>
      <c r="B133" s="4" t="str">
        <f>HYPERLINK("https://twitter.com/sergio_fajardo","@sergio_fajardo")</f>
        <v>@sergio_fajardo</v>
      </c>
      <c r="C133" s="5" t="s">
        <v>16</v>
      </c>
      <c r="D133" s="5" t="s">
        <v>156</v>
      </c>
      <c r="E133" s="6" t="str">
        <f>HYPERLINK("https://twitter.com/sergio_fajardo/status/1220816069264363522","1220816069264363522")</f>
        <v>1220816069264363522</v>
      </c>
      <c r="F133" s="7" t="s">
        <v>17</v>
      </c>
      <c r="G133" s="7">
        <v>1486507</v>
      </c>
      <c r="H133" s="7">
        <v>356</v>
      </c>
      <c r="I133" s="7">
        <v>2</v>
      </c>
      <c r="J133" s="7">
        <v>10</v>
      </c>
      <c r="K133" s="7" t="s">
        <v>18</v>
      </c>
      <c r="L133" s="8">
        <v>39891.213356481479</v>
      </c>
      <c r="M133" s="9" t="s">
        <v>19</v>
      </c>
      <c r="N133" s="9" t="s">
        <v>22</v>
      </c>
      <c r="O133" s="6" t="str">
        <f>HYPERLINK("https://pbs.twimg.com/profile_images/988971255679324162/jrqiIYf__normal.jpg","View")</f>
        <v>View</v>
      </c>
      <c r="P133" s="7"/>
    </row>
    <row r="134" spans="1:16">
      <c r="A134" s="3">
        <v>43855.128703703704</v>
      </c>
      <c r="B134" s="4" t="str">
        <f>HYPERLINK("https://twitter.com/sergio_fajardo","@sergio_fajardo")</f>
        <v>@sergio_fajardo</v>
      </c>
      <c r="C134" s="5" t="s">
        <v>16</v>
      </c>
      <c r="D134" s="5" t="s">
        <v>157</v>
      </c>
      <c r="E134" s="6" t="str">
        <f>HYPERLINK("https://twitter.com/sergio_fajardo/status/1220822417024716802","1220822417024716802")</f>
        <v>1220822417024716802</v>
      </c>
      <c r="F134" s="7" t="s">
        <v>17</v>
      </c>
      <c r="G134" s="7">
        <v>1486515</v>
      </c>
      <c r="H134" s="7">
        <v>356</v>
      </c>
      <c r="I134" s="7">
        <v>586</v>
      </c>
      <c r="J134" s="7">
        <v>0</v>
      </c>
      <c r="K134" s="7" t="s">
        <v>18</v>
      </c>
      <c r="L134" s="8">
        <v>39891.213356481479</v>
      </c>
      <c r="M134" s="9" t="s">
        <v>19</v>
      </c>
      <c r="N134" s="9" t="s">
        <v>22</v>
      </c>
      <c r="O134" s="6" t="str">
        <f>HYPERLINK("https://pbs.twimg.com/profile_images/988971255679324162/jrqiIYf__normal.jpg","View")</f>
        <v>View</v>
      </c>
      <c r="P134" s="7"/>
    </row>
    <row r="135" spans="1:16">
      <c r="A135" s="3">
        <v>43855.135208333333</v>
      </c>
      <c r="B135" s="4" t="str">
        <f>HYPERLINK("https://twitter.com/sergio_fajardo","@sergio_fajardo")</f>
        <v>@sergio_fajardo</v>
      </c>
      <c r="C135" s="5" t="s">
        <v>16</v>
      </c>
      <c r="D135" s="5" t="s">
        <v>158</v>
      </c>
      <c r="E135" s="6" t="str">
        <f>HYPERLINK("https://twitter.com/sergio_fajardo/status/1220824771929223175","1220824771929223175")</f>
        <v>1220824771929223175</v>
      </c>
      <c r="F135" s="7" t="s">
        <v>17</v>
      </c>
      <c r="G135" s="7">
        <v>1486515</v>
      </c>
      <c r="H135" s="7">
        <v>356</v>
      </c>
      <c r="I135" s="7">
        <v>45</v>
      </c>
      <c r="J135" s="7">
        <v>0</v>
      </c>
      <c r="K135" s="7" t="s">
        <v>18</v>
      </c>
      <c r="L135" s="8">
        <v>39891.213356481479</v>
      </c>
      <c r="M135" s="9" t="s">
        <v>19</v>
      </c>
      <c r="N135" s="9" t="s">
        <v>22</v>
      </c>
      <c r="O135" s="6" t="str">
        <f>HYPERLINK("https://pbs.twimg.com/profile_images/988971255679324162/jrqiIYf__normal.jpg","View")</f>
        <v>View</v>
      </c>
      <c r="P135" s="7"/>
    </row>
    <row r="136" spans="1:16">
      <c r="A136" s="3">
        <v>43855.168634259258</v>
      </c>
      <c r="B136" s="4" t="str">
        <f>HYPERLINK("https://twitter.com/sergio_fajardo","@sergio_fajardo")</f>
        <v>@sergio_fajardo</v>
      </c>
      <c r="C136" s="5" t="s">
        <v>16</v>
      </c>
      <c r="D136" s="5" t="s">
        <v>159</v>
      </c>
      <c r="E136" s="6" t="str">
        <f>HYPERLINK("https://twitter.com/sergio_fajardo/status/1220836887377731585","1220836887377731585")</f>
        <v>1220836887377731585</v>
      </c>
      <c r="F136" s="7" t="s">
        <v>17</v>
      </c>
      <c r="G136" s="7">
        <v>1486531</v>
      </c>
      <c r="H136" s="7">
        <v>356</v>
      </c>
      <c r="I136" s="7">
        <v>9</v>
      </c>
      <c r="J136" s="7">
        <v>0</v>
      </c>
      <c r="K136" s="7" t="s">
        <v>18</v>
      </c>
      <c r="L136" s="8">
        <v>39891.213356481479</v>
      </c>
      <c r="M136" s="9" t="s">
        <v>19</v>
      </c>
      <c r="N136" s="9" t="s">
        <v>22</v>
      </c>
      <c r="O136" s="6" t="str">
        <f>HYPERLINK("https://pbs.twimg.com/profile_images/988971255679324162/jrqiIYf__normal.jpg","View")</f>
        <v>View</v>
      </c>
      <c r="P136" s="7"/>
    </row>
    <row r="137" spans="1:16">
      <c r="A137" s="3">
        <v>43855.822881944448</v>
      </c>
      <c r="B137" s="4" t="str">
        <f>HYPERLINK("https://twitter.com/sergio_fajardo","@sergio_fajardo")</f>
        <v>@sergio_fajardo</v>
      </c>
      <c r="C137" s="5" t="s">
        <v>16</v>
      </c>
      <c r="D137" s="5" t="s">
        <v>160</v>
      </c>
      <c r="E137" s="6" t="str">
        <f>HYPERLINK("https://twitter.com/sergio_fajardo/status/1221073978942459904","1221073978942459904")</f>
        <v>1221073978942459904</v>
      </c>
      <c r="F137" s="7" t="s">
        <v>17</v>
      </c>
      <c r="G137" s="7">
        <v>1486675</v>
      </c>
      <c r="H137" s="7">
        <v>356</v>
      </c>
      <c r="I137" s="7">
        <v>9</v>
      </c>
      <c r="J137" s="7">
        <v>0</v>
      </c>
      <c r="K137" s="7" t="s">
        <v>18</v>
      </c>
      <c r="L137" s="8">
        <v>39891.213356481479</v>
      </c>
      <c r="M137" s="9" t="s">
        <v>19</v>
      </c>
      <c r="N137" s="9" t="s">
        <v>22</v>
      </c>
      <c r="O137" s="6" t="str">
        <f>HYPERLINK("https://pbs.twimg.com/profile_images/988971255679324162/jrqiIYf__normal.jpg","View")</f>
        <v>View</v>
      </c>
      <c r="P137" s="7"/>
    </row>
    <row r="138" spans="1:16">
      <c r="A138" s="3">
        <v>43857.320659722223</v>
      </c>
      <c r="B138" s="4" t="str">
        <f>HYPERLINK("https://twitter.com/sergio_fajardo","@sergio_fajardo")</f>
        <v>@sergio_fajardo</v>
      </c>
      <c r="C138" s="5" t="s">
        <v>16</v>
      </c>
      <c r="D138" s="5" t="s">
        <v>161</v>
      </c>
      <c r="E138" s="6" t="str">
        <f>HYPERLINK("https://twitter.com/sergio_fajardo/status/1221616753647767552","1221616753647767552")</f>
        <v>1221616753647767552</v>
      </c>
      <c r="F138" s="7" t="s">
        <v>17</v>
      </c>
      <c r="G138" s="7">
        <v>1487107</v>
      </c>
      <c r="H138" s="7">
        <v>356</v>
      </c>
      <c r="I138" s="7">
        <v>13</v>
      </c>
      <c r="J138" s="7">
        <v>0</v>
      </c>
      <c r="K138" s="7" t="s">
        <v>18</v>
      </c>
      <c r="L138" s="8">
        <v>39891.213356481479</v>
      </c>
      <c r="M138" s="9" t="s">
        <v>19</v>
      </c>
      <c r="N138" s="9" t="s">
        <v>22</v>
      </c>
      <c r="O138" s="6" t="str">
        <f>HYPERLINK("https://pbs.twimg.com/profile_images/988971255679324162/jrqiIYf__normal.jpg","View")</f>
        <v>View</v>
      </c>
      <c r="P138" s="7"/>
    </row>
    <row r="139" spans="1:16">
      <c r="A139" s="3">
        <v>43858.122569444444</v>
      </c>
      <c r="B139" s="4" t="str">
        <f>HYPERLINK("https://twitter.com/sergio_fajardo","@sergio_fajardo")</f>
        <v>@sergio_fajardo</v>
      </c>
      <c r="C139" s="5" t="s">
        <v>16</v>
      </c>
      <c r="D139" s="5" t="s">
        <v>162</v>
      </c>
      <c r="E139" s="6" t="str">
        <f>HYPERLINK("https://twitter.com/sergio_fajardo/status/1221907357506076673","1221907357506076673")</f>
        <v>1221907357506076673</v>
      </c>
      <c r="F139" s="7" t="s">
        <v>23</v>
      </c>
      <c r="G139" s="7">
        <v>1487322</v>
      </c>
      <c r="H139" s="7">
        <v>356</v>
      </c>
      <c r="I139" s="7">
        <v>3</v>
      </c>
      <c r="J139" s="7">
        <v>8</v>
      </c>
      <c r="K139" s="7" t="s">
        <v>18</v>
      </c>
      <c r="L139" s="8">
        <v>39891.213356481479</v>
      </c>
      <c r="M139" s="9" t="s">
        <v>19</v>
      </c>
      <c r="N139" s="9" t="s">
        <v>22</v>
      </c>
      <c r="O139" s="6" t="str">
        <f>HYPERLINK("https://pbs.twimg.com/profile_images/988971255679324162/jrqiIYf__normal.jpg","View")</f>
        <v>View</v>
      </c>
      <c r="P139" s="7"/>
    </row>
    <row r="140" spans="1:16">
      <c r="A140" s="3">
        <v>43858.189259259263</v>
      </c>
      <c r="B140" s="4" t="str">
        <f>HYPERLINK("https://twitter.com/sergio_fajardo","@sergio_fajardo")</f>
        <v>@sergio_fajardo</v>
      </c>
      <c r="C140" s="5" t="s">
        <v>16</v>
      </c>
      <c r="D140" s="5" t="s">
        <v>163</v>
      </c>
      <c r="E140" s="6" t="str">
        <f>HYPERLINK("https://twitter.com/sergio_fajardo/status/1221931522502144001","1221931522502144001")</f>
        <v>1221931522502144001</v>
      </c>
      <c r="F140" s="7" t="s">
        <v>17</v>
      </c>
      <c r="G140" s="7">
        <v>1487349</v>
      </c>
      <c r="H140" s="7">
        <v>356</v>
      </c>
      <c r="I140" s="7">
        <v>1877</v>
      </c>
      <c r="J140" s="7">
        <v>0</v>
      </c>
      <c r="K140" s="7" t="s">
        <v>18</v>
      </c>
      <c r="L140" s="8">
        <v>39891.213356481479</v>
      </c>
      <c r="M140" s="9" t="s">
        <v>19</v>
      </c>
      <c r="N140" s="9" t="s">
        <v>22</v>
      </c>
      <c r="O140" s="6" t="str">
        <f>HYPERLINK("https://pbs.twimg.com/profile_images/988971255679324162/jrqiIYf__normal.jpg","View")</f>
        <v>View</v>
      </c>
      <c r="P140" s="7"/>
    </row>
    <row r="141" spans="1:16">
      <c r="A141" s="3">
        <v>43858.787442129629</v>
      </c>
      <c r="B141" s="4" t="str">
        <f>HYPERLINK("https://twitter.com/sergio_fajardo","@sergio_fajardo")</f>
        <v>@sergio_fajardo</v>
      </c>
      <c r="C141" s="5" t="s">
        <v>16</v>
      </c>
      <c r="D141" s="5" t="s">
        <v>164</v>
      </c>
      <c r="E141" s="6" t="str">
        <f>HYPERLINK("https://twitter.com/sergio_fajardo/status/1222148298766721024","1222148298766721024")</f>
        <v>1222148298766721024</v>
      </c>
      <c r="F141" s="7" t="s">
        <v>17</v>
      </c>
      <c r="G141" s="7">
        <v>1487474</v>
      </c>
      <c r="H141" s="7">
        <v>356</v>
      </c>
      <c r="I141" s="7">
        <v>7</v>
      </c>
      <c r="J141" s="7">
        <v>0</v>
      </c>
      <c r="K141" s="7" t="s">
        <v>18</v>
      </c>
      <c r="L141" s="8">
        <v>39891.213356481479</v>
      </c>
      <c r="M141" s="9" t="s">
        <v>19</v>
      </c>
      <c r="N141" s="9" t="s">
        <v>22</v>
      </c>
      <c r="O141" s="6" t="str">
        <f>HYPERLINK("https://pbs.twimg.com/profile_images/988971255679324162/jrqiIYf__normal.jpg","View")</f>
        <v>View</v>
      </c>
      <c r="P141" s="7"/>
    </row>
    <row r="142" spans="1:16">
      <c r="A142" s="3">
        <v>43858.823564814811</v>
      </c>
      <c r="B142" s="4" t="str">
        <f>HYPERLINK("https://twitter.com/sergio_fajardo","@sergio_fajardo")</f>
        <v>@sergio_fajardo</v>
      </c>
      <c r="C142" s="5" t="s">
        <v>16</v>
      </c>
      <c r="D142" s="5" t="s">
        <v>165</v>
      </c>
      <c r="E142" s="6" t="str">
        <f>HYPERLINK("https://twitter.com/sergio_fajardo/status/1222161388598067200","1222161388598067200")</f>
        <v>1222161388598067200</v>
      </c>
      <c r="F142" s="7" t="s">
        <v>17</v>
      </c>
      <c r="G142" s="7">
        <v>1487488</v>
      </c>
      <c r="H142" s="7">
        <v>356</v>
      </c>
      <c r="I142" s="7">
        <v>14</v>
      </c>
      <c r="J142" s="7">
        <v>0</v>
      </c>
      <c r="K142" s="7" t="s">
        <v>18</v>
      </c>
      <c r="L142" s="8">
        <v>39891.213356481479</v>
      </c>
      <c r="M142" s="9" t="s">
        <v>19</v>
      </c>
      <c r="N142" s="9" t="s">
        <v>22</v>
      </c>
      <c r="O142" s="6" t="str">
        <f>HYPERLINK("https://pbs.twimg.com/profile_images/988971255679324162/jrqiIYf__normal.jpg","View")</f>
        <v>View</v>
      </c>
      <c r="P142" s="7"/>
    </row>
    <row r="143" spans="1:16">
      <c r="A143" s="3">
        <v>43858.827245370368</v>
      </c>
      <c r="B143" s="4" t="str">
        <f>HYPERLINK("https://twitter.com/sergio_fajardo","@sergio_fajardo")</f>
        <v>@sergio_fajardo</v>
      </c>
      <c r="C143" s="5" t="s">
        <v>16</v>
      </c>
      <c r="D143" s="5" t="s">
        <v>166</v>
      </c>
      <c r="E143" s="6" t="str">
        <f>HYPERLINK("https://twitter.com/sergio_fajardo/status/1222162722885783555","1222162722885783555")</f>
        <v>1222162722885783555</v>
      </c>
      <c r="F143" s="7" t="s">
        <v>17</v>
      </c>
      <c r="G143" s="7">
        <v>1487488</v>
      </c>
      <c r="H143" s="7">
        <v>356</v>
      </c>
      <c r="I143" s="7">
        <v>11</v>
      </c>
      <c r="J143" s="7">
        <v>0</v>
      </c>
      <c r="K143" s="7" t="s">
        <v>18</v>
      </c>
      <c r="L143" s="8">
        <v>39891.213356481479</v>
      </c>
      <c r="M143" s="9" t="s">
        <v>19</v>
      </c>
      <c r="N143" s="9" t="s">
        <v>22</v>
      </c>
      <c r="O143" s="6" t="str">
        <f>HYPERLINK("https://pbs.twimg.com/profile_images/988971255679324162/jrqiIYf__normal.jpg","View")</f>
        <v>View</v>
      </c>
      <c r="P143" s="7"/>
    </row>
    <row r="144" spans="1:16">
      <c r="A144" s="3">
        <v>43858.828472222223</v>
      </c>
      <c r="B144" s="4" t="str">
        <f>HYPERLINK("https://twitter.com/sergio_fajardo","@sergio_fajardo")</f>
        <v>@sergio_fajardo</v>
      </c>
      <c r="C144" s="5" t="s">
        <v>16</v>
      </c>
      <c r="D144" s="5" t="s">
        <v>167</v>
      </c>
      <c r="E144" s="6" t="str">
        <f>HYPERLINK("https://twitter.com/sergio_fajardo/status/1222163169650585605","1222163169650585605")</f>
        <v>1222163169650585605</v>
      </c>
      <c r="F144" s="7" t="s">
        <v>17</v>
      </c>
      <c r="G144" s="7">
        <v>1487488</v>
      </c>
      <c r="H144" s="7">
        <v>356</v>
      </c>
      <c r="I144" s="7">
        <v>9</v>
      </c>
      <c r="J144" s="7">
        <v>0</v>
      </c>
      <c r="K144" s="7" t="s">
        <v>18</v>
      </c>
      <c r="L144" s="8">
        <v>39891.213356481479</v>
      </c>
      <c r="M144" s="9" t="s">
        <v>19</v>
      </c>
      <c r="N144" s="9" t="s">
        <v>22</v>
      </c>
      <c r="O144" s="6" t="str">
        <f>HYPERLINK("https://pbs.twimg.com/profile_images/988971255679324162/jrqiIYf__normal.jpg","View")</f>
        <v>View</v>
      </c>
      <c r="P144" s="7"/>
    </row>
    <row r="145" spans="1:16">
      <c r="A145" s="3">
        <v>43858.830671296295</v>
      </c>
      <c r="B145" s="4" t="str">
        <f>HYPERLINK("https://twitter.com/sergio_fajardo","@sergio_fajardo")</f>
        <v>@sergio_fajardo</v>
      </c>
      <c r="C145" s="5" t="s">
        <v>16</v>
      </c>
      <c r="D145" s="5" t="s">
        <v>168</v>
      </c>
      <c r="E145" s="6" t="str">
        <f>HYPERLINK("https://twitter.com/sergio_fajardo/status/1222163962789158912","1222163962789158912")</f>
        <v>1222163962789158912</v>
      </c>
      <c r="F145" s="7" t="s">
        <v>17</v>
      </c>
      <c r="G145" s="7">
        <v>1487488</v>
      </c>
      <c r="H145" s="7">
        <v>356</v>
      </c>
      <c r="I145" s="7">
        <v>7</v>
      </c>
      <c r="J145" s="7">
        <v>0</v>
      </c>
      <c r="K145" s="7" t="s">
        <v>18</v>
      </c>
      <c r="L145" s="8">
        <v>39891.213356481479</v>
      </c>
      <c r="M145" s="9" t="s">
        <v>19</v>
      </c>
      <c r="N145" s="9" t="s">
        <v>22</v>
      </c>
      <c r="O145" s="6" t="str">
        <f>HYPERLINK("https://pbs.twimg.com/profile_images/988971255679324162/jrqiIYf__normal.jpg","View")</f>
        <v>View</v>
      </c>
      <c r="P145" s="7"/>
    </row>
    <row r="146" spans="1:16">
      <c r="A146" s="3">
        <v>43858.836319444439</v>
      </c>
      <c r="B146" s="4" t="str">
        <f>HYPERLINK("https://twitter.com/sergio_fajardo","@sergio_fajardo")</f>
        <v>@sergio_fajardo</v>
      </c>
      <c r="C146" s="5" t="s">
        <v>16</v>
      </c>
      <c r="D146" s="5" t="s">
        <v>169</v>
      </c>
      <c r="E146" s="6" t="str">
        <f>HYPERLINK("https://twitter.com/sergio_fajardo/status/1222166010612142080","1222166010612142080")</f>
        <v>1222166010612142080</v>
      </c>
      <c r="F146" s="7" t="s">
        <v>17</v>
      </c>
      <c r="G146" s="7">
        <v>1487498</v>
      </c>
      <c r="H146" s="7">
        <v>356</v>
      </c>
      <c r="I146" s="7">
        <v>9</v>
      </c>
      <c r="J146" s="7">
        <v>0</v>
      </c>
      <c r="K146" s="7" t="s">
        <v>18</v>
      </c>
      <c r="L146" s="8">
        <v>39891.213356481479</v>
      </c>
      <c r="M146" s="9" t="s">
        <v>19</v>
      </c>
      <c r="N146" s="9" t="s">
        <v>22</v>
      </c>
      <c r="O146" s="6" t="str">
        <f>HYPERLINK("https://pbs.twimg.com/profile_images/988971255679324162/jrqiIYf__normal.jpg","View")</f>
        <v>View</v>
      </c>
      <c r="P146" s="7"/>
    </row>
    <row r="147" spans="1:16">
      <c r="A147" s="3">
        <v>43858.849247685182</v>
      </c>
      <c r="B147" s="4" t="str">
        <f>HYPERLINK("https://twitter.com/sergio_fajardo","@sergio_fajardo")</f>
        <v>@sergio_fajardo</v>
      </c>
      <c r="C147" s="5" t="s">
        <v>16</v>
      </c>
      <c r="D147" s="5" t="s">
        <v>170</v>
      </c>
      <c r="E147" s="6" t="str">
        <f>HYPERLINK("https://twitter.com/sergio_fajardo/status/1222170698380124161","1222170698380124161")</f>
        <v>1222170698380124161</v>
      </c>
      <c r="F147" s="7" t="s">
        <v>17</v>
      </c>
      <c r="G147" s="7">
        <v>1487498</v>
      </c>
      <c r="H147" s="7">
        <v>356</v>
      </c>
      <c r="I147" s="7">
        <v>11</v>
      </c>
      <c r="J147" s="7">
        <v>0</v>
      </c>
      <c r="K147" s="7" t="s">
        <v>18</v>
      </c>
      <c r="L147" s="8">
        <v>39891.213356481479</v>
      </c>
      <c r="M147" s="9" t="s">
        <v>19</v>
      </c>
      <c r="N147" s="9" t="s">
        <v>22</v>
      </c>
      <c r="O147" s="6" t="str">
        <f>HYPERLINK("https://pbs.twimg.com/profile_images/988971255679324162/jrqiIYf__normal.jpg","View")</f>
        <v>View</v>
      </c>
      <c r="P147" s="7"/>
    </row>
    <row r="148" spans="1:16">
      <c r="A148" s="3">
        <v>43858.880254629628</v>
      </c>
      <c r="B148" s="4" t="str">
        <f>HYPERLINK("https://twitter.com/sergio_fajardo","@sergio_fajardo")</f>
        <v>@sergio_fajardo</v>
      </c>
      <c r="C148" s="5" t="s">
        <v>16</v>
      </c>
      <c r="D148" s="5" t="s">
        <v>171</v>
      </c>
      <c r="E148" s="6" t="str">
        <f>HYPERLINK("https://twitter.com/sergio_fajardo/status/1222181933586833409","1222181933586833409")</f>
        <v>1222181933586833409</v>
      </c>
      <c r="F148" s="7" t="s">
        <v>17</v>
      </c>
      <c r="G148" s="7">
        <v>1487513</v>
      </c>
      <c r="H148" s="7">
        <v>356</v>
      </c>
      <c r="I148" s="7">
        <v>15</v>
      </c>
      <c r="J148" s="7">
        <v>0</v>
      </c>
      <c r="K148" s="7" t="s">
        <v>18</v>
      </c>
      <c r="L148" s="8">
        <v>39891.213356481479</v>
      </c>
      <c r="M148" s="9" t="s">
        <v>19</v>
      </c>
      <c r="N148" s="9" t="s">
        <v>22</v>
      </c>
      <c r="O148" s="6" t="str">
        <f>HYPERLINK("https://pbs.twimg.com/profile_images/988971255679324162/jrqiIYf__normal.jpg","View")</f>
        <v>View</v>
      </c>
      <c r="P148" s="7"/>
    </row>
    <row r="149" spans="1:16">
      <c r="A149" s="3">
        <v>43858.930335648147</v>
      </c>
      <c r="B149" s="4" t="str">
        <f>HYPERLINK("https://twitter.com/sergio_fajardo","@sergio_fajardo")</f>
        <v>@sergio_fajardo</v>
      </c>
      <c r="C149" s="5" t="s">
        <v>16</v>
      </c>
      <c r="D149" s="5" t="s">
        <v>172</v>
      </c>
      <c r="E149" s="6" t="str">
        <f>HYPERLINK("https://twitter.com/sergio_fajardo/status/1222200080477847552","1222200080477847552")</f>
        <v>1222200080477847552</v>
      </c>
      <c r="F149" s="7" t="s">
        <v>23</v>
      </c>
      <c r="G149" s="7">
        <v>1487525</v>
      </c>
      <c r="H149" s="7">
        <v>356</v>
      </c>
      <c r="I149" s="7">
        <v>4</v>
      </c>
      <c r="J149" s="7">
        <v>0</v>
      </c>
      <c r="K149" s="7" t="s">
        <v>18</v>
      </c>
      <c r="L149" s="8">
        <v>39891.213356481479</v>
      </c>
      <c r="M149" s="9" t="s">
        <v>19</v>
      </c>
      <c r="N149" s="9" t="s">
        <v>22</v>
      </c>
      <c r="O149" s="6" t="str">
        <f>HYPERLINK("https://pbs.twimg.com/profile_images/988971255679324162/jrqiIYf__normal.jpg","View")</f>
        <v>View</v>
      </c>
      <c r="P149" s="7"/>
    </row>
    <row r="150" spans="1:16">
      <c r="A150" s="3">
        <v>43858.99119212963</v>
      </c>
      <c r="B150" s="4" t="str">
        <f>HYPERLINK("https://twitter.com/sergio_fajardo","@sergio_fajardo")</f>
        <v>@sergio_fajardo</v>
      </c>
      <c r="C150" s="5" t="s">
        <v>16</v>
      </c>
      <c r="D150" s="5" t="s">
        <v>173</v>
      </c>
      <c r="E150" s="6" t="str">
        <f>HYPERLINK("https://twitter.com/sergio_fajardo/status/1222222133272698881","1222222133272698881")</f>
        <v>1222222133272698881</v>
      </c>
      <c r="F150" s="7" t="s">
        <v>23</v>
      </c>
      <c r="G150" s="7">
        <v>1487556</v>
      </c>
      <c r="H150" s="7">
        <v>356</v>
      </c>
      <c r="I150" s="7">
        <v>14</v>
      </c>
      <c r="J150" s="7">
        <v>27</v>
      </c>
      <c r="K150" s="7" t="s">
        <v>18</v>
      </c>
      <c r="L150" s="8">
        <v>39891.213356481479</v>
      </c>
      <c r="M150" s="9" t="s">
        <v>19</v>
      </c>
      <c r="N150" s="9" t="s">
        <v>22</v>
      </c>
      <c r="O150" s="6" t="str">
        <f>HYPERLINK("https://pbs.twimg.com/profile_images/988971255679324162/jrqiIYf__normal.jpg","View")</f>
        <v>View</v>
      </c>
      <c r="P150" s="7"/>
    </row>
    <row r="151" spans="1:16">
      <c r="A151" s="3">
        <v>43859.103275462963</v>
      </c>
      <c r="B151" s="4" t="str">
        <f>HYPERLINK("https://twitter.com/sergio_fajardo","@sergio_fajardo")</f>
        <v>@sergio_fajardo</v>
      </c>
      <c r="C151" s="5" t="s">
        <v>16</v>
      </c>
      <c r="D151" s="5" t="s">
        <v>174</v>
      </c>
      <c r="E151" s="6" t="str">
        <f>HYPERLINK("https://twitter.com/sergio_fajardo/status/1222262752649060355","1222262752649060355")</f>
        <v>1222262752649060355</v>
      </c>
      <c r="F151" s="7" t="s">
        <v>17</v>
      </c>
      <c r="G151" s="7">
        <v>1487584</v>
      </c>
      <c r="H151" s="7">
        <v>356</v>
      </c>
      <c r="I151" s="7">
        <v>15</v>
      </c>
      <c r="J151" s="7">
        <v>0</v>
      </c>
      <c r="K151" s="7" t="s">
        <v>18</v>
      </c>
      <c r="L151" s="8">
        <v>39891.213356481479</v>
      </c>
      <c r="M151" s="9" t="s">
        <v>19</v>
      </c>
      <c r="N151" s="9" t="s">
        <v>22</v>
      </c>
      <c r="O151" s="6" t="str">
        <f>HYPERLINK("https://pbs.twimg.com/profile_images/988971255679324162/jrqiIYf__normal.jpg","View")</f>
        <v>View</v>
      </c>
      <c r="P151" s="7"/>
    </row>
    <row r="152" spans="1:16">
      <c r="A152" s="3">
        <v>43859.104722222226</v>
      </c>
      <c r="B152" s="4" t="str">
        <f>HYPERLINK("https://twitter.com/sergio_fajardo","@sergio_fajardo")</f>
        <v>@sergio_fajardo</v>
      </c>
      <c r="C152" s="5" t="s">
        <v>16</v>
      </c>
      <c r="D152" s="5" t="s">
        <v>175</v>
      </c>
      <c r="E152" s="6" t="str">
        <f>HYPERLINK("https://twitter.com/sergio_fajardo/status/1222263276307873793","1222263276307873793")</f>
        <v>1222263276307873793</v>
      </c>
      <c r="F152" s="7" t="s">
        <v>17</v>
      </c>
      <c r="G152" s="7">
        <v>1487584</v>
      </c>
      <c r="H152" s="7">
        <v>356</v>
      </c>
      <c r="I152" s="7">
        <v>15</v>
      </c>
      <c r="J152" s="7">
        <v>0</v>
      </c>
      <c r="K152" s="7" t="s">
        <v>18</v>
      </c>
      <c r="L152" s="8">
        <v>39891.213356481479</v>
      </c>
      <c r="M152" s="9" t="s">
        <v>19</v>
      </c>
      <c r="N152" s="9" t="s">
        <v>22</v>
      </c>
      <c r="O152" s="6" t="str">
        <f>HYPERLINK("https://pbs.twimg.com/profile_images/988971255679324162/jrqiIYf__normal.jpg","View")</f>
        <v>View</v>
      </c>
      <c r="P152" s="7"/>
    </row>
    <row r="153" spans="1:16">
      <c r="A153" s="3">
        <v>43859.106087962966</v>
      </c>
      <c r="B153" s="4" t="str">
        <f>HYPERLINK("https://twitter.com/sergio_fajardo","@sergio_fajardo")</f>
        <v>@sergio_fajardo</v>
      </c>
      <c r="C153" s="5" t="s">
        <v>16</v>
      </c>
      <c r="D153" s="5" t="s">
        <v>176</v>
      </c>
      <c r="E153" s="6" t="str">
        <f>HYPERLINK("https://twitter.com/sergio_fajardo/status/1222263770413772802","1222263770413772802")</f>
        <v>1222263770413772802</v>
      </c>
      <c r="F153" s="7" t="s">
        <v>17</v>
      </c>
      <c r="G153" s="7">
        <v>1487589</v>
      </c>
      <c r="H153" s="7">
        <v>356</v>
      </c>
      <c r="I153" s="7">
        <v>579</v>
      </c>
      <c r="J153" s="7">
        <v>0</v>
      </c>
      <c r="K153" s="7" t="s">
        <v>18</v>
      </c>
      <c r="L153" s="8">
        <v>39891.213356481479</v>
      </c>
      <c r="M153" s="9" t="s">
        <v>19</v>
      </c>
      <c r="N153" s="9" t="s">
        <v>22</v>
      </c>
      <c r="O153" s="6" t="str">
        <f>HYPERLINK("https://pbs.twimg.com/profile_images/988971255679324162/jrqiIYf__normal.jpg","View")</f>
        <v>View</v>
      </c>
      <c r="P153" s="7"/>
    </row>
    <row r="154" spans="1:16">
      <c r="A154" s="3">
        <v>43859.15792824074</v>
      </c>
      <c r="B154" s="4" t="str">
        <f>HYPERLINK("https://twitter.com/sergio_fajardo","@sergio_fajardo")</f>
        <v>@sergio_fajardo</v>
      </c>
      <c r="C154" s="5" t="s">
        <v>16</v>
      </c>
      <c r="D154" s="5" t="s">
        <v>177</v>
      </c>
      <c r="E154" s="6" t="str">
        <f>HYPERLINK("https://twitter.com/sergio_fajardo/status/1222282557867335680","1222282557867335680")</f>
        <v>1222282557867335680</v>
      </c>
      <c r="F154" s="7" t="s">
        <v>17</v>
      </c>
      <c r="G154" s="7">
        <v>1487601</v>
      </c>
      <c r="H154" s="7">
        <v>356</v>
      </c>
      <c r="I154" s="7">
        <v>3</v>
      </c>
      <c r="J154" s="7">
        <v>0</v>
      </c>
      <c r="K154" s="7" t="s">
        <v>18</v>
      </c>
      <c r="L154" s="8">
        <v>39891.213356481479</v>
      </c>
      <c r="M154" s="9" t="s">
        <v>19</v>
      </c>
      <c r="N154" s="9" t="s">
        <v>22</v>
      </c>
      <c r="O154" s="6" t="str">
        <f>HYPERLINK("https://pbs.twimg.com/profile_images/988971255679324162/jrqiIYf__normal.jpg","View")</f>
        <v>View</v>
      </c>
      <c r="P154" s="7"/>
    </row>
    <row r="155" spans="1:16">
      <c r="A155" s="3">
        <v>43859.247442129628</v>
      </c>
      <c r="B155" s="4" t="str">
        <f>HYPERLINK("https://twitter.com/sergio_fajardo","@sergio_fajardo")</f>
        <v>@sergio_fajardo</v>
      </c>
      <c r="C155" s="5" t="s">
        <v>16</v>
      </c>
      <c r="D155" s="5" t="s">
        <v>178</v>
      </c>
      <c r="E155" s="6" t="str">
        <f>HYPERLINK("https://twitter.com/sergio_fajardo/status/1222314995528163328","1222314995528163328")</f>
        <v>1222314995528163328</v>
      </c>
      <c r="F155" s="7" t="s">
        <v>23</v>
      </c>
      <c r="G155" s="7">
        <v>1487630</v>
      </c>
      <c r="H155" s="7">
        <v>356</v>
      </c>
      <c r="I155" s="7">
        <v>9</v>
      </c>
      <c r="J155" s="7">
        <v>30</v>
      </c>
      <c r="K155" s="7" t="s">
        <v>18</v>
      </c>
      <c r="L155" s="8">
        <v>39891.213356481479</v>
      </c>
      <c r="M155" s="9" t="s">
        <v>19</v>
      </c>
      <c r="N155" s="9" t="s">
        <v>22</v>
      </c>
      <c r="O155" s="6" t="str">
        <f>HYPERLINK("https://pbs.twimg.com/profile_images/988971255679324162/jrqiIYf__normal.jpg","View")</f>
        <v>View</v>
      </c>
      <c r="P155" s="7"/>
    </row>
    <row r="156" spans="1:16">
      <c r="A156" s="3">
        <v>43859.26725694444</v>
      </c>
      <c r="B156" s="4" t="str">
        <f>HYPERLINK("https://twitter.com/sergio_fajardo","@sergio_fajardo")</f>
        <v>@sergio_fajardo</v>
      </c>
      <c r="C156" s="5" t="s">
        <v>16</v>
      </c>
      <c r="D156" s="5" t="s">
        <v>179</v>
      </c>
      <c r="E156" s="6" t="str">
        <f>HYPERLINK("https://twitter.com/sergio_fajardo/status/1222322176767991813","1222322176767991813")</f>
        <v>1222322176767991813</v>
      </c>
      <c r="F156" s="7" t="s">
        <v>17</v>
      </c>
      <c r="G156" s="7">
        <v>1487640</v>
      </c>
      <c r="H156" s="7">
        <v>356</v>
      </c>
      <c r="I156" s="7">
        <v>17</v>
      </c>
      <c r="J156" s="7">
        <v>0</v>
      </c>
      <c r="K156" s="7" t="s">
        <v>18</v>
      </c>
      <c r="L156" s="8">
        <v>39891.213356481479</v>
      </c>
      <c r="M156" s="9" t="s">
        <v>19</v>
      </c>
      <c r="N156" s="9" t="s">
        <v>22</v>
      </c>
      <c r="O156" s="6" t="str">
        <f>HYPERLINK("https://pbs.twimg.com/profile_images/988971255679324162/jrqiIYf__normal.jpg","View")</f>
        <v>View</v>
      </c>
      <c r="P156" s="7"/>
    </row>
    <row r="157" spans="1:16">
      <c r="A157" s="3">
        <v>43859.754004629634</v>
      </c>
      <c r="B157" s="4" t="str">
        <f>HYPERLINK("https://twitter.com/sergio_fajardo","@sergio_fajardo")</f>
        <v>@sergio_fajardo</v>
      </c>
      <c r="C157" s="5" t="s">
        <v>16</v>
      </c>
      <c r="D157" s="5" t="s">
        <v>180</v>
      </c>
      <c r="E157" s="6" t="str">
        <f>HYPERLINK("https://twitter.com/sergio_fajardo/status/1222498568675774464","1222498568675774464")</f>
        <v>1222498568675774464</v>
      </c>
      <c r="F157" s="7" t="s">
        <v>17</v>
      </c>
      <c r="G157" s="7">
        <v>1487754</v>
      </c>
      <c r="H157" s="7">
        <v>356</v>
      </c>
      <c r="I157" s="7">
        <v>306</v>
      </c>
      <c r="J157" s="7">
        <v>0</v>
      </c>
      <c r="K157" s="7" t="s">
        <v>18</v>
      </c>
      <c r="L157" s="8">
        <v>39891.213356481479</v>
      </c>
      <c r="M157" s="9" t="s">
        <v>19</v>
      </c>
      <c r="N157" s="9" t="s">
        <v>22</v>
      </c>
      <c r="O157" s="6" t="str">
        <f>HYPERLINK("https://pbs.twimg.com/profile_images/988971255679324162/jrqiIYf__normal.jpg","View")</f>
        <v>View</v>
      </c>
      <c r="P157" s="7"/>
    </row>
    <row r="158" spans="1:16">
      <c r="A158" s="3">
        <v>43859.84652777778</v>
      </c>
      <c r="B158" s="4" t="str">
        <f>HYPERLINK("https://twitter.com/sergio_fajardo","@sergio_fajardo")</f>
        <v>@sergio_fajardo</v>
      </c>
      <c r="C158" s="5" t="s">
        <v>16</v>
      </c>
      <c r="D158" s="5" t="s">
        <v>181</v>
      </c>
      <c r="E158" s="6" t="str">
        <f>HYPERLINK("https://twitter.com/sergio_fajardo/status/1222532098470359041","1222532098470359041")</f>
        <v>1222532098470359041</v>
      </c>
      <c r="F158" s="7" t="s">
        <v>17</v>
      </c>
      <c r="G158" s="7">
        <v>1487777</v>
      </c>
      <c r="H158" s="7">
        <v>356</v>
      </c>
      <c r="I158" s="7">
        <v>2</v>
      </c>
      <c r="J158" s="7">
        <v>11</v>
      </c>
      <c r="K158" s="7" t="s">
        <v>18</v>
      </c>
      <c r="L158" s="8">
        <v>39891.213356481479</v>
      </c>
      <c r="M158" s="9" t="s">
        <v>19</v>
      </c>
      <c r="N158" s="9" t="s">
        <v>22</v>
      </c>
      <c r="O158" s="6" t="str">
        <f>HYPERLINK("https://pbs.twimg.com/profile_images/988971255679324162/jrqiIYf__normal.jpg","View")</f>
        <v>View</v>
      </c>
      <c r="P158" s="7"/>
    </row>
    <row r="159" spans="1:16">
      <c r="A159" s="3">
        <v>43859.877141203702</v>
      </c>
      <c r="B159" s="4" t="str">
        <f>HYPERLINK("https://twitter.com/sergio_fajardo","@sergio_fajardo")</f>
        <v>@sergio_fajardo</v>
      </c>
      <c r="C159" s="5" t="s">
        <v>16</v>
      </c>
      <c r="D159" s="5" t="s">
        <v>182</v>
      </c>
      <c r="E159" s="6" t="str">
        <f>HYPERLINK("https://twitter.com/sergio_fajardo/status/1222543191473258497","1222543191473258497")</f>
        <v>1222543191473258497</v>
      </c>
      <c r="F159" s="7" t="s">
        <v>17</v>
      </c>
      <c r="G159" s="7">
        <v>1487793</v>
      </c>
      <c r="H159" s="7">
        <v>356</v>
      </c>
      <c r="I159" s="7">
        <v>6</v>
      </c>
      <c r="J159" s="7">
        <v>19</v>
      </c>
      <c r="K159" s="7" t="s">
        <v>18</v>
      </c>
      <c r="L159" s="8">
        <v>39891.213356481479</v>
      </c>
      <c r="M159" s="9" t="s">
        <v>19</v>
      </c>
      <c r="N159" s="9" t="s">
        <v>22</v>
      </c>
      <c r="O159" s="6" t="str">
        <f>HYPERLINK("https://pbs.twimg.com/profile_images/988971255679324162/jrqiIYf__normal.jpg","View")</f>
        <v>View</v>
      </c>
      <c r="P159" s="7"/>
    </row>
    <row r="160" spans="1:16">
      <c r="A160" s="3">
        <v>43859.880324074074</v>
      </c>
      <c r="B160" s="4" t="str">
        <f>HYPERLINK("https://twitter.com/sergio_fajardo","@sergio_fajardo")</f>
        <v>@sergio_fajardo</v>
      </c>
      <c r="C160" s="5" t="s">
        <v>16</v>
      </c>
      <c r="D160" s="5" t="s">
        <v>183</v>
      </c>
      <c r="E160" s="6" t="str">
        <f>HYPERLINK("https://twitter.com/sergio_fajardo/status/1222544345125019649","1222544345125019649")</f>
        <v>1222544345125019649</v>
      </c>
      <c r="F160" s="7" t="s">
        <v>17</v>
      </c>
      <c r="G160" s="7">
        <v>1487793</v>
      </c>
      <c r="H160" s="7">
        <v>356</v>
      </c>
      <c r="I160" s="7">
        <v>10</v>
      </c>
      <c r="J160" s="7">
        <v>47</v>
      </c>
      <c r="K160" s="7" t="s">
        <v>18</v>
      </c>
      <c r="L160" s="8">
        <v>39891.213356481479</v>
      </c>
      <c r="M160" s="9" t="s">
        <v>19</v>
      </c>
      <c r="N160" s="9" t="s">
        <v>22</v>
      </c>
      <c r="O160" s="6" t="str">
        <f>HYPERLINK("https://pbs.twimg.com/profile_images/988971255679324162/jrqiIYf__normal.jpg","View")</f>
        <v>View</v>
      </c>
      <c r="P160" s="7"/>
    </row>
    <row r="161" spans="1:16">
      <c r="A161" s="3">
        <v>43859.884618055556</v>
      </c>
      <c r="B161" s="4" t="str">
        <f>HYPERLINK("https://twitter.com/sergio_fajardo","@sergio_fajardo")</f>
        <v>@sergio_fajardo</v>
      </c>
      <c r="C161" s="5" t="s">
        <v>16</v>
      </c>
      <c r="D161" s="5" t="s">
        <v>184</v>
      </c>
      <c r="E161" s="6" t="str">
        <f>HYPERLINK("https://twitter.com/sergio_fajardo/status/1222545904005255168","1222545904005255168")</f>
        <v>1222545904005255168</v>
      </c>
      <c r="F161" s="7" t="s">
        <v>17</v>
      </c>
      <c r="G161" s="7">
        <v>1487793</v>
      </c>
      <c r="H161" s="7">
        <v>356</v>
      </c>
      <c r="I161" s="7">
        <v>2</v>
      </c>
      <c r="J161" s="7">
        <v>13</v>
      </c>
      <c r="K161" s="7" t="s">
        <v>18</v>
      </c>
      <c r="L161" s="8">
        <v>39891.213356481479</v>
      </c>
      <c r="M161" s="9" t="s">
        <v>19</v>
      </c>
      <c r="N161" s="9" t="s">
        <v>22</v>
      </c>
      <c r="O161" s="6" t="str">
        <f>HYPERLINK("https://pbs.twimg.com/profile_images/988971255679324162/jrqiIYf__normal.jpg","View")</f>
        <v>View</v>
      </c>
      <c r="P161" s="7"/>
    </row>
    <row r="162" spans="1:16">
      <c r="A162" s="3">
        <v>43860.098171296297</v>
      </c>
      <c r="B162" s="4" t="str">
        <f>HYPERLINK("https://twitter.com/sergio_fajardo","@sergio_fajardo")</f>
        <v>@sergio_fajardo</v>
      </c>
      <c r="C162" s="5" t="s">
        <v>16</v>
      </c>
      <c r="D162" s="5" t="s">
        <v>185</v>
      </c>
      <c r="E162" s="6" t="str">
        <f>HYPERLINK("https://twitter.com/sergio_fajardo/status/1222623292525371395","1222623292525371395")</f>
        <v>1222623292525371395</v>
      </c>
      <c r="F162" s="7" t="s">
        <v>17</v>
      </c>
      <c r="G162" s="7">
        <v>1487911</v>
      </c>
      <c r="H162" s="7">
        <v>356</v>
      </c>
      <c r="I162" s="7">
        <v>0</v>
      </c>
      <c r="J162" s="7">
        <v>24</v>
      </c>
      <c r="K162" s="7" t="s">
        <v>18</v>
      </c>
      <c r="L162" s="8">
        <v>39891.213356481479</v>
      </c>
      <c r="M162" s="9" t="s">
        <v>19</v>
      </c>
      <c r="N162" s="9" t="s">
        <v>22</v>
      </c>
      <c r="O162" s="6" t="str">
        <f>HYPERLINK("https://pbs.twimg.com/profile_images/988971255679324162/jrqiIYf__normal.jpg","View")</f>
        <v>View</v>
      </c>
      <c r="P162" s="7"/>
    </row>
    <row r="163" spans="1:16">
      <c r="A163" s="3">
        <v>43860.147222222222</v>
      </c>
      <c r="B163" s="4" t="str">
        <f>HYPERLINK("https://twitter.com/sergio_fajardo","@sergio_fajardo")</f>
        <v>@sergio_fajardo</v>
      </c>
      <c r="C163" s="5" t="s">
        <v>16</v>
      </c>
      <c r="D163" s="5" t="s">
        <v>186</v>
      </c>
      <c r="E163" s="6" t="str">
        <f>HYPERLINK("https://twitter.com/sergio_fajardo/status/1222641066836406272","1222641066836406272")</f>
        <v>1222641066836406272</v>
      </c>
      <c r="F163" s="7" t="s">
        <v>17</v>
      </c>
      <c r="G163" s="7">
        <v>1487927</v>
      </c>
      <c r="H163" s="7">
        <v>356</v>
      </c>
      <c r="I163" s="7">
        <v>1</v>
      </c>
      <c r="J163" s="7">
        <v>4</v>
      </c>
      <c r="K163" s="7" t="s">
        <v>18</v>
      </c>
      <c r="L163" s="8">
        <v>39891.213356481479</v>
      </c>
      <c r="M163" s="9" t="s">
        <v>19</v>
      </c>
      <c r="N163" s="9" t="s">
        <v>22</v>
      </c>
      <c r="O163" s="6" t="str">
        <f>HYPERLINK("https://pbs.twimg.com/profile_images/988971255679324162/jrqiIYf__normal.jpg","View")</f>
        <v>View</v>
      </c>
      <c r="P163" s="7"/>
    </row>
    <row r="164" spans="1:16">
      <c r="A164" s="3">
        <v>43860.237858796296</v>
      </c>
      <c r="B164" s="4" t="str">
        <f>HYPERLINK("https://twitter.com/sergio_fajardo","@sergio_fajardo")</f>
        <v>@sergio_fajardo</v>
      </c>
      <c r="C164" s="5" t="s">
        <v>16</v>
      </c>
      <c r="D164" s="5" t="s">
        <v>187</v>
      </c>
      <c r="E164" s="6" t="str">
        <f>HYPERLINK("https://twitter.com/sergio_fajardo/status/1222673910266724352","1222673910266724352")</f>
        <v>1222673910266724352</v>
      </c>
      <c r="F164" s="7" t="s">
        <v>17</v>
      </c>
      <c r="G164" s="7">
        <v>1487966</v>
      </c>
      <c r="H164" s="7">
        <v>356</v>
      </c>
      <c r="I164" s="7">
        <v>786</v>
      </c>
      <c r="J164" s="7">
        <v>0</v>
      </c>
      <c r="K164" s="7" t="s">
        <v>18</v>
      </c>
      <c r="L164" s="8">
        <v>39891.213356481479</v>
      </c>
      <c r="M164" s="9" t="s">
        <v>19</v>
      </c>
      <c r="N164" s="9" t="s">
        <v>22</v>
      </c>
      <c r="O164" s="6" t="str">
        <f>HYPERLINK("https://pbs.twimg.com/profile_images/988971255679324162/jrqiIYf__normal.jpg","View")</f>
        <v>View</v>
      </c>
      <c r="P164" s="7"/>
    </row>
    <row r="165" spans="1:16">
      <c r="A165" s="3">
        <v>43860.260775462964</v>
      </c>
      <c r="B165" s="4" t="str">
        <f>HYPERLINK("https://twitter.com/sergio_fajardo","@sergio_fajardo")</f>
        <v>@sergio_fajardo</v>
      </c>
      <c r="C165" s="5" t="s">
        <v>16</v>
      </c>
      <c r="D165" s="5" t="s">
        <v>188</v>
      </c>
      <c r="E165" s="6" t="str">
        <f>HYPERLINK("https://twitter.com/sergio_fajardo/status/1222682216792313856","1222682216792313856")</f>
        <v>1222682216792313856</v>
      </c>
      <c r="F165" s="7" t="s">
        <v>17</v>
      </c>
      <c r="G165" s="7">
        <v>1487966</v>
      </c>
      <c r="H165" s="7">
        <v>356</v>
      </c>
      <c r="I165" s="7">
        <v>4</v>
      </c>
      <c r="J165" s="7">
        <v>44</v>
      </c>
      <c r="K165" s="7" t="s">
        <v>18</v>
      </c>
      <c r="L165" s="8">
        <v>39891.213356481479</v>
      </c>
      <c r="M165" s="9" t="s">
        <v>19</v>
      </c>
      <c r="N165" s="9" t="s">
        <v>22</v>
      </c>
      <c r="O165" s="6" t="str">
        <f>HYPERLINK("https://pbs.twimg.com/profile_images/988971255679324162/jrqiIYf__normal.jpg","View")</f>
        <v>View</v>
      </c>
      <c r="P165" s="7"/>
    </row>
    <row r="166" spans="1:16">
      <c r="A166" s="3">
        <v>43861.139247685191</v>
      </c>
      <c r="B166" s="4" t="str">
        <f>HYPERLINK("https://twitter.com/sergio_fajardo","@sergio_fajardo")</f>
        <v>@sergio_fajardo</v>
      </c>
      <c r="C166" s="5" t="s">
        <v>16</v>
      </c>
      <c r="D166" s="5" t="s">
        <v>189</v>
      </c>
      <c r="E166" s="6" t="str">
        <f>HYPERLINK("https://twitter.com/sergio_fajardo/status/1223000565225066497","1223000565225066497")</f>
        <v>1223000565225066497</v>
      </c>
      <c r="F166" s="7" t="s">
        <v>17</v>
      </c>
      <c r="G166" s="7">
        <v>1488179</v>
      </c>
      <c r="H166" s="7">
        <v>356</v>
      </c>
      <c r="I166" s="7">
        <v>56</v>
      </c>
      <c r="J166" s="7">
        <v>0</v>
      </c>
      <c r="K166" s="7" t="s">
        <v>18</v>
      </c>
      <c r="L166" s="8">
        <v>39891.213356481479</v>
      </c>
      <c r="M166" s="9" t="s">
        <v>19</v>
      </c>
      <c r="N166" s="9" t="s">
        <v>22</v>
      </c>
      <c r="O166" s="6" t="str">
        <f>HYPERLINK("https://pbs.twimg.com/profile_images/988971255679324162/jrqiIYf__normal.jpg","View")</f>
        <v>View</v>
      </c>
      <c r="P166" s="7"/>
    </row>
    <row r="167" spans="1:16">
      <c r="A167" s="3">
        <v>43861.742048611108</v>
      </c>
      <c r="B167" s="4" t="str">
        <f>HYPERLINK("https://twitter.com/sergio_fajardo","@sergio_fajardo")</f>
        <v>@sergio_fajardo</v>
      </c>
      <c r="C167" s="5" t="s">
        <v>16</v>
      </c>
      <c r="D167" s="5" t="s">
        <v>190</v>
      </c>
      <c r="E167" s="6" t="str">
        <f>HYPERLINK("https://twitter.com/sergio_fajardo/status/1223219011216867329","1223219011216867329")</f>
        <v>1223219011216867329</v>
      </c>
      <c r="F167" s="7" t="s">
        <v>17</v>
      </c>
      <c r="G167" s="7">
        <v>1488271</v>
      </c>
      <c r="H167" s="7">
        <v>356</v>
      </c>
      <c r="I167" s="7">
        <v>8</v>
      </c>
      <c r="J167" s="7">
        <v>19</v>
      </c>
      <c r="K167" s="7" t="s">
        <v>18</v>
      </c>
      <c r="L167" s="8">
        <v>39891.213356481479</v>
      </c>
      <c r="M167" s="9" t="s">
        <v>19</v>
      </c>
      <c r="N167" s="9" t="s">
        <v>22</v>
      </c>
      <c r="O167" s="6" t="str">
        <f>HYPERLINK("https://pbs.twimg.com/profile_images/988971255679324162/jrqiIYf__normal.jpg","View")</f>
        <v>View</v>
      </c>
      <c r="P167" s="7"/>
    </row>
    <row r="168" spans="1:16">
      <c r="A168" s="3">
        <v>43861.82068287037</v>
      </c>
      <c r="B168" s="4" t="str">
        <f>HYPERLINK("https://twitter.com/sergio_fajardo","@sergio_fajardo")</f>
        <v>@sergio_fajardo</v>
      </c>
      <c r="C168" s="5" t="s">
        <v>16</v>
      </c>
      <c r="D168" s="5" t="s">
        <v>191</v>
      </c>
      <c r="E168" s="6" t="str">
        <f>HYPERLINK("https://twitter.com/sergio_fajardo/status/1223247509679759360","1223247509679759360")</f>
        <v>1223247509679759360</v>
      </c>
      <c r="F168" s="7" t="s">
        <v>17</v>
      </c>
      <c r="G168" s="7">
        <v>1488308</v>
      </c>
      <c r="H168" s="7">
        <v>356</v>
      </c>
      <c r="I168" s="7">
        <v>12</v>
      </c>
      <c r="J168" s="7">
        <v>0</v>
      </c>
      <c r="K168" s="7" t="s">
        <v>18</v>
      </c>
      <c r="L168" s="8">
        <v>39891.213356481479</v>
      </c>
      <c r="M168" s="9" t="s">
        <v>19</v>
      </c>
      <c r="N168" s="9" t="s">
        <v>22</v>
      </c>
      <c r="O168" s="6" t="str">
        <f>HYPERLINK("https://pbs.twimg.com/profile_images/988971255679324162/jrqiIYf__normal.jpg","View")</f>
        <v>View</v>
      </c>
      <c r="P168" s="7"/>
    </row>
    <row r="169" spans="1:16">
      <c r="A169" s="3">
        <v>43862.109236111108</v>
      </c>
      <c r="B169" s="4" t="str">
        <f>HYPERLINK("https://twitter.com/sergio_fajardo","@sergio_fajardo")</f>
        <v>@sergio_fajardo</v>
      </c>
      <c r="C169" s="5" t="s">
        <v>16</v>
      </c>
      <c r="D169" s="5" t="s">
        <v>192</v>
      </c>
      <c r="E169" s="6" t="str">
        <f>HYPERLINK("https://twitter.com/sergio_fajardo/status/1223352074953482240","1223352074953482240")</f>
        <v>1223352074953482240</v>
      </c>
      <c r="F169" s="7" t="s">
        <v>17</v>
      </c>
      <c r="G169" s="7">
        <v>1488412</v>
      </c>
      <c r="H169" s="7">
        <v>356</v>
      </c>
      <c r="I169" s="7">
        <v>10</v>
      </c>
      <c r="J169" s="7">
        <v>0</v>
      </c>
      <c r="K169" s="7" t="s">
        <v>18</v>
      </c>
      <c r="L169" s="8">
        <v>39891.213356481479</v>
      </c>
      <c r="M169" s="9" t="s">
        <v>19</v>
      </c>
      <c r="N169" s="9" t="s">
        <v>22</v>
      </c>
      <c r="O169" s="6" t="str">
        <f>HYPERLINK("https://pbs.twimg.com/profile_images/988971255679324162/jrqiIYf__normal.jpg","View")</f>
        <v>View</v>
      </c>
      <c r="P169" s="7"/>
    </row>
    <row r="170" spans="1:16">
      <c r="A170" s="3">
        <v>43862.254988425921</v>
      </c>
      <c r="B170" s="4" t="str">
        <f>HYPERLINK("https://twitter.com/sergio_fajardo","@sergio_fajardo")</f>
        <v>@sergio_fajardo</v>
      </c>
      <c r="C170" s="5" t="s">
        <v>16</v>
      </c>
      <c r="D170" s="5" t="s">
        <v>193</v>
      </c>
      <c r="E170" s="6" t="str">
        <f>HYPERLINK("https://twitter.com/sergio_fajardo/status/1223404896269099008","1223404896269099008")</f>
        <v>1223404896269099008</v>
      </c>
      <c r="F170" s="7" t="s">
        <v>17</v>
      </c>
      <c r="G170" s="7">
        <v>1488442</v>
      </c>
      <c r="H170" s="7">
        <v>356</v>
      </c>
      <c r="I170" s="7">
        <v>34</v>
      </c>
      <c r="J170" s="7">
        <v>0</v>
      </c>
      <c r="K170" s="7" t="s">
        <v>18</v>
      </c>
      <c r="L170" s="8">
        <v>39891.213356481479</v>
      </c>
      <c r="M170" s="9" t="s">
        <v>19</v>
      </c>
      <c r="N170" s="9" t="s">
        <v>22</v>
      </c>
      <c r="O170" s="6" t="str">
        <f>HYPERLINK("https://pbs.twimg.com/profile_images/988971255679324162/jrqiIYf__normal.jpg","View")</f>
        <v>View</v>
      </c>
      <c r="P170" s="7"/>
    </row>
    <row r="171" spans="1:16">
      <c r="A171" s="3">
        <v>43863.229004629626</v>
      </c>
      <c r="B171" s="4" t="str">
        <f>HYPERLINK("https://twitter.com/sergio_fajardo","@sergio_fajardo")</f>
        <v>@sergio_fajardo</v>
      </c>
      <c r="C171" s="5" t="s">
        <v>16</v>
      </c>
      <c r="D171" s="5" t="s">
        <v>194</v>
      </c>
      <c r="E171" s="6" t="str">
        <f>HYPERLINK("https://twitter.com/sergio_fajardo/status/1223757867540459521","1223757867540459521")</f>
        <v>1223757867540459521</v>
      </c>
      <c r="F171" s="7" t="s">
        <v>17</v>
      </c>
      <c r="G171" s="7">
        <v>1488680</v>
      </c>
      <c r="H171" s="7">
        <v>356</v>
      </c>
      <c r="I171" s="7">
        <v>1</v>
      </c>
      <c r="J171" s="7">
        <v>5</v>
      </c>
      <c r="K171" s="7" t="s">
        <v>18</v>
      </c>
      <c r="L171" s="8">
        <v>39891.213356481479</v>
      </c>
      <c r="M171" s="9" t="s">
        <v>19</v>
      </c>
      <c r="N171" s="9" t="s">
        <v>22</v>
      </c>
      <c r="O171" s="6" t="str">
        <f>HYPERLINK("https://pbs.twimg.com/profile_images/988971255679324162/jrqiIYf__normal.jpg","View")</f>
        <v>View</v>
      </c>
      <c r="P171" s="7"/>
    </row>
    <row r="172" spans="1:16">
      <c r="A172" s="3">
        <v>43864.264386574076</v>
      </c>
      <c r="B172" s="4" t="str">
        <f>HYPERLINK("https://twitter.com/sergio_fajardo","@sergio_fajardo")</f>
        <v>@sergio_fajardo</v>
      </c>
      <c r="C172" s="5" t="s">
        <v>16</v>
      </c>
      <c r="D172" s="5" t="s">
        <v>195</v>
      </c>
      <c r="E172" s="6" t="str">
        <f>HYPERLINK("https://twitter.com/sergio_fajardo/status/1224133078467125249","1224133078467125249")</f>
        <v>1224133078467125249</v>
      </c>
      <c r="F172" s="7" t="s">
        <v>17</v>
      </c>
      <c r="G172" s="7">
        <v>1488928</v>
      </c>
      <c r="H172" s="7">
        <v>356</v>
      </c>
      <c r="I172" s="7">
        <v>12</v>
      </c>
      <c r="J172" s="7">
        <v>59</v>
      </c>
      <c r="K172" s="7" t="s">
        <v>18</v>
      </c>
      <c r="L172" s="8">
        <v>39891.213356481479</v>
      </c>
      <c r="M172" s="9" t="s">
        <v>19</v>
      </c>
      <c r="N172" s="9" t="s">
        <v>22</v>
      </c>
      <c r="O172" s="6" t="str">
        <f>HYPERLINK("https://pbs.twimg.com/profile_images/988971255679324162/jrqiIYf__normal.jpg","View")</f>
        <v>View</v>
      </c>
      <c r="P172" s="7"/>
    </row>
    <row r="173" spans="1:16">
      <c r="A173" s="3">
        <v>43864.35219907407</v>
      </c>
      <c r="B173" s="4" t="str">
        <f>HYPERLINK("https://twitter.com/sergio_fajardo","@sergio_fajardo")</f>
        <v>@sergio_fajardo</v>
      </c>
      <c r="C173" s="5" t="s">
        <v>16</v>
      </c>
      <c r="D173" s="5" t="s">
        <v>196</v>
      </c>
      <c r="E173" s="6" t="str">
        <f>HYPERLINK("https://twitter.com/sergio_fajardo/status/1224164898990632960","1224164898990632960")</f>
        <v>1224164898990632960</v>
      </c>
      <c r="F173" s="7" t="s">
        <v>17</v>
      </c>
      <c r="G173" s="7">
        <v>1488960</v>
      </c>
      <c r="H173" s="7">
        <v>356</v>
      </c>
      <c r="I173" s="7">
        <v>2</v>
      </c>
      <c r="J173" s="7">
        <v>17</v>
      </c>
      <c r="K173" s="7" t="s">
        <v>18</v>
      </c>
      <c r="L173" s="8">
        <v>39891.213356481479</v>
      </c>
      <c r="M173" s="9" t="s">
        <v>19</v>
      </c>
      <c r="N173" s="9" t="s">
        <v>22</v>
      </c>
      <c r="O173" s="6" t="str">
        <f>HYPERLINK("https://pbs.twimg.com/profile_images/988971255679324162/jrqiIYf__normal.jpg","View")</f>
        <v>View</v>
      </c>
      <c r="P173" s="7"/>
    </row>
    <row r="174" spans="1:16">
      <c r="A174" s="3">
        <v>43865.145324074074</v>
      </c>
      <c r="B174" s="4" t="str">
        <f>HYPERLINK("https://twitter.com/sergio_fajardo","@sergio_fajardo")</f>
        <v>@sergio_fajardo</v>
      </c>
      <c r="C174" s="5" t="s">
        <v>16</v>
      </c>
      <c r="D174" s="5" t="s">
        <v>197</v>
      </c>
      <c r="E174" s="6" t="str">
        <f>HYPERLINK("https://twitter.com/sergio_fajardo/status/1224452318738796545","1224452318738796545")</f>
        <v>1224452318738796545</v>
      </c>
      <c r="F174" s="7" t="s">
        <v>17</v>
      </c>
      <c r="G174" s="7">
        <v>1489116</v>
      </c>
      <c r="H174" s="7">
        <v>355</v>
      </c>
      <c r="I174" s="7">
        <v>98</v>
      </c>
      <c r="J174" s="7">
        <v>0</v>
      </c>
      <c r="K174" s="7" t="s">
        <v>18</v>
      </c>
      <c r="L174" s="8">
        <v>39891.213356481479</v>
      </c>
      <c r="M174" s="9" t="s">
        <v>19</v>
      </c>
      <c r="N174" s="9" t="s">
        <v>22</v>
      </c>
      <c r="O174" s="6" t="str">
        <f>HYPERLINK("https://pbs.twimg.com/profile_images/988971255679324162/jrqiIYf__normal.jpg","View")</f>
        <v>View</v>
      </c>
      <c r="P174" s="7"/>
    </row>
    <row r="175" spans="1:16">
      <c r="A175" s="3">
        <v>43865.146701388891</v>
      </c>
      <c r="B175" s="4" t="str">
        <f>HYPERLINK("https://twitter.com/sergio_fajardo","@sergio_fajardo")</f>
        <v>@sergio_fajardo</v>
      </c>
      <c r="C175" s="5" t="s">
        <v>16</v>
      </c>
      <c r="D175" s="5" t="s">
        <v>198</v>
      </c>
      <c r="E175" s="6" t="str">
        <f>HYPERLINK("https://twitter.com/sergio_fajardo/status/1224452817076666372","1224452817076666372")</f>
        <v>1224452817076666372</v>
      </c>
      <c r="F175" s="7" t="s">
        <v>17</v>
      </c>
      <c r="G175" s="7">
        <v>1489116</v>
      </c>
      <c r="H175" s="7">
        <v>355</v>
      </c>
      <c r="I175" s="7">
        <v>38</v>
      </c>
      <c r="J175" s="7">
        <v>0</v>
      </c>
      <c r="K175" s="7" t="s">
        <v>18</v>
      </c>
      <c r="L175" s="8">
        <v>39891.213356481479</v>
      </c>
      <c r="M175" s="9" t="s">
        <v>19</v>
      </c>
      <c r="N175" s="9" t="s">
        <v>22</v>
      </c>
      <c r="O175" s="6" t="str">
        <f>HYPERLINK("https://pbs.twimg.com/profile_images/988971255679324162/jrqiIYf__normal.jpg","View")</f>
        <v>View</v>
      </c>
      <c r="P175" s="7"/>
    </row>
    <row r="176" spans="1:16">
      <c r="A176" s="3">
        <v>43865.197199074071</v>
      </c>
      <c r="B176" s="4" t="str">
        <f>HYPERLINK("https://twitter.com/sergio_fajardo","@sergio_fajardo")</f>
        <v>@sergio_fajardo</v>
      </c>
      <c r="C176" s="5" t="s">
        <v>16</v>
      </c>
      <c r="D176" s="5" t="s">
        <v>199</v>
      </c>
      <c r="E176" s="6" t="str">
        <f>HYPERLINK("https://twitter.com/sergio_fajardo/status/1224471117823389696","1224471117823389696")</f>
        <v>1224471117823389696</v>
      </c>
      <c r="F176" s="7" t="s">
        <v>17</v>
      </c>
      <c r="G176" s="7">
        <v>1489116</v>
      </c>
      <c r="H176" s="7">
        <v>355</v>
      </c>
      <c r="I176" s="7">
        <v>44</v>
      </c>
      <c r="J176" s="7">
        <v>131</v>
      </c>
      <c r="K176" s="7" t="s">
        <v>18</v>
      </c>
      <c r="L176" s="8">
        <v>39891.213356481479</v>
      </c>
      <c r="M176" s="9" t="s">
        <v>19</v>
      </c>
      <c r="N176" s="9" t="s">
        <v>22</v>
      </c>
      <c r="O176" s="6" t="str">
        <f>HYPERLINK("https://pbs.twimg.com/profile_images/988971255679324162/jrqiIYf__normal.jpg","View")</f>
        <v>View</v>
      </c>
      <c r="P176" s="7"/>
    </row>
    <row r="177" spans="1:16">
      <c r="A177" s="3">
        <v>43865.831226851849</v>
      </c>
      <c r="B177" s="4" t="str">
        <f>HYPERLINK("https://twitter.com/sergio_fajardo","@sergio_fajardo")</f>
        <v>@sergio_fajardo</v>
      </c>
      <c r="C177" s="5" t="s">
        <v>16</v>
      </c>
      <c r="D177" s="5" t="s">
        <v>200</v>
      </c>
      <c r="E177" s="6" t="str">
        <f>HYPERLINK("https://twitter.com/sergio_fajardo/status/1224700882505338880","1224700882505338880")</f>
        <v>1224700882505338880</v>
      </c>
      <c r="F177" s="7" t="s">
        <v>17</v>
      </c>
      <c r="G177" s="7">
        <v>1489233</v>
      </c>
      <c r="H177" s="7">
        <v>355</v>
      </c>
      <c r="I177" s="7">
        <v>2</v>
      </c>
      <c r="J177" s="7">
        <v>18</v>
      </c>
      <c r="K177" s="7" t="s">
        <v>18</v>
      </c>
      <c r="L177" s="8">
        <v>39891.213356481479</v>
      </c>
      <c r="M177" s="9" t="s">
        <v>19</v>
      </c>
      <c r="N177" s="9" t="s">
        <v>22</v>
      </c>
      <c r="O177" s="6" t="str">
        <f>HYPERLINK("https://pbs.twimg.com/profile_images/988971255679324162/jrqiIYf__normal.jpg","View")</f>
        <v>View</v>
      </c>
      <c r="P177" s="7"/>
    </row>
    <row r="178" spans="1:16">
      <c r="A178" s="3">
        <v>43865.860717592594</v>
      </c>
      <c r="B178" s="4" t="str">
        <f>HYPERLINK("https://twitter.com/sergio_fajardo","@sergio_fajardo")</f>
        <v>@sergio_fajardo</v>
      </c>
      <c r="C178" s="5" t="s">
        <v>16</v>
      </c>
      <c r="D178" s="5" t="s">
        <v>201</v>
      </c>
      <c r="E178" s="6" t="str">
        <f>HYPERLINK("https://twitter.com/sergio_fajardo/status/1224711566546866179","1224711566546866179")</f>
        <v>1224711566546866179</v>
      </c>
      <c r="F178" s="7" t="s">
        <v>17</v>
      </c>
      <c r="G178" s="7">
        <v>1489242</v>
      </c>
      <c r="H178" s="7">
        <v>355</v>
      </c>
      <c r="I178" s="7">
        <v>4</v>
      </c>
      <c r="J178" s="7">
        <v>0</v>
      </c>
      <c r="K178" s="7" t="s">
        <v>18</v>
      </c>
      <c r="L178" s="8">
        <v>39891.213356481479</v>
      </c>
      <c r="M178" s="9" t="s">
        <v>19</v>
      </c>
      <c r="N178" s="9" t="s">
        <v>22</v>
      </c>
      <c r="O178" s="6" t="str">
        <f>HYPERLINK("https://pbs.twimg.com/profile_images/988971255679324162/jrqiIYf__normal.jpg","View")</f>
        <v>View</v>
      </c>
      <c r="P178" s="7"/>
    </row>
    <row r="179" spans="1:16">
      <c r="A179" s="3">
        <v>43866.006168981483</v>
      </c>
      <c r="B179" s="4" t="str">
        <f>HYPERLINK("https://twitter.com/sergio_fajardo","@sergio_fajardo")</f>
        <v>@sergio_fajardo</v>
      </c>
      <c r="C179" s="5" t="s">
        <v>16</v>
      </c>
      <c r="D179" s="5" t="s">
        <v>202</v>
      </c>
      <c r="E179" s="6" t="str">
        <f>HYPERLINK("https://twitter.com/sergio_fajardo/status/1224764277069897728","1224764277069897728")</f>
        <v>1224764277069897728</v>
      </c>
      <c r="F179" s="7" t="s">
        <v>17</v>
      </c>
      <c r="G179" s="7">
        <v>1489285</v>
      </c>
      <c r="H179" s="7">
        <v>355</v>
      </c>
      <c r="I179" s="7">
        <v>19</v>
      </c>
      <c r="J179" s="7">
        <v>85</v>
      </c>
      <c r="K179" s="7" t="s">
        <v>18</v>
      </c>
      <c r="L179" s="8">
        <v>39891.213356481479</v>
      </c>
      <c r="M179" s="9" t="s">
        <v>19</v>
      </c>
      <c r="N179" s="9" t="s">
        <v>22</v>
      </c>
      <c r="O179" s="6" t="str">
        <f>HYPERLINK("https://pbs.twimg.com/profile_images/988971255679324162/jrqiIYf__normal.jpg","View")</f>
        <v>View</v>
      </c>
      <c r="P179" s="7"/>
    </row>
    <row r="180" spans="1:16">
      <c r="A180" s="3">
        <v>43866.028298611112</v>
      </c>
      <c r="B180" s="4" t="str">
        <f>HYPERLINK("https://twitter.com/sergio_fajardo","@sergio_fajardo")</f>
        <v>@sergio_fajardo</v>
      </c>
      <c r="C180" s="5" t="s">
        <v>16</v>
      </c>
      <c r="D180" s="5" t="s">
        <v>203</v>
      </c>
      <c r="E180" s="6" t="str">
        <f>HYPERLINK("https://twitter.com/sergio_fajardo/status/1224772297262845952","1224772297262845952")</f>
        <v>1224772297262845952</v>
      </c>
      <c r="F180" s="7" t="s">
        <v>17</v>
      </c>
      <c r="G180" s="7">
        <v>1489289</v>
      </c>
      <c r="H180" s="7">
        <v>355</v>
      </c>
      <c r="I180" s="7">
        <v>1</v>
      </c>
      <c r="J180" s="7">
        <v>0</v>
      </c>
      <c r="K180" s="7" t="s">
        <v>18</v>
      </c>
      <c r="L180" s="8">
        <v>39891.213356481479</v>
      </c>
      <c r="M180" s="9" t="s">
        <v>19</v>
      </c>
      <c r="N180" s="9" t="s">
        <v>22</v>
      </c>
      <c r="O180" s="6" t="str">
        <f>HYPERLINK("https://pbs.twimg.com/profile_images/988971255679324162/jrqiIYf__normal.jpg","View")</f>
        <v>View</v>
      </c>
      <c r="P180" s="7"/>
    </row>
    <row r="181" spans="1:16">
      <c r="A181" s="3">
        <v>43866.767245370371</v>
      </c>
      <c r="B181" s="4" t="str">
        <f>HYPERLINK("https://twitter.com/sergio_fajardo","@sergio_fajardo")</f>
        <v>@sergio_fajardo</v>
      </c>
      <c r="C181" s="5" t="s">
        <v>16</v>
      </c>
      <c r="D181" s="5" t="s">
        <v>204</v>
      </c>
      <c r="E181" s="6" t="str">
        <f>HYPERLINK("https://twitter.com/sergio_fajardo/status/1225040083511889920","1225040083511889920")</f>
        <v>1225040083511889920</v>
      </c>
      <c r="F181" s="7" t="s">
        <v>17</v>
      </c>
      <c r="G181" s="7">
        <v>1489425</v>
      </c>
      <c r="H181" s="7">
        <v>355</v>
      </c>
      <c r="I181" s="7">
        <v>5</v>
      </c>
      <c r="J181" s="7">
        <v>24</v>
      </c>
      <c r="K181" s="7" t="s">
        <v>18</v>
      </c>
      <c r="L181" s="8">
        <v>39891.213356481479</v>
      </c>
      <c r="M181" s="9" t="s">
        <v>19</v>
      </c>
      <c r="N181" s="9" t="s">
        <v>22</v>
      </c>
      <c r="O181" s="6" t="str">
        <f>HYPERLINK("https://pbs.twimg.com/profile_images/988971255679324162/jrqiIYf__normal.jpg","View")</f>
        <v>View</v>
      </c>
      <c r="P181" s="7"/>
    </row>
    <row r="182" spans="1:16">
      <c r="A182" s="3">
        <v>43866.88653935185</v>
      </c>
      <c r="B182" s="4" t="str">
        <f>HYPERLINK("https://twitter.com/sergio_fajardo","@sergio_fajardo")</f>
        <v>@sergio_fajardo</v>
      </c>
      <c r="C182" s="5" t="s">
        <v>16</v>
      </c>
      <c r="D182" s="5" t="s">
        <v>205</v>
      </c>
      <c r="E182" s="6" t="str">
        <f>HYPERLINK("https://twitter.com/sergio_fajardo/status/1225083312684912643","1225083312684912643")</f>
        <v>1225083312684912643</v>
      </c>
      <c r="F182" s="7" t="s">
        <v>17</v>
      </c>
      <c r="G182" s="7">
        <v>1489462</v>
      </c>
      <c r="H182" s="7">
        <v>355</v>
      </c>
      <c r="I182" s="7">
        <v>10</v>
      </c>
      <c r="J182" s="7">
        <v>0</v>
      </c>
      <c r="K182" s="7" t="s">
        <v>18</v>
      </c>
      <c r="L182" s="8">
        <v>39891.213356481479</v>
      </c>
      <c r="M182" s="9" t="s">
        <v>19</v>
      </c>
      <c r="N182" s="9" t="s">
        <v>22</v>
      </c>
      <c r="O182" s="6" t="str">
        <f>HYPERLINK("https://pbs.twimg.com/profile_images/988971255679324162/jrqiIYf__normal.jpg","View")</f>
        <v>View</v>
      </c>
      <c r="P182" s="7"/>
    </row>
    <row r="183" spans="1:16">
      <c r="A183" s="3">
        <v>43866.893888888888</v>
      </c>
      <c r="B183" s="4" t="str">
        <f>HYPERLINK("https://twitter.com/sergio_fajardo","@sergio_fajardo")</f>
        <v>@sergio_fajardo</v>
      </c>
      <c r="C183" s="5" t="s">
        <v>16</v>
      </c>
      <c r="D183" s="5" t="s">
        <v>206</v>
      </c>
      <c r="E183" s="6" t="str">
        <f>HYPERLINK("https://twitter.com/sergio_fajardo/status/1225085976302817282","1225085976302817282")</f>
        <v>1225085976302817282</v>
      </c>
      <c r="F183" s="7" t="s">
        <v>17</v>
      </c>
      <c r="G183" s="7">
        <v>1489462</v>
      </c>
      <c r="H183" s="7">
        <v>355</v>
      </c>
      <c r="I183" s="7">
        <v>2</v>
      </c>
      <c r="J183" s="7">
        <v>0</v>
      </c>
      <c r="K183" s="7" t="s">
        <v>18</v>
      </c>
      <c r="L183" s="8">
        <v>39891.213356481479</v>
      </c>
      <c r="M183" s="9" t="s">
        <v>19</v>
      </c>
      <c r="N183" s="9" t="s">
        <v>22</v>
      </c>
      <c r="O183" s="6" t="str">
        <f>HYPERLINK("https://pbs.twimg.com/profile_images/988971255679324162/jrqiIYf__normal.jpg","View")</f>
        <v>View</v>
      </c>
      <c r="P183" s="7"/>
    </row>
    <row r="184" spans="1:16">
      <c r="A184" s="3">
        <v>43866.999259259261</v>
      </c>
      <c r="B184" s="4" t="str">
        <f>HYPERLINK("https://twitter.com/sergio_fajardo","@sergio_fajardo")</f>
        <v>@sergio_fajardo</v>
      </c>
      <c r="C184" s="5" t="s">
        <v>16</v>
      </c>
      <c r="D184" s="5" t="s">
        <v>207</v>
      </c>
      <c r="E184" s="6" t="str">
        <f>HYPERLINK("https://twitter.com/sergio_fajardo/status/1225124161753899011","1225124161753899011")</f>
        <v>1225124161753899011</v>
      </c>
      <c r="F184" s="7" t="s">
        <v>17</v>
      </c>
      <c r="G184" s="7">
        <v>1489496</v>
      </c>
      <c r="H184" s="7">
        <v>355</v>
      </c>
      <c r="I184" s="7">
        <v>2</v>
      </c>
      <c r="J184" s="7">
        <v>0</v>
      </c>
      <c r="K184" s="7" t="s">
        <v>18</v>
      </c>
      <c r="L184" s="8">
        <v>39891.213356481479</v>
      </c>
      <c r="M184" s="9" t="s">
        <v>19</v>
      </c>
      <c r="N184" s="9" t="s">
        <v>22</v>
      </c>
      <c r="O184" s="6" t="str">
        <f>HYPERLINK("https://pbs.twimg.com/profile_images/988971255679324162/jrqiIYf__normal.jpg","View")</f>
        <v>View</v>
      </c>
      <c r="P184" s="7"/>
    </row>
    <row r="185" spans="1:16">
      <c r="A185" s="3">
        <v>43867.000891203701</v>
      </c>
      <c r="B185" s="4" t="str">
        <f>HYPERLINK("https://twitter.com/sergio_fajardo","@sergio_fajardo")</f>
        <v>@sergio_fajardo</v>
      </c>
      <c r="C185" s="5" t="s">
        <v>16</v>
      </c>
      <c r="D185" s="5" t="s">
        <v>208</v>
      </c>
      <c r="E185" s="6" t="str">
        <f>HYPERLINK("https://twitter.com/sergio_fajardo/status/1225124751024304128","1225124751024304128")</f>
        <v>1225124751024304128</v>
      </c>
      <c r="F185" s="7" t="s">
        <v>17</v>
      </c>
      <c r="G185" s="7">
        <v>1489496</v>
      </c>
      <c r="H185" s="7">
        <v>355</v>
      </c>
      <c r="I185" s="7">
        <v>25</v>
      </c>
      <c r="J185" s="7">
        <v>0</v>
      </c>
      <c r="K185" s="7" t="s">
        <v>18</v>
      </c>
      <c r="L185" s="8">
        <v>39891.213356481479</v>
      </c>
      <c r="M185" s="9" t="s">
        <v>19</v>
      </c>
      <c r="N185" s="9" t="s">
        <v>22</v>
      </c>
      <c r="O185" s="6" t="str">
        <f>HYPERLINK("https://pbs.twimg.com/profile_images/988971255679324162/jrqiIYf__normal.jpg","View")</f>
        <v>View</v>
      </c>
      <c r="P185" s="7"/>
    </row>
    <row r="186" spans="1:16">
      <c r="A186" s="3">
        <v>43867.141608796301</v>
      </c>
      <c r="B186" s="4" t="str">
        <f>HYPERLINK("https://twitter.com/sergio_fajardo","@sergio_fajardo")</f>
        <v>@sergio_fajardo</v>
      </c>
      <c r="C186" s="5" t="s">
        <v>16</v>
      </c>
      <c r="D186" s="5" t="s">
        <v>209</v>
      </c>
      <c r="E186" s="6" t="str">
        <f>HYPERLINK("https://twitter.com/sergio_fajardo/status/1225175747930787840","1225175747930787840")</f>
        <v>1225175747930787840</v>
      </c>
      <c r="F186" s="7" t="s">
        <v>17</v>
      </c>
      <c r="G186" s="7">
        <v>1489527</v>
      </c>
      <c r="H186" s="7">
        <v>355</v>
      </c>
      <c r="I186" s="7">
        <v>4</v>
      </c>
      <c r="J186" s="7">
        <v>0</v>
      </c>
      <c r="K186" s="7" t="s">
        <v>18</v>
      </c>
      <c r="L186" s="8">
        <v>39891.213356481479</v>
      </c>
      <c r="M186" s="9" t="s">
        <v>19</v>
      </c>
      <c r="N186" s="9" t="s">
        <v>22</v>
      </c>
      <c r="O186" s="6" t="str">
        <f>HYPERLINK("https://pbs.twimg.com/profile_images/988971255679324162/jrqiIYf__normal.jpg","View")</f>
        <v>View</v>
      </c>
      <c r="P186" s="7"/>
    </row>
    <row r="187" spans="1:16">
      <c r="A187" s="3">
        <v>43867.311979166669</v>
      </c>
      <c r="B187" s="4" t="str">
        <f>HYPERLINK("https://twitter.com/sergio_fajardo","@sergio_fajardo")</f>
        <v>@sergio_fajardo</v>
      </c>
      <c r="C187" s="5" t="s">
        <v>16</v>
      </c>
      <c r="D187" s="5" t="s">
        <v>210</v>
      </c>
      <c r="E187" s="6" t="str">
        <f>HYPERLINK("https://twitter.com/sergio_fajardo/status/1225237486294773760","1225237486294773760")</f>
        <v>1225237486294773760</v>
      </c>
      <c r="F187" s="7" t="s">
        <v>17</v>
      </c>
      <c r="G187" s="7">
        <v>1489559</v>
      </c>
      <c r="H187" s="7">
        <v>355</v>
      </c>
      <c r="I187" s="7">
        <v>2</v>
      </c>
      <c r="J187" s="7">
        <v>19</v>
      </c>
      <c r="K187" s="7" t="s">
        <v>18</v>
      </c>
      <c r="L187" s="8">
        <v>39891.213356481479</v>
      </c>
      <c r="M187" s="9" t="s">
        <v>19</v>
      </c>
      <c r="N187" s="9" t="s">
        <v>22</v>
      </c>
      <c r="O187" s="6" t="str">
        <f>HYPERLINK("https://pbs.twimg.com/profile_images/988971255679324162/jrqiIYf__normal.jpg","View")</f>
        <v>View</v>
      </c>
      <c r="P187" s="7"/>
    </row>
    <row r="188" spans="1:16">
      <c r="A188" s="3">
        <v>43867.697731481487</v>
      </c>
      <c r="B188" s="4" t="str">
        <f>HYPERLINK("https://twitter.com/sergio_fajardo","@sergio_fajardo")</f>
        <v>@sergio_fajardo</v>
      </c>
      <c r="C188" s="5" t="s">
        <v>16</v>
      </c>
      <c r="D188" s="5" t="s">
        <v>211</v>
      </c>
      <c r="E188" s="6" t="str">
        <f>HYPERLINK("https://twitter.com/sergio_fajardo/status/1225377280257675265","1225377280257675265")</f>
        <v>1225377280257675265</v>
      </c>
      <c r="F188" s="7" t="s">
        <v>17</v>
      </c>
      <c r="G188" s="7">
        <v>1489602</v>
      </c>
      <c r="H188" s="7">
        <v>355</v>
      </c>
      <c r="I188" s="7">
        <v>2</v>
      </c>
      <c r="J188" s="7">
        <v>0</v>
      </c>
      <c r="K188" s="7" t="s">
        <v>18</v>
      </c>
      <c r="L188" s="8">
        <v>39891.213356481479</v>
      </c>
      <c r="M188" s="9" t="s">
        <v>19</v>
      </c>
      <c r="N188" s="9" t="s">
        <v>22</v>
      </c>
      <c r="O188" s="6" t="str">
        <f>HYPERLINK("https://pbs.twimg.com/profile_images/988971255679324162/jrqiIYf__normal.jpg","View")</f>
        <v>View</v>
      </c>
      <c r="P188" s="7"/>
    </row>
    <row r="189" spans="1:16">
      <c r="A189" s="3">
        <v>43867.787199074075</v>
      </c>
      <c r="B189" s="4" t="str">
        <f>HYPERLINK("https://twitter.com/sergio_fajardo","@sergio_fajardo")</f>
        <v>@sergio_fajardo</v>
      </c>
      <c r="C189" s="5" t="s">
        <v>16</v>
      </c>
      <c r="D189" s="5" t="s">
        <v>212</v>
      </c>
      <c r="E189" s="6" t="str">
        <f>HYPERLINK("https://twitter.com/sergio_fajardo/status/1225409700935671808","1225409700935671808")</f>
        <v>1225409700935671808</v>
      </c>
      <c r="F189" s="7" t="s">
        <v>17</v>
      </c>
      <c r="G189" s="7">
        <v>1489628</v>
      </c>
      <c r="H189" s="7">
        <v>355</v>
      </c>
      <c r="I189" s="7">
        <v>4</v>
      </c>
      <c r="J189" s="7">
        <v>18</v>
      </c>
      <c r="K189" s="7" t="s">
        <v>18</v>
      </c>
      <c r="L189" s="8">
        <v>39891.213356481479</v>
      </c>
      <c r="M189" s="9" t="s">
        <v>19</v>
      </c>
      <c r="N189" s="9" t="s">
        <v>22</v>
      </c>
      <c r="O189" s="6" t="str">
        <f>HYPERLINK("https://pbs.twimg.com/profile_images/988971255679324162/jrqiIYf__normal.jpg","View")</f>
        <v>View</v>
      </c>
      <c r="P189" s="7"/>
    </row>
    <row r="190" spans="1:16">
      <c r="A190" s="3">
        <v>43867.793958333335</v>
      </c>
      <c r="B190" s="4" t="str">
        <f>HYPERLINK("https://twitter.com/sergio_fajardo","@sergio_fajardo")</f>
        <v>@sergio_fajardo</v>
      </c>
      <c r="C190" s="5" t="s">
        <v>16</v>
      </c>
      <c r="D190" s="5" t="s">
        <v>213</v>
      </c>
      <c r="E190" s="6" t="str">
        <f>HYPERLINK("https://twitter.com/sergio_fajardo/status/1225412149142544384","1225412149142544384")</f>
        <v>1225412149142544384</v>
      </c>
      <c r="F190" s="7" t="s">
        <v>17</v>
      </c>
      <c r="G190" s="7">
        <v>1489640</v>
      </c>
      <c r="H190" s="7">
        <v>355</v>
      </c>
      <c r="I190" s="7">
        <v>9</v>
      </c>
      <c r="J190" s="7">
        <v>0</v>
      </c>
      <c r="K190" s="7" t="s">
        <v>18</v>
      </c>
      <c r="L190" s="8">
        <v>39891.213356481479</v>
      </c>
      <c r="M190" s="9" t="s">
        <v>19</v>
      </c>
      <c r="N190" s="9" t="s">
        <v>22</v>
      </c>
      <c r="O190" s="6" t="str">
        <f>HYPERLINK("https://pbs.twimg.com/profile_images/988971255679324162/jrqiIYf__normal.jpg","View")</f>
        <v>View</v>
      </c>
      <c r="P190" s="7"/>
    </row>
    <row r="191" spans="1:16">
      <c r="A191" s="3">
        <v>43867.804513888885</v>
      </c>
      <c r="B191" s="4" t="str">
        <f>HYPERLINK("https://twitter.com/sergio_fajardo","@sergio_fajardo")</f>
        <v>@sergio_fajardo</v>
      </c>
      <c r="C191" s="5" t="s">
        <v>16</v>
      </c>
      <c r="D191" s="5" t="s">
        <v>214</v>
      </c>
      <c r="E191" s="6" t="str">
        <f>HYPERLINK("https://twitter.com/sergio_fajardo/status/1225415975270522881","1225415975270522881")</f>
        <v>1225415975270522881</v>
      </c>
      <c r="F191" s="7" t="s">
        <v>17</v>
      </c>
      <c r="G191" s="7">
        <v>1489640</v>
      </c>
      <c r="H191" s="7">
        <v>355</v>
      </c>
      <c r="I191" s="7">
        <v>6</v>
      </c>
      <c r="J191" s="7">
        <v>0</v>
      </c>
      <c r="K191" s="7" t="s">
        <v>18</v>
      </c>
      <c r="L191" s="8">
        <v>39891.213356481479</v>
      </c>
      <c r="M191" s="9" t="s">
        <v>19</v>
      </c>
      <c r="N191" s="9" t="s">
        <v>22</v>
      </c>
      <c r="O191" s="6" t="str">
        <f>HYPERLINK("https://pbs.twimg.com/profile_images/988971255679324162/jrqiIYf__normal.jpg","View")</f>
        <v>View</v>
      </c>
      <c r="P191" s="7"/>
    </row>
    <row r="192" spans="1:16">
      <c r="A192" s="3">
        <v>43867.996712962966</v>
      </c>
      <c r="B192" s="4" t="str">
        <f>HYPERLINK("https://twitter.com/sergio_fajardo","@sergio_fajardo")</f>
        <v>@sergio_fajardo</v>
      </c>
      <c r="C192" s="5" t="s">
        <v>16</v>
      </c>
      <c r="D192" s="5" t="s">
        <v>215</v>
      </c>
      <c r="E192" s="6" t="str">
        <f>HYPERLINK("https://twitter.com/sergio_fajardo/status/1225485627841486849","1225485627841486849")</f>
        <v>1225485627841486849</v>
      </c>
      <c r="F192" s="7" t="s">
        <v>17</v>
      </c>
      <c r="G192" s="7">
        <v>1489689</v>
      </c>
      <c r="H192" s="7">
        <v>355</v>
      </c>
      <c r="I192" s="7">
        <v>3</v>
      </c>
      <c r="J192" s="7">
        <v>6</v>
      </c>
      <c r="K192" s="7" t="s">
        <v>18</v>
      </c>
      <c r="L192" s="8">
        <v>39891.213356481479</v>
      </c>
      <c r="M192" s="9" t="s">
        <v>19</v>
      </c>
      <c r="N192" s="9" t="s">
        <v>22</v>
      </c>
      <c r="O192" s="6" t="str">
        <f>HYPERLINK("https://pbs.twimg.com/profile_images/988971255679324162/jrqiIYf__normal.jpg","View")</f>
        <v>View</v>
      </c>
      <c r="P192" s="7"/>
    </row>
    <row r="193" spans="1:16">
      <c r="A193" s="3">
        <v>43868.078796296293</v>
      </c>
      <c r="B193" s="4" t="str">
        <f>HYPERLINK("https://twitter.com/sergio_fajardo","@sergio_fajardo")</f>
        <v>@sergio_fajardo</v>
      </c>
      <c r="C193" s="5" t="s">
        <v>16</v>
      </c>
      <c r="D193" s="5" t="s">
        <v>216</v>
      </c>
      <c r="E193" s="6" t="str">
        <f>HYPERLINK("https://twitter.com/sergio_fajardo/status/1225515370938818560","1225515370938818560")</f>
        <v>1225515370938818560</v>
      </c>
      <c r="F193" s="7" t="s">
        <v>17</v>
      </c>
      <c r="G193" s="7">
        <v>1489722</v>
      </c>
      <c r="H193" s="7">
        <v>355</v>
      </c>
      <c r="I193" s="7">
        <v>6</v>
      </c>
      <c r="J193" s="7">
        <v>0</v>
      </c>
      <c r="K193" s="7" t="s">
        <v>18</v>
      </c>
      <c r="L193" s="8">
        <v>39891.213356481479</v>
      </c>
      <c r="M193" s="9" t="s">
        <v>19</v>
      </c>
      <c r="N193" s="9" t="s">
        <v>22</v>
      </c>
      <c r="O193" s="6" t="str">
        <f>HYPERLINK("https://pbs.twimg.com/profile_images/988971255679324162/jrqiIYf__normal.jpg","View")</f>
        <v>View</v>
      </c>
      <c r="P193" s="7"/>
    </row>
    <row r="194" spans="1:16">
      <c r="A194" s="3">
        <v>43868.289236111115</v>
      </c>
      <c r="B194" s="4" t="str">
        <f>HYPERLINK("https://twitter.com/sergio_fajardo","@sergio_fajardo")</f>
        <v>@sergio_fajardo</v>
      </c>
      <c r="C194" s="5" t="s">
        <v>16</v>
      </c>
      <c r="D194" s="5" t="s">
        <v>217</v>
      </c>
      <c r="E194" s="6" t="str">
        <f>HYPERLINK("https://twitter.com/sergio_fajardo/status/1225591634424991748","1225591634424991748")</f>
        <v>1225591634424991748</v>
      </c>
      <c r="F194" s="7" t="s">
        <v>17</v>
      </c>
      <c r="G194" s="7">
        <v>1489803</v>
      </c>
      <c r="H194" s="7">
        <v>355</v>
      </c>
      <c r="I194" s="7">
        <v>2</v>
      </c>
      <c r="J194" s="7">
        <v>0</v>
      </c>
      <c r="K194" s="7" t="s">
        <v>18</v>
      </c>
      <c r="L194" s="8">
        <v>39891.213356481479</v>
      </c>
      <c r="M194" s="9" t="s">
        <v>19</v>
      </c>
      <c r="N194" s="9" t="s">
        <v>22</v>
      </c>
      <c r="O194" s="6" t="str">
        <f>HYPERLINK("https://pbs.twimg.com/profile_images/988971255679324162/jrqiIYf__normal.jpg","View")</f>
        <v>View</v>
      </c>
      <c r="P194" s="7"/>
    </row>
    <row r="195" spans="1:16">
      <c r="A195" s="3">
        <v>43868.370312500003</v>
      </c>
      <c r="B195" s="4" t="str">
        <f>HYPERLINK("https://twitter.com/sergio_fajardo","@sergio_fajardo")</f>
        <v>@sergio_fajardo</v>
      </c>
      <c r="C195" s="5" t="s">
        <v>16</v>
      </c>
      <c r="D195" s="5" t="s">
        <v>218</v>
      </c>
      <c r="E195" s="6" t="str">
        <f>HYPERLINK("https://twitter.com/sergio_fajardo/status/1225621012680708101","1225621012680708101")</f>
        <v>1225621012680708101</v>
      </c>
      <c r="F195" s="7" t="s">
        <v>17</v>
      </c>
      <c r="G195" s="7">
        <v>1489841</v>
      </c>
      <c r="H195" s="7">
        <v>355</v>
      </c>
      <c r="I195" s="7">
        <v>4</v>
      </c>
      <c r="J195" s="7">
        <v>0</v>
      </c>
      <c r="K195" s="7" t="s">
        <v>18</v>
      </c>
      <c r="L195" s="8">
        <v>39891.213356481479</v>
      </c>
      <c r="M195" s="9" t="s">
        <v>19</v>
      </c>
      <c r="N195" s="9" t="s">
        <v>22</v>
      </c>
      <c r="O195" s="6" t="str">
        <f>HYPERLINK("https://pbs.twimg.com/profile_images/988971255679324162/jrqiIYf__normal.jpg","View")</f>
        <v>View</v>
      </c>
      <c r="P195" s="7"/>
    </row>
    <row r="196" spans="1:16">
      <c r="A196" s="3">
        <v>43868.959386574075</v>
      </c>
      <c r="B196" s="4" t="str">
        <f>HYPERLINK("https://twitter.com/sergio_fajardo","@sergio_fajardo")</f>
        <v>@sergio_fajardo</v>
      </c>
      <c r="C196" s="5" t="s">
        <v>16</v>
      </c>
      <c r="D196" s="5" t="s">
        <v>219</v>
      </c>
      <c r="E196" s="6" t="str">
        <f>HYPERLINK("https://twitter.com/sergio_fajardo/status/1225834487424180224","1225834487424180224")</f>
        <v>1225834487424180224</v>
      </c>
      <c r="F196" s="7" t="s">
        <v>17</v>
      </c>
      <c r="G196" s="7">
        <v>1489977</v>
      </c>
      <c r="H196" s="7">
        <v>355</v>
      </c>
      <c r="I196" s="7">
        <v>370</v>
      </c>
      <c r="J196" s="7">
        <v>0</v>
      </c>
      <c r="K196" s="7" t="s">
        <v>18</v>
      </c>
      <c r="L196" s="8">
        <v>39891.213356481479</v>
      </c>
      <c r="M196" s="9" t="s">
        <v>19</v>
      </c>
      <c r="N196" s="9" t="s">
        <v>22</v>
      </c>
      <c r="O196" s="6" t="str">
        <f>HYPERLINK("https://pbs.twimg.com/profile_images/988971255679324162/jrqiIYf__normal.jpg","View")</f>
        <v>View</v>
      </c>
      <c r="P196" s="7"/>
    </row>
    <row r="197" spans="1:16">
      <c r="A197" s="3">
        <v>43868.959722222222</v>
      </c>
      <c r="B197" s="4" t="str">
        <f>HYPERLINK("https://twitter.com/sergio_fajardo","@sergio_fajardo")</f>
        <v>@sergio_fajardo</v>
      </c>
      <c r="C197" s="5" t="s">
        <v>16</v>
      </c>
      <c r="D197" s="5" t="s">
        <v>220</v>
      </c>
      <c r="E197" s="6" t="str">
        <f>HYPERLINK("https://twitter.com/sergio_fajardo/status/1225834608467509248","1225834608467509248")</f>
        <v>1225834608467509248</v>
      </c>
      <c r="F197" s="7" t="s">
        <v>17</v>
      </c>
      <c r="G197" s="7">
        <v>1489977</v>
      </c>
      <c r="H197" s="7">
        <v>355</v>
      </c>
      <c r="I197" s="7">
        <v>578</v>
      </c>
      <c r="J197" s="7">
        <v>0</v>
      </c>
      <c r="K197" s="7" t="s">
        <v>18</v>
      </c>
      <c r="L197" s="8">
        <v>39891.213356481479</v>
      </c>
      <c r="M197" s="9" t="s">
        <v>19</v>
      </c>
      <c r="N197" s="9" t="s">
        <v>22</v>
      </c>
      <c r="O197" s="6" t="str">
        <f>HYPERLINK("https://pbs.twimg.com/profile_images/988971255679324162/jrqiIYf__normal.jpg","View")</f>
        <v>View</v>
      </c>
      <c r="P197" s="7"/>
    </row>
    <row r="198" spans="1:16">
      <c r="A198" s="3">
        <v>43868.961076388892</v>
      </c>
      <c r="B198" s="4" t="str">
        <f>HYPERLINK("https://twitter.com/sergio_fajardo","@sergio_fajardo")</f>
        <v>@sergio_fajardo</v>
      </c>
      <c r="C198" s="5" t="s">
        <v>16</v>
      </c>
      <c r="D198" s="5" t="s">
        <v>221</v>
      </c>
      <c r="E198" s="6" t="str">
        <f>HYPERLINK("https://twitter.com/sergio_fajardo/status/1225835102401441793","1225835102401441793")</f>
        <v>1225835102401441793</v>
      </c>
      <c r="F198" s="7" t="s">
        <v>17</v>
      </c>
      <c r="G198" s="7">
        <v>1489988</v>
      </c>
      <c r="H198" s="7">
        <v>355</v>
      </c>
      <c r="I198" s="7">
        <v>917</v>
      </c>
      <c r="J198" s="7">
        <v>0</v>
      </c>
      <c r="K198" s="7" t="s">
        <v>18</v>
      </c>
      <c r="L198" s="8">
        <v>39891.213356481479</v>
      </c>
      <c r="M198" s="9" t="s">
        <v>19</v>
      </c>
      <c r="N198" s="9" t="s">
        <v>22</v>
      </c>
      <c r="O198" s="6" t="str">
        <f>HYPERLINK("https://pbs.twimg.com/profile_images/988971255679324162/jrqiIYf__normal.jpg","View")</f>
        <v>View</v>
      </c>
      <c r="P198" s="7"/>
    </row>
    <row r="199" spans="1:16">
      <c r="A199" s="3">
        <v>43869.06045138889</v>
      </c>
      <c r="B199" s="4" t="str">
        <f>HYPERLINK("https://twitter.com/sergio_fajardo","@sergio_fajardo")</f>
        <v>@sergio_fajardo</v>
      </c>
      <c r="C199" s="5" t="s">
        <v>16</v>
      </c>
      <c r="D199" s="5" t="s">
        <v>222</v>
      </c>
      <c r="E199" s="6" t="str">
        <f>HYPERLINK("https://twitter.com/sergio_fajardo/status/1225871111327559682","1225871111327559682")</f>
        <v>1225871111327559682</v>
      </c>
      <c r="F199" s="7" t="s">
        <v>17</v>
      </c>
      <c r="G199" s="7">
        <v>1490012</v>
      </c>
      <c r="H199" s="7">
        <v>355</v>
      </c>
      <c r="I199" s="7">
        <v>14</v>
      </c>
      <c r="J199" s="7">
        <v>94</v>
      </c>
      <c r="K199" s="7" t="s">
        <v>18</v>
      </c>
      <c r="L199" s="8">
        <v>39891.213356481479</v>
      </c>
      <c r="M199" s="9" t="s">
        <v>19</v>
      </c>
      <c r="N199" s="9" t="s">
        <v>22</v>
      </c>
      <c r="O199" s="6" t="str">
        <f>HYPERLINK("https://pbs.twimg.com/profile_images/988971255679324162/jrqiIYf__normal.jpg","View")</f>
        <v>View</v>
      </c>
      <c r="P199" s="7"/>
    </row>
    <row r="200" spans="1:16">
      <c r="A200" s="3">
        <v>43869.077824074076</v>
      </c>
      <c r="B200" s="4" t="str">
        <f>HYPERLINK("https://twitter.com/sergio_fajardo","@sergio_fajardo")</f>
        <v>@sergio_fajardo</v>
      </c>
      <c r="C200" s="5" t="s">
        <v>16</v>
      </c>
      <c r="D200" s="5" t="s">
        <v>223</v>
      </c>
      <c r="E200" s="6" t="str">
        <f>HYPERLINK("https://twitter.com/sergio_fajardo/status/1225877408450056192","1225877408450056192")</f>
        <v>1225877408450056192</v>
      </c>
      <c r="F200" s="7" t="s">
        <v>17</v>
      </c>
      <c r="G200" s="7">
        <v>1490015</v>
      </c>
      <c r="H200" s="7">
        <v>355</v>
      </c>
      <c r="I200" s="7">
        <v>32</v>
      </c>
      <c r="J200" s="7">
        <v>0</v>
      </c>
      <c r="K200" s="7" t="s">
        <v>18</v>
      </c>
      <c r="L200" s="8">
        <v>39891.213356481479</v>
      </c>
      <c r="M200" s="9" t="s">
        <v>19</v>
      </c>
      <c r="N200" s="9" t="s">
        <v>22</v>
      </c>
      <c r="O200" s="6" t="str">
        <f>HYPERLINK("https://pbs.twimg.com/profile_images/988971255679324162/jrqiIYf__normal.jpg","View")</f>
        <v>View</v>
      </c>
      <c r="P200" s="7"/>
    </row>
    <row r="201" spans="1:16">
      <c r="A201" s="3">
        <v>43869.079143518524</v>
      </c>
      <c r="B201" s="4" t="str">
        <f>HYPERLINK("https://twitter.com/sergio_fajardo","@sergio_fajardo")</f>
        <v>@sergio_fajardo</v>
      </c>
      <c r="C201" s="5" t="s">
        <v>16</v>
      </c>
      <c r="D201" s="5" t="s">
        <v>224</v>
      </c>
      <c r="E201" s="6" t="str">
        <f>HYPERLINK("https://twitter.com/sergio_fajardo/status/1225877886588145664","1225877886588145664")</f>
        <v>1225877886588145664</v>
      </c>
      <c r="F201" s="7" t="s">
        <v>17</v>
      </c>
      <c r="G201" s="7">
        <v>1490015</v>
      </c>
      <c r="H201" s="7">
        <v>355</v>
      </c>
      <c r="I201" s="7">
        <v>683</v>
      </c>
      <c r="J201" s="7">
        <v>0</v>
      </c>
      <c r="K201" s="7" t="s">
        <v>18</v>
      </c>
      <c r="L201" s="8">
        <v>39891.213356481479</v>
      </c>
      <c r="M201" s="9" t="s">
        <v>19</v>
      </c>
      <c r="N201" s="9" t="s">
        <v>22</v>
      </c>
      <c r="O201" s="6" t="str">
        <f>HYPERLINK("https://pbs.twimg.com/profile_images/988971255679324162/jrqiIYf__normal.jpg","View")</f>
        <v>View</v>
      </c>
      <c r="P201" s="7"/>
    </row>
    <row r="202" spans="1:16">
      <c r="A202" s="3">
        <v>43871.226365740746</v>
      </c>
      <c r="B202" s="4" t="str">
        <f>HYPERLINK("https://twitter.com/sergio_fajardo","@sergio_fajardo")</f>
        <v>@sergio_fajardo</v>
      </c>
      <c r="C202" s="5" t="s">
        <v>16</v>
      </c>
      <c r="D202" s="5" t="s">
        <v>225</v>
      </c>
      <c r="E202" s="6" t="str">
        <f>HYPERLINK("https://twitter.com/sergio_fajardo/status/1226656014486863873","1226656014486863873")</f>
        <v>1226656014486863873</v>
      </c>
      <c r="F202" s="7" t="s">
        <v>17</v>
      </c>
      <c r="G202" s="7">
        <v>1490458</v>
      </c>
      <c r="H202" s="7">
        <v>355</v>
      </c>
      <c r="I202" s="7">
        <v>4</v>
      </c>
      <c r="J202" s="7">
        <v>11</v>
      </c>
      <c r="K202" s="7" t="s">
        <v>18</v>
      </c>
      <c r="L202" s="8">
        <v>39891.213356481479</v>
      </c>
      <c r="M202" s="9" t="s">
        <v>19</v>
      </c>
      <c r="N202" s="9" t="s">
        <v>22</v>
      </c>
      <c r="O202" s="6" t="str">
        <f>HYPERLINK("https://pbs.twimg.com/profile_images/988971255679324162/jrqiIYf__normal.jpg","View")</f>
        <v>View</v>
      </c>
      <c r="P202" s="7"/>
    </row>
    <row r="203" spans="1:16">
      <c r="A203" s="3">
        <v>43871.339872685188</v>
      </c>
      <c r="B203" s="4" t="str">
        <f>HYPERLINK("https://twitter.com/sergio_fajardo","@sergio_fajardo")</f>
        <v>@sergio_fajardo</v>
      </c>
      <c r="C203" s="5" t="s">
        <v>16</v>
      </c>
      <c r="D203" s="5" t="s">
        <v>226</v>
      </c>
      <c r="E203" s="6" t="str">
        <f>HYPERLINK("https://twitter.com/sergio_fajardo/status/1226697147069935617","1226697147069935617")</f>
        <v>1226697147069935617</v>
      </c>
      <c r="F203" s="7" t="s">
        <v>17</v>
      </c>
      <c r="G203" s="7">
        <v>1490514</v>
      </c>
      <c r="H203" s="7">
        <v>355</v>
      </c>
      <c r="I203" s="7">
        <v>18</v>
      </c>
      <c r="J203" s="7">
        <v>0</v>
      </c>
      <c r="K203" s="7" t="s">
        <v>18</v>
      </c>
      <c r="L203" s="8">
        <v>39891.213356481479</v>
      </c>
      <c r="M203" s="9" t="s">
        <v>19</v>
      </c>
      <c r="N203" s="9" t="s">
        <v>22</v>
      </c>
      <c r="O203" s="6" t="str">
        <f>HYPERLINK("https://pbs.twimg.com/profile_images/988971255679324162/jrqiIYf__normal.jpg","View")</f>
        <v>View</v>
      </c>
      <c r="P203" s="7"/>
    </row>
    <row r="204" spans="1:16">
      <c r="A204" s="3">
        <v>43872.121203703704</v>
      </c>
      <c r="B204" s="4" t="str">
        <f>HYPERLINK("https://twitter.com/sergio_fajardo","@sergio_fajardo")</f>
        <v>@sergio_fajardo</v>
      </c>
      <c r="C204" s="5" t="s">
        <v>16</v>
      </c>
      <c r="D204" s="5" t="s">
        <v>227</v>
      </c>
      <c r="E204" s="6" t="str">
        <f>HYPERLINK("https://twitter.com/sergio_fajardo/status/1226980291413233664","1226980291413233664")</f>
        <v>1226980291413233664</v>
      </c>
      <c r="F204" s="7" t="s">
        <v>17</v>
      </c>
      <c r="G204" s="7">
        <v>1490668</v>
      </c>
      <c r="H204" s="7">
        <v>355</v>
      </c>
      <c r="I204" s="7">
        <v>53</v>
      </c>
      <c r="J204" s="7">
        <v>0</v>
      </c>
      <c r="K204" s="7" t="s">
        <v>18</v>
      </c>
      <c r="L204" s="8">
        <v>39891.213356481479</v>
      </c>
      <c r="M204" s="9" t="s">
        <v>19</v>
      </c>
      <c r="N204" s="9" t="s">
        <v>22</v>
      </c>
      <c r="O204" s="6" t="str">
        <f>HYPERLINK("https://pbs.twimg.com/profile_images/988971255679324162/jrqiIYf__normal.jpg","View")</f>
        <v>View</v>
      </c>
      <c r="P204" s="7"/>
    </row>
    <row r="205" spans="1:16">
      <c r="A205" s="3">
        <v>43872.121539351851</v>
      </c>
      <c r="B205" s="4" t="str">
        <f>HYPERLINK("https://twitter.com/sergio_fajardo","@sergio_fajardo")</f>
        <v>@sergio_fajardo</v>
      </c>
      <c r="C205" s="5" t="s">
        <v>16</v>
      </c>
      <c r="D205" s="5" t="s">
        <v>228</v>
      </c>
      <c r="E205" s="6" t="str">
        <f>HYPERLINK("https://twitter.com/sergio_fajardo/status/1226980413253603333","1226980413253603333")</f>
        <v>1226980413253603333</v>
      </c>
      <c r="F205" s="7" t="s">
        <v>17</v>
      </c>
      <c r="G205" s="7">
        <v>1490668</v>
      </c>
      <c r="H205" s="7">
        <v>355</v>
      </c>
      <c r="I205" s="7">
        <v>28</v>
      </c>
      <c r="J205" s="7">
        <v>0</v>
      </c>
      <c r="K205" s="7" t="s">
        <v>18</v>
      </c>
      <c r="L205" s="8">
        <v>39891.213356481479</v>
      </c>
      <c r="M205" s="9" t="s">
        <v>19</v>
      </c>
      <c r="N205" s="9" t="s">
        <v>22</v>
      </c>
      <c r="O205" s="6" t="str">
        <f>HYPERLINK("https://pbs.twimg.com/profile_images/988971255679324162/jrqiIYf__normal.jpg","View")</f>
        <v>View</v>
      </c>
      <c r="P205" s="7"/>
    </row>
    <row r="206" spans="1:16">
      <c r="A206" s="3">
        <v>43872.17763888889</v>
      </c>
      <c r="B206" s="4" t="str">
        <f>HYPERLINK("https://twitter.com/sergio_fajardo","@sergio_fajardo")</f>
        <v>@sergio_fajardo</v>
      </c>
      <c r="C206" s="5" t="s">
        <v>16</v>
      </c>
      <c r="D206" s="5" t="s">
        <v>229</v>
      </c>
      <c r="E206" s="6" t="str">
        <f>HYPERLINK("https://twitter.com/sergio_fajardo/status/1227000744273940480","1227000744273940480")</f>
        <v>1227000744273940480</v>
      </c>
      <c r="F206" s="7" t="s">
        <v>17</v>
      </c>
      <c r="G206" s="7">
        <v>1490690</v>
      </c>
      <c r="H206" s="7">
        <v>355</v>
      </c>
      <c r="I206" s="7">
        <v>43</v>
      </c>
      <c r="J206" s="7">
        <v>0</v>
      </c>
      <c r="K206" s="7" t="s">
        <v>18</v>
      </c>
      <c r="L206" s="8">
        <v>39891.213356481479</v>
      </c>
      <c r="M206" s="9" t="s">
        <v>19</v>
      </c>
      <c r="N206" s="9" t="s">
        <v>22</v>
      </c>
      <c r="O206" s="6" t="str">
        <f>HYPERLINK("https://pbs.twimg.com/profile_images/988971255679324162/jrqiIYf__normal.jpg","View")</f>
        <v>View</v>
      </c>
      <c r="P206" s="7"/>
    </row>
    <row r="207" spans="1:16">
      <c r="A207" s="3">
        <v>43872.20590277778</v>
      </c>
      <c r="B207" s="4" t="str">
        <f>HYPERLINK("https://twitter.com/sergio_fajardo","@sergio_fajardo")</f>
        <v>@sergio_fajardo</v>
      </c>
      <c r="C207" s="5" t="s">
        <v>16</v>
      </c>
      <c r="D207" s="5" t="s">
        <v>230</v>
      </c>
      <c r="E207" s="6" t="str">
        <f>HYPERLINK("https://twitter.com/sergio_fajardo/status/1227010984860094464","1227010984860094464")</f>
        <v>1227010984860094464</v>
      </c>
      <c r="F207" s="7" t="s">
        <v>17</v>
      </c>
      <c r="G207" s="7">
        <v>1490699</v>
      </c>
      <c r="H207" s="7">
        <v>355</v>
      </c>
      <c r="I207" s="7">
        <v>8</v>
      </c>
      <c r="J207" s="7">
        <v>0</v>
      </c>
      <c r="K207" s="7" t="s">
        <v>18</v>
      </c>
      <c r="L207" s="8">
        <v>39891.213356481479</v>
      </c>
      <c r="M207" s="9" t="s">
        <v>19</v>
      </c>
      <c r="N207" s="9" t="s">
        <v>22</v>
      </c>
      <c r="O207" s="6" t="str">
        <f>HYPERLINK("https://pbs.twimg.com/profile_images/988971255679324162/jrqiIYf__normal.jpg","View")</f>
        <v>View</v>
      </c>
      <c r="P207" s="7"/>
    </row>
    <row r="208" spans="1:16">
      <c r="A208" s="3">
        <v>43872.342847222222</v>
      </c>
      <c r="B208" s="4" t="str">
        <f>HYPERLINK("https://twitter.com/sergio_fajardo","@sergio_fajardo")</f>
        <v>@sergio_fajardo</v>
      </c>
      <c r="C208" s="5" t="s">
        <v>16</v>
      </c>
      <c r="D208" s="5" t="s">
        <v>231</v>
      </c>
      <c r="E208" s="6" t="str">
        <f>HYPERLINK("https://twitter.com/sergio_fajardo/status/1227060611466645505","1227060611466645505")</f>
        <v>1227060611466645505</v>
      </c>
      <c r="F208" s="7" t="s">
        <v>17</v>
      </c>
      <c r="G208" s="7">
        <v>1490764</v>
      </c>
      <c r="H208" s="7">
        <v>355</v>
      </c>
      <c r="I208" s="7">
        <v>206</v>
      </c>
      <c r="J208" s="7">
        <v>0</v>
      </c>
      <c r="K208" s="7" t="s">
        <v>18</v>
      </c>
      <c r="L208" s="8">
        <v>39891.213356481479</v>
      </c>
      <c r="M208" s="9" t="s">
        <v>19</v>
      </c>
      <c r="N208" s="9" t="s">
        <v>22</v>
      </c>
      <c r="O208" s="6" t="str">
        <f>HYPERLINK("https://pbs.twimg.com/profile_images/988971255679324162/jrqiIYf__normal.jpg","View")</f>
        <v>View</v>
      </c>
      <c r="P208" s="7"/>
    </row>
    <row r="209" spans="1:16">
      <c r="A209" s="3">
        <v>43872.832361111112</v>
      </c>
      <c r="B209" s="4" t="str">
        <f>HYPERLINK("https://twitter.com/sergio_fajardo","@sergio_fajardo")</f>
        <v>@sergio_fajardo</v>
      </c>
      <c r="C209" s="5" t="s">
        <v>16</v>
      </c>
      <c r="D209" s="5" t="s">
        <v>232</v>
      </c>
      <c r="E209" s="6" t="str">
        <f>HYPERLINK("https://twitter.com/sergio_fajardo/status/1227238007612170240","1227238007612170240")</f>
        <v>1227238007612170240</v>
      </c>
      <c r="F209" s="7" t="s">
        <v>23</v>
      </c>
      <c r="G209" s="7">
        <v>1490847</v>
      </c>
      <c r="H209" s="7">
        <v>355</v>
      </c>
      <c r="I209" s="7">
        <v>2</v>
      </c>
      <c r="J209" s="7">
        <v>6</v>
      </c>
      <c r="K209" s="7" t="s">
        <v>18</v>
      </c>
      <c r="L209" s="8">
        <v>39891.213356481479</v>
      </c>
      <c r="M209" s="9" t="s">
        <v>19</v>
      </c>
      <c r="N209" s="9" t="s">
        <v>22</v>
      </c>
      <c r="O209" s="6" t="str">
        <f>HYPERLINK("https://pbs.twimg.com/profile_images/988971255679324162/jrqiIYf__normal.jpg","View")</f>
        <v>View</v>
      </c>
      <c r="P209" s="7"/>
    </row>
    <row r="210" spans="1:16">
      <c r="A210" s="3">
        <v>43872.850115740745</v>
      </c>
      <c r="B210" s="4" t="str">
        <f>HYPERLINK("https://twitter.com/sergio_fajardo","@sergio_fajardo")</f>
        <v>@sergio_fajardo</v>
      </c>
      <c r="C210" s="5" t="s">
        <v>16</v>
      </c>
      <c r="D210" s="5" t="s">
        <v>233</v>
      </c>
      <c r="E210" s="6" t="str">
        <f>HYPERLINK("https://twitter.com/sergio_fajardo/status/1227244442265849856","1227244442265849856")</f>
        <v>1227244442265849856</v>
      </c>
      <c r="F210" s="7" t="s">
        <v>23</v>
      </c>
      <c r="G210" s="7">
        <v>1490848</v>
      </c>
      <c r="H210" s="7">
        <v>355</v>
      </c>
      <c r="I210" s="7">
        <v>17</v>
      </c>
      <c r="J210" s="7">
        <v>0</v>
      </c>
      <c r="K210" s="7" t="s">
        <v>18</v>
      </c>
      <c r="L210" s="8">
        <v>39891.213356481479</v>
      </c>
      <c r="M210" s="9" t="s">
        <v>19</v>
      </c>
      <c r="N210" s="9" t="s">
        <v>22</v>
      </c>
      <c r="O210" s="6" t="str">
        <f>HYPERLINK("https://pbs.twimg.com/profile_images/988971255679324162/jrqiIYf__normal.jpg","View")</f>
        <v>View</v>
      </c>
      <c r="P210" s="7"/>
    </row>
    <row r="211" spans="1:16">
      <c r="A211" s="3">
        <v>43872.921550925923</v>
      </c>
      <c r="B211" s="4" t="str">
        <f>HYPERLINK("https://twitter.com/sergio_fajardo","@sergio_fajardo")</f>
        <v>@sergio_fajardo</v>
      </c>
      <c r="C211" s="5" t="s">
        <v>16</v>
      </c>
      <c r="D211" s="5" t="s">
        <v>234</v>
      </c>
      <c r="E211" s="6" t="str">
        <f>HYPERLINK("https://twitter.com/sergio_fajardo/status/1227270328306540551","1227270328306540551")</f>
        <v>1227270328306540551</v>
      </c>
      <c r="F211" s="7" t="s">
        <v>17</v>
      </c>
      <c r="G211" s="7">
        <v>1490886</v>
      </c>
      <c r="H211" s="7">
        <v>355</v>
      </c>
      <c r="I211" s="7">
        <v>146</v>
      </c>
      <c r="J211" s="7">
        <v>0</v>
      </c>
      <c r="K211" s="7" t="s">
        <v>18</v>
      </c>
      <c r="L211" s="8">
        <v>39891.213356481479</v>
      </c>
      <c r="M211" s="9" t="s">
        <v>19</v>
      </c>
      <c r="N211" s="9" t="s">
        <v>22</v>
      </c>
      <c r="O211" s="6" t="str">
        <f>HYPERLINK("https://pbs.twimg.com/profile_images/988971255679324162/jrqiIYf__normal.jpg","View")</f>
        <v>View</v>
      </c>
      <c r="P211" s="7"/>
    </row>
    <row r="212" spans="1:16">
      <c r="A212" s="3">
        <v>43872.93818287037</v>
      </c>
      <c r="B212" s="4" t="str">
        <f>HYPERLINK("https://twitter.com/sergio_fajardo","@sergio_fajardo")</f>
        <v>@sergio_fajardo</v>
      </c>
      <c r="C212" s="5" t="s">
        <v>16</v>
      </c>
      <c r="D212" s="5" t="s">
        <v>235</v>
      </c>
      <c r="E212" s="6" t="str">
        <f>HYPERLINK("https://twitter.com/sergio_fajardo/status/1227276356293210112","1227276356293210112")</f>
        <v>1227276356293210112</v>
      </c>
      <c r="F212" s="7" t="s">
        <v>17</v>
      </c>
      <c r="G212" s="7">
        <v>1490886</v>
      </c>
      <c r="H212" s="7">
        <v>355</v>
      </c>
      <c r="I212" s="7">
        <v>27</v>
      </c>
      <c r="J212" s="7">
        <v>0</v>
      </c>
      <c r="K212" s="7" t="s">
        <v>18</v>
      </c>
      <c r="L212" s="8">
        <v>39891.213356481479</v>
      </c>
      <c r="M212" s="9" t="s">
        <v>19</v>
      </c>
      <c r="N212" s="9" t="s">
        <v>22</v>
      </c>
      <c r="O212" s="6" t="str">
        <f>HYPERLINK("https://pbs.twimg.com/profile_images/988971255679324162/jrqiIYf__normal.jpg","View")</f>
        <v>View</v>
      </c>
      <c r="P212" s="7"/>
    </row>
    <row r="213" spans="1:16">
      <c r="A213" s="3">
        <v>43872.939849537041</v>
      </c>
      <c r="B213" s="4" t="str">
        <f>HYPERLINK("https://twitter.com/sergio_fajardo","@sergio_fajardo")</f>
        <v>@sergio_fajardo</v>
      </c>
      <c r="C213" s="5" t="s">
        <v>16</v>
      </c>
      <c r="D213" s="5" t="s">
        <v>236</v>
      </c>
      <c r="E213" s="6" t="str">
        <f>HYPERLINK("https://twitter.com/sergio_fajardo/status/1227276960855838720","1227276960855838720")</f>
        <v>1227276960855838720</v>
      </c>
      <c r="F213" s="7" t="s">
        <v>23</v>
      </c>
      <c r="G213" s="7">
        <v>1490886</v>
      </c>
      <c r="H213" s="7">
        <v>355</v>
      </c>
      <c r="I213" s="7">
        <v>6</v>
      </c>
      <c r="J213" s="7">
        <v>0</v>
      </c>
      <c r="K213" s="7" t="s">
        <v>18</v>
      </c>
      <c r="L213" s="8">
        <v>39891.213356481479</v>
      </c>
      <c r="M213" s="9" t="s">
        <v>19</v>
      </c>
      <c r="N213" s="9" t="s">
        <v>22</v>
      </c>
      <c r="O213" s="6" t="str">
        <f>HYPERLINK("https://pbs.twimg.com/profile_images/988971255679324162/jrqiIYf__normal.jpg","View")</f>
        <v>View</v>
      </c>
      <c r="P213" s="7"/>
    </row>
    <row r="214" spans="1:16">
      <c r="A214" s="3">
        <v>43872.940520833334</v>
      </c>
      <c r="B214" s="4" t="str">
        <f>HYPERLINK("https://twitter.com/sergio_fajardo","@sergio_fajardo")</f>
        <v>@sergio_fajardo</v>
      </c>
      <c r="C214" s="5" t="s">
        <v>16</v>
      </c>
      <c r="D214" s="5" t="s">
        <v>237</v>
      </c>
      <c r="E214" s="6" t="str">
        <f>HYPERLINK("https://twitter.com/sergio_fajardo/status/1227277203102224384","1227277203102224384")</f>
        <v>1227277203102224384</v>
      </c>
      <c r="F214" s="7" t="s">
        <v>23</v>
      </c>
      <c r="G214" s="7">
        <v>1490890</v>
      </c>
      <c r="H214" s="7">
        <v>355</v>
      </c>
      <c r="I214" s="7">
        <v>7</v>
      </c>
      <c r="J214" s="7">
        <v>0</v>
      </c>
      <c r="K214" s="7" t="s">
        <v>18</v>
      </c>
      <c r="L214" s="8">
        <v>39891.213356481479</v>
      </c>
      <c r="M214" s="9" t="s">
        <v>19</v>
      </c>
      <c r="N214" s="9" t="s">
        <v>22</v>
      </c>
      <c r="O214" s="6" t="str">
        <f>HYPERLINK("https://pbs.twimg.com/profile_images/988971255679324162/jrqiIYf__normal.jpg","View")</f>
        <v>View</v>
      </c>
      <c r="P214" s="7"/>
    </row>
    <row r="215" spans="1:16">
      <c r="A215" s="3">
        <v>43872.957824074074</v>
      </c>
      <c r="B215" s="4" t="str">
        <f>HYPERLINK("https://twitter.com/sergio_fajardo","@sergio_fajardo")</f>
        <v>@sergio_fajardo</v>
      </c>
      <c r="C215" s="5" t="s">
        <v>16</v>
      </c>
      <c r="D215" s="5" t="s">
        <v>238</v>
      </c>
      <c r="E215" s="6" t="str">
        <f>HYPERLINK("https://twitter.com/sergio_fajardo/status/1227283473343356930","1227283473343356930")</f>
        <v>1227283473343356930</v>
      </c>
      <c r="F215" s="7" t="s">
        <v>23</v>
      </c>
      <c r="G215" s="7">
        <v>1490890</v>
      </c>
      <c r="H215" s="7">
        <v>355</v>
      </c>
      <c r="I215" s="7">
        <v>5</v>
      </c>
      <c r="J215" s="7">
        <v>0</v>
      </c>
      <c r="K215" s="7" t="s">
        <v>18</v>
      </c>
      <c r="L215" s="8">
        <v>39891.213356481479</v>
      </c>
      <c r="M215" s="9" t="s">
        <v>19</v>
      </c>
      <c r="N215" s="9" t="s">
        <v>22</v>
      </c>
      <c r="O215" s="6" t="str">
        <f>HYPERLINK("https://pbs.twimg.com/profile_images/988971255679324162/jrqiIYf__normal.jpg","View")</f>
        <v>View</v>
      </c>
      <c r="P215" s="7"/>
    </row>
    <row r="216" spans="1:16">
      <c r="A216" s="3">
        <v>43872.993935185186</v>
      </c>
      <c r="B216" s="4" t="str">
        <f>HYPERLINK("https://twitter.com/sergio_fajardo","@sergio_fajardo")</f>
        <v>@sergio_fajardo</v>
      </c>
      <c r="C216" s="5" t="s">
        <v>16</v>
      </c>
      <c r="D216" s="5" t="s">
        <v>239</v>
      </c>
      <c r="E216" s="6" t="str">
        <f>HYPERLINK("https://twitter.com/sergio_fajardo/status/1227296557994774531","1227296557994774531")</f>
        <v>1227296557994774531</v>
      </c>
      <c r="F216" s="7" t="s">
        <v>23</v>
      </c>
      <c r="G216" s="7">
        <v>1490904</v>
      </c>
      <c r="H216" s="7">
        <v>355</v>
      </c>
      <c r="I216" s="7">
        <v>4</v>
      </c>
      <c r="J216" s="7">
        <v>0</v>
      </c>
      <c r="K216" s="7" t="s">
        <v>18</v>
      </c>
      <c r="L216" s="8">
        <v>39891.213356481479</v>
      </c>
      <c r="M216" s="9" t="s">
        <v>19</v>
      </c>
      <c r="N216" s="9" t="s">
        <v>22</v>
      </c>
      <c r="O216" s="6" t="str">
        <f>HYPERLINK("https://pbs.twimg.com/profile_images/988971255679324162/jrqiIYf__normal.jpg","View")</f>
        <v>View</v>
      </c>
      <c r="P216" s="7"/>
    </row>
    <row r="217" spans="1:16">
      <c r="A217" s="3">
        <v>43873.04650462963</v>
      </c>
      <c r="B217" s="4" t="str">
        <f>HYPERLINK("https://twitter.com/sergio_fajardo","@sergio_fajardo")</f>
        <v>@sergio_fajardo</v>
      </c>
      <c r="C217" s="5" t="s">
        <v>16</v>
      </c>
      <c r="D217" s="5" t="s">
        <v>240</v>
      </c>
      <c r="E217" s="6" t="str">
        <f>HYPERLINK("https://twitter.com/sergio_fajardo/status/1227315608523546624","1227315608523546624")</f>
        <v>1227315608523546624</v>
      </c>
      <c r="F217" s="7" t="s">
        <v>17</v>
      </c>
      <c r="G217" s="7">
        <v>1490922</v>
      </c>
      <c r="H217" s="7">
        <v>355</v>
      </c>
      <c r="I217" s="7">
        <v>8767</v>
      </c>
      <c r="J217" s="7">
        <v>0</v>
      </c>
      <c r="K217" s="7" t="s">
        <v>18</v>
      </c>
      <c r="L217" s="8">
        <v>39891.213356481479</v>
      </c>
      <c r="M217" s="9" t="s">
        <v>19</v>
      </c>
      <c r="N217" s="9" t="s">
        <v>22</v>
      </c>
      <c r="O217" s="6" t="str">
        <f>HYPERLINK("https://pbs.twimg.com/profile_images/988971255679324162/jrqiIYf__normal.jpg","View")</f>
        <v>View</v>
      </c>
      <c r="P217" s="7"/>
    </row>
    <row r="218" spans="1:16">
      <c r="A218" s="3">
        <v>43873.063796296294</v>
      </c>
      <c r="B218" s="4" t="str">
        <f>HYPERLINK("https://twitter.com/sergio_fajardo","@sergio_fajardo")</f>
        <v>@sergio_fajardo</v>
      </c>
      <c r="C218" s="5" t="s">
        <v>16</v>
      </c>
      <c r="D218" s="5" t="s">
        <v>241</v>
      </c>
      <c r="E218" s="6" t="str">
        <f>HYPERLINK("https://twitter.com/sergio_fajardo/status/1227321875451301894","1227321875451301894")</f>
        <v>1227321875451301894</v>
      </c>
      <c r="F218" s="7" t="s">
        <v>17</v>
      </c>
      <c r="G218" s="7">
        <v>1490922</v>
      </c>
      <c r="H218" s="7">
        <v>355</v>
      </c>
      <c r="I218" s="7">
        <v>213</v>
      </c>
      <c r="J218" s="7">
        <v>0</v>
      </c>
      <c r="K218" s="7" t="s">
        <v>18</v>
      </c>
      <c r="L218" s="8">
        <v>39891.213356481479</v>
      </c>
      <c r="M218" s="9" t="s">
        <v>19</v>
      </c>
      <c r="N218" s="9" t="s">
        <v>22</v>
      </c>
      <c r="O218" s="6" t="str">
        <f>HYPERLINK("https://pbs.twimg.com/profile_images/988971255679324162/jrqiIYf__normal.jpg","View")</f>
        <v>View</v>
      </c>
      <c r="P218" s="7"/>
    </row>
    <row r="219" spans="1:16">
      <c r="A219" s="3">
        <v>43873.09783564815</v>
      </c>
      <c r="B219" s="4" t="str">
        <f>HYPERLINK("https://twitter.com/sergio_fajardo","@sergio_fajardo")</f>
        <v>@sergio_fajardo</v>
      </c>
      <c r="C219" s="5" t="s">
        <v>16</v>
      </c>
      <c r="D219" s="5" t="s">
        <v>242</v>
      </c>
      <c r="E219" s="6" t="str">
        <f>HYPERLINK("https://twitter.com/sergio_fajardo/status/1227334211125772289","1227334211125772289")</f>
        <v>1227334211125772289</v>
      </c>
      <c r="F219" s="7" t="s">
        <v>23</v>
      </c>
      <c r="G219" s="7">
        <v>1490933</v>
      </c>
      <c r="H219" s="7">
        <v>355</v>
      </c>
      <c r="I219" s="7">
        <v>2</v>
      </c>
      <c r="J219" s="7">
        <v>18</v>
      </c>
      <c r="K219" s="7" t="s">
        <v>18</v>
      </c>
      <c r="L219" s="8">
        <v>39891.213356481479</v>
      </c>
      <c r="M219" s="9" t="s">
        <v>19</v>
      </c>
      <c r="N219" s="9" t="s">
        <v>22</v>
      </c>
      <c r="O219" s="6" t="str">
        <f>HYPERLINK("https://pbs.twimg.com/profile_images/988971255679324162/jrqiIYf__normal.jpg","View")</f>
        <v>View</v>
      </c>
      <c r="P219" s="7"/>
    </row>
    <row r="220" spans="1:16">
      <c r="A220" s="3">
        <v>43873.921226851853</v>
      </c>
      <c r="B220" s="4" t="str">
        <f>HYPERLINK("https://twitter.com/sergio_fajardo","@sergio_fajardo")</f>
        <v>@sergio_fajardo</v>
      </c>
      <c r="C220" s="5" t="s">
        <v>16</v>
      </c>
      <c r="D220" s="5" t="s">
        <v>243</v>
      </c>
      <c r="E220" s="6" t="str">
        <f>HYPERLINK("https://twitter.com/sergio_fajardo/status/1227632599427887115","1227632599427887115")</f>
        <v>1227632599427887115</v>
      </c>
      <c r="F220" s="7" t="s">
        <v>23</v>
      </c>
      <c r="G220" s="7">
        <v>1491213</v>
      </c>
      <c r="H220" s="7">
        <v>354</v>
      </c>
      <c r="I220" s="7">
        <v>4</v>
      </c>
      <c r="J220" s="7">
        <v>25</v>
      </c>
      <c r="K220" s="7" t="s">
        <v>18</v>
      </c>
      <c r="L220" s="8">
        <v>39891.213356481479</v>
      </c>
      <c r="M220" s="9" t="s">
        <v>19</v>
      </c>
      <c r="N220" s="9" t="s">
        <v>22</v>
      </c>
      <c r="O220" s="6" t="str">
        <f>HYPERLINK("https://pbs.twimg.com/profile_images/988971255679324162/jrqiIYf__normal.jpg","View")</f>
        <v>View</v>
      </c>
      <c r="P220" s="7"/>
    </row>
    <row r="221" spans="1:16">
      <c r="A221" s="3">
        <v>43874.073958333334</v>
      </c>
      <c r="B221" s="4" t="str">
        <f>HYPERLINK("https://twitter.com/sergio_fajardo","@sergio_fajardo")</f>
        <v>@sergio_fajardo</v>
      </c>
      <c r="C221" s="5" t="s">
        <v>16</v>
      </c>
      <c r="D221" s="5" t="s">
        <v>244</v>
      </c>
      <c r="E221" s="6" t="str">
        <f>HYPERLINK("https://twitter.com/sergio_fajardo/status/1227687948352663552","1227687948352663552")</f>
        <v>1227687948352663552</v>
      </c>
      <c r="F221" s="7" t="s">
        <v>23</v>
      </c>
      <c r="G221" s="7">
        <v>1491264</v>
      </c>
      <c r="H221" s="7">
        <v>354</v>
      </c>
      <c r="I221" s="7">
        <v>1</v>
      </c>
      <c r="J221" s="7">
        <v>7</v>
      </c>
      <c r="K221" s="7" t="s">
        <v>18</v>
      </c>
      <c r="L221" s="8">
        <v>39891.213356481479</v>
      </c>
      <c r="M221" s="9" t="s">
        <v>19</v>
      </c>
      <c r="N221" s="9" t="s">
        <v>22</v>
      </c>
      <c r="O221" s="6" t="str">
        <f>HYPERLINK("https://pbs.twimg.com/profile_images/988971255679324162/jrqiIYf__normal.jpg","View")</f>
        <v>View</v>
      </c>
      <c r="P221" s="7"/>
    </row>
    <row r="222" spans="1:16">
      <c r="A222" s="3">
        <v>43874.352731481486</v>
      </c>
      <c r="B222" s="4" t="str">
        <f>HYPERLINK("https://twitter.com/sergio_fajardo","@sergio_fajardo")</f>
        <v>@sergio_fajardo</v>
      </c>
      <c r="C222" s="5" t="s">
        <v>16</v>
      </c>
      <c r="D222" s="5" t="s">
        <v>245</v>
      </c>
      <c r="E222" s="6" t="str">
        <f>HYPERLINK("https://twitter.com/sergio_fajardo/status/1227788971134136320","1227788971134136320")</f>
        <v>1227788971134136320</v>
      </c>
      <c r="F222" s="7" t="s">
        <v>17</v>
      </c>
      <c r="G222" s="7">
        <v>1491394</v>
      </c>
      <c r="H222" s="7">
        <v>354</v>
      </c>
      <c r="I222" s="7">
        <v>135</v>
      </c>
      <c r="J222" s="7">
        <v>0</v>
      </c>
      <c r="K222" s="7" t="s">
        <v>18</v>
      </c>
      <c r="L222" s="8">
        <v>39891.213356481479</v>
      </c>
      <c r="M222" s="9" t="s">
        <v>19</v>
      </c>
      <c r="N222" s="9" t="s">
        <v>22</v>
      </c>
      <c r="O222" s="6" t="str">
        <f>HYPERLINK("https://pbs.twimg.com/profile_images/988971255679324162/jrqiIYf__normal.jpg","View")</f>
        <v>View</v>
      </c>
      <c r="P222" s="7"/>
    </row>
    <row r="223" spans="1:16">
      <c r="A223" s="3">
        <v>43875.229594907403</v>
      </c>
      <c r="B223" s="4" t="str">
        <f>HYPERLINK("https://twitter.com/sergio_fajardo","@sergio_fajardo")</f>
        <v>@sergio_fajardo</v>
      </c>
      <c r="C223" s="5" t="s">
        <v>16</v>
      </c>
      <c r="D223" s="5" t="s">
        <v>246</v>
      </c>
      <c r="E223" s="6" t="str">
        <f>HYPERLINK("https://twitter.com/sergio_fajardo/status/1228106733740068864","1228106733740068864")</f>
        <v>1228106733740068864</v>
      </c>
      <c r="F223" s="7" t="s">
        <v>17</v>
      </c>
      <c r="G223" s="7">
        <v>1491603</v>
      </c>
      <c r="H223" s="7">
        <v>354</v>
      </c>
      <c r="I223" s="7">
        <v>16</v>
      </c>
      <c r="J223" s="7">
        <v>0</v>
      </c>
      <c r="K223" s="7" t="s">
        <v>18</v>
      </c>
      <c r="L223" s="8">
        <v>39891.213356481479</v>
      </c>
      <c r="M223" s="9" t="s">
        <v>19</v>
      </c>
      <c r="N223" s="9" t="s">
        <v>22</v>
      </c>
      <c r="O223" s="6" t="str">
        <f>HYPERLINK("https://pbs.twimg.com/profile_images/988971255679324162/jrqiIYf__normal.jpg","View")</f>
        <v>View</v>
      </c>
      <c r="P223" s="7"/>
    </row>
    <row r="224" spans="1:16">
      <c r="A224" s="3">
        <v>43875.231064814812</v>
      </c>
      <c r="B224" s="4" t="str">
        <f>HYPERLINK("https://twitter.com/sergio_fajardo","@sergio_fajardo")</f>
        <v>@sergio_fajardo</v>
      </c>
      <c r="C224" s="5" t="s">
        <v>16</v>
      </c>
      <c r="D224" s="5" t="s">
        <v>247</v>
      </c>
      <c r="E224" s="6" t="str">
        <f>HYPERLINK("https://twitter.com/sergio_fajardo/status/1228107267867922434","1228107267867922434")</f>
        <v>1228107267867922434</v>
      </c>
      <c r="F224" s="7" t="s">
        <v>17</v>
      </c>
      <c r="G224" s="7">
        <v>1491603</v>
      </c>
      <c r="H224" s="7">
        <v>354</v>
      </c>
      <c r="I224" s="7">
        <v>6</v>
      </c>
      <c r="J224" s="7">
        <v>0</v>
      </c>
      <c r="K224" s="7" t="s">
        <v>18</v>
      </c>
      <c r="L224" s="8">
        <v>39891.213356481479</v>
      </c>
      <c r="M224" s="9" t="s">
        <v>19</v>
      </c>
      <c r="N224" s="9" t="s">
        <v>22</v>
      </c>
      <c r="O224" s="6" t="str">
        <f>HYPERLINK("https://pbs.twimg.com/profile_images/988971255679324162/jrqiIYf__normal.jpg","View")</f>
        <v>View</v>
      </c>
      <c r="P224" s="7"/>
    </row>
    <row r="225" spans="1:16">
      <c r="A225" s="3">
        <v>43875.231388888889</v>
      </c>
      <c r="B225" s="4" t="str">
        <f>HYPERLINK("https://twitter.com/sergio_fajardo","@sergio_fajardo")</f>
        <v>@sergio_fajardo</v>
      </c>
      <c r="C225" s="5" t="s">
        <v>16</v>
      </c>
      <c r="D225" s="5" t="s">
        <v>248</v>
      </c>
      <c r="E225" s="6" t="str">
        <f>HYPERLINK("https://twitter.com/sergio_fajardo/status/1228107385732026369","1228107385732026369")</f>
        <v>1228107385732026369</v>
      </c>
      <c r="F225" s="7" t="s">
        <v>17</v>
      </c>
      <c r="G225" s="7">
        <v>1491608</v>
      </c>
      <c r="H225" s="7">
        <v>354</v>
      </c>
      <c r="I225" s="7">
        <v>525</v>
      </c>
      <c r="J225" s="7">
        <v>0</v>
      </c>
      <c r="K225" s="7" t="s">
        <v>18</v>
      </c>
      <c r="L225" s="8">
        <v>39891.213356481479</v>
      </c>
      <c r="M225" s="9" t="s">
        <v>19</v>
      </c>
      <c r="N225" s="9" t="s">
        <v>22</v>
      </c>
      <c r="O225" s="6" t="str">
        <f>HYPERLINK("https://pbs.twimg.com/profile_images/988971255679324162/jrqiIYf__normal.jpg","View")</f>
        <v>View</v>
      </c>
      <c r="P225" s="7"/>
    </row>
    <row r="226" spans="1:16">
      <c r="A226" s="3">
        <v>43875.23637731481</v>
      </c>
      <c r="B226" s="4" t="str">
        <f>HYPERLINK("https://twitter.com/sergio_fajardo","@sergio_fajardo")</f>
        <v>@sergio_fajardo</v>
      </c>
      <c r="C226" s="5" t="s">
        <v>16</v>
      </c>
      <c r="D226" s="5" t="s">
        <v>249</v>
      </c>
      <c r="E226" s="6" t="str">
        <f>HYPERLINK("https://twitter.com/sergio_fajardo/status/1228109193800036352","1228109193800036352")</f>
        <v>1228109193800036352</v>
      </c>
      <c r="F226" s="7" t="s">
        <v>20</v>
      </c>
      <c r="G226" s="7">
        <v>1491608</v>
      </c>
      <c r="H226" s="7">
        <v>354</v>
      </c>
      <c r="I226" s="7">
        <v>2</v>
      </c>
      <c r="J226" s="7">
        <v>11</v>
      </c>
      <c r="K226" s="7" t="s">
        <v>18</v>
      </c>
      <c r="L226" s="8">
        <v>39891.213356481479</v>
      </c>
      <c r="M226" s="9" t="s">
        <v>19</v>
      </c>
      <c r="N226" s="9" t="s">
        <v>22</v>
      </c>
      <c r="O226" s="6" t="str">
        <f>HYPERLINK("https://pbs.twimg.com/profile_images/988971255679324162/jrqiIYf__normal.jpg","View")</f>
        <v>View</v>
      </c>
      <c r="P226" s="7"/>
    </row>
    <row r="227" spans="1:16">
      <c r="A227" s="3">
        <v>43878.186111111107</v>
      </c>
      <c r="B227" s="4" t="str">
        <f>HYPERLINK("https://twitter.com/sergio_fajardo","@sergio_fajardo")</f>
        <v>@sergio_fajardo</v>
      </c>
      <c r="C227" s="5" t="s">
        <v>16</v>
      </c>
      <c r="D227" s="5" t="s">
        <v>250</v>
      </c>
      <c r="E227" s="6" t="str">
        <f>HYPERLINK("https://twitter.com/sergio_fajardo/status/1229178141421293568","1229178141421293568")</f>
        <v>1229178141421293568</v>
      </c>
      <c r="F227" s="7" t="s">
        <v>23</v>
      </c>
      <c r="G227" s="7">
        <v>1492023</v>
      </c>
      <c r="H227" s="7">
        <v>354</v>
      </c>
      <c r="I227" s="7">
        <v>8</v>
      </c>
      <c r="J227" s="7">
        <v>36</v>
      </c>
      <c r="K227" s="7" t="s">
        <v>18</v>
      </c>
      <c r="L227" s="8">
        <v>39891.213356481479</v>
      </c>
      <c r="M227" s="9" t="s">
        <v>19</v>
      </c>
      <c r="N227" s="9" t="s">
        <v>22</v>
      </c>
      <c r="O227" s="6" t="str">
        <f>HYPERLINK("https://pbs.twimg.com/profile_images/988971255679324162/jrqiIYf__normal.jpg","View")</f>
        <v>View</v>
      </c>
      <c r="P227" s="7"/>
    </row>
    <row r="228" spans="1:16">
      <c r="A228" s="3">
        <v>43878.286319444444</v>
      </c>
      <c r="B228" s="4" t="str">
        <f>HYPERLINK("https://twitter.com/sergio_fajardo","@sergio_fajardo")</f>
        <v>@sergio_fajardo</v>
      </c>
      <c r="C228" s="5" t="s">
        <v>16</v>
      </c>
      <c r="D228" s="5" t="s">
        <v>251</v>
      </c>
      <c r="E228" s="6" t="str">
        <f>HYPERLINK("https://twitter.com/sergio_fajardo/status/1229214453289365504","1229214453289365504")</f>
        <v>1229214453289365504</v>
      </c>
      <c r="F228" s="7" t="s">
        <v>17</v>
      </c>
      <c r="G228" s="7">
        <v>1492003</v>
      </c>
      <c r="H228" s="7">
        <v>355</v>
      </c>
      <c r="I228" s="7">
        <v>27</v>
      </c>
      <c r="J228" s="7">
        <v>0</v>
      </c>
      <c r="K228" s="7" t="s">
        <v>18</v>
      </c>
      <c r="L228" s="8">
        <v>39891.213356481479</v>
      </c>
      <c r="M228" s="9" t="s">
        <v>19</v>
      </c>
      <c r="N228" s="9" t="s">
        <v>22</v>
      </c>
      <c r="O228" s="6" t="str">
        <f>HYPERLINK("https://pbs.twimg.com/profile_images/988971255679324162/jrqiIYf__normal.jpg","View")</f>
        <v>View</v>
      </c>
      <c r="P228" s="7"/>
    </row>
    <row r="229" spans="1:16">
      <c r="A229" s="3">
        <v>43878.370162037041</v>
      </c>
      <c r="B229" s="4" t="str">
        <f>HYPERLINK("https://twitter.com/sergio_fajardo","@sergio_fajardo")</f>
        <v>@sergio_fajardo</v>
      </c>
      <c r="C229" s="5" t="s">
        <v>16</v>
      </c>
      <c r="D229" s="5" t="s">
        <v>252</v>
      </c>
      <c r="E229" s="6" t="str">
        <f>HYPERLINK("https://twitter.com/sergio_fajardo/status/1229244839205703681","1229244839205703681")</f>
        <v>1229244839205703681</v>
      </c>
      <c r="F229" s="7" t="s">
        <v>17</v>
      </c>
      <c r="G229" s="7">
        <v>1491996</v>
      </c>
      <c r="H229" s="7">
        <v>355</v>
      </c>
      <c r="I229" s="7">
        <v>7</v>
      </c>
      <c r="J229" s="7">
        <v>20</v>
      </c>
      <c r="K229" s="7" t="s">
        <v>18</v>
      </c>
      <c r="L229" s="8">
        <v>39891.213356481479</v>
      </c>
      <c r="M229" s="9" t="s">
        <v>19</v>
      </c>
      <c r="N229" s="9" t="s">
        <v>22</v>
      </c>
      <c r="O229" s="6" t="str">
        <f>HYPERLINK("https://pbs.twimg.com/profile_images/988971255679324162/jrqiIYf__normal.jpg","View")</f>
        <v>View</v>
      </c>
      <c r="P229" s="7"/>
    </row>
    <row r="230" spans="1:16">
      <c r="A230" s="3">
        <v>43878.954641203702</v>
      </c>
      <c r="B230" s="4" t="str">
        <f>HYPERLINK("https://twitter.com/sergio_fajardo","@sergio_fajardo")</f>
        <v>@sergio_fajardo</v>
      </c>
      <c r="C230" s="5" t="s">
        <v>16</v>
      </c>
      <c r="D230" s="5" t="s">
        <v>253</v>
      </c>
      <c r="E230" s="6" t="str">
        <f>HYPERLINK("https://twitter.com/sergio_fajardo/status/1229456645824139264","1229456645824139264")</f>
        <v>1229456645824139264</v>
      </c>
      <c r="F230" s="7" t="s">
        <v>20</v>
      </c>
      <c r="G230" s="7">
        <v>1492102</v>
      </c>
      <c r="H230" s="7">
        <v>355</v>
      </c>
      <c r="I230" s="7">
        <v>6</v>
      </c>
      <c r="J230" s="7">
        <v>31</v>
      </c>
      <c r="K230" s="7" t="s">
        <v>18</v>
      </c>
      <c r="L230" s="8">
        <v>39891.213356481479</v>
      </c>
      <c r="M230" s="9" t="s">
        <v>19</v>
      </c>
      <c r="N230" s="9" t="s">
        <v>22</v>
      </c>
      <c r="O230" s="6" t="str">
        <f>HYPERLINK("https://pbs.twimg.com/profile_images/988971255679324162/jrqiIYf__normal.jpg","View")</f>
        <v>View</v>
      </c>
      <c r="P230" s="7"/>
    </row>
    <row r="231" spans="1:16">
      <c r="A231" s="3">
        <v>43879.134050925924</v>
      </c>
      <c r="B231" s="4" t="str">
        <f>HYPERLINK("https://twitter.com/sergio_fajardo","@sergio_fajardo")</f>
        <v>@sergio_fajardo</v>
      </c>
      <c r="C231" s="5" t="s">
        <v>16</v>
      </c>
      <c r="D231" s="5" t="s">
        <v>254</v>
      </c>
      <c r="E231" s="6" t="str">
        <f>HYPERLINK("https://twitter.com/sergio_fajardo/status/1229521663206854662","1229521663206854662")</f>
        <v>1229521663206854662</v>
      </c>
      <c r="F231" s="7" t="s">
        <v>17</v>
      </c>
      <c r="G231" s="7">
        <v>1492150</v>
      </c>
      <c r="H231" s="7">
        <v>355</v>
      </c>
      <c r="I231" s="7">
        <v>5</v>
      </c>
      <c r="J231" s="7">
        <v>27</v>
      </c>
      <c r="K231" s="7" t="s">
        <v>18</v>
      </c>
      <c r="L231" s="8">
        <v>39891.213356481479</v>
      </c>
      <c r="M231" s="9" t="s">
        <v>19</v>
      </c>
      <c r="N231" s="9" t="s">
        <v>22</v>
      </c>
      <c r="O231" s="6" t="str">
        <f>HYPERLINK("https://pbs.twimg.com/profile_images/988971255679324162/jrqiIYf__normal.jpg","View")</f>
        <v>View</v>
      </c>
      <c r="P231" s="7"/>
    </row>
    <row r="232" spans="1:16">
      <c r="A232" s="3">
        <v>43879.923113425924</v>
      </c>
      <c r="B232" s="4" t="str">
        <f>HYPERLINK("https://twitter.com/sergio_fajardo","@sergio_fajardo")</f>
        <v>@sergio_fajardo</v>
      </c>
      <c r="C232" s="5" t="s">
        <v>16</v>
      </c>
      <c r="D232" s="5" t="s">
        <v>255</v>
      </c>
      <c r="E232" s="6" t="str">
        <f>HYPERLINK("https://twitter.com/sergio_fajardo/status/1229807608502083584","1229807608502083584")</f>
        <v>1229807608502083584</v>
      </c>
      <c r="F232" s="7" t="s">
        <v>20</v>
      </c>
      <c r="G232" s="7">
        <v>1492325</v>
      </c>
      <c r="H232" s="7">
        <v>355</v>
      </c>
      <c r="I232" s="7">
        <v>1</v>
      </c>
      <c r="J232" s="7">
        <v>7</v>
      </c>
      <c r="K232" s="7" t="s">
        <v>18</v>
      </c>
      <c r="L232" s="8">
        <v>39891.213356481479</v>
      </c>
      <c r="M232" s="9" t="s">
        <v>19</v>
      </c>
      <c r="N232" s="9" t="s">
        <v>22</v>
      </c>
      <c r="O232" s="6" t="str">
        <f>HYPERLINK("https://pbs.twimg.com/profile_images/988971255679324162/jrqiIYf__normal.jpg","View")</f>
        <v>View</v>
      </c>
      <c r="P232" s="7"/>
    </row>
    <row r="233" spans="1:16">
      <c r="A233" s="3">
        <v>43880.058541666665</v>
      </c>
      <c r="B233" s="4" t="str">
        <f>HYPERLINK("https://twitter.com/sergio_fajardo","@sergio_fajardo")</f>
        <v>@sergio_fajardo</v>
      </c>
      <c r="C233" s="5" t="s">
        <v>16</v>
      </c>
      <c r="D233" s="5" t="s">
        <v>256</v>
      </c>
      <c r="E233" s="6" t="str">
        <f>HYPERLINK("https://twitter.com/sergio_fajardo/status/1229856688330674177","1229856688330674177")</f>
        <v>1229856688330674177</v>
      </c>
      <c r="F233" s="7" t="s">
        <v>17</v>
      </c>
      <c r="G233" s="7">
        <v>1492371</v>
      </c>
      <c r="H233" s="7">
        <v>355</v>
      </c>
      <c r="I233" s="7">
        <v>13</v>
      </c>
      <c r="J233" s="7">
        <v>40</v>
      </c>
      <c r="K233" s="7" t="s">
        <v>18</v>
      </c>
      <c r="L233" s="8">
        <v>39891.213356481479</v>
      </c>
      <c r="M233" s="9" t="s">
        <v>19</v>
      </c>
      <c r="N233" s="9" t="s">
        <v>22</v>
      </c>
      <c r="O233" s="6" t="str">
        <f>HYPERLINK("https://pbs.twimg.com/profile_images/988971255679324162/jrqiIYf__normal.jpg","View")</f>
        <v>View</v>
      </c>
      <c r="P233" s="7"/>
    </row>
    <row r="234" spans="1:16">
      <c r="A234" s="3">
        <v>43880.13416666667</v>
      </c>
      <c r="B234" s="4" t="str">
        <f>HYPERLINK("https://twitter.com/sergio_fajardo","@sergio_fajardo")</f>
        <v>@sergio_fajardo</v>
      </c>
      <c r="C234" s="5" t="s">
        <v>16</v>
      </c>
      <c r="D234" s="5" t="s">
        <v>257</v>
      </c>
      <c r="E234" s="6" t="str">
        <f>HYPERLINK("https://twitter.com/sergio_fajardo/status/1229884091937566720","1229884091937566720")</f>
        <v>1229884091937566720</v>
      </c>
      <c r="F234" s="7" t="s">
        <v>17</v>
      </c>
      <c r="G234" s="7">
        <v>1492390</v>
      </c>
      <c r="H234" s="7">
        <v>355</v>
      </c>
      <c r="I234" s="7">
        <v>8</v>
      </c>
      <c r="J234" s="7">
        <v>0</v>
      </c>
      <c r="K234" s="7" t="s">
        <v>18</v>
      </c>
      <c r="L234" s="8">
        <v>39891.213356481479</v>
      </c>
      <c r="M234" s="9" t="s">
        <v>19</v>
      </c>
      <c r="N234" s="9" t="s">
        <v>22</v>
      </c>
      <c r="O234" s="6" t="str">
        <f>HYPERLINK("https://pbs.twimg.com/profile_images/988971255679324162/jrqiIYf__normal.jpg","View")</f>
        <v>View</v>
      </c>
      <c r="P234" s="7"/>
    </row>
    <row r="235" spans="1:16">
      <c r="A235" s="3">
        <v>43880.760104166664</v>
      </c>
      <c r="B235" s="4" t="str">
        <f>HYPERLINK("https://twitter.com/sergio_fajardo","@sergio_fajardo")</f>
        <v>@sergio_fajardo</v>
      </c>
      <c r="C235" s="5" t="s">
        <v>16</v>
      </c>
      <c r="D235" s="5" t="s">
        <v>258</v>
      </c>
      <c r="E235" s="6" t="str">
        <f>HYPERLINK("https://twitter.com/sergio_fajardo/status/1230110926055051264","1230110926055051264")</f>
        <v>1230110926055051264</v>
      </c>
      <c r="F235" s="7" t="s">
        <v>17</v>
      </c>
      <c r="G235" s="7">
        <v>1492547</v>
      </c>
      <c r="H235" s="7">
        <v>355</v>
      </c>
      <c r="I235" s="7">
        <v>61</v>
      </c>
      <c r="J235" s="7">
        <v>0</v>
      </c>
      <c r="K235" s="7" t="s">
        <v>18</v>
      </c>
      <c r="L235" s="8">
        <v>39891.213356481479</v>
      </c>
      <c r="M235" s="9" t="s">
        <v>19</v>
      </c>
      <c r="N235" s="9" t="s">
        <v>22</v>
      </c>
      <c r="O235" s="6" t="str">
        <f>HYPERLINK("https://pbs.twimg.com/profile_images/988971255679324162/jrqiIYf__normal.jpg","View")</f>
        <v>View</v>
      </c>
      <c r="P235" s="7"/>
    </row>
    <row r="236" spans="1:16">
      <c r="A236" s="3">
        <v>43880.792731481481</v>
      </c>
      <c r="B236" s="4" t="str">
        <f>HYPERLINK("https://twitter.com/sergio_fajardo","@sergio_fajardo")</f>
        <v>@sergio_fajardo</v>
      </c>
      <c r="C236" s="5" t="s">
        <v>16</v>
      </c>
      <c r="D236" s="5" t="s">
        <v>259</v>
      </c>
      <c r="E236" s="6" t="str">
        <f>HYPERLINK("https://twitter.com/sergio_fajardo/status/1230122746857840641","1230122746857840641")</f>
        <v>1230122746857840641</v>
      </c>
      <c r="F236" s="7" t="s">
        <v>17</v>
      </c>
      <c r="G236" s="7">
        <v>1492561</v>
      </c>
      <c r="H236" s="7">
        <v>355</v>
      </c>
      <c r="I236" s="7">
        <v>42</v>
      </c>
      <c r="J236" s="7">
        <v>0</v>
      </c>
      <c r="K236" s="7" t="s">
        <v>18</v>
      </c>
      <c r="L236" s="8">
        <v>39891.213356481479</v>
      </c>
      <c r="M236" s="9" t="s">
        <v>19</v>
      </c>
      <c r="N236" s="9" t="s">
        <v>22</v>
      </c>
      <c r="O236" s="6" t="str">
        <f>HYPERLINK("https://pbs.twimg.com/profile_images/988971255679324162/jrqiIYf__normal.jpg","View")</f>
        <v>View</v>
      </c>
      <c r="P236" s="7"/>
    </row>
    <row r="237" spans="1:16">
      <c r="A237" s="3">
        <v>43880.846354166672</v>
      </c>
      <c r="B237" s="4" t="str">
        <f>HYPERLINK("https://twitter.com/sergio_fajardo","@sergio_fajardo")</f>
        <v>@sergio_fajardo</v>
      </c>
      <c r="C237" s="5" t="s">
        <v>16</v>
      </c>
      <c r="D237" s="5" t="s">
        <v>260</v>
      </c>
      <c r="E237" s="6" t="str">
        <f>HYPERLINK("https://twitter.com/sergio_fajardo/status/1230142182457249793","1230142182457249793")</f>
        <v>1230142182457249793</v>
      </c>
      <c r="F237" s="7" t="s">
        <v>20</v>
      </c>
      <c r="G237" s="7">
        <v>1492582</v>
      </c>
      <c r="H237" s="7">
        <v>355</v>
      </c>
      <c r="I237" s="7">
        <v>62</v>
      </c>
      <c r="J237" s="7">
        <v>222</v>
      </c>
      <c r="K237" s="7" t="s">
        <v>18</v>
      </c>
      <c r="L237" s="8">
        <v>39891.213356481479</v>
      </c>
      <c r="M237" s="9" t="s">
        <v>19</v>
      </c>
      <c r="N237" s="9" t="s">
        <v>22</v>
      </c>
      <c r="O237" s="6" t="str">
        <f>HYPERLINK("https://pbs.twimg.com/profile_images/988971255679324162/jrqiIYf__normal.jpg","View")</f>
        <v>View</v>
      </c>
      <c r="P237" s="7"/>
    </row>
    <row r="238" spans="1:16">
      <c r="A238" s="3">
        <v>43881.024652777778</v>
      </c>
      <c r="B238" s="4" t="str">
        <f>HYPERLINK("https://twitter.com/sergio_fajardo","@sergio_fajardo")</f>
        <v>@sergio_fajardo</v>
      </c>
      <c r="C238" s="5" t="s">
        <v>16</v>
      </c>
      <c r="D238" s="5" t="s">
        <v>261</v>
      </c>
      <c r="E238" s="6" t="str">
        <f>HYPERLINK("https://twitter.com/sergio_fajardo/status/1230206795467104257","1230206795467104257")</f>
        <v>1230206795467104257</v>
      </c>
      <c r="F238" s="7" t="s">
        <v>17</v>
      </c>
      <c r="G238" s="7">
        <v>1492639</v>
      </c>
      <c r="H238" s="7">
        <v>355</v>
      </c>
      <c r="I238" s="7">
        <v>106</v>
      </c>
      <c r="J238" s="7">
        <v>0</v>
      </c>
      <c r="K238" s="7" t="s">
        <v>18</v>
      </c>
      <c r="L238" s="8">
        <v>39891.213356481479</v>
      </c>
      <c r="M238" s="9" t="s">
        <v>19</v>
      </c>
      <c r="N238" s="9" t="s">
        <v>22</v>
      </c>
      <c r="O238" s="6" t="str">
        <f>HYPERLINK("https://pbs.twimg.com/profile_images/988971255679324162/jrqiIYf__normal.jpg","View")</f>
        <v>View</v>
      </c>
      <c r="P238" s="7"/>
    </row>
    <row r="239" spans="1:16">
      <c r="A239" s="3">
        <v>43881.046655092592</v>
      </c>
      <c r="B239" s="4" t="str">
        <f>HYPERLINK("https://twitter.com/sergio_fajardo","@sergio_fajardo")</f>
        <v>@sergio_fajardo</v>
      </c>
      <c r="C239" s="5" t="s">
        <v>16</v>
      </c>
      <c r="D239" s="5" t="s">
        <v>262</v>
      </c>
      <c r="E239" s="6" t="str">
        <f>HYPERLINK("https://twitter.com/sergio_fajardo/status/1230214768646066177","1230214768646066177")</f>
        <v>1230214768646066177</v>
      </c>
      <c r="F239" s="7" t="s">
        <v>17</v>
      </c>
      <c r="G239" s="7">
        <v>1492624</v>
      </c>
      <c r="H239" s="7">
        <v>355</v>
      </c>
      <c r="I239" s="7">
        <v>8</v>
      </c>
      <c r="J239" s="7">
        <v>24</v>
      </c>
      <c r="K239" s="7" t="s">
        <v>18</v>
      </c>
      <c r="L239" s="8">
        <v>39891.213356481479</v>
      </c>
      <c r="M239" s="9" t="s">
        <v>19</v>
      </c>
      <c r="N239" s="9" t="s">
        <v>22</v>
      </c>
      <c r="O239" s="6" t="str">
        <f>HYPERLINK("https://pbs.twimg.com/profile_images/988971255679324162/jrqiIYf__normal.jpg","View")</f>
        <v>View</v>
      </c>
      <c r="P239" s="7"/>
    </row>
    <row r="240" spans="1:16">
      <c r="A240" s="3">
        <v>43881.058449074073</v>
      </c>
      <c r="B240" s="4" t="str">
        <f>HYPERLINK("https://twitter.com/sergio_fajardo","@sergio_fajardo")</f>
        <v>@sergio_fajardo</v>
      </c>
      <c r="C240" s="5" t="s">
        <v>16</v>
      </c>
      <c r="D240" s="5" t="s">
        <v>263</v>
      </c>
      <c r="E240" s="6" t="str">
        <f>HYPERLINK("https://twitter.com/sergio_fajardo/status/1230219039630336000","1230219039630336000")</f>
        <v>1230219039630336000</v>
      </c>
      <c r="F240" s="7" t="s">
        <v>17</v>
      </c>
      <c r="G240" s="7">
        <v>1492635</v>
      </c>
      <c r="H240" s="7">
        <v>355</v>
      </c>
      <c r="I240" s="7">
        <v>351</v>
      </c>
      <c r="J240" s="7">
        <v>0</v>
      </c>
      <c r="K240" s="7" t="s">
        <v>18</v>
      </c>
      <c r="L240" s="8">
        <v>39891.213356481479</v>
      </c>
      <c r="M240" s="9" t="s">
        <v>19</v>
      </c>
      <c r="N240" s="9" t="s">
        <v>22</v>
      </c>
      <c r="O240" s="6" t="str">
        <f>HYPERLINK("https://pbs.twimg.com/profile_images/988971255679324162/jrqiIYf__normal.jpg","View")</f>
        <v>View</v>
      </c>
      <c r="P240" s="7"/>
    </row>
    <row r="241" spans="1:16">
      <c r="A241" s="3">
        <v>43881.066388888888</v>
      </c>
      <c r="B241" s="4" t="str">
        <f>HYPERLINK("https://twitter.com/sergio_fajardo","@sergio_fajardo")</f>
        <v>@sergio_fajardo</v>
      </c>
      <c r="C241" s="5" t="s">
        <v>16</v>
      </c>
      <c r="D241" s="5" t="s">
        <v>264</v>
      </c>
      <c r="E241" s="6" t="str">
        <f>HYPERLINK("https://twitter.com/sergio_fajardo/status/1230221916855771136","1230221916855771136")</f>
        <v>1230221916855771136</v>
      </c>
      <c r="F241" s="7" t="s">
        <v>17</v>
      </c>
      <c r="G241" s="7">
        <v>1492635</v>
      </c>
      <c r="H241" s="7">
        <v>355</v>
      </c>
      <c r="I241" s="7">
        <v>844</v>
      </c>
      <c r="J241" s="7">
        <v>0</v>
      </c>
      <c r="K241" s="7" t="s">
        <v>18</v>
      </c>
      <c r="L241" s="8">
        <v>39891.213356481479</v>
      </c>
      <c r="M241" s="9" t="s">
        <v>19</v>
      </c>
      <c r="N241" s="9" t="s">
        <v>22</v>
      </c>
      <c r="O241" s="6" t="str">
        <f>HYPERLINK("https://pbs.twimg.com/profile_images/988971255679324162/jrqiIYf__normal.jpg","View")</f>
        <v>View</v>
      </c>
      <c r="P241" s="7"/>
    </row>
    <row r="242" spans="1:16">
      <c r="A242" s="3">
        <v>43881.360324074078</v>
      </c>
      <c r="B242" s="4" t="str">
        <f>HYPERLINK("https://twitter.com/sergio_fajardo","@sergio_fajardo")</f>
        <v>@sergio_fajardo</v>
      </c>
      <c r="C242" s="5" t="s">
        <v>16</v>
      </c>
      <c r="D242" s="5" t="s">
        <v>265</v>
      </c>
      <c r="E242" s="6" t="str">
        <f>HYPERLINK("https://twitter.com/sergio_fajardo/status/1230328438977892362","1230328438977892362")</f>
        <v>1230328438977892362</v>
      </c>
      <c r="F242" s="7" t="s">
        <v>17</v>
      </c>
      <c r="G242" s="7">
        <v>1492748</v>
      </c>
      <c r="H242" s="7">
        <v>355</v>
      </c>
      <c r="I242" s="7">
        <v>3</v>
      </c>
      <c r="J242" s="7">
        <v>0</v>
      </c>
      <c r="K242" s="7" t="s">
        <v>18</v>
      </c>
      <c r="L242" s="8">
        <v>39891.213356481479</v>
      </c>
      <c r="M242" s="9" t="s">
        <v>19</v>
      </c>
      <c r="N242" s="9" t="s">
        <v>22</v>
      </c>
      <c r="O242" s="6" t="str">
        <f>HYPERLINK("https://pbs.twimg.com/profile_images/988971255679324162/jrqiIYf__normal.jpg","View")</f>
        <v>View</v>
      </c>
      <c r="P242" s="7"/>
    </row>
    <row r="243" spans="1:16">
      <c r="A243" s="3">
        <v>43881.365868055553</v>
      </c>
      <c r="B243" s="4" t="str">
        <f>HYPERLINK("https://twitter.com/sergio_fajardo","@sergio_fajardo")</f>
        <v>@sergio_fajardo</v>
      </c>
      <c r="C243" s="5" t="s">
        <v>16</v>
      </c>
      <c r="D243" s="5" t="s">
        <v>266</v>
      </c>
      <c r="E243" s="6" t="str">
        <f>HYPERLINK("https://twitter.com/sergio_fajardo/status/1230330447130963969","1230330447130963969")</f>
        <v>1230330447130963969</v>
      </c>
      <c r="F243" s="7" t="s">
        <v>17</v>
      </c>
      <c r="G243" s="7">
        <v>1492748</v>
      </c>
      <c r="H243" s="7">
        <v>355</v>
      </c>
      <c r="I243" s="7">
        <v>5</v>
      </c>
      <c r="J243" s="7">
        <v>0</v>
      </c>
      <c r="K243" s="7" t="s">
        <v>18</v>
      </c>
      <c r="L243" s="8">
        <v>39891.213356481479</v>
      </c>
      <c r="M243" s="9" t="s">
        <v>19</v>
      </c>
      <c r="N243" s="9" t="s">
        <v>22</v>
      </c>
      <c r="O243" s="6" t="str">
        <f>HYPERLINK("https://pbs.twimg.com/profile_images/988971255679324162/jrqiIYf__normal.jpg","View")</f>
        <v>View</v>
      </c>
      <c r="P243" s="7"/>
    </row>
    <row r="244" spans="1:16">
      <c r="A244" s="3">
        <v>43881.771898148145</v>
      </c>
      <c r="B244" s="4" t="str">
        <f>HYPERLINK("https://twitter.com/sergio_fajardo","@sergio_fajardo")</f>
        <v>@sergio_fajardo</v>
      </c>
      <c r="C244" s="5" t="s">
        <v>16</v>
      </c>
      <c r="D244" s="5" t="s">
        <v>267</v>
      </c>
      <c r="E244" s="6" t="str">
        <f>HYPERLINK("https://twitter.com/sergio_fajardo/status/1230477586452578305","1230477586452578305")</f>
        <v>1230477586452578305</v>
      </c>
      <c r="F244" s="7" t="s">
        <v>20</v>
      </c>
      <c r="G244" s="7">
        <v>1492777</v>
      </c>
      <c r="H244" s="7">
        <v>355</v>
      </c>
      <c r="I244" s="7">
        <v>5</v>
      </c>
      <c r="J244" s="7">
        <v>28</v>
      </c>
      <c r="K244" s="7" t="s">
        <v>18</v>
      </c>
      <c r="L244" s="8">
        <v>39891.213356481479</v>
      </c>
      <c r="M244" s="9" t="s">
        <v>19</v>
      </c>
      <c r="N244" s="9" t="s">
        <v>22</v>
      </c>
      <c r="O244" s="6" t="str">
        <f>HYPERLINK("https://pbs.twimg.com/profile_images/988971255679324162/jrqiIYf__normal.jpg","View")</f>
        <v>View</v>
      </c>
      <c r="P244" s="7"/>
    </row>
    <row r="245" spans="1:16">
      <c r="A245" s="3">
        <v>43881.915277777778</v>
      </c>
      <c r="B245" s="4" t="str">
        <f>HYPERLINK("https://twitter.com/sergio_fajardo","@sergio_fajardo")</f>
        <v>@sergio_fajardo</v>
      </c>
      <c r="C245" s="5" t="s">
        <v>16</v>
      </c>
      <c r="D245" s="5" t="s">
        <v>268</v>
      </c>
      <c r="E245" s="6" t="str">
        <f>HYPERLINK("https://twitter.com/sergio_fajardo/status/1230529544987254789","1230529544987254789")</f>
        <v>1230529544987254789</v>
      </c>
      <c r="F245" s="7" t="s">
        <v>17</v>
      </c>
      <c r="G245" s="7">
        <v>1492823</v>
      </c>
      <c r="H245" s="7">
        <v>355</v>
      </c>
      <c r="I245" s="7">
        <v>57</v>
      </c>
      <c r="J245" s="7">
        <v>0</v>
      </c>
      <c r="K245" s="7" t="s">
        <v>18</v>
      </c>
      <c r="L245" s="8">
        <v>39891.213356481479</v>
      </c>
      <c r="M245" s="9" t="s">
        <v>19</v>
      </c>
      <c r="N245" s="9" t="s">
        <v>22</v>
      </c>
      <c r="O245" s="6" t="str">
        <f>HYPERLINK("https://pbs.twimg.com/profile_images/988971255679324162/jrqiIYf__normal.jpg","View")</f>
        <v>View</v>
      </c>
      <c r="P245" s="7"/>
    </row>
    <row r="246" spans="1:16">
      <c r="A246" s="3">
        <v>43882.225416666668</v>
      </c>
      <c r="B246" s="4" t="str">
        <f>HYPERLINK("https://twitter.com/sergio_fajardo","@sergio_fajardo")</f>
        <v>@sergio_fajardo</v>
      </c>
      <c r="C246" s="5" t="s">
        <v>16</v>
      </c>
      <c r="D246" s="5" t="s">
        <v>269</v>
      </c>
      <c r="E246" s="6" t="str">
        <f>HYPERLINK("https://twitter.com/sergio_fajardo/status/1230641936668729352","1230641936668729352")</f>
        <v>1230641936668729352</v>
      </c>
      <c r="F246" s="7" t="s">
        <v>17</v>
      </c>
      <c r="G246" s="7">
        <v>1492905</v>
      </c>
      <c r="H246" s="7">
        <v>355</v>
      </c>
      <c r="I246" s="7">
        <v>13</v>
      </c>
      <c r="J246" s="7">
        <v>0</v>
      </c>
      <c r="K246" s="7" t="s">
        <v>18</v>
      </c>
      <c r="L246" s="8">
        <v>39891.213356481479</v>
      </c>
      <c r="M246" s="9" t="s">
        <v>19</v>
      </c>
      <c r="N246" s="9" t="s">
        <v>22</v>
      </c>
      <c r="O246" s="6" t="str">
        <f>HYPERLINK("https://pbs.twimg.com/profile_images/988971255679324162/jrqiIYf__normal.jpg","View")</f>
        <v>View</v>
      </c>
      <c r="P246" s="7"/>
    </row>
    <row r="247" spans="1:16">
      <c r="A247" s="3">
        <v>43882.701817129629</v>
      </c>
      <c r="B247" s="4" t="str">
        <f>HYPERLINK("https://twitter.com/sergio_fajardo","@sergio_fajardo")</f>
        <v>@sergio_fajardo</v>
      </c>
      <c r="C247" s="5" t="s">
        <v>16</v>
      </c>
      <c r="D247" s="5" t="s">
        <v>270</v>
      </c>
      <c r="E247" s="6" t="str">
        <f>HYPERLINK("https://twitter.com/sergio_fajardo/status/1230814576024879105","1230814576024879105")</f>
        <v>1230814576024879105</v>
      </c>
      <c r="F247" s="7" t="s">
        <v>20</v>
      </c>
      <c r="G247" s="7">
        <v>1492954</v>
      </c>
      <c r="H247" s="7">
        <v>355</v>
      </c>
      <c r="I247" s="7">
        <v>26</v>
      </c>
      <c r="J247" s="7">
        <v>131</v>
      </c>
      <c r="K247" s="7" t="s">
        <v>18</v>
      </c>
      <c r="L247" s="8">
        <v>39891.213356481479</v>
      </c>
      <c r="M247" s="9" t="s">
        <v>19</v>
      </c>
      <c r="N247" s="9" t="s">
        <v>22</v>
      </c>
      <c r="O247" s="6" t="str">
        <f>HYPERLINK("https://pbs.twimg.com/profile_images/988971255679324162/jrqiIYf__normal.jpg","View")</f>
        <v>View</v>
      </c>
      <c r="P247" s="7"/>
    </row>
    <row r="248" spans="1:16">
      <c r="A248" s="3">
        <v>43882.74722222222</v>
      </c>
      <c r="B248" s="4" t="str">
        <f>HYPERLINK("https://twitter.com/sergio_fajardo","@sergio_fajardo")</f>
        <v>@sergio_fajardo</v>
      </c>
      <c r="C248" s="5" t="s">
        <v>16</v>
      </c>
      <c r="D248" s="5" t="s">
        <v>271</v>
      </c>
      <c r="E248" s="6" t="str">
        <f>HYPERLINK("https://twitter.com/sergio_fajardo/status/1230831032808738819","1230831032808738819")</f>
        <v>1230831032808738819</v>
      </c>
      <c r="F248" s="7" t="s">
        <v>20</v>
      </c>
      <c r="G248" s="7">
        <v>1492963</v>
      </c>
      <c r="H248" s="7">
        <v>355</v>
      </c>
      <c r="I248" s="7">
        <v>12</v>
      </c>
      <c r="J248" s="7">
        <v>71</v>
      </c>
      <c r="K248" s="7" t="s">
        <v>18</v>
      </c>
      <c r="L248" s="8">
        <v>39891.213356481479</v>
      </c>
      <c r="M248" s="9" t="s">
        <v>19</v>
      </c>
      <c r="N248" s="9" t="s">
        <v>22</v>
      </c>
      <c r="O248" s="6" t="str">
        <f>HYPERLINK("https://pbs.twimg.com/profile_images/988971255679324162/jrqiIYf__normal.jpg","View")</f>
        <v>View</v>
      </c>
      <c r="P248" s="7"/>
    </row>
    <row r="249" spans="1:16">
      <c r="A249" s="3">
        <v>43883.202581018515</v>
      </c>
      <c r="B249" s="4" t="str">
        <f>HYPERLINK("https://twitter.com/sergio_fajardo","@sergio_fajardo")</f>
        <v>@sergio_fajardo</v>
      </c>
      <c r="C249" s="5" t="s">
        <v>16</v>
      </c>
      <c r="D249" s="5" t="s">
        <v>272</v>
      </c>
      <c r="E249" s="6" t="str">
        <f>HYPERLINK("https://twitter.com/sergio_fajardo/status/1230996049520726021","1230996049520726021")</f>
        <v>1230996049520726021</v>
      </c>
      <c r="F249" s="7" t="s">
        <v>17</v>
      </c>
      <c r="G249" s="7">
        <v>1493079</v>
      </c>
      <c r="H249" s="7">
        <v>357</v>
      </c>
      <c r="I249" s="7">
        <v>23</v>
      </c>
      <c r="J249" s="7">
        <v>0</v>
      </c>
      <c r="K249" s="7" t="s">
        <v>18</v>
      </c>
      <c r="L249" s="8">
        <v>39891.213356481479</v>
      </c>
      <c r="M249" s="9" t="s">
        <v>19</v>
      </c>
      <c r="N249" s="9" t="s">
        <v>22</v>
      </c>
      <c r="O249" s="6" t="str">
        <f>HYPERLINK("https://pbs.twimg.com/profile_images/988971255679324162/jrqiIYf__normal.jpg","View")</f>
        <v>View</v>
      </c>
      <c r="P249" s="7"/>
    </row>
    <row r="250" spans="1:16">
      <c r="A250" s="3">
        <v>43883.384652777779</v>
      </c>
      <c r="B250" s="4" t="str">
        <f>HYPERLINK("https://twitter.com/sergio_fajardo","@sergio_fajardo")</f>
        <v>@sergio_fajardo</v>
      </c>
      <c r="C250" s="5" t="s">
        <v>16</v>
      </c>
      <c r="D250" s="5" t="s">
        <v>273</v>
      </c>
      <c r="E250" s="6" t="str">
        <f>HYPERLINK("https://twitter.com/sergio_fajardo/status/1231062029185802241","1231062029185802241")</f>
        <v>1231062029185802241</v>
      </c>
      <c r="F250" s="7" t="s">
        <v>17</v>
      </c>
      <c r="G250" s="7">
        <v>1493110</v>
      </c>
      <c r="H250" s="7">
        <v>357</v>
      </c>
      <c r="I250" s="7">
        <v>1028</v>
      </c>
      <c r="J250" s="7">
        <v>0</v>
      </c>
      <c r="K250" s="7" t="s">
        <v>18</v>
      </c>
      <c r="L250" s="8">
        <v>39891.213356481479</v>
      </c>
      <c r="M250" s="9" t="s">
        <v>19</v>
      </c>
      <c r="N250" s="9" t="s">
        <v>22</v>
      </c>
      <c r="O250" s="6" t="str">
        <f>HYPERLINK("https://pbs.twimg.com/profile_images/988971255679324162/jrqiIYf__normal.jpg","View")</f>
        <v>View</v>
      </c>
      <c r="P250" s="7"/>
    </row>
    <row r="251" spans="1:16">
      <c r="A251" s="3">
        <v>43883.764050925922</v>
      </c>
      <c r="B251" s="4" t="str">
        <f>HYPERLINK("https://twitter.com/sergio_fajardo","@sergio_fajardo")</f>
        <v>@sergio_fajardo</v>
      </c>
      <c r="C251" s="5" t="s">
        <v>16</v>
      </c>
      <c r="D251" s="5" t="s">
        <v>274</v>
      </c>
      <c r="E251" s="6" t="str">
        <f>HYPERLINK("https://twitter.com/sergio_fajardo/status/1231199519242584064","1231199519242584064")</f>
        <v>1231199519242584064</v>
      </c>
      <c r="F251" s="7" t="s">
        <v>20</v>
      </c>
      <c r="G251" s="7">
        <v>1493118</v>
      </c>
      <c r="H251" s="7">
        <v>357</v>
      </c>
      <c r="I251" s="7">
        <v>8</v>
      </c>
      <c r="J251" s="7">
        <v>45</v>
      </c>
      <c r="K251" s="7" t="s">
        <v>18</v>
      </c>
      <c r="L251" s="8">
        <v>39891.213356481479</v>
      </c>
      <c r="M251" s="9" t="s">
        <v>19</v>
      </c>
      <c r="N251" s="9" t="s">
        <v>22</v>
      </c>
      <c r="O251" s="6" t="str">
        <f>HYPERLINK("https://pbs.twimg.com/profile_images/988971255679324162/jrqiIYf__normal.jpg","View")</f>
        <v>View</v>
      </c>
      <c r="P251" s="7"/>
    </row>
    <row r="252" spans="1:16">
      <c r="A252" s="3">
        <v>43884.237407407403</v>
      </c>
      <c r="B252" s="4" t="str">
        <f>HYPERLINK("https://twitter.com/sergio_fajardo","@sergio_fajardo")</f>
        <v>@sergio_fajardo</v>
      </c>
      <c r="C252" s="5" t="s">
        <v>16</v>
      </c>
      <c r="D252" s="5" t="s">
        <v>275</v>
      </c>
      <c r="E252" s="6" t="str">
        <f>HYPERLINK("https://twitter.com/sergio_fajardo/status/1231371059015929858","1231371059015929858")</f>
        <v>1231371059015929858</v>
      </c>
      <c r="F252" s="7" t="s">
        <v>17</v>
      </c>
      <c r="G252" s="7">
        <v>1493212</v>
      </c>
      <c r="H252" s="7">
        <v>357</v>
      </c>
      <c r="I252" s="7">
        <v>5</v>
      </c>
      <c r="J252" s="7">
        <v>0</v>
      </c>
      <c r="K252" s="7" t="s">
        <v>18</v>
      </c>
      <c r="L252" s="8">
        <v>39891.213356481479</v>
      </c>
      <c r="M252" s="9" t="s">
        <v>19</v>
      </c>
      <c r="N252" s="9" t="s">
        <v>22</v>
      </c>
      <c r="O252" s="6" t="str">
        <f>HYPERLINK("https://pbs.twimg.com/profile_images/988971255679324162/jrqiIYf__normal.jpg","View")</f>
        <v>View</v>
      </c>
      <c r="P252" s="7"/>
    </row>
    <row r="253" spans="1:16">
      <c r="A253" s="3">
        <v>43884.238009259258</v>
      </c>
      <c r="B253" s="4" t="str">
        <f>HYPERLINK("https://twitter.com/sergio_fajardo","@sergio_fajardo")</f>
        <v>@sergio_fajardo</v>
      </c>
      <c r="C253" s="5" t="s">
        <v>16</v>
      </c>
      <c r="D253" s="5" t="s">
        <v>276</v>
      </c>
      <c r="E253" s="6" t="str">
        <f>HYPERLINK("https://twitter.com/sergio_fajardo/status/1231371274666024960","1231371274666024960")</f>
        <v>1231371274666024960</v>
      </c>
      <c r="F253" s="7" t="s">
        <v>17</v>
      </c>
      <c r="G253" s="7">
        <v>1493212</v>
      </c>
      <c r="H253" s="7">
        <v>357</v>
      </c>
      <c r="I253" s="7">
        <v>443</v>
      </c>
      <c r="J253" s="7">
        <v>0</v>
      </c>
      <c r="K253" s="7" t="s">
        <v>18</v>
      </c>
      <c r="L253" s="8">
        <v>39891.213356481479</v>
      </c>
      <c r="M253" s="9" t="s">
        <v>19</v>
      </c>
      <c r="N253" s="9" t="s">
        <v>22</v>
      </c>
      <c r="O253" s="6" t="str">
        <f>HYPERLINK("https://pbs.twimg.com/profile_images/988971255679324162/jrqiIYf__normal.jpg","View")</f>
        <v>View</v>
      </c>
      <c r="P253" s="7"/>
    </row>
    <row r="254" spans="1:16">
      <c r="A254" s="3">
        <v>43884.458437499998</v>
      </c>
      <c r="B254" s="4" t="str">
        <f>HYPERLINK("https://twitter.com/sergio_fajardo","@sergio_fajardo")</f>
        <v>@sergio_fajardo</v>
      </c>
      <c r="C254" s="5" t="s">
        <v>16</v>
      </c>
      <c r="D254" s="5" t="s">
        <v>277</v>
      </c>
      <c r="E254" s="6" t="str">
        <f>HYPERLINK("https://twitter.com/sergio_fajardo/status/1231451156762841089","1231451156762841089")</f>
        <v>1231451156762841089</v>
      </c>
      <c r="F254" s="7" t="s">
        <v>17</v>
      </c>
      <c r="G254" s="7">
        <v>1493226</v>
      </c>
      <c r="H254" s="7">
        <v>357</v>
      </c>
      <c r="I254" s="7">
        <v>2</v>
      </c>
      <c r="J254" s="7">
        <v>5</v>
      </c>
      <c r="K254" s="7" t="s">
        <v>18</v>
      </c>
      <c r="L254" s="8">
        <v>39891.213356481479</v>
      </c>
      <c r="M254" s="9" t="s">
        <v>19</v>
      </c>
      <c r="N254" s="9" t="s">
        <v>22</v>
      </c>
      <c r="O254" s="6" t="str">
        <f>HYPERLINK("https://pbs.twimg.com/profile_images/988971255679324162/jrqiIYf__normal.jpg","View")</f>
        <v>View</v>
      </c>
      <c r="P254" s="7"/>
    </row>
    <row r="255" spans="1:16">
      <c r="A255" s="3">
        <v>43884.464236111111</v>
      </c>
      <c r="B255" s="4" t="str">
        <f>HYPERLINK("https://twitter.com/sergio_fajardo","@sergio_fajardo")</f>
        <v>@sergio_fajardo</v>
      </c>
      <c r="C255" s="5" t="s">
        <v>16</v>
      </c>
      <c r="D255" s="5" t="s">
        <v>278</v>
      </c>
      <c r="E255" s="6" t="str">
        <f>HYPERLINK("https://twitter.com/sergio_fajardo/status/1231453258058694658","1231453258058694658")</f>
        <v>1231453258058694658</v>
      </c>
      <c r="F255" s="7" t="s">
        <v>17</v>
      </c>
      <c r="G255" s="7">
        <v>1493226</v>
      </c>
      <c r="H255" s="7">
        <v>357</v>
      </c>
      <c r="I255" s="7">
        <v>9</v>
      </c>
      <c r="J255" s="7">
        <v>0</v>
      </c>
      <c r="K255" s="7" t="s">
        <v>18</v>
      </c>
      <c r="L255" s="8">
        <v>39891.213356481479</v>
      </c>
      <c r="M255" s="9" t="s">
        <v>19</v>
      </c>
      <c r="N255" s="9" t="s">
        <v>22</v>
      </c>
      <c r="O255" s="6" t="str">
        <f>HYPERLINK("https://pbs.twimg.com/profile_images/988971255679324162/jrqiIYf__normal.jpg","View")</f>
        <v>View</v>
      </c>
      <c r="P255" s="7"/>
    </row>
    <row r="256" spans="1:16">
      <c r="A256" s="3">
        <v>43884.464675925927</v>
      </c>
      <c r="B256" s="4" t="str">
        <f>HYPERLINK("https://twitter.com/sergio_fajardo","@sergio_fajardo")</f>
        <v>@sergio_fajardo</v>
      </c>
      <c r="C256" s="5" t="s">
        <v>16</v>
      </c>
      <c r="D256" s="5" t="s">
        <v>279</v>
      </c>
      <c r="E256" s="6" t="str">
        <f>HYPERLINK("https://twitter.com/sergio_fajardo/status/1231453415315771392","1231453415315771392")</f>
        <v>1231453415315771392</v>
      </c>
      <c r="F256" s="7" t="s">
        <v>17</v>
      </c>
      <c r="G256" s="7">
        <v>1493226</v>
      </c>
      <c r="H256" s="7">
        <v>357</v>
      </c>
      <c r="I256" s="7">
        <v>474</v>
      </c>
      <c r="J256" s="7">
        <v>0</v>
      </c>
      <c r="K256" s="7" t="s">
        <v>18</v>
      </c>
      <c r="L256" s="8">
        <v>39891.213356481479</v>
      </c>
      <c r="M256" s="9" t="s">
        <v>19</v>
      </c>
      <c r="N256" s="9" t="s">
        <v>22</v>
      </c>
      <c r="O256" s="6" t="str">
        <f>HYPERLINK("https://pbs.twimg.com/profile_images/988971255679324162/jrqiIYf__normal.jpg","View")</f>
        <v>View</v>
      </c>
      <c r="P256" s="7"/>
    </row>
    <row r="257" spans="1:16">
      <c r="A257" s="3">
        <v>43884.464884259258</v>
      </c>
      <c r="B257" s="4" t="str">
        <f>HYPERLINK("https://twitter.com/sergio_fajardo","@sergio_fajardo")</f>
        <v>@sergio_fajardo</v>
      </c>
      <c r="C257" s="5" t="s">
        <v>16</v>
      </c>
      <c r="D257" s="5" t="s">
        <v>280</v>
      </c>
      <c r="E257" s="6" t="str">
        <f>HYPERLINK("https://twitter.com/sergio_fajardo/status/1231453490641350656","1231453490641350656")</f>
        <v>1231453490641350656</v>
      </c>
      <c r="F257" s="7" t="s">
        <v>17</v>
      </c>
      <c r="G257" s="7">
        <v>1493226</v>
      </c>
      <c r="H257" s="7">
        <v>357</v>
      </c>
      <c r="I257" s="7">
        <v>8</v>
      </c>
      <c r="J257" s="7">
        <v>0</v>
      </c>
      <c r="K257" s="7" t="s">
        <v>18</v>
      </c>
      <c r="L257" s="8">
        <v>39891.213356481479</v>
      </c>
      <c r="M257" s="9" t="s">
        <v>19</v>
      </c>
      <c r="N257" s="9" t="s">
        <v>22</v>
      </c>
      <c r="O257" s="6" t="str">
        <f>HYPERLINK("https://pbs.twimg.com/profile_images/988971255679324162/jrqiIYf__normal.jpg","View")</f>
        <v>View</v>
      </c>
      <c r="P257" s="7"/>
    </row>
    <row r="258" spans="1:16">
      <c r="A258" s="3">
        <v>43884.465555555551</v>
      </c>
      <c r="B258" s="4" t="str">
        <f>HYPERLINK("https://twitter.com/sergio_fajardo","@sergio_fajardo")</f>
        <v>@sergio_fajardo</v>
      </c>
      <c r="C258" s="5" t="s">
        <v>16</v>
      </c>
      <c r="D258" s="5" t="s">
        <v>281</v>
      </c>
      <c r="E258" s="6" t="str">
        <f>HYPERLINK("https://twitter.com/sergio_fajardo/status/1231453734410096640","1231453734410096640")</f>
        <v>1231453734410096640</v>
      </c>
      <c r="F258" s="7" t="s">
        <v>17</v>
      </c>
      <c r="G258" s="7">
        <v>1493226</v>
      </c>
      <c r="H258" s="7">
        <v>357</v>
      </c>
      <c r="I258" s="7">
        <v>26</v>
      </c>
      <c r="J258" s="7">
        <v>0</v>
      </c>
      <c r="K258" s="7" t="s">
        <v>18</v>
      </c>
      <c r="L258" s="8">
        <v>39891.213356481479</v>
      </c>
      <c r="M258" s="9" t="s">
        <v>19</v>
      </c>
      <c r="N258" s="9" t="s">
        <v>22</v>
      </c>
      <c r="O258" s="6" t="str">
        <f>HYPERLINK("https://pbs.twimg.com/profile_images/988971255679324162/jrqiIYf__normal.jpg","View")</f>
        <v>View</v>
      </c>
      <c r="P258" s="7"/>
    </row>
    <row r="259" spans="1:16">
      <c r="A259" s="3">
        <v>43884.747407407413</v>
      </c>
      <c r="B259" s="4" t="str">
        <f>HYPERLINK("https://twitter.com/sergio_fajardo","@sergio_fajardo")</f>
        <v>@sergio_fajardo</v>
      </c>
      <c r="C259" s="5" t="s">
        <v>16</v>
      </c>
      <c r="D259" s="5" t="s">
        <v>282</v>
      </c>
      <c r="E259" s="6" t="str">
        <f>HYPERLINK("https://twitter.com/sergio_fajardo/status/1231555875380264960","1231555875380264960")</f>
        <v>1231555875380264960</v>
      </c>
      <c r="F259" s="7" t="s">
        <v>23</v>
      </c>
      <c r="G259" s="7">
        <v>1493236</v>
      </c>
      <c r="H259" s="7">
        <v>357</v>
      </c>
      <c r="I259" s="7">
        <v>4</v>
      </c>
      <c r="J259" s="7">
        <v>19</v>
      </c>
      <c r="K259" s="7" t="s">
        <v>18</v>
      </c>
      <c r="L259" s="8">
        <v>39891.213356481479</v>
      </c>
      <c r="M259" s="9" t="s">
        <v>19</v>
      </c>
      <c r="N259" s="9" t="s">
        <v>22</v>
      </c>
      <c r="O259" s="6" t="str">
        <f>HYPERLINK("https://pbs.twimg.com/profile_images/988971255679324162/jrqiIYf__normal.jpg","View")</f>
        <v>View</v>
      </c>
      <c r="P259" s="7"/>
    </row>
    <row r="260" spans="1:16">
      <c r="A260" s="3">
        <v>43884.840347222227</v>
      </c>
      <c r="B260" s="4" t="str">
        <f>HYPERLINK("https://twitter.com/sergio_fajardo","@sergio_fajardo")</f>
        <v>@sergio_fajardo</v>
      </c>
      <c r="C260" s="5" t="s">
        <v>16</v>
      </c>
      <c r="D260" s="5" t="s">
        <v>283</v>
      </c>
      <c r="E260" s="6" t="str">
        <f>HYPERLINK("https://twitter.com/sergio_fajardo/status/1231589557033951236","1231589557033951236")</f>
        <v>1231589557033951236</v>
      </c>
      <c r="F260" s="7" t="s">
        <v>17</v>
      </c>
      <c r="G260" s="7">
        <v>1493261</v>
      </c>
      <c r="H260" s="7">
        <v>357</v>
      </c>
      <c r="I260" s="7">
        <v>8</v>
      </c>
      <c r="J260" s="7">
        <v>0</v>
      </c>
      <c r="K260" s="7" t="s">
        <v>18</v>
      </c>
      <c r="L260" s="8">
        <v>39891.213356481479</v>
      </c>
      <c r="M260" s="9" t="s">
        <v>19</v>
      </c>
      <c r="N260" s="9" t="s">
        <v>22</v>
      </c>
      <c r="O260" s="6" t="str">
        <f>HYPERLINK("https://pbs.twimg.com/profile_images/988971255679324162/jrqiIYf__normal.jpg","View")</f>
        <v>View</v>
      </c>
      <c r="P260" s="7"/>
    </row>
    <row r="261" spans="1:16">
      <c r="A261" s="3">
        <v>43884.935092592597</v>
      </c>
      <c r="B261" s="4" t="str">
        <f>HYPERLINK("https://twitter.com/sergio_fajardo","@sergio_fajardo")</f>
        <v>@sergio_fajardo</v>
      </c>
      <c r="C261" s="5" t="s">
        <v>16</v>
      </c>
      <c r="D261" s="5" t="s">
        <v>284</v>
      </c>
      <c r="E261" s="6" t="str">
        <f>HYPERLINK("https://twitter.com/sergio_fajardo/status/1231623891396825091","1231623891396825091")</f>
        <v>1231623891396825091</v>
      </c>
      <c r="F261" s="7" t="s">
        <v>17</v>
      </c>
      <c r="G261" s="7">
        <v>1493275</v>
      </c>
      <c r="H261" s="7">
        <v>357</v>
      </c>
      <c r="I261" s="7">
        <v>1</v>
      </c>
      <c r="J261" s="7">
        <v>5</v>
      </c>
      <c r="K261" s="7" t="s">
        <v>18</v>
      </c>
      <c r="L261" s="8">
        <v>39891.213356481479</v>
      </c>
      <c r="M261" s="9" t="s">
        <v>19</v>
      </c>
      <c r="N261" s="9" t="s">
        <v>22</v>
      </c>
      <c r="O261" s="6" t="str">
        <f>HYPERLINK("https://pbs.twimg.com/profile_images/988971255679324162/jrqiIYf__normal.jpg","View")</f>
        <v>View</v>
      </c>
      <c r="P261" s="7"/>
    </row>
    <row r="262" spans="1:16">
      <c r="A262" s="3">
        <v>43885.108587962968</v>
      </c>
      <c r="B262" s="4" t="str">
        <f>HYPERLINK("https://twitter.com/sergio_fajardo","@sergio_fajardo")</f>
        <v>@sergio_fajardo</v>
      </c>
      <c r="C262" s="5" t="s">
        <v>16</v>
      </c>
      <c r="D262" s="5" t="s">
        <v>285</v>
      </c>
      <c r="E262" s="6" t="str">
        <f>HYPERLINK("https://twitter.com/sergio_fajardo/status/1231686762541568001","1231686762541568001")</f>
        <v>1231686762541568001</v>
      </c>
      <c r="F262" s="7" t="s">
        <v>23</v>
      </c>
      <c r="G262" s="7">
        <v>1493295</v>
      </c>
      <c r="H262" s="7">
        <v>357</v>
      </c>
      <c r="I262" s="7">
        <v>4</v>
      </c>
      <c r="J262" s="7">
        <v>10</v>
      </c>
      <c r="K262" s="7" t="s">
        <v>18</v>
      </c>
      <c r="L262" s="8">
        <v>39891.213356481479</v>
      </c>
      <c r="M262" s="9" t="s">
        <v>19</v>
      </c>
      <c r="N262" s="9" t="s">
        <v>22</v>
      </c>
      <c r="O262" s="6" t="str">
        <f>HYPERLINK("https://pbs.twimg.com/profile_images/988971255679324162/jrqiIYf__normal.jpg","View")</f>
        <v>View</v>
      </c>
      <c r="P262" s="7"/>
    </row>
    <row r="263" spans="1:16">
      <c r="A263" s="3">
        <v>43885.267152777778</v>
      </c>
      <c r="B263" s="4" t="str">
        <f>HYPERLINK("https://twitter.com/sergio_fajardo","@sergio_fajardo")</f>
        <v>@sergio_fajardo</v>
      </c>
      <c r="C263" s="5" t="s">
        <v>16</v>
      </c>
      <c r="D263" s="5" t="s">
        <v>286</v>
      </c>
      <c r="E263" s="6" t="str">
        <f>HYPERLINK("https://twitter.com/sergio_fajardo/status/1231744223952691200","1231744223952691200")</f>
        <v>1231744223952691200</v>
      </c>
      <c r="F263" s="7" t="s">
        <v>17</v>
      </c>
      <c r="G263" s="7">
        <v>1493335</v>
      </c>
      <c r="H263" s="7">
        <v>357</v>
      </c>
      <c r="I263" s="7">
        <v>19</v>
      </c>
      <c r="J263" s="7">
        <v>0</v>
      </c>
      <c r="K263" s="7" t="s">
        <v>18</v>
      </c>
      <c r="L263" s="8">
        <v>39891.213356481479</v>
      </c>
      <c r="M263" s="9" t="s">
        <v>19</v>
      </c>
      <c r="N263" s="9" t="s">
        <v>22</v>
      </c>
      <c r="O263" s="6" t="str">
        <f>HYPERLINK("https://pbs.twimg.com/profile_images/988971255679324162/jrqiIYf__normal.jpg","View")</f>
        <v>View</v>
      </c>
      <c r="P263" s="7"/>
    </row>
    <row r="264" spans="1:16">
      <c r="A264" s="3">
        <v>43885.441886574074</v>
      </c>
      <c r="B264" s="4" t="str">
        <f>HYPERLINK("https://twitter.com/sergio_fajardo","@sergio_fajardo")</f>
        <v>@sergio_fajardo</v>
      </c>
      <c r="C264" s="5" t="s">
        <v>16</v>
      </c>
      <c r="D264" s="5" t="s">
        <v>287</v>
      </c>
      <c r="E264" s="6" t="str">
        <f>HYPERLINK("https://twitter.com/sergio_fajardo/status/1231807547734134784","1231807547734134784")</f>
        <v>1231807547734134784</v>
      </c>
      <c r="F264" s="7" t="s">
        <v>17</v>
      </c>
      <c r="G264" s="7">
        <v>1493358</v>
      </c>
      <c r="H264" s="7">
        <v>358</v>
      </c>
      <c r="I264" s="7">
        <v>29</v>
      </c>
      <c r="J264" s="7">
        <v>0</v>
      </c>
      <c r="K264" s="7" t="s">
        <v>18</v>
      </c>
      <c r="L264" s="8">
        <v>39891.213356481479</v>
      </c>
      <c r="M264" s="9" t="s">
        <v>19</v>
      </c>
      <c r="N264" s="9" t="s">
        <v>22</v>
      </c>
      <c r="O264" s="6" t="str">
        <f>HYPERLINK("https://pbs.twimg.com/profile_images/988971255679324162/jrqiIYf__normal.jpg","View")</f>
        <v>View</v>
      </c>
      <c r="P264" s="7"/>
    </row>
    <row r="265" spans="1:16">
      <c r="A265" s="3">
        <v>43885.809814814813</v>
      </c>
      <c r="B265" s="4" t="str">
        <f>HYPERLINK("https://twitter.com/sergio_fajardo","@sergio_fajardo")</f>
        <v>@sergio_fajardo</v>
      </c>
      <c r="C265" s="5" t="s">
        <v>16</v>
      </c>
      <c r="D265" s="5" t="s">
        <v>288</v>
      </c>
      <c r="E265" s="6" t="str">
        <f>HYPERLINK("https://twitter.com/sergio_fajardo/status/1231940880162066433","1231940880162066433")</f>
        <v>1231940880162066433</v>
      </c>
      <c r="F265" s="7" t="s">
        <v>17</v>
      </c>
      <c r="G265" s="7">
        <v>1493365</v>
      </c>
      <c r="H265" s="7">
        <v>358</v>
      </c>
      <c r="I265" s="7">
        <v>4</v>
      </c>
      <c r="J265" s="7">
        <v>33</v>
      </c>
      <c r="K265" s="7" t="s">
        <v>18</v>
      </c>
      <c r="L265" s="8">
        <v>39891.213356481479</v>
      </c>
      <c r="M265" s="9" t="s">
        <v>19</v>
      </c>
      <c r="N265" s="9" t="s">
        <v>22</v>
      </c>
      <c r="O265" s="6" t="str">
        <f>HYPERLINK("https://pbs.twimg.com/profile_images/988971255679324162/jrqiIYf__normal.jpg","View")</f>
        <v>View</v>
      </c>
      <c r="P265" s="7"/>
    </row>
    <row r="266" spans="1:16">
      <c r="A266" s="3">
        <v>43886.135347222225</v>
      </c>
      <c r="B266" s="4" t="str">
        <f>HYPERLINK("https://twitter.com/sergio_fajardo","@sergio_fajardo")</f>
        <v>@sergio_fajardo</v>
      </c>
      <c r="C266" s="5" t="s">
        <v>16</v>
      </c>
      <c r="D266" s="5" t="s">
        <v>289</v>
      </c>
      <c r="E266" s="6" t="str">
        <f>HYPERLINK("https://twitter.com/sergio_fajardo/status/1232058849659703303","1232058849659703303")</f>
        <v>1232058849659703303</v>
      </c>
      <c r="F266" s="7" t="s">
        <v>23</v>
      </c>
      <c r="G266" s="7">
        <v>1493424</v>
      </c>
      <c r="H266" s="7">
        <v>358</v>
      </c>
      <c r="I266" s="7">
        <v>5</v>
      </c>
      <c r="J266" s="7">
        <v>9</v>
      </c>
      <c r="K266" s="7" t="s">
        <v>18</v>
      </c>
      <c r="L266" s="8">
        <v>39891.213356481479</v>
      </c>
      <c r="M266" s="9" t="s">
        <v>19</v>
      </c>
      <c r="N266" s="9" t="s">
        <v>22</v>
      </c>
      <c r="O266" s="6" t="str">
        <f>HYPERLINK("https://pbs.twimg.com/profile_images/988971255679324162/jrqiIYf__normal.jpg","View")</f>
        <v>View</v>
      </c>
      <c r="P266" s="7"/>
    </row>
    <row r="267" spans="1:16">
      <c r="A267" s="3">
        <v>43886.135358796295</v>
      </c>
      <c r="B267" s="4" t="str">
        <f>HYPERLINK("https://twitter.com/sergio_fajardo","@sergio_fajardo")</f>
        <v>@sergio_fajardo</v>
      </c>
      <c r="C267" s="5" t="s">
        <v>16</v>
      </c>
      <c r="D267" s="5" t="s">
        <v>290</v>
      </c>
      <c r="E267" s="6" t="str">
        <f>HYPERLINK("https://twitter.com/sergio_fajardo/status/1232058850792046592","1232058850792046592")</f>
        <v>1232058850792046592</v>
      </c>
      <c r="F267" s="7" t="s">
        <v>23</v>
      </c>
      <c r="G267" s="7">
        <v>1493424</v>
      </c>
      <c r="H267" s="7">
        <v>358</v>
      </c>
      <c r="I267" s="7">
        <v>3</v>
      </c>
      <c r="J267" s="7">
        <v>7</v>
      </c>
      <c r="K267" s="7" t="s">
        <v>18</v>
      </c>
      <c r="L267" s="8">
        <v>39891.213356481479</v>
      </c>
      <c r="M267" s="9" t="s">
        <v>19</v>
      </c>
      <c r="N267" s="9" t="s">
        <v>22</v>
      </c>
      <c r="O267" s="6" t="str">
        <f>HYPERLINK("https://pbs.twimg.com/profile_images/988971255679324162/jrqiIYf__normal.jpg","View")</f>
        <v>View</v>
      </c>
      <c r="P267" s="7"/>
    </row>
    <row r="268" spans="1:16">
      <c r="A268" s="3">
        <v>43886.291493055556</v>
      </c>
      <c r="B268" s="4" t="str">
        <f>HYPERLINK("https://twitter.com/sergio_fajardo","@sergio_fajardo")</f>
        <v>@sergio_fajardo</v>
      </c>
      <c r="C268" s="5" t="s">
        <v>16</v>
      </c>
      <c r="D268" s="5" t="s">
        <v>291</v>
      </c>
      <c r="E268" s="6" t="str">
        <f>HYPERLINK("https://twitter.com/sergio_fajardo/status/1232115433391697920","1232115433391697920")</f>
        <v>1232115433391697920</v>
      </c>
      <c r="F268" s="7" t="s">
        <v>17</v>
      </c>
      <c r="G268" s="7">
        <v>1493461</v>
      </c>
      <c r="H268" s="7">
        <v>358</v>
      </c>
      <c r="I268" s="7">
        <v>93</v>
      </c>
      <c r="J268" s="7">
        <v>0</v>
      </c>
      <c r="K268" s="7" t="s">
        <v>18</v>
      </c>
      <c r="L268" s="8">
        <v>39891.213356481479</v>
      </c>
      <c r="M268" s="9" t="s">
        <v>19</v>
      </c>
      <c r="N268" s="9" t="s">
        <v>22</v>
      </c>
      <c r="O268" s="6" t="str">
        <f>HYPERLINK("https://pbs.twimg.com/profile_images/988971255679324162/jrqiIYf__normal.jpg","View")</f>
        <v>View</v>
      </c>
      <c r="P268" s="7"/>
    </row>
    <row r="269" spans="1:16">
      <c r="A269" s="3">
        <v>43886.346678240741</v>
      </c>
      <c r="B269" s="4" t="str">
        <f>HYPERLINK("https://twitter.com/sergio_fajardo","@sergio_fajardo")</f>
        <v>@sergio_fajardo</v>
      </c>
      <c r="C269" s="5" t="s">
        <v>16</v>
      </c>
      <c r="D269" s="5" t="s">
        <v>292</v>
      </c>
      <c r="E269" s="6" t="str">
        <f>HYPERLINK("https://twitter.com/sergio_fajardo/status/1232135432886005761","1232135432886005761")</f>
        <v>1232135432886005761</v>
      </c>
      <c r="F269" s="7" t="s">
        <v>17</v>
      </c>
      <c r="G269" s="7">
        <v>1493476</v>
      </c>
      <c r="H269" s="7">
        <v>358</v>
      </c>
      <c r="I269" s="7">
        <v>1070</v>
      </c>
      <c r="J269" s="7">
        <v>0</v>
      </c>
      <c r="K269" s="7" t="s">
        <v>18</v>
      </c>
      <c r="L269" s="8">
        <v>39891.213356481479</v>
      </c>
      <c r="M269" s="9" t="s">
        <v>19</v>
      </c>
      <c r="N269" s="9" t="s">
        <v>22</v>
      </c>
      <c r="O269" s="6" t="str">
        <f>HYPERLINK("https://pbs.twimg.com/profile_images/988971255679324162/jrqiIYf__normal.jpg","View")</f>
        <v>View</v>
      </c>
      <c r="P269" s="7"/>
    </row>
    <row r="270" spans="1:16">
      <c r="A270" s="3">
        <v>43886.35365740741</v>
      </c>
      <c r="B270" s="4" t="str">
        <f>HYPERLINK("https://twitter.com/sergio_fajardo","@sergio_fajardo")</f>
        <v>@sergio_fajardo</v>
      </c>
      <c r="C270" s="5" t="s">
        <v>16</v>
      </c>
      <c r="D270" s="5" t="s">
        <v>293</v>
      </c>
      <c r="E270" s="6" t="str">
        <f>HYPERLINK("https://twitter.com/sergio_fajardo/status/1232137959912157184","1232137959912157184")</f>
        <v>1232137959912157184</v>
      </c>
      <c r="F270" s="7" t="s">
        <v>17</v>
      </c>
      <c r="G270" s="7">
        <v>1493476</v>
      </c>
      <c r="H270" s="7">
        <v>358</v>
      </c>
      <c r="I270" s="7">
        <v>930</v>
      </c>
      <c r="J270" s="7">
        <v>0</v>
      </c>
      <c r="K270" s="7" t="s">
        <v>18</v>
      </c>
      <c r="L270" s="8">
        <v>39891.213356481479</v>
      </c>
      <c r="M270" s="9" t="s">
        <v>19</v>
      </c>
      <c r="N270" s="9" t="s">
        <v>22</v>
      </c>
      <c r="O270" s="6" t="str">
        <f>HYPERLINK("https://pbs.twimg.com/profile_images/988971255679324162/jrqiIYf__normal.jpg","View")</f>
        <v>View</v>
      </c>
      <c r="P270" s="7"/>
    </row>
    <row r="271" spans="1:16">
      <c r="A271" s="3">
        <v>43886.353946759264</v>
      </c>
      <c r="B271" s="4" t="str">
        <f>HYPERLINK("https://twitter.com/sergio_fajardo","@sergio_fajardo")</f>
        <v>@sergio_fajardo</v>
      </c>
      <c r="C271" s="5" t="s">
        <v>16</v>
      </c>
      <c r="D271" s="5" t="s">
        <v>294</v>
      </c>
      <c r="E271" s="6" t="str">
        <f>HYPERLINK("https://twitter.com/sergio_fajardo/status/1232138066061557760","1232138066061557760")</f>
        <v>1232138066061557760</v>
      </c>
      <c r="F271" s="7" t="s">
        <v>17</v>
      </c>
      <c r="G271" s="7">
        <v>1493476</v>
      </c>
      <c r="H271" s="7">
        <v>358</v>
      </c>
      <c r="I271" s="7">
        <v>753</v>
      </c>
      <c r="J271" s="7">
        <v>0</v>
      </c>
      <c r="K271" s="7" t="s">
        <v>18</v>
      </c>
      <c r="L271" s="8">
        <v>39891.213356481479</v>
      </c>
      <c r="M271" s="9" t="s">
        <v>19</v>
      </c>
      <c r="N271" s="9" t="s">
        <v>22</v>
      </c>
      <c r="O271" s="6" t="str">
        <f>HYPERLINK("https://pbs.twimg.com/profile_images/988971255679324162/jrqiIYf__normal.jpg","View")</f>
        <v>View</v>
      </c>
      <c r="P271" s="7"/>
    </row>
    <row r="272" spans="1:16">
      <c r="A272" s="3">
        <v>43886.685717592598</v>
      </c>
      <c r="B272" s="4" t="str">
        <f>HYPERLINK("https://twitter.com/sergio_fajardo","@sergio_fajardo")</f>
        <v>@sergio_fajardo</v>
      </c>
      <c r="C272" s="5" t="s">
        <v>16</v>
      </c>
      <c r="D272" s="5" t="s">
        <v>295</v>
      </c>
      <c r="E272" s="6" t="str">
        <f>HYPERLINK("https://twitter.com/sergio_fajardo/status/1232258296104603649","1232258296104603649")</f>
        <v>1232258296104603649</v>
      </c>
      <c r="F272" s="7" t="s">
        <v>17</v>
      </c>
      <c r="G272" s="7">
        <v>1493479</v>
      </c>
      <c r="H272" s="7">
        <v>358</v>
      </c>
      <c r="I272" s="7">
        <v>6</v>
      </c>
      <c r="J272" s="7">
        <v>27</v>
      </c>
      <c r="K272" s="7" t="s">
        <v>18</v>
      </c>
      <c r="L272" s="8">
        <v>39891.213356481479</v>
      </c>
      <c r="M272" s="9" t="s">
        <v>19</v>
      </c>
      <c r="N272" s="9" t="s">
        <v>22</v>
      </c>
      <c r="O272" s="6" t="str">
        <f>HYPERLINK("https://pbs.twimg.com/profile_images/988971255679324162/jrqiIYf__normal.jpg","View")</f>
        <v>View</v>
      </c>
      <c r="P272" s="7"/>
    </row>
    <row r="273" spans="1:16">
      <c r="A273" s="3">
        <v>43887.146689814814</v>
      </c>
      <c r="B273" s="4" t="str">
        <f>HYPERLINK("https://twitter.com/sergio_fajardo","@sergio_fajardo")</f>
        <v>@sergio_fajardo</v>
      </c>
      <c r="C273" s="5" t="s">
        <v>16</v>
      </c>
      <c r="D273" s="5" t="s">
        <v>296</v>
      </c>
      <c r="E273" s="6" t="str">
        <f>HYPERLINK("https://twitter.com/sergio_fajardo/status/1232425348056436738","1232425348056436738")</f>
        <v>1232425348056436738</v>
      </c>
      <c r="F273" s="7" t="s">
        <v>17</v>
      </c>
      <c r="G273" s="7">
        <v>1493585</v>
      </c>
      <c r="H273" s="7">
        <v>358</v>
      </c>
      <c r="I273" s="7">
        <v>9</v>
      </c>
      <c r="J273" s="7">
        <v>0</v>
      </c>
      <c r="K273" s="7" t="s">
        <v>18</v>
      </c>
      <c r="L273" s="8">
        <v>39891.213356481479</v>
      </c>
      <c r="M273" s="9" t="s">
        <v>19</v>
      </c>
      <c r="N273" s="9" t="s">
        <v>22</v>
      </c>
      <c r="O273" s="6" t="str">
        <f>HYPERLINK("https://pbs.twimg.com/profile_images/988971255679324162/jrqiIYf__normal.jpg","View")</f>
        <v>View</v>
      </c>
      <c r="P273" s="7"/>
    </row>
    <row r="274" spans="1:16">
      <c r="A274" s="3">
        <v>43887.242974537032</v>
      </c>
      <c r="B274" s="4" t="str">
        <f>HYPERLINK("https://twitter.com/sergio_fajardo","@sergio_fajardo")</f>
        <v>@sergio_fajardo</v>
      </c>
      <c r="C274" s="5" t="s">
        <v>16</v>
      </c>
      <c r="D274" s="5" t="s">
        <v>297</v>
      </c>
      <c r="E274" s="6" t="str">
        <f>HYPERLINK("https://twitter.com/sergio_fajardo/status/1232460239099678721","1232460239099678721")</f>
        <v>1232460239099678721</v>
      </c>
      <c r="F274" s="7" t="s">
        <v>17</v>
      </c>
      <c r="G274" s="7">
        <v>1493598</v>
      </c>
      <c r="H274" s="7">
        <v>358</v>
      </c>
      <c r="I274" s="7">
        <v>4</v>
      </c>
      <c r="J274" s="7">
        <v>49</v>
      </c>
      <c r="K274" s="7" t="s">
        <v>18</v>
      </c>
      <c r="L274" s="8">
        <v>39891.213356481479</v>
      </c>
      <c r="M274" s="9" t="s">
        <v>19</v>
      </c>
      <c r="N274" s="9" t="s">
        <v>22</v>
      </c>
      <c r="O274" s="6" t="str">
        <f>HYPERLINK("https://pbs.twimg.com/profile_images/988971255679324162/jrqiIYf__normal.jpg","View")</f>
        <v>View</v>
      </c>
      <c r="P274" s="7"/>
    </row>
    <row r="275" spans="1:16">
      <c r="A275" s="3">
        <v>43887.716423611113</v>
      </c>
      <c r="B275" s="4" t="str">
        <f>HYPERLINK("https://twitter.com/sergio_fajardo","@sergio_fajardo")</f>
        <v>@sergio_fajardo</v>
      </c>
      <c r="C275" s="5" t="s">
        <v>16</v>
      </c>
      <c r="D275" s="5" t="s">
        <v>298</v>
      </c>
      <c r="E275" s="6" t="str">
        <f>HYPERLINK("https://twitter.com/sergio_fajardo/status/1232631812662452224","1232631812662452224")</f>
        <v>1232631812662452224</v>
      </c>
      <c r="F275" s="7" t="s">
        <v>17</v>
      </c>
      <c r="G275" s="7">
        <v>1493660</v>
      </c>
      <c r="H275" s="7">
        <v>358</v>
      </c>
      <c r="I275" s="7">
        <v>7</v>
      </c>
      <c r="J275" s="7">
        <v>0</v>
      </c>
      <c r="K275" s="7" t="s">
        <v>18</v>
      </c>
      <c r="L275" s="8">
        <v>39891.213356481479</v>
      </c>
      <c r="M275" s="9" t="s">
        <v>19</v>
      </c>
      <c r="N275" s="9" t="s">
        <v>22</v>
      </c>
      <c r="O275" s="6" t="str">
        <f>HYPERLINK("https://pbs.twimg.com/profile_images/988971255679324162/jrqiIYf__normal.jpg","View")</f>
        <v>View</v>
      </c>
      <c r="P275" s="7"/>
    </row>
    <row r="276" spans="1:16">
      <c r="A276" s="3">
        <v>43887.801493055551</v>
      </c>
      <c r="B276" s="4" t="str">
        <f>HYPERLINK("https://twitter.com/sergio_fajardo","@sergio_fajardo")</f>
        <v>@sergio_fajardo</v>
      </c>
      <c r="C276" s="5" t="s">
        <v>16</v>
      </c>
      <c r="D276" s="5" t="s">
        <v>299</v>
      </c>
      <c r="E276" s="6" t="str">
        <f>HYPERLINK("https://twitter.com/sergio_fajardo/status/1232662640255815681","1232662640255815681")</f>
        <v>1232662640255815681</v>
      </c>
      <c r="F276" s="7" t="s">
        <v>17</v>
      </c>
      <c r="G276" s="7">
        <v>1493676</v>
      </c>
      <c r="H276" s="7">
        <v>358</v>
      </c>
      <c r="I276" s="7">
        <v>2</v>
      </c>
      <c r="J276" s="7">
        <v>3</v>
      </c>
      <c r="K276" s="7" t="s">
        <v>18</v>
      </c>
      <c r="L276" s="8">
        <v>39891.213356481479</v>
      </c>
      <c r="M276" s="9" t="s">
        <v>19</v>
      </c>
      <c r="N276" s="9" t="s">
        <v>22</v>
      </c>
      <c r="O276" s="6" t="str">
        <f>HYPERLINK("https://pbs.twimg.com/profile_images/988971255679324162/jrqiIYf__normal.jpg","View")</f>
        <v>View</v>
      </c>
      <c r="P276" s="7"/>
    </row>
    <row r="277" spans="1:16">
      <c r="A277" s="3">
        <v>43888.66196759259</v>
      </c>
      <c r="B277" s="4" t="str">
        <f>HYPERLINK("https://twitter.com/sergio_fajardo","@sergio_fajardo")</f>
        <v>@sergio_fajardo</v>
      </c>
      <c r="C277" s="5" t="s">
        <v>16</v>
      </c>
      <c r="D277" s="5" t="s">
        <v>300</v>
      </c>
      <c r="E277" s="6" t="str">
        <f>HYPERLINK("https://twitter.com/sergio_fajardo/status/1232974465757257729","1232974465757257729")</f>
        <v>1232974465757257729</v>
      </c>
      <c r="F277" s="7" t="s">
        <v>17</v>
      </c>
      <c r="G277" s="7">
        <v>1493837</v>
      </c>
      <c r="H277" s="7">
        <v>358</v>
      </c>
      <c r="I277" s="7">
        <v>6</v>
      </c>
      <c r="J277" s="7">
        <v>0</v>
      </c>
      <c r="K277" s="7" t="s">
        <v>18</v>
      </c>
      <c r="L277" s="8">
        <v>39891.213356481479</v>
      </c>
      <c r="M277" s="9" t="s">
        <v>19</v>
      </c>
      <c r="N277" s="9" t="s">
        <v>22</v>
      </c>
      <c r="O277" s="6" t="str">
        <f>HYPERLINK("https://pbs.twimg.com/profile_images/988971255679324162/jrqiIYf__normal.jpg","View")</f>
        <v>View</v>
      </c>
      <c r="P277" s="7"/>
    </row>
    <row r="278" spans="1:16">
      <c r="A278" s="3">
        <v>43888.662372685183</v>
      </c>
      <c r="B278" s="4" t="str">
        <f>HYPERLINK("https://twitter.com/sergio_fajardo","@sergio_fajardo")</f>
        <v>@sergio_fajardo</v>
      </c>
      <c r="C278" s="5" t="s">
        <v>16</v>
      </c>
      <c r="D278" s="5" t="s">
        <v>301</v>
      </c>
      <c r="E278" s="6" t="str">
        <f>HYPERLINK("https://twitter.com/sergio_fajardo/status/1232974610938966017","1232974610938966017")</f>
        <v>1232974610938966017</v>
      </c>
      <c r="F278" s="7" t="s">
        <v>17</v>
      </c>
      <c r="G278" s="7">
        <v>1493837</v>
      </c>
      <c r="H278" s="7">
        <v>358</v>
      </c>
      <c r="I278" s="7">
        <v>342</v>
      </c>
      <c r="J278" s="7">
        <v>0</v>
      </c>
      <c r="K278" s="7" t="s">
        <v>18</v>
      </c>
      <c r="L278" s="8">
        <v>39891.213356481479</v>
      </c>
      <c r="M278" s="9" t="s">
        <v>19</v>
      </c>
      <c r="N278" s="9" t="s">
        <v>22</v>
      </c>
      <c r="O278" s="6" t="str">
        <f>HYPERLINK("https://pbs.twimg.com/profile_images/988971255679324162/jrqiIYf__normal.jpg","View")</f>
        <v>View</v>
      </c>
      <c r="P278" s="7"/>
    </row>
    <row r="279" spans="1:16">
      <c r="A279" s="3">
        <v>43888.758703703701</v>
      </c>
      <c r="B279" s="4" t="str">
        <f>HYPERLINK("https://twitter.com/sergio_fajardo","@sergio_fajardo")</f>
        <v>@sergio_fajardo</v>
      </c>
      <c r="C279" s="5" t="s">
        <v>16</v>
      </c>
      <c r="D279" s="5" t="s">
        <v>302</v>
      </c>
      <c r="E279" s="6" t="str">
        <f>HYPERLINK("https://twitter.com/sergio_fajardo/status/1233009520462454786","1233009520462454786")</f>
        <v>1233009520462454786</v>
      </c>
      <c r="F279" s="7" t="s">
        <v>20</v>
      </c>
      <c r="G279" s="7">
        <v>1493862</v>
      </c>
      <c r="H279" s="7">
        <v>358</v>
      </c>
      <c r="I279" s="7">
        <v>4</v>
      </c>
      <c r="J279" s="7">
        <v>18</v>
      </c>
      <c r="K279" s="7" t="s">
        <v>18</v>
      </c>
      <c r="L279" s="8">
        <v>39891.213356481479</v>
      </c>
      <c r="M279" s="9" t="s">
        <v>19</v>
      </c>
      <c r="N279" s="9" t="s">
        <v>22</v>
      </c>
      <c r="O279" s="6" t="str">
        <f>HYPERLINK("https://pbs.twimg.com/profile_images/988971255679324162/jrqiIYf__normal.jpg","View")</f>
        <v>View</v>
      </c>
      <c r="P279" s="7"/>
    </row>
    <row r="280" spans="1:16">
      <c r="A280" s="3">
        <v>43888.943622685183</v>
      </c>
      <c r="B280" s="4" t="str">
        <f>HYPERLINK("https://twitter.com/sergio_fajardo","@sergio_fajardo")</f>
        <v>@sergio_fajardo</v>
      </c>
      <c r="C280" s="5" t="s">
        <v>16</v>
      </c>
      <c r="D280" s="5" t="s">
        <v>303</v>
      </c>
      <c r="E280" s="6" t="str">
        <f>HYPERLINK("https://twitter.com/sergio_fajardo/status/1233076532966547456","1233076532966547456")</f>
        <v>1233076532966547456</v>
      </c>
      <c r="F280" s="7" t="s">
        <v>17</v>
      </c>
      <c r="G280" s="7">
        <v>1493926</v>
      </c>
      <c r="H280" s="7">
        <v>358</v>
      </c>
      <c r="I280" s="7">
        <v>32</v>
      </c>
      <c r="J280" s="7">
        <v>0</v>
      </c>
      <c r="K280" s="7" t="s">
        <v>18</v>
      </c>
      <c r="L280" s="8">
        <v>39891.213356481479</v>
      </c>
      <c r="M280" s="9" t="s">
        <v>19</v>
      </c>
      <c r="N280" s="9" t="s">
        <v>22</v>
      </c>
      <c r="O280" s="6" t="str">
        <f>HYPERLINK("https://pbs.twimg.com/profile_images/988971255679324162/jrqiIYf__normal.jpg","View")</f>
        <v>View</v>
      </c>
      <c r="P280" s="7"/>
    </row>
    <row r="281" spans="1:16">
      <c r="A281" s="3">
        <v>43888.943842592591</v>
      </c>
      <c r="B281" s="4" t="str">
        <f>HYPERLINK("https://twitter.com/sergio_fajardo","@sergio_fajardo")</f>
        <v>@sergio_fajardo</v>
      </c>
      <c r="C281" s="5" t="s">
        <v>16</v>
      </c>
      <c r="D281" s="5" t="s">
        <v>304</v>
      </c>
      <c r="E281" s="6" t="str">
        <f>HYPERLINK("https://twitter.com/sergio_fajardo/status/1233076613325230080","1233076613325230080")</f>
        <v>1233076613325230080</v>
      </c>
      <c r="F281" s="7" t="s">
        <v>17</v>
      </c>
      <c r="G281" s="7">
        <v>1493926</v>
      </c>
      <c r="H281" s="7">
        <v>358</v>
      </c>
      <c r="I281" s="7">
        <v>53</v>
      </c>
      <c r="J281" s="7">
        <v>0</v>
      </c>
      <c r="K281" s="7" t="s">
        <v>18</v>
      </c>
      <c r="L281" s="8">
        <v>39891.213356481479</v>
      </c>
      <c r="M281" s="9" t="s">
        <v>19</v>
      </c>
      <c r="N281" s="9" t="s">
        <v>22</v>
      </c>
      <c r="O281" s="6" t="str">
        <f>HYPERLINK("https://pbs.twimg.com/profile_images/988971255679324162/jrqiIYf__normal.jpg","View")</f>
        <v>View</v>
      </c>
      <c r="P281" s="7"/>
    </row>
    <row r="282" spans="1:16">
      <c r="A282" s="3">
        <v>43889.719953703709</v>
      </c>
      <c r="B282" s="4" t="str">
        <f>HYPERLINK("https://twitter.com/sergio_fajardo","@sergio_fajardo")</f>
        <v>@sergio_fajardo</v>
      </c>
      <c r="C282" s="5" t="s">
        <v>16</v>
      </c>
      <c r="D282" s="5" t="s">
        <v>305</v>
      </c>
      <c r="E282" s="6" t="str">
        <f>HYPERLINK("https://twitter.com/sergio_fajardo/status/1233357865739522048","1233357865739522048")</f>
        <v>1233357865739522048</v>
      </c>
      <c r="F282" s="7" t="s">
        <v>20</v>
      </c>
      <c r="G282" s="7">
        <v>1494070</v>
      </c>
      <c r="H282" s="7">
        <v>359</v>
      </c>
      <c r="I282" s="7">
        <v>0</v>
      </c>
      <c r="J282" s="7">
        <v>2</v>
      </c>
      <c r="K282" s="7" t="s">
        <v>18</v>
      </c>
      <c r="L282" s="8">
        <v>39891.213356481479</v>
      </c>
      <c r="M282" s="9" t="s">
        <v>19</v>
      </c>
      <c r="N282" s="9" t="s">
        <v>22</v>
      </c>
      <c r="O282" s="6" t="str">
        <f>HYPERLINK("https://pbs.twimg.com/profile_images/988971255679324162/jrqiIYf__normal.jpg","View")</f>
        <v>View</v>
      </c>
      <c r="P282" s="7"/>
    </row>
    <row r="283" spans="1:16">
      <c r="A283" s="3">
        <v>43889.82980324074</v>
      </c>
      <c r="B283" s="4" t="str">
        <f>HYPERLINK("https://twitter.com/sergio_fajardo","@sergio_fajardo")</f>
        <v>@sergio_fajardo</v>
      </c>
      <c r="C283" s="5" t="s">
        <v>16</v>
      </c>
      <c r="D283" s="5" t="s">
        <v>306</v>
      </c>
      <c r="E283" s="6" t="str">
        <f>HYPERLINK("https://twitter.com/sergio_fajardo/status/1233397673895456768","1233397673895456768")</f>
        <v>1233397673895456768</v>
      </c>
      <c r="F283" s="7" t="s">
        <v>17</v>
      </c>
      <c r="G283" s="7">
        <v>1494096</v>
      </c>
      <c r="H283" s="7">
        <v>359</v>
      </c>
      <c r="I283" s="7">
        <v>73</v>
      </c>
      <c r="J283" s="7">
        <v>337</v>
      </c>
      <c r="K283" s="7" t="s">
        <v>18</v>
      </c>
      <c r="L283" s="8">
        <v>39891.213356481479</v>
      </c>
      <c r="M283" s="9" t="s">
        <v>19</v>
      </c>
      <c r="N283" s="9" t="s">
        <v>22</v>
      </c>
      <c r="O283" s="6" t="str">
        <f>HYPERLINK("https://pbs.twimg.com/profile_images/988971255679324162/jrqiIYf__normal.jpg","View")</f>
        <v>View</v>
      </c>
      <c r="P283" s="7"/>
    </row>
    <row r="284" spans="1:16">
      <c r="A284" s="3">
        <v>43889.838761574079</v>
      </c>
      <c r="B284" s="4" t="str">
        <f>HYPERLINK("https://twitter.com/sergio_fajardo","@sergio_fajardo")</f>
        <v>@sergio_fajardo</v>
      </c>
      <c r="C284" s="5" t="s">
        <v>16</v>
      </c>
      <c r="D284" s="5" t="s">
        <v>307</v>
      </c>
      <c r="E284" s="6" t="str">
        <f>HYPERLINK("https://twitter.com/sergio_fajardo/status/1233400921444569089","1233400921444569089")</f>
        <v>1233400921444569089</v>
      </c>
      <c r="F284" s="7" t="s">
        <v>17</v>
      </c>
      <c r="G284" s="7">
        <v>1494096</v>
      </c>
      <c r="H284" s="7">
        <v>359</v>
      </c>
      <c r="I284" s="7">
        <v>25</v>
      </c>
      <c r="J284" s="7">
        <v>0</v>
      </c>
      <c r="K284" s="7" t="s">
        <v>18</v>
      </c>
      <c r="L284" s="8">
        <v>39891.213356481479</v>
      </c>
      <c r="M284" s="9" t="s">
        <v>19</v>
      </c>
      <c r="N284" s="9" t="s">
        <v>22</v>
      </c>
      <c r="O284" s="6" t="str">
        <f>HYPERLINK("https://pbs.twimg.com/profile_images/988971255679324162/jrqiIYf__normal.jpg","View")</f>
        <v>View</v>
      </c>
      <c r="P284" s="7"/>
    </row>
    <row r="285" spans="1:16">
      <c r="A285" s="3">
        <v>43890.017060185186</v>
      </c>
      <c r="B285" s="4" t="str">
        <f>HYPERLINK("https://twitter.com/sergio_fajardo","@sergio_fajardo")</f>
        <v>@sergio_fajardo</v>
      </c>
      <c r="C285" s="5" t="s">
        <v>16</v>
      </c>
      <c r="D285" s="5" t="s">
        <v>308</v>
      </c>
      <c r="E285" s="6" t="str">
        <f>HYPERLINK("https://twitter.com/sergio_fajardo/status/1233465534349561857","1233465534349561857")</f>
        <v>1233465534349561857</v>
      </c>
      <c r="F285" s="7" t="s">
        <v>17</v>
      </c>
      <c r="G285" s="7">
        <v>1494144</v>
      </c>
      <c r="H285" s="7">
        <v>359</v>
      </c>
      <c r="I285" s="7">
        <v>5</v>
      </c>
      <c r="J285" s="7">
        <v>18</v>
      </c>
      <c r="K285" s="7" t="s">
        <v>18</v>
      </c>
      <c r="L285" s="8">
        <v>39891.213356481479</v>
      </c>
      <c r="M285" s="9" t="s">
        <v>19</v>
      </c>
      <c r="N285" s="9" t="s">
        <v>22</v>
      </c>
      <c r="O285" s="6" t="str">
        <f>HYPERLINK("https://pbs.twimg.com/profile_images/988971255679324162/jrqiIYf__normal.jpg","View")</f>
        <v>View</v>
      </c>
      <c r="P285" s="7"/>
    </row>
    <row r="286" spans="1:16">
      <c r="A286" s="3">
        <v>43890.115416666667</v>
      </c>
      <c r="B286" s="4" t="str">
        <f>HYPERLINK("https://twitter.com/sergio_fajardo","@sergio_fajardo")</f>
        <v>@sergio_fajardo</v>
      </c>
      <c r="C286" s="5" t="s">
        <v>16</v>
      </c>
      <c r="D286" s="5" t="s">
        <v>309</v>
      </c>
      <c r="E286" s="6" t="str">
        <f>HYPERLINK("https://twitter.com/sergio_fajardo/status/1233501174566924289","1233501174566924289")</f>
        <v>1233501174566924289</v>
      </c>
      <c r="F286" s="7" t="s">
        <v>17</v>
      </c>
      <c r="G286" s="7">
        <v>1494161</v>
      </c>
      <c r="H286" s="7">
        <v>359</v>
      </c>
      <c r="I286" s="7">
        <v>1</v>
      </c>
      <c r="J286" s="7">
        <v>0</v>
      </c>
      <c r="K286" s="7" t="s">
        <v>18</v>
      </c>
      <c r="L286" s="8">
        <v>39891.213356481479</v>
      </c>
      <c r="M286" s="9" t="s">
        <v>19</v>
      </c>
      <c r="N286" s="9" t="s">
        <v>22</v>
      </c>
      <c r="O286" s="6" t="str">
        <f>HYPERLINK("https://pbs.twimg.com/profile_images/988971255679324162/jrqiIYf__normal.jpg","View")</f>
        <v>View</v>
      </c>
      <c r="P286" s="7"/>
    </row>
    <row r="287" spans="1:16">
      <c r="A287" s="3">
        <v>43890.11550925926</v>
      </c>
      <c r="B287" s="4" t="str">
        <f>HYPERLINK("https://twitter.com/sergio_fajardo","@sergio_fajardo")</f>
        <v>@sergio_fajardo</v>
      </c>
      <c r="C287" s="5" t="s">
        <v>16</v>
      </c>
      <c r="D287" s="5" t="s">
        <v>310</v>
      </c>
      <c r="E287" s="6" t="str">
        <f>HYPERLINK("https://twitter.com/sergio_fajardo/status/1233501210562482176","1233501210562482176")</f>
        <v>1233501210562482176</v>
      </c>
      <c r="F287" s="7" t="s">
        <v>17</v>
      </c>
      <c r="G287" s="7">
        <v>1494161</v>
      </c>
      <c r="H287" s="7">
        <v>359</v>
      </c>
      <c r="I287" s="7">
        <v>1</v>
      </c>
      <c r="J287" s="7">
        <v>0</v>
      </c>
      <c r="K287" s="7" t="s">
        <v>18</v>
      </c>
      <c r="L287" s="8">
        <v>39891.213356481479</v>
      </c>
      <c r="M287" s="9" t="s">
        <v>19</v>
      </c>
      <c r="N287" s="9" t="s">
        <v>22</v>
      </c>
      <c r="O287" s="6" t="str">
        <f>HYPERLINK("https://pbs.twimg.com/profile_images/988971255679324162/jrqiIYf__normal.jpg","View")</f>
        <v>View</v>
      </c>
      <c r="P287" s="7"/>
    </row>
    <row r="288" spans="1:16">
      <c r="A288" s="3">
        <v>43890.115740740745</v>
      </c>
      <c r="B288" s="4" t="str">
        <f>HYPERLINK("https://twitter.com/sergio_fajardo","@sergio_fajardo")</f>
        <v>@sergio_fajardo</v>
      </c>
      <c r="C288" s="5" t="s">
        <v>16</v>
      </c>
      <c r="D288" s="5" t="s">
        <v>311</v>
      </c>
      <c r="E288" s="6" t="str">
        <f>HYPERLINK("https://twitter.com/sergio_fajardo/status/1233501294226264064","1233501294226264064")</f>
        <v>1233501294226264064</v>
      </c>
      <c r="F288" s="7" t="s">
        <v>17</v>
      </c>
      <c r="G288" s="7">
        <v>1494161</v>
      </c>
      <c r="H288" s="7">
        <v>359</v>
      </c>
      <c r="I288" s="7">
        <v>4</v>
      </c>
      <c r="J288" s="7">
        <v>0</v>
      </c>
      <c r="K288" s="7" t="s">
        <v>18</v>
      </c>
      <c r="L288" s="8">
        <v>39891.213356481479</v>
      </c>
      <c r="M288" s="9" t="s">
        <v>19</v>
      </c>
      <c r="N288" s="9" t="s">
        <v>22</v>
      </c>
      <c r="O288" s="6" t="str">
        <f>HYPERLINK("https://pbs.twimg.com/profile_images/988971255679324162/jrqiIYf__normal.jpg","View")</f>
        <v>View</v>
      </c>
      <c r="P288" s="7"/>
    </row>
    <row r="289" spans="1:16">
      <c r="A289" s="3">
        <v>43890.207719907412</v>
      </c>
      <c r="B289" s="4" t="str">
        <f>HYPERLINK("https://twitter.com/sergio_fajardo","@sergio_fajardo")</f>
        <v>@sergio_fajardo</v>
      </c>
      <c r="C289" s="5" t="s">
        <v>16</v>
      </c>
      <c r="D289" s="5" t="s">
        <v>312</v>
      </c>
      <c r="E289" s="6" t="str">
        <f>HYPERLINK("https://twitter.com/sergio_fajardo/status/1233534625965903872","1233534625965903872")</f>
        <v>1233534625965903872</v>
      </c>
      <c r="F289" s="7" t="s">
        <v>17</v>
      </c>
      <c r="G289" s="7">
        <v>1494187</v>
      </c>
      <c r="H289" s="7">
        <v>359</v>
      </c>
      <c r="I289" s="7">
        <v>8</v>
      </c>
      <c r="J289" s="7">
        <v>0</v>
      </c>
      <c r="K289" s="7" t="s">
        <v>18</v>
      </c>
      <c r="L289" s="8">
        <v>39891.213356481479</v>
      </c>
      <c r="M289" s="9" t="s">
        <v>19</v>
      </c>
      <c r="N289" s="9" t="s">
        <v>22</v>
      </c>
      <c r="O289" s="6" t="str">
        <f>HYPERLINK("https://pbs.twimg.com/profile_images/988971255679324162/jrqiIYf__normal.jpg","View")</f>
        <v>View</v>
      </c>
      <c r="P289" s="7"/>
    </row>
    <row r="290" spans="1:16">
      <c r="A290" s="3">
        <v>43890.770173611112</v>
      </c>
      <c r="B290" s="4" t="str">
        <f>HYPERLINK("https://twitter.com/sergio_fajardo","@sergio_fajardo")</f>
        <v>@sergio_fajardo</v>
      </c>
      <c r="C290" s="5" t="s">
        <v>16</v>
      </c>
      <c r="D290" s="5" t="s">
        <v>313</v>
      </c>
      <c r="E290" s="6" t="str">
        <f>HYPERLINK("https://twitter.com/sergio_fajardo/status/1233738452501397506","1233738452501397506")</f>
        <v>1233738452501397506</v>
      </c>
      <c r="F290" s="7" t="s">
        <v>20</v>
      </c>
      <c r="G290" s="7">
        <v>1494247</v>
      </c>
      <c r="H290" s="7">
        <v>359</v>
      </c>
      <c r="I290" s="7">
        <v>3</v>
      </c>
      <c r="J290" s="7">
        <v>22</v>
      </c>
      <c r="K290" s="7" t="s">
        <v>18</v>
      </c>
      <c r="L290" s="8">
        <v>39891.213356481479</v>
      </c>
      <c r="M290" s="9" t="s">
        <v>19</v>
      </c>
      <c r="N290" s="9" t="s">
        <v>22</v>
      </c>
      <c r="O290" s="6" t="str">
        <f>HYPERLINK("https://pbs.twimg.com/profile_images/988971255679324162/jrqiIYf__normal.jpg","View")</f>
        <v>View</v>
      </c>
      <c r="P290" s="7"/>
    </row>
    <row r="291" spans="1:16">
      <c r="A291" s="3">
        <v>43891.40011574074</v>
      </c>
      <c r="B291" s="4" t="str">
        <f>HYPERLINK("https://twitter.com/sergio_fajardo","@sergio_fajardo")</f>
        <v>@sergio_fajardo</v>
      </c>
      <c r="C291" s="5" t="s">
        <v>16</v>
      </c>
      <c r="D291" s="5" t="s">
        <v>314</v>
      </c>
      <c r="E291" s="6" t="str">
        <f>HYPERLINK("https://twitter.com/sergio_fajardo/status/1233966737906900993","1233966737906900993")</f>
        <v>1233966737906900993</v>
      </c>
      <c r="F291" s="7" t="s">
        <v>17</v>
      </c>
      <c r="G291" s="7">
        <v>1494404</v>
      </c>
      <c r="H291" s="7">
        <v>359</v>
      </c>
      <c r="I291" s="7">
        <v>4</v>
      </c>
      <c r="J291" s="7">
        <v>0</v>
      </c>
      <c r="K291" s="7" t="s">
        <v>18</v>
      </c>
      <c r="L291" s="8">
        <v>39891.213356481479</v>
      </c>
      <c r="M291" s="9" t="s">
        <v>19</v>
      </c>
      <c r="N291" s="9" t="s">
        <v>22</v>
      </c>
      <c r="O291" s="6" t="str">
        <f>HYPERLINK("https://pbs.twimg.com/profile_images/988971255679324162/jrqiIYf__normal.jpg","View")</f>
        <v>View</v>
      </c>
      <c r="P291" s="7"/>
    </row>
    <row r="292" spans="1:16">
      <c r="A292" s="3">
        <v>43892.196817129632</v>
      </c>
      <c r="B292" s="4" t="str">
        <f>HYPERLINK("https://twitter.com/sergio_fajardo","@sergio_fajardo")</f>
        <v>@sergio_fajardo</v>
      </c>
      <c r="C292" s="5" t="s">
        <v>16</v>
      </c>
      <c r="D292" s="5" t="s">
        <v>315</v>
      </c>
      <c r="E292" s="6" t="str">
        <f>HYPERLINK("https://twitter.com/sergio_fajardo/status/1234255450289430529","1234255450289430529")</f>
        <v>1234255450289430529</v>
      </c>
      <c r="F292" s="7" t="s">
        <v>20</v>
      </c>
      <c r="G292" s="7">
        <v>1494541</v>
      </c>
      <c r="H292" s="7">
        <v>359</v>
      </c>
      <c r="I292" s="7">
        <v>2</v>
      </c>
      <c r="J292" s="7">
        <v>9</v>
      </c>
      <c r="K292" s="7" t="s">
        <v>18</v>
      </c>
      <c r="L292" s="8">
        <v>39891.213356481479</v>
      </c>
      <c r="M292" s="9" t="s">
        <v>19</v>
      </c>
      <c r="N292" s="9" t="s">
        <v>22</v>
      </c>
      <c r="O292" s="6" t="str">
        <f>HYPERLINK("https://pbs.twimg.com/profile_images/988971255679324162/jrqiIYf__normal.jpg","View")</f>
        <v>View</v>
      </c>
      <c r="P292" s="7"/>
    </row>
    <row r="293" spans="1:16">
      <c r="A293" s="3">
        <v>43892.246898148151</v>
      </c>
      <c r="B293" s="4" t="str">
        <f>HYPERLINK("https://twitter.com/sergio_fajardo","@sergio_fajardo")</f>
        <v>@sergio_fajardo</v>
      </c>
      <c r="C293" s="5" t="s">
        <v>16</v>
      </c>
      <c r="D293" s="5" t="s">
        <v>316</v>
      </c>
      <c r="E293" s="6" t="str">
        <f>HYPERLINK("https://twitter.com/sergio_fajardo/status/1234273600930230272","1234273600930230272")</f>
        <v>1234273600930230272</v>
      </c>
      <c r="F293" s="7" t="s">
        <v>17</v>
      </c>
      <c r="G293" s="7">
        <v>1494566</v>
      </c>
      <c r="H293" s="7">
        <v>359</v>
      </c>
      <c r="I293" s="7">
        <v>14</v>
      </c>
      <c r="J293" s="7">
        <v>38</v>
      </c>
      <c r="K293" s="7" t="s">
        <v>18</v>
      </c>
      <c r="L293" s="8">
        <v>39891.213356481479</v>
      </c>
      <c r="M293" s="9" t="s">
        <v>19</v>
      </c>
      <c r="N293" s="9" t="s">
        <v>22</v>
      </c>
      <c r="O293" s="6" t="str">
        <f>HYPERLINK("https://pbs.twimg.com/profile_images/988971255679324162/jrqiIYf__normal.jpg","View")</f>
        <v>View</v>
      </c>
      <c r="P293" s="7"/>
    </row>
    <row r="294" spans="1:16">
      <c r="A294" s="3">
        <v>43892.704560185186</v>
      </c>
      <c r="B294" s="4" t="str">
        <f>HYPERLINK("https://twitter.com/sergio_fajardo","@sergio_fajardo")</f>
        <v>@sergio_fajardo</v>
      </c>
      <c r="C294" s="5" t="s">
        <v>16</v>
      </c>
      <c r="D294" s="5" t="s">
        <v>317</v>
      </c>
      <c r="E294" s="6" t="str">
        <f>HYPERLINK("https://twitter.com/sergio_fajardo/status/1234439451667058694","1234439451667058694")</f>
        <v>1234439451667058694</v>
      </c>
      <c r="F294" s="7" t="s">
        <v>17</v>
      </c>
      <c r="G294" s="7">
        <v>1494613</v>
      </c>
      <c r="H294" s="7">
        <v>359</v>
      </c>
      <c r="I294" s="7">
        <v>65</v>
      </c>
      <c r="J294" s="7">
        <v>0</v>
      </c>
      <c r="K294" s="7" t="s">
        <v>18</v>
      </c>
      <c r="L294" s="8">
        <v>39891.213356481479</v>
      </c>
      <c r="M294" s="9" t="s">
        <v>19</v>
      </c>
      <c r="N294" s="9" t="s">
        <v>22</v>
      </c>
      <c r="O294" s="6" t="str">
        <f>HYPERLINK("https://pbs.twimg.com/profile_images/988971255679324162/jrqiIYf__normal.jpg","View")</f>
        <v>View</v>
      </c>
      <c r="P294" s="7"/>
    </row>
    <row r="295" spans="1:16">
      <c r="A295" s="3">
        <v>43892.967731481476</v>
      </c>
      <c r="B295" s="4" t="str">
        <f>HYPERLINK("https://twitter.com/sergio_fajardo","@sergio_fajardo")</f>
        <v>@sergio_fajardo</v>
      </c>
      <c r="C295" s="5" t="s">
        <v>16</v>
      </c>
      <c r="D295" s="5" t="s">
        <v>318</v>
      </c>
      <c r="E295" s="6" t="str">
        <f>HYPERLINK("https://twitter.com/sergio_fajardo/status/1234534821319278592","1234534821319278592")</f>
        <v>1234534821319278592</v>
      </c>
      <c r="F295" s="7" t="s">
        <v>17</v>
      </c>
      <c r="G295" s="7">
        <v>1494696</v>
      </c>
      <c r="H295" s="7">
        <v>359</v>
      </c>
      <c r="I295" s="7">
        <v>4</v>
      </c>
      <c r="J295" s="7">
        <v>4</v>
      </c>
      <c r="K295" s="7" t="s">
        <v>18</v>
      </c>
      <c r="L295" s="8">
        <v>39891.213356481479</v>
      </c>
      <c r="M295" s="9" t="s">
        <v>19</v>
      </c>
      <c r="N295" s="9" t="s">
        <v>22</v>
      </c>
      <c r="O295" s="6" t="str">
        <f>HYPERLINK("https://pbs.twimg.com/profile_images/988971255679324162/jrqiIYf__normal.jpg","View")</f>
        <v>View</v>
      </c>
      <c r="P295" s="7"/>
    </row>
    <row r="296" spans="1:16">
      <c r="A296" s="3">
        <v>43893.009085648147</v>
      </c>
      <c r="B296" s="4" t="str">
        <f>HYPERLINK("https://twitter.com/sergio_fajardo","@sergio_fajardo")</f>
        <v>@sergio_fajardo</v>
      </c>
      <c r="C296" s="5" t="s">
        <v>16</v>
      </c>
      <c r="D296" s="5" t="s">
        <v>319</v>
      </c>
      <c r="E296" s="6" t="str">
        <f>HYPERLINK("https://twitter.com/sergio_fajardo/status/1234549805785001984","1234549805785001984")</f>
        <v>1234549805785001984</v>
      </c>
      <c r="F296" s="7" t="s">
        <v>17</v>
      </c>
      <c r="G296" s="7">
        <v>1494710</v>
      </c>
      <c r="H296" s="7">
        <v>359</v>
      </c>
      <c r="I296" s="7">
        <v>264</v>
      </c>
      <c r="J296" s="7">
        <v>0</v>
      </c>
      <c r="K296" s="7" t="s">
        <v>18</v>
      </c>
      <c r="L296" s="8">
        <v>39891.213356481479</v>
      </c>
      <c r="M296" s="9" t="s">
        <v>19</v>
      </c>
      <c r="N296" s="9" t="s">
        <v>22</v>
      </c>
      <c r="O296" s="6" t="str">
        <f>HYPERLINK("https://pbs.twimg.com/profile_images/988971255679324162/jrqiIYf__normal.jpg","View")</f>
        <v>View</v>
      </c>
      <c r="P296" s="7"/>
    </row>
    <row r="297" spans="1:16">
      <c r="A297" s="3">
        <v>43893.010960648149</v>
      </c>
      <c r="B297" s="4" t="str">
        <f>HYPERLINK("https://twitter.com/sergio_fajardo","@sergio_fajardo")</f>
        <v>@sergio_fajardo</v>
      </c>
      <c r="C297" s="5" t="s">
        <v>16</v>
      </c>
      <c r="D297" s="5" t="s">
        <v>320</v>
      </c>
      <c r="E297" s="6" t="str">
        <f>HYPERLINK("https://twitter.com/sergio_fajardo/status/1234550484507267077","1234550484507267077")</f>
        <v>1234550484507267077</v>
      </c>
      <c r="F297" s="7" t="s">
        <v>17</v>
      </c>
      <c r="G297" s="7">
        <v>1494710</v>
      </c>
      <c r="H297" s="7">
        <v>359</v>
      </c>
      <c r="I297" s="7">
        <v>214</v>
      </c>
      <c r="J297" s="7">
        <v>0</v>
      </c>
      <c r="K297" s="7" t="s">
        <v>18</v>
      </c>
      <c r="L297" s="8">
        <v>39891.213356481479</v>
      </c>
      <c r="M297" s="9" t="s">
        <v>19</v>
      </c>
      <c r="N297" s="9" t="s">
        <v>22</v>
      </c>
      <c r="O297" s="6" t="str">
        <f>HYPERLINK("https://pbs.twimg.com/profile_images/988971255679324162/jrqiIYf__normal.jpg","View")</f>
        <v>View</v>
      </c>
      <c r="P297" s="7"/>
    </row>
    <row r="298" spans="1:16">
      <c r="A298" s="3">
        <v>43893.794074074074</v>
      </c>
      <c r="B298" s="4" t="str">
        <f>HYPERLINK("https://twitter.com/sergio_fajardo","@sergio_fajardo")</f>
        <v>@sergio_fajardo</v>
      </c>
      <c r="C298" s="5" t="s">
        <v>16</v>
      </c>
      <c r="D298" s="5" t="s">
        <v>321</v>
      </c>
      <c r="E298" s="6" t="str">
        <f>HYPERLINK("https://twitter.com/sergio_fajardo/status/1234834277587718145","1234834277587718145")</f>
        <v>1234834277587718145</v>
      </c>
      <c r="F298" s="7" t="s">
        <v>17</v>
      </c>
      <c r="G298" s="7">
        <v>1494824</v>
      </c>
      <c r="H298" s="7">
        <v>359</v>
      </c>
      <c r="I298" s="7">
        <v>2</v>
      </c>
      <c r="J298" s="7">
        <v>22</v>
      </c>
      <c r="K298" s="7" t="s">
        <v>18</v>
      </c>
      <c r="L298" s="8">
        <v>39891.213356481479</v>
      </c>
      <c r="M298" s="9" t="s">
        <v>19</v>
      </c>
      <c r="N298" s="9" t="s">
        <v>22</v>
      </c>
      <c r="O298" s="6" t="str">
        <f>HYPERLINK("https://pbs.twimg.com/profile_images/988971255679324162/jrqiIYf__normal.jpg","View")</f>
        <v>View</v>
      </c>
      <c r="P298" s="7"/>
    </row>
    <row r="299" spans="1:16">
      <c r="A299" s="3">
        <v>43893.81322916667</v>
      </c>
      <c r="B299" s="4" t="str">
        <f>HYPERLINK("https://twitter.com/sergio_fajardo","@sergio_fajardo")</f>
        <v>@sergio_fajardo</v>
      </c>
      <c r="C299" s="5" t="s">
        <v>16</v>
      </c>
      <c r="D299" s="5" t="s">
        <v>322</v>
      </c>
      <c r="E299" s="6" t="str">
        <f>HYPERLINK("https://twitter.com/sergio_fajardo/status/1234841220532359168","1234841220532359168")</f>
        <v>1234841220532359168</v>
      </c>
      <c r="F299" s="7" t="s">
        <v>20</v>
      </c>
      <c r="G299" s="7">
        <v>1494832</v>
      </c>
      <c r="H299" s="7">
        <v>359</v>
      </c>
      <c r="I299" s="7">
        <v>2</v>
      </c>
      <c r="J299" s="7">
        <v>12</v>
      </c>
      <c r="K299" s="7" t="s">
        <v>18</v>
      </c>
      <c r="L299" s="8">
        <v>39891.213356481479</v>
      </c>
      <c r="M299" s="9" t="s">
        <v>19</v>
      </c>
      <c r="N299" s="9" t="s">
        <v>22</v>
      </c>
      <c r="O299" s="6" t="str">
        <f>HYPERLINK("https://pbs.twimg.com/profile_images/988971255679324162/jrqiIYf__normal.jpg","View")</f>
        <v>View</v>
      </c>
      <c r="P299" s="7"/>
    </row>
    <row r="300" spans="1:16">
      <c r="A300" s="3">
        <v>43893.953796296293</v>
      </c>
      <c r="B300" s="4" t="str">
        <f>HYPERLINK("https://twitter.com/sergio_fajardo","@sergio_fajardo")</f>
        <v>@sergio_fajardo</v>
      </c>
      <c r="C300" s="5" t="s">
        <v>16</v>
      </c>
      <c r="D300" s="5" t="s">
        <v>323</v>
      </c>
      <c r="E300" s="6" t="str">
        <f>HYPERLINK("https://twitter.com/sergio_fajardo/status/1234892159519686658","1234892159519686658")</f>
        <v>1234892159519686658</v>
      </c>
      <c r="F300" s="7" t="s">
        <v>17</v>
      </c>
      <c r="G300" s="7">
        <v>1494875</v>
      </c>
      <c r="H300" s="7">
        <v>359</v>
      </c>
      <c r="I300" s="7">
        <v>7</v>
      </c>
      <c r="J300" s="7">
        <v>47</v>
      </c>
      <c r="K300" s="7" t="s">
        <v>18</v>
      </c>
      <c r="L300" s="8">
        <v>39891.213356481479</v>
      </c>
      <c r="M300" s="9" t="s">
        <v>19</v>
      </c>
      <c r="N300" s="9" t="s">
        <v>22</v>
      </c>
      <c r="O300" s="6" t="str">
        <f>HYPERLINK("https://pbs.twimg.com/profile_images/988971255679324162/jrqiIYf__normal.jpg","View")</f>
        <v>View</v>
      </c>
      <c r="P300" s="7"/>
    </row>
    <row r="301" spans="1:16">
      <c r="A301" s="3">
        <v>43894.143784722226</v>
      </c>
      <c r="B301" s="4" t="str">
        <f>HYPERLINK("https://twitter.com/sergio_fajardo","@sergio_fajardo")</f>
        <v>@sergio_fajardo</v>
      </c>
      <c r="C301" s="5" t="s">
        <v>16</v>
      </c>
      <c r="D301" s="5" t="s">
        <v>324</v>
      </c>
      <c r="E301" s="6" t="str">
        <f>HYPERLINK("https://twitter.com/sergio_fajardo/status/1234961009363898370","1234961009363898370")</f>
        <v>1234961009363898370</v>
      </c>
      <c r="F301" s="7" t="s">
        <v>20</v>
      </c>
      <c r="G301" s="7">
        <v>1494895</v>
      </c>
      <c r="H301" s="7">
        <v>359</v>
      </c>
      <c r="I301" s="7">
        <v>30</v>
      </c>
      <c r="J301" s="7">
        <v>0</v>
      </c>
      <c r="K301" s="7" t="s">
        <v>18</v>
      </c>
      <c r="L301" s="8">
        <v>39891.213356481479</v>
      </c>
      <c r="M301" s="9" t="s">
        <v>19</v>
      </c>
      <c r="N301" s="9" t="s">
        <v>22</v>
      </c>
      <c r="O301" s="6" t="str">
        <f>HYPERLINK("https://pbs.twimg.com/profile_images/988971255679324162/jrqiIYf__normal.jpg","View")</f>
        <v>View</v>
      </c>
      <c r="P301" s="7"/>
    </row>
    <row r="302" spans="1:16">
      <c r="A302" s="3">
        <v>43894.185277777782</v>
      </c>
      <c r="B302" s="4" t="str">
        <f>HYPERLINK("https://twitter.com/sergio_fajardo","@sergio_fajardo")</f>
        <v>@sergio_fajardo</v>
      </c>
      <c r="C302" s="5" t="s">
        <v>16</v>
      </c>
      <c r="D302" s="5" t="s">
        <v>325</v>
      </c>
      <c r="E302" s="6" t="str">
        <f>HYPERLINK("https://twitter.com/sergio_fajardo/status/1234976045469618176","1234976045469618176")</f>
        <v>1234976045469618176</v>
      </c>
      <c r="F302" s="7" t="s">
        <v>17</v>
      </c>
      <c r="G302" s="7">
        <v>1494903</v>
      </c>
      <c r="H302" s="7">
        <v>359</v>
      </c>
      <c r="I302" s="7">
        <v>1</v>
      </c>
      <c r="J302" s="7">
        <v>19</v>
      </c>
      <c r="K302" s="7" t="s">
        <v>18</v>
      </c>
      <c r="L302" s="8">
        <v>39891.213356481479</v>
      </c>
      <c r="M302" s="9" t="s">
        <v>19</v>
      </c>
      <c r="N302" s="9" t="s">
        <v>22</v>
      </c>
      <c r="O302" s="6" t="str">
        <f>HYPERLINK("https://pbs.twimg.com/profile_images/988971255679324162/jrqiIYf__normal.jpg","View")</f>
        <v>View</v>
      </c>
      <c r="P302" s="7"/>
    </row>
    <row r="303" spans="1:16">
      <c r="A303" s="3">
        <v>43894.232060185182</v>
      </c>
      <c r="B303" s="4" t="str">
        <f>HYPERLINK("https://twitter.com/sergio_fajardo","@sergio_fajardo")</f>
        <v>@sergio_fajardo</v>
      </c>
      <c r="C303" s="5" t="s">
        <v>16</v>
      </c>
      <c r="D303" s="5" t="s">
        <v>326</v>
      </c>
      <c r="E303" s="6" t="str">
        <f>HYPERLINK("https://twitter.com/sergio_fajardo/status/1234992997948805121","1234992997948805121")</f>
        <v>1234992997948805121</v>
      </c>
      <c r="F303" s="7" t="s">
        <v>17</v>
      </c>
      <c r="G303" s="7">
        <v>1494916</v>
      </c>
      <c r="H303" s="7">
        <v>359</v>
      </c>
      <c r="I303" s="7">
        <v>1</v>
      </c>
      <c r="J303" s="7">
        <v>18</v>
      </c>
      <c r="K303" s="7" t="s">
        <v>18</v>
      </c>
      <c r="L303" s="8">
        <v>39891.213356481479</v>
      </c>
      <c r="M303" s="9" t="s">
        <v>19</v>
      </c>
      <c r="N303" s="9" t="s">
        <v>22</v>
      </c>
      <c r="O303" s="6" t="str">
        <f>HYPERLINK("https://pbs.twimg.com/profile_images/988971255679324162/jrqiIYf__normal.jpg","View")</f>
        <v>View</v>
      </c>
      <c r="P303" s="7"/>
    </row>
    <row r="304" spans="1:16">
      <c r="A304" s="3">
        <v>43894.234282407408</v>
      </c>
      <c r="B304" s="4" t="str">
        <f>HYPERLINK("https://twitter.com/sergio_fajardo","@sergio_fajardo")</f>
        <v>@sergio_fajardo</v>
      </c>
      <c r="C304" s="5" t="s">
        <v>16</v>
      </c>
      <c r="D304" s="5" t="s">
        <v>327</v>
      </c>
      <c r="E304" s="6" t="str">
        <f>HYPERLINK("https://twitter.com/sergio_fajardo/status/1234993801535442944","1234993801535442944")</f>
        <v>1234993801535442944</v>
      </c>
      <c r="F304" s="7" t="s">
        <v>17</v>
      </c>
      <c r="G304" s="7">
        <v>1494916</v>
      </c>
      <c r="H304" s="7">
        <v>359</v>
      </c>
      <c r="I304" s="7">
        <v>9</v>
      </c>
      <c r="J304" s="7">
        <v>0</v>
      </c>
      <c r="K304" s="7" t="s">
        <v>18</v>
      </c>
      <c r="L304" s="8">
        <v>39891.213356481479</v>
      </c>
      <c r="M304" s="9" t="s">
        <v>19</v>
      </c>
      <c r="N304" s="9" t="s">
        <v>22</v>
      </c>
      <c r="O304" s="6" t="str">
        <f>HYPERLINK("https://pbs.twimg.com/profile_images/988971255679324162/jrqiIYf__normal.jpg","View")</f>
        <v>View</v>
      </c>
      <c r="P304" s="7"/>
    </row>
    <row r="305" spans="1:16">
      <c r="A305" s="3">
        <v>43894.236574074079</v>
      </c>
      <c r="B305" s="4" t="str">
        <f>HYPERLINK("https://twitter.com/sergio_fajardo","@sergio_fajardo")</f>
        <v>@sergio_fajardo</v>
      </c>
      <c r="C305" s="5" t="s">
        <v>16</v>
      </c>
      <c r="D305" s="5" t="s">
        <v>328</v>
      </c>
      <c r="E305" s="6" t="str">
        <f>HYPERLINK("https://twitter.com/sergio_fajardo/status/1234994634197061632","1234994634197061632")</f>
        <v>1234994634197061632</v>
      </c>
      <c r="F305" s="7" t="s">
        <v>17</v>
      </c>
      <c r="G305" s="7">
        <v>1494916</v>
      </c>
      <c r="H305" s="7">
        <v>359</v>
      </c>
      <c r="I305" s="7">
        <v>272</v>
      </c>
      <c r="J305" s="7">
        <v>0</v>
      </c>
      <c r="K305" s="7" t="s">
        <v>18</v>
      </c>
      <c r="L305" s="8">
        <v>39891.213356481479</v>
      </c>
      <c r="M305" s="9" t="s">
        <v>19</v>
      </c>
      <c r="N305" s="9" t="s">
        <v>22</v>
      </c>
      <c r="O305" s="6" t="str">
        <f>HYPERLINK("https://pbs.twimg.com/profile_images/988971255679324162/jrqiIYf__normal.jpg","View")</f>
        <v>View</v>
      </c>
      <c r="P305" s="7"/>
    </row>
    <row r="306" spans="1:16">
      <c r="A306" s="3">
        <v>43894.903703703705</v>
      </c>
      <c r="B306" s="4" t="str">
        <f>HYPERLINK("https://twitter.com/sergio_fajardo","@sergio_fajardo")</f>
        <v>@sergio_fajardo</v>
      </c>
      <c r="C306" s="5" t="s">
        <v>16</v>
      </c>
      <c r="D306" s="5" t="s">
        <v>329</v>
      </c>
      <c r="E306" s="6" t="str">
        <f>HYPERLINK("https://twitter.com/sergio_fajardo/status/1235236392059404292","1235236392059404292")</f>
        <v>1235236392059404292</v>
      </c>
      <c r="F306" s="7" t="s">
        <v>20</v>
      </c>
      <c r="G306" s="7">
        <v>1495039</v>
      </c>
      <c r="H306" s="7">
        <v>359</v>
      </c>
      <c r="I306" s="7">
        <v>6</v>
      </c>
      <c r="J306" s="7">
        <v>12</v>
      </c>
      <c r="K306" s="7" t="s">
        <v>18</v>
      </c>
      <c r="L306" s="8">
        <v>39891.213356481479</v>
      </c>
      <c r="M306" s="9" t="s">
        <v>19</v>
      </c>
      <c r="N306" s="9" t="s">
        <v>22</v>
      </c>
      <c r="O306" s="6" t="str">
        <f>HYPERLINK("https://pbs.twimg.com/profile_images/988971255679324162/jrqiIYf__normal.jpg","View")</f>
        <v>View</v>
      </c>
      <c r="P306" s="7"/>
    </row>
    <row r="307" spans="1:16">
      <c r="A307" s="3">
        <v>43894.973715277782</v>
      </c>
      <c r="B307" s="4" t="str">
        <f>HYPERLINK("https://twitter.com/sergio_fajardo","@sergio_fajardo")</f>
        <v>@sergio_fajardo</v>
      </c>
      <c r="C307" s="5" t="s">
        <v>16</v>
      </c>
      <c r="D307" s="5" t="s">
        <v>330</v>
      </c>
      <c r="E307" s="6" t="str">
        <f>HYPERLINK("https://twitter.com/sergio_fajardo/status/1235261764331352066","1235261764331352066")</f>
        <v>1235261764331352066</v>
      </c>
      <c r="F307" s="7" t="s">
        <v>17</v>
      </c>
      <c r="G307" s="7">
        <v>1495082</v>
      </c>
      <c r="H307" s="7">
        <v>359</v>
      </c>
      <c r="I307" s="7">
        <v>7</v>
      </c>
      <c r="J307" s="7">
        <v>31</v>
      </c>
      <c r="K307" s="7" t="s">
        <v>18</v>
      </c>
      <c r="L307" s="8">
        <v>39891.213356481479</v>
      </c>
      <c r="M307" s="9" t="s">
        <v>19</v>
      </c>
      <c r="N307" s="9" t="s">
        <v>22</v>
      </c>
      <c r="O307" s="6" t="str">
        <f>HYPERLINK("https://pbs.twimg.com/profile_images/988971255679324162/jrqiIYf__normal.jpg","View")</f>
        <v>View</v>
      </c>
      <c r="P307" s="7"/>
    </row>
    <row r="308" spans="1:16">
      <c r="A308" s="3">
        <v>43895.040671296301</v>
      </c>
      <c r="B308" s="4" t="str">
        <f>HYPERLINK("https://twitter.com/sergio_fajardo","@sergio_fajardo")</f>
        <v>@sergio_fajardo</v>
      </c>
      <c r="C308" s="5" t="s">
        <v>16</v>
      </c>
      <c r="D308" s="5" t="s">
        <v>331</v>
      </c>
      <c r="E308" s="6" t="str">
        <f>HYPERLINK("https://twitter.com/sergio_fajardo/status/1235286029965373440","1235286029965373440")</f>
        <v>1235286029965373440</v>
      </c>
      <c r="F308" s="7" t="s">
        <v>17</v>
      </c>
      <c r="G308" s="7">
        <v>1495097</v>
      </c>
      <c r="H308" s="7">
        <v>359</v>
      </c>
      <c r="I308" s="7">
        <v>3</v>
      </c>
      <c r="J308" s="7">
        <v>21</v>
      </c>
      <c r="K308" s="7" t="s">
        <v>18</v>
      </c>
      <c r="L308" s="8">
        <v>39891.213356481479</v>
      </c>
      <c r="M308" s="9" t="s">
        <v>19</v>
      </c>
      <c r="N308" s="9" t="s">
        <v>22</v>
      </c>
      <c r="O308" s="6" t="str">
        <f>HYPERLINK("https://pbs.twimg.com/profile_images/988971255679324162/jrqiIYf__normal.jpg","View")</f>
        <v>View</v>
      </c>
      <c r="P308" s="7"/>
    </row>
    <row r="309" spans="1:16">
      <c r="A309" s="3">
        <v>43895.206655092596</v>
      </c>
      <c r="B309" s="4" t="str">
        <f>HYPERLINK("https://twitter.com/sergio_fajardo","@sergio_fajardo")</f>
        <v>@sergio_fajardo</v>
      </c>
      <c r="C309" s="5" t="s">
        <v>16</v>
      </c>
      <c r="D309" s="5" t="s">
        <v>332</v>
      </c>
      <c r="E309" s="6" t="str">
        <f>HYPERLINK("https://twitter.com/sergio_fajardo/status/1235346179011076097","1235346179011076097")</f>
        <v>1235346179011076097</v>
      </c>
      <c r="F309" s="7" t="s">
        <v>17</v>
      </c>
      <c r="G309" s="7">
        <v>1495160</v>
      </c>
      <c r="H309" s="7">
        <v>359</v>
      </c>
      <c r="I309" s="7">
        <v>2</v>
      </c>
      <c r="J309" s="7">
        <v>12</v>
      </c>
      <c r="K309" s="7" t="s">
        <v>18</v>
      </c>
      <c r="L309" s="8">
        <v>39891.213356481479</v>
      </c>
      <c r="M309" s="9" t="s">
        <v>19</v>
      </c>
      <c r="N309" s="9" t="s">
        <v>22</v>
      </c>
      <c r="O309" s="6" t="str">
        <f>HYPERLINK("https://pbs.twimg.com/profile_images/988971255679324162/jrqiIYf__normal.jpg","View")</f>
        <v>View</v>
      </c>
      <c r="P309" s="7"/>
    </row>
    <row r="310" spans="1:16">
      <c r="A310" s="3">
        <v>43895.726122685184</v>
      </c>
      <c r="B310" s="4" t="str">
        <f>HYPERLINK("https://twitter.com/sergio_fajardo","@sergio_fajardo")</f>
        <v>@sergio_fajardo</v>
      </c>
      <c r="C310" s="5" t="s">
        <v>16</v>
      </c>
      <c r="D310" s="5" t="s">
        <v>333</v>
      </c>
      <c r="E310" s="6" t="str">
        <f>HYPERLINK("https://twitter.com/sergio_fajardo/status/1235534428840923137","1235534428840923137")</f>
        <v>1235534428840923137</v>
      </c>
      <c r="F310" s="7" t="s">
        <v>20</v>
      </c>
      <c r="G310" s="7">
        <v>1495236</v>
      </c>
      <c r="H310" s="7">
        <v>359</v>
      </c>
      <c r="I310" s="7">
        <v>5</v>
      </c>
      <c r="J310" s="7">
        <v>18</v>
      </c>
      <c r="K310" s="7" t="s">
        <v>18</v>
      </c>
      <c r="L310" s="8">
        <v>39891.213356481479</v>
      </c>
      <c r="M310" s="9" t="s">
        <v>19</v>
      </c>
      <c r="N310" s="9" t="s">
        <v>22</v>
      </c>
      <c r="O310" s="6" t="str">
        <f>HYPERLINK("https://pbs.twimg.com/profile_images/988971255679324162/jrqiIYf__normal.jpg","View")</f>
        <v>View</v>
      </c>
      <c r="P310" s="7"/>
    </row>
    <row r="311" spans="1:16">
      <c r="A311" s="3">
        <v>43895.958611111113</v>
      </c>
      <c r="B311" s="4" t="str">
        <f>HYPERLINK("https://twitter.com/sergio_fajardo","@sergio_fajardo")</f>
        <v>@sergio_fajardo</v>
      </c>
      <c r="C311" s="5" t="s">
        <v>16</v>
      </c>
      <c r="D311" s="5" t="s">
        <v>334</v>
      </c>
      <c r="E311" s="6" t="str">
        <f>HYPERLINK("https://twitter.com/sergio_fajardo/status/1235618677535281152","1235618677535281152")</f>
        <v>1235618677535281152</v>
      </c>
      <c r="F311" s="7" t="s">
        <v>17</v>
      </c>
      <c r="G311" s="7">
        <v>1495311</v>
      </c>
      <c r="H311" s="7">
        <v>359</v>
      </c>
      <c r="I311" s="7">
        <v>309</v>
      </c>
      <c r="J311" s="7">
        <v>0</v>
      </c>
      <c r="K311" s="7" t="s">
        <v>18</v>
      </c>
      <c r="L311" s="8">
        <v>39891.213356481479</v>
      </c>
      <c r="M311" s="9" t="s">
        <v>19</v>
      </c>
      <c r="N311" s="9" t="s">
        <v>22</v>
      </c>
      <c r="O311" s="6" t="str">
        <f>HYPERLINK("https://pbs.twimg.com/profile_images/988971255679324162/jrqiIYf__normal.jpg","View")</f>
        <v>View</v>
      </c>
      <c r="P311" s="7"/>
    </row>
    <row r="312" spans="1:16">
      <c r="A312" s="3">
        <v>43895.992083333331</v>
      </c>
      <c r="B312" s="4" t="str">
        <f>HYPERLINK("https://twitter.com/sergio_fajardo","@sergio_fajardo")</f>
        <v>@sergio_fajardo</v>
      </c>
      <c r="C312" s="5" t="s">
        <v>16</v>
      </c>
      <c r="D312" s="5" t="s">
        <v>335</v>
      </c>
      <c r="E312" s="6" t="str">
        <f>HYPERLINK("https://twitter.com/sergio_fajardo/status/1235630811015081984","1235630811015081984")</f>
        <v>1235630811015081984</v>
      </c>
      <c r="F312" s="7" t="s">
        <v>17</v>
      </c>
      <c r="G312" s="7">
        <v>1495330</v>
      </c>
      <c r="H312" s="7">
        <v>359</v>
      </c>
      <c r="I312" s="7">
        <v>15</v>
      </c>
      <c r="J312" s="7">
        <v>0</v>
      </c>
      <c r="K312" s="7" t="s">
        <v>18</v>
      </c>
      <c r="L312" s="8">
        <v>39891.213356481479</v>
      </c>
      <c r="M312" s="9" t="s">
        <v>19</v>
      </c>
      <c r="N312" s="9" t="s">
        <v>22</v>
      </c>
      <c r="O312" s="6" t="str">
        <f>HYPERLINK("https://pbs.twimg.com/profile_images/988971255679324162/jrqiIYf__normal.jpg","View")</f>
        <v>View</v>
      </c>
      <c r="P312" s="7"/>
    </row>
    <row r="313" spans="1:16">
      <c r="A313" s="3">
        <v>43896.236493055556</v>
      </c>
      <c r="B313" s="4" t="str">
        <f>HYPERLINK("https://twitter.com/sergio_fajardo","@sergio_fajardo")</f>
        <v>@sergio_fajardo</v>
      </c>
      <c r="C313" s="5" t="s">
        <v>16</v>
      </c>
      <c r="D313" s="5" t="s">
        <v>336</v>
      </c>
      <c r="E313" s="6" t="str">
        <f>HYPERLINK("https://twitter.com/sergio_fajardo/status/1235719380693991425","1235719380693991425")</f>
        <v>1235719380693991425</v>
      </c>
      <c r="F313" s="7" t="s">
        <v>17</v>
      </c>
      <c r="G313" s="7">
        <v>1495383</v>
      </c>
      <c r="H313" s="7">
        <v>359</v>
      </c>
      <c r="I313" s="7">
        <v>6</v>
      </c>
      <c r="J313" s="7">
        <v>0</v>
      </c>
      <c r="K313" s="7" t="s">
        <v>18</v>
      </c>
      <c r="L313" s="8">
        <v>39891.213356481479</v>
      </c>
      <c r="M313" s="9" t="s">
        <v>19</v>
      </c>
      <c r="N313" s="9" t="s">
        <v>22</v>
      </c>
      <c r="O313" s="6" t="str">
        <f>HYPERLINK("https://pbs.twimg.com/profile_images/988971255679324162/jrqiIYf__normal.jpg","View")</f>
        <v>View</v>
      </c>
      <c r="P313" s="7"/>
    </row>
    <row r="314" spans="1:16">
      <c r="A314" s="3">
        <v>43896.241041666668</v>
      </c>
      <c r="B314" s="4" t="str">
        <f>HYPERLINK("https://twitter.com/sergio_fajardo","@sergio_fajardo")</f>
        <v>@sergio_fajardo</v>
      </c>
      <c r="C314" s="5" t="s">
        <v>16</v>
      </c>
      <c r="D314" s="5" t="s">
        <v>337</v>
      </c>
      <c r="E314" s="6" t="str">
        <f>HYPERLINK("https://twitter.com/sergio_fajardo/status/1235721030414602240","1235721030414602240")</f>
        <v>1235721030414602240</v>
      </c>
      <c r="F314" s="7" t="s">
        <v>17</v>
      </c>
      <c r="G314" s="7">
        <v>1495383</v>
      </c>
      <c r="H314" s="7">
        <v>359</v>
      </c>
      <c r="I314" s="7">
        <v>0</v>
      </c>
      <c r="J314" s="7">
        <v>1</v>
      </c>
      <c r="K314" s="7" t="s">
        <v>18</v>
      </c>
      <c r="L314" s="8">
        <v>39891.213356481479</v>
      </c>
      <c r="M314" s="9" t="s">
        <v>19</v>
      </c>
      <c r="N314" s="9" t="s">
        <v>22</v>
      </c>
      <c r="O314" s="6" t="str">
        <f>HYPERLINK("https://pbs.twimg.com/profile_images/988971255679324162/jrqiIYf__normal.jpg","View")</f>
        <v>View</v>
      </c>
      <c r="P314" s="7"/>
    </row>
    <row r="315" spans="1:16">
      <c r="A315" s="3">
        <v>43896.269849537042</v>
      </c>
      <c r="B315" s="4" t="str">
        <f>HYPERLINK("https://twitter.com/sergio_fajardo","@sergio_fajardo")</f>
        <v>@sergio_fajardo</v>
      </c>
      <c r="C315" s="5" t="s">
        <v>16</v>
      </c>
      <c r="D315" s="5" t="s">
        <v>338</v>
      </c>
      <c r="E315" s="6" t="str">
        <f>HYPERLINK("https://twitter.com/sergio_fajardo/status/1235731469882060800","1235731469882060800")</f>
        <v>1235731469882060800</v>
      </c>
      <c r="F315" s="7" t="s">
        <v>17</v>
      </c>
      <c r="G315" s="7">
        <v>1495387</v>
      </c>
      <c r="H315" s="7">
        <v>359</v>
      </c>
      <c r="I315" s="7">
        <v>28</v>
      </c>
      <c r="J315" s="7">
        <v>0</v>
      </c>
      <c r="K315" s="7" t="s">
        <v>18</v>
      </c>
      <c r="L315" s="8">
        <v>39891.213356481479</v>
      </c>
      <c r="M315" s="9" t="s">
        <v>19</v>
      </c>
      <c r="N315" s="9" t="s">
        <v>22</v>
      </c>
      <c r="O315" s="6" t="str">
        <f>HYPERLINK("https://pbs.twimg.com/profile_images/988971255679324162/jrqiIYf__normal.jpg","View")</f>
        <v>View</v>
      </c>
      <c r="P315" s="7"/>
    </row>
    <row r="316" spans="1:16">
      <c r="A316" s="3">
        <v>43896.759097222224</v>
      </c>
      <c r="B316" s="4" t="str">
        <f>HYPERLINK("https://twitter.com/sergio_fajardo","@sergio_fajardo")</f>
        <v>@sergio_fajardo</v>
      </c>
      <c r="C316" s="5" t="s">
        <v>16</v>
      </c>
      <c r="D316" s="5" t="s">
        <v>339</v>
      </c>
      <c r="E316" s="6" t="str">
        <f>HYPERLINK("https://twitter.com/sergio_fajardo/status/1235908766954131456","1235908766954131456")</f>
        <v>1235908766954131456</v>
      </c>
      <c r="F316" s="7" t="s">
        <v>20</v>
      </c>
      <c r="G316" s="7">
        <v>1495433</v>
      </c>
      <c r="H316" s="7">
        <v>359</v>
      </c>
      <c r="I316" s="7">
        <v>1</v>
      </c>
      <c r="J316" s="7">
        <v>7</v>
      </c>
      <c r="K316" s="7" t="s">
        <v>18</v>
      </c>
      <c r="L316" s="8">
        <v>39891.213356481479</v>
      </c>
      <c r="M316" s="9" t="s">
        <v>19</v>
      </c>
      <c r="N316" s="9" t="s">
        <v>22</v>
      </c>
      <c r="O316" s="6" t="str">
        <f>HYPERLINK("https://pbs.twimg.com/profile_images/988971255679324162/jrqiIYf__normal.jpg","View")</f>
        <v>View</v>
      </c>
      <c r="P316" s="7"/>
    </row>
    <row r="317" spans="1:16">
      <c r="A317" s="3">
        <v>43896.974999999999</v>
      </c>
      <c r="B317" s="4" t="str">
        <f>HYPERLINK("https://twitter.com/sergio_fajardo","@sergio_fajardo")</f>
        <v>@sergio_fajardo</v>
      </c>
      <c r="C317" s="5" t="s">
        <v>16</v>
      </c>
      <c r="D317" s="5" t="s">
        <v>340</v>
      </c>
      <c r="E317" s="6" t="str">
        <f>HYPERLINK("https://twitter.com/sergio_fajardo/status/1235987007605784576","1235987007605784576")</f>
        <v>1235987007605784576</v>
      </c>
      <c r="F317" s="7" t="s">
        <v>17</v>
      </c>
      <c r="G317" s="7">
        <v>1495498</v>
      </c>
      <c r="H317" s="7">
        <v>359</v>
      </c>
      <c r="I317" s="7">
        <v>10</v>
      </c>
      <c r="J317" s="7">
        <v>26</v>
      </c>
      <c r="K317" s="7" t="s">
        <v>18</v>
      </c>
      <c r="L317" s="8">
        <v>39891.213356481479</v>
      </c>
      <c r="M317" s="9" t="s">
        <v>19</v>
      </c>
      <c r="N317" s="9" t="s">
        <v>22</v>
      </c>
      <c r="O317" s="6" t="str">
        <f>HYPERLINK("https://pbs.twimg.com/profile_images/988971255679324162/jrqiIYf__normal.jpg","View")</f>
        <v>View</v>
      </c>
      <c r="P317" s="7"/>
    </row>
    <row r="318" spans="1:16">
      <c r="A318" s="3">
        <v>43897.927407407406</v>
      </c>
      <c r="B318" s="4" t="str">
        <f>HYPERLINK("https://twitter.com/sergio_fajardo","@sergio_fajardo")</f>
        <v>@sergio_fajardo</v>
      </c>
      <c r="C318" s="5" t="s">
        <v>16</v>
      </c>
      <c r="D318" s="5" t="s">
        <v>341</v>
      </c>
      <c r="E318" s="6" t="str">
        <f>HYPERLINK("https://twitter.com/sergio_fajardo/status/1236332147407011842","1236332147407011842")</f>
        <v>1236332147407011842</v>
      </c>
      <c r="F318" s="7" t="s">
        <v>17</v>
      </c>
      <c r="G318" s="7">
        <v>1495757</v>
      </c>
      <c r="H318" s="7">
        <v>359</v>
      </c>
      <c r="I318" s="7">
        <v>10</v>
      </c>
      <c r="J318" s="7">
        <v>35</v>
      </c>
      <c r="K318" s="7" t="s">
        <v>18</v>
      </c>
      <c r="L318" s="8">
        <v>39891.213356481479</v>
      </c>
      <c r="M318" s="9" t="s">
        <v>19</v>
      </c>
      <c r="N318" s="9" t="s">
        <v>22</v>
      </c>
      <c r="O318" s="6" t="str">
        <f>HYPERLINK("https://pbs.twimg.com/profile_images/988971255679324162/jrqiIYf__normal.jpg","View")</f>
        <v>View</v>
      </c>
      <c r="P318" s="7"/>
    </row>
    <row r="319" spans="1:16">
      <c r="A319" s="3">
        <v>43897.93550925926</v>
      </c>
      <c r="B319" s="4" t="str">
        <f>HYPERLINK("https://twitter.com/sergio_fajardo","@sergio_fajardo")</f>
        <v>@sergio_fajardo</v>
      </c>
      <c r="C319" s="5" t="s">
        <v>16</v>
      </c>
      <c r="D319" s="5" t="s">
        <v>342</v>
      </c>
      <c r="E319" s="6" t="str">
        <f>HYPERLINK("https://twitter.com/sergio_fajardo/status/1236335082828451840","1236335082828451840")</f>
        <v>1236335082828451840</v>
      </c>
      <c r="F319" s="7" t="s">
        <v>17</v>
      </c>
      <c r="G319" s="7">
        <v>1495760</v>
      </c>
      <c r="H319" s="7">
        <v>359</v>
      </c>
      <c r="I319" s="7">
        <v>119</v>
      </c>
      <c r="J319" s="7">
        <v>0</v>
      </c>
      <c r="K319" s="7" t="s">
        <v>18</v>
      </c>
      <c r="L319" s="8">
        <v>39891.213356481479</v>
      </c>
      <c r="M319" s="9" t="s">
        <v>19</v>
      </c>
      <c r="N319" s="9" t="s">
        <v>22</v>
      </c>
      <c r="O319" s="6" t="str">
        <f>HYPERLINK("https://pbs.twimg.com/profile_images/988971255679324162/jrqiIYf__normal.jpg","View")</f>
        <v>View</v>
      </c>
      <c r="P319" s="7"/>
    </row>
    <row r="320" spans="1:16">
      <c r="A320" s="3">
        <v>43897.935752314814</v>
      </c>
      <c r="B320" s="4" t="str">
        <f>HYPERLINK("https://twitter.com/sergio_fajardo","@sergio_fajardo")</f>
        <v>@sergio_fajardo</v>
      </c>
      <c r="C320" s="5" t="s">
        <v>16</v>
      </c>
      <c r="D320" s="5" t="s">
        <v>343</v>
      </c>
      <c r="E320" s="6" t="str">
        <f>HYPERLINK("https://twitter.com/sergio_fajardo/status/1236335169738588160","1236335169738588160")</f>
        <v>1236335169738588160</v>
      </c>
      <c r="F320" s="7" t="s">
        <v>17</v>
      </c>
      <c r="G320" s="7">
        <v>1495760</v>
      </c>
      <c r="H320" s="7">
        <v>359</v>
      </c>
      <c r="I320" s="7">
        <v>7</v>
      </c>
      <c r="J320" s="7">
        <v>0</v>
      </c>
      <c r="K320" s="7" t="s">
        <v>18</v>
      </c>
      <c r="L320" s="8">
        <v>39891.213356481479</v>
      </c>
      <c r="M320" s="9" t="s">
        <v>19</v>
      </c>
      <c r="N320" s="9" t="s">
        <v>22</v>
      </c>
      <c r="O320" s="6" t="str">
        <f>HYPERLINK("https://pbs.twimg.com/profile_images/988971255679324162/jrqiIYf__normal.jpg","View")</f>
        <v>View</v>
      </c>
      <c r="P320" s="7"/>
    </row>
    <row r="321" spans="1:16">
      <c r="A321" s="3">
        <v>43897.97729166667</v>
      </c>
      <c r="B321" s="4" t="str">
        <f>HYPERLINK("https://twitter.com/sergio_fajardo","@sergio_fajardo")</f>
        <v>@sergio_fajardo</v>
      </c>
      <c r="C321" s="5" t="s">
        <v>16</v>
      </c>
      <c r="D321" s="5" t="s">
        <v>344</v>
      </c>
      <c r="E321" s="6" t="str">
        <f>HYPERLINK("https://twitter.com/sergio_fajardo/status/1236350224148377600","1236350224148377600")</f>
        <v>1236350224148377600</v>
      </c>
      <c r="F321" s="7" t="s">
        <v>17</v>
      </c>
      <c r="G321" s="7">
        <v>1495766</v>
      </c>
      <c r="H321" s="7">
        <v>360</v>
      </c>
      <c r="I321" s="7">
        <v>997</v>
      </c>
      <c r="J321" s="7">
        <v>0</v>
      </c>
      <c r="K321" s="7" t="s">
        <v>18</v>
      </c>
      <c r="L321" s="8">
        <v>39891.213356481479</v>
      </c>
      <c r="M321" s="9" t="s">
        <v>19</v>
      </c>
      <c r="N321" s="9" t="s">
        <v>22</v>
      </c>
      <c r="O321" s="6" t="str">
        <f>HYPERLINK("https://pbs.twimg.com/profile_images/988971255679324162/jrqiIYf__normal.jpg","View")</f>
        <v>View</v>
      </c>
      <c r="P321" s="7"/>
    </row>
    <row r="322" spans="1:16">
      <c r="A322" s="3">
        <v>43897.978321759263</v>
      </c>
      <c r="B322" s="4" t="str">
        <f>HYPERLINK("https://twitter.com/sergio_fajardo","@sergio_fajardo")</f>
        <v>@sergio_fajardo</v>
      </c>
      <c r="C322" s="5" t="s">
        <v>16</v>
      </c>
      <c r="D322" s="5" t="s">
        <v>345</v>
      </c>
      <c r="E322" s="6" t="str">
        <f>HYPERLINK("https://twitter.com/sergio_fajardo/status/1236350596850094088","1236350596850094088")</f>
        <v>1236350596850094088</v>
      </c>
      <c r="F322" s="7" t="s">
        <v>17</v>
      </c>
      <c r="G322" s="7">
        <v>1495766</v>
      </c>
      <c r="H322" s="7">
        <v>360</v>
      </c>
      <c r="I322" s="7">
        <v>55</v>
      </c>
      <c r="J322" s="7">
        <v>0</v>
      </c>
      <c r="K322" s="7" t="s">
        <v>18</v>
      </c>
      <c r="L322" s="8">
        <v>39891.213356481479</v>
      </c>
      <c r="M322" s="9" t="s">
        <v>19</v>
      </c>
      <c r="N322" s="9" t="s">
        <v>22</v>
      </c>
      <c r="O322" s="6" t="str">
        <f>HYPERLINK("https://pbs.twimg.com/profile_images/988971255679324162/jrqiIYf__normal.jpg","View")</f>
        <v>View</v>
      </c>
      <c r="P322" s="7"/>
    </row>
    <row r="323" spans="1:16">
      <c r="A323" s="3">
        <v>43898.737141203703</v>
      </c>
      <c r="B323" s="4" t="str">
        <f>HYPERLINK("https://twitter.com/sergio_fajardo","@sergio_fajardo")</f>
        <v>@sergio_fajardo</v>
      </c>
      <c r="C323" s="5" t="s">
        <v>16</v>
      </c>
      <c r="D323" s="5" t="s">
        <v>346</v>
      </c>
      <c r="E323" s="6" t="str">
        <f>HYPERLINK("https://twitter.com/sergio_fajardo/status/1236625586237341698","1236625586237341698")</f>
        <v>1236625586237341698</v>
      </c>
      <c r="F323" s="7" t="s">
        <v>17</v>
      </c>
      <c r="G323" s="7">
        <v>1495810</v>
      </c>
      <c r="H323" s="7">
        <v>360</v>
      </c>
      <c r="I323" s="7">
        <v>39</v>
      </c>
      <c r="J323" s="7">
        <v>0</v>
      </c>
      <c r="K323" s="7" t="s">
        <v>18</v>
      </c>
      <c r="L323" s="8">
        <v>39891.213356481479</v>
      </c>
      <c r="M323" s="9" t="s">
        <v>19</v>
      </c>
      <c r="N323" s="9" t="s">
        <v>22</v>
      </c>
      <c r="O323" s="6" t="str">
        <f>HYPERLINK("https://pbs.twimg.com/profile_images/988971255679324162/jrqiIYf__normal.jpg","View")</f>
        <v>View</v>
      </c>
      <c r="P323" s="7"/>
    </row>
    <row r="324" spans="1:16">
      <c r="A324" s="3">
        <v>43898.737685185188</v>
      </c>
      <c r="B324" s="4" t="str">
        <f>HYPERLINK("https://twitter.com/sergio_fajardo","@sergio_fajardo")</f>
        <v>@sergio_fajardo</v>
      </c>
      <c r="C324" s="5" t="s">
        <v>16</v>
      </c>
      <c r="D324" s="5" t="s">
        <v>347</v>
      </c>
      <c r="E324" s="6" t="str">
        <f>HYPERLINK("https://twitter.com/sergio_fajardo/status/1236625782564442114","1236625782564442114")</f>
        <v>1236625782564442114</v>
      </c>
      <c r="F324" s="7" t="s">
        <v>17</v>
      </c>
      <c r="G324" s="7">
        <v>1495810</v>
      </c>
      <c r="H324" s="7">
        <v>360</v>
      </c>
      <c r="I324" s="7">
        <v>15</v>
      </c>
      <c r="J324" s="7">
        <v>0</v>
      </c>
      <c r="K324" s="7" t="s">
        <v>18</v>
      </c>
      <c r="L324" s="8">
        <v>39891.213356481479</v>
      </c>
      <c r="M324" s="9" t="s">
        <v>19</v>
      </c>
      <c r="N324" s="9" t="s">
        <v>22</v>
      </c>
      <c r="O324" s="6" t="str">
        <f>HYPERLINK("https://pbs.twimg.com/profile_images/988971255679324162/jrqiIYf__normal.jpg","View")</f>
        <v>View</v>
      </c>
      <c r="P324" s="7"/>
    </row>
    <row r="325" spans="1:16">
      <c r="A325" s="3">
        <v>43898.738391203704</v>
      </c>
      <c r="B325" s="4" t="str">
        <f>HYPERLINK("https://twitter.com/sergio_fajardo","@sergio_fajardo")</f>
        <v>@sergio_fajardo</v>
      </c>
      <c r="C325" s="5" t="s">
        <v>16</v>
      </c>
      <c r="D325" s="5" t="s">
        <v>348</v>
      </c>
      <c r="E325" s="6" t="str">
        <f>HYPERLINK("https://twitter.com/sergio_fajardo/status/1236626037066403851","1236626037066403851")</f>
        <v>1236626037066403851</v>
      </c>
      <c r="F325" s="7" t="s">
        <v>17</v>
      </c>
      <c r="G325" s="7">
        <v>1495810</v>
      </c>
      <c r="H325" s="7">
        <v>360</v>
      </c>
      <c r="I325" s="7">
        <v>932</v>
      </c>
      <c r="J325" s="7">
        <v>0</v>
      </c>
      <c r="K325" s="7" t="s">
        <v>18</v>
      </c>
      <c r="L325" s="8">
        <v>39891.213356481479</v>
      </c>
      <c r="M325" s="9" t="s">
        <v>19</v>
      </c>
      <c r="N325" s="9" t="s">
        <v>22</v>
      </c>
      <c r="O325" s="6" t="str">
        <f>HYPERLINK("https://pbs.twimg.com/profile_images/988971255679324162/jrqiIYf__normal.jpg","View")</f>
        <v>View</v>
      </c>
      <c r="P325" s="7"/>
    </row>
    <row r="326" spans="1:16">
      <c r="A326" s="3">
        <v>43898.743854166663</v>
      </c>
      <c r="B326" s="4" t="str">
        <f>HYPERLINK("https://twitter.com/sergio_fajardo","@sergio_fajardo")</f>
        <v>@sergio_fajardo</v>
      </c>
      <c r="C326" s="5" t="s">
        <v>16</v>
      </c>
      <c r="D326" s="5" t="s">
        <v>349</v>
      </c>
      <c r="E326" s="6" t="str">
        <f>HYPERLINK("https://twitter.com/sergio_fajardo/status/1236628015565754368","1236628015565754368")</f>
        <v>1236628015565754368</v>
      </c>
      <c r="F326" s="7" t="s">
        <v>17</v>
      </c>
      <c r="G326" s="7">
        <v>1495814</v>
      </c>
      <c r="H326" s="7">
        <v>360</v>
      </c>
      <c r="I326" s="7">
        <v>4</v>
      </c>
      <c r="J326" s="7">
        <v>0</v>
      </c>
      <c r="K326" s="7" t="s">
        <v>18</v>
      </c>
      <c r="L326" s="8">
        <v>39891.213356481479</v>
      </c>
      <c r="M326" s="9" t="s">
        <v>19</v>
      </c>
      <c r="N326" s="9" t="s">
        <v>22</v>
      </c>
      <c r="O326" s="6" t="str">
        <f>HYPERLINK("https://pbs.twimg.com/profile_images/988971255679324162/jrqiIYf__normal.jpg","View")</f>
        <v>View</v>
      </c>
      <c r="P326" s="7"/>
    </row>
    <row r="327" spans="1:16">
      <c r="A327" s="3">
        <v>43898.763275462959</v>
      </c>
      <c r="B327" s="4" t="str">
        <f>HYPERLINK("https://twitter.com/sergio_fajardo","@sergio_fajardo")</f>
        <v>@sergio_fajardo</v>
      </c>
      <c r="C327" s="5" t="s">
        <v>16</v>
      </c>
      <c r="D327" s="5" t="s">
        <v>350</v>
      </c>
      <c r="E327" s="6" t="str">
        <f>HYPERLINK("https://twitter.com/sergio_fajardo/status/1236635054782234624","1236635054782234624")</f>
        <v>1236635054782234624</v>
      </c>
      <c r="F327" s="7" t="s">
        <v>17</v>
      </c>
      <c r="G327" s="7">
        <v>1495819</v>
      </c>
      <c r="H327" s="7">
        <v>360</v>
      </c>
      <c r="I327" s="7">
        <v>8</v>
      </c>
      <c r="J327" s="7">
        <v>0</v>
      </c>
      <c r="K327" s="7" t="s">
        <v>18</v>
      </c>
      <c r="L327" s="8">
        <v>39891.213356481479</v>
      </c>
      <c r="M327" s="9" t="s">
        <v>19</v>
      </c>
      <c r="N327" s="9" t="s">
        <v>22</v>
      </c>
      <c r="O327" s="6" t="str">
        <f>HYPERLINK("https://pbs.twimg.com/profile_images/988971255679324162/jrqiIYf__normal.jpg","View")</f>
        <v>View</v>
      </c>
      <c r="P327" s="7"/>
    </row>
    <row r="328" spans="1:16">
      <c r="A328" s="3">
        <v>43899.027847222227</v>
      </c>
      <c r="B328" s="4" t="str">
        <f>HYPERLINK("https://twitter.com/sergio_fajardo","@sergio_fajardo")</f>
        <v>@sergio_fajardo</v>
      </c>
      <c r="C328" s="5" t="s">
        <v>16</v>
      </c>
      <c r="D328" s="5" t="s">
        <v>351</v>
      </c>
      <c r="E328" s="6" t="str">
        <f>HYPERLINK("https://twitter.com/sergio_fajardo/status/1236730934369619969","1236730934369619969")</f>
        <v>1236730934369619969</v>
      </c>
      <c r="F328" s="7" t="s">
        <v>17</v>
      </c>
      <c r="G328" s="7">
        <v>1495877</v>
      </c>
      <c r="H328" s="7">
        <v>360</v>
      </c>
      <c r="I328" s="7">
        <v>3</v>
      </c>
      <c r="J328" s="7">
        <v>0</v>
      </c>
      <c r="K328" s="7" t="s">
        <v>18</v>
      </c>
      <c r="L328" s="8">
        <v>39891.213356481479</v>
      </c>
      <c r="M328" s="9" t="s">
        <v>19</v>
      </c>
      <c r="N328" s="9" t="s">
        <v>22</v>
      </c>
      <c r="O328" s="6" t="str">
        <f>HYPERLINK("https://pbs.twimg.com/profile_images/988971255679324162/jrqiIYf__normal.jpg","View")</f>
        <v>View</v>
      </c>
      <c r="P328" s="7"/>
    </row>
    <row r="329" spans="1:16">
      <c r="A329" s="3">
        <v>43899.103761574079</v>
      </c>
      <c r="B329" s="4" t="str">
        <f>HYPERLINK("https://twitter.com/sergio_fajardo","@sergio_fajardo")</f>
        <v>@sergio_fajardo</v>
      </c>
      <c r="C329" s="5" t="s">
        <v>16</v>
      </c>
      <c r="D329" s="5" t="s">
        <v>352</v>
      </c>
      <c r="E329" s="6" t="str">
        <f>HYPERLINK("https://twitter.com/sergio_fajardo/status/1236758445027704833","1236758445027704833")</f>
        <v>1236758445027704833</v>
      </c>
      <c r="F329" s="7" t="s">
        <v>17</v>
      </c>
      <c r="G329" s="7">
        <v>1495897</v>
      </c>
      <c r="H329" s="7">
        <v>360</v>
      </c>
      <c r="I329" s="7">
        <v>2</v>
      </c>
      <c r="J329" s="7">
        <v>0</v>
      </c>
      <c r="K329" s="7" t="s">
        <v>18</v>
      </c>
      <c r="L329" s="8">
        <v>39891.213356481479</v>
      </c>
      <c r="M329" s="9" t="s">
        <v>19</v>
      </c>
      <c r="N329" s="9" t="s">
        <v>22</v>
      </c>
      <c r="O329" s="6" t="str">
        <f>HYPERLINK("https://pbs.twimg.com/profile_images/988971255679324162/jrqiIYf__normal.jpg","View")</f>
        <v>View</v>
      </c>
      <c r="P329" s="7"/>
    </row>
    <row r="330" spans="1:16">
      <c r="A330" s="3">
        <v>43899.133564814816</v>
      </c>
      <c r="B330" s="4" t="str">
        <f>HYPERLINK("https://twitter.com/sergio_fajardo","@sergio_fajardo")</f>
        <v>@sergio_fajardo</v>
      </c>
      <c r="C330" s="5" t="s">
        <v>16</v>
      </c>
      <c r="D330" s="5" t="s">
        <v>353</v>
      </c>
      <c r="E330" s="6" t="str">
        <f>HYPERLINK("https://twitter.com/sergio_fajardo/status/1236769244014161922","1236769244014161922")</f>
        <v>1236769244014161922</v>
      </c>
      <c r="F330" s="7" t="s">
        <v>17</v>
      </c>
      <c r="G330" s="7">
        <v>1495905</v>
      </c>
      <c r="H330" s="7">
        <v>360</v>
      </c>
      <c r="I330" s="7">
        <v>51</v>
      </c>
      <c r="J330" s="7">
        <v>0</v>
      </c>
      <c r="K330" s="7" t="s">
        <v>18</v>
      </c>
      <c r="L330" s="8">
        <v>39891.213356481479</v>
      </c>
      <c r="M330" s="9" t="s">
        <v>19</v>
      </c>
      <c r="N330" s="9" t="s">
        <v>22</v>
      </c>
      <c r="O330" s="6" t="str">
        <f>HYPERLINK("https://pbs.twimg.com/profile_images/988971255679324162/jrqiIYf__normal.jpg","View")</f>
        <v>View</v>
      </c>
      <c r="P330" s="7"/>
    </row>
    <row r="331" spans="1:16">
      <c r="A331" s="3">
        <v>43899.165196759262</v>
      </c>
      <c r="B331" s="4" t="str">
        <f>HYPERLINK("https://twitter.com/sergio_fajardo","@sergio_fajardo")</f>
        <v>@sergio_fajardo</v>
      </c>
      <c r="C331" s="5" t="s">
        <v>16</v>
      </c>
      <c r="D331" s="5" t="s">
        <v>354</v>
      </c>
      <c r="E331" s="6" t="str">
        <f>HYPERLINK("https://twitter.com/sergio_fajardo/status/1236780706594000909","1236780706594000909")</f>
        <v>1236780706594000909</v>
      </c>
      <c r="F331" s="7" t="s">
        <v>20</v>
      </c>
      <c r="G331" s="7">
        <v>1495913</v>
      </c>
      <c r="H331" s="7">
        <v>360</v>
      </c>
      <c r="I331" s="7">
        <v>2</v>
      </c>
      <c r="J331" s="7">
        <v>12</v>
      </c>
      <c r="K331" s="7" t="s">
        <v>18</v>
      </c>
      <c r="L331" s="8">
        <v>39891.213356481479</v>
      </c>
      <c r="M331" s="9" t="s">
        <v>19</v>
      </c>
      <c r="N331" s="9" t="s">
        <v>22</v>
      </c>
      <c r="O331" s="6" t="str">
        <f>HYPERLINK("https://pbs.twimg.com/profile_images/988971255679324162/jrqiIYf__normal.jpg","View")</f>
        <v>View</v>
      </c>
      <c r="P331" s="7"/>
    </row>
    <row r="332" spans="1:16">
      <c r="A332" s="3">
        <v>43899.402094907404</v>
      </c>
      <c r="B332" s="4" t="str">
        <f>HYPERLINK("https://twitter.com/sergio_fajardo","@sergio_fajardo")</f>
        <v>@sergio_fajardo</v>
      </c>
      <c r="C332" s="5" t="s">
        <v>16</v>
      </c>
      <c r="D332" s="5" t="s">
        <v>355</v>
      </c>
      <c r="E332" s="6" t="str">
        <f>HYPERLINK("https://twitter.com/sergio_fajardo/status/1236866556988198912","1236866556988198912")</f>
        <v>1236866556988198912</v>
      </c>
      <c r="F332" s="7" t="s">
        <v>17</v>
      </c>
      <c r="G332" s="7">
        <v>1495980</v>
      </c>
      <c r="H332" s="7">
        <v>360</v>
      </c>
      <c r="I332" s="7">
        <v>5</v>
      </c>
      <c r="J332" s="7">
        <v>26</v>
      </c>
      <c r="K332" s="7" t="s">
        <v>18</v>
      </c>
      <c r="L332" s="8">
        <v>39891.213356481479</v>
      </c>
      <c r="M332" s="9" t="s">
        <v>19</v>
      </c>
      <c r="N332" s="9" t="s">
        <v>22</v>
      </c>
      <c r="O332" s="6" t="str">
        <f>HYPERLINK("https://pbs.twimg.com/profile_images/988971255679324162/jrqiIYf__normal.jpg","View")</f>
        <v>View</v>
      </c>
      <c r="P332" s="7"/>
    </row>
    <row r="333" spans="1:16">
      <c r="A333" s="3">
        <v>43900.084085648152</v>
      </c>
      <c r="B333" s="4" t="str">
        <f>HYPERLINK("https://twitter.com/sergio_fajardo","@sergio_fajardo")</f>
        <v>@sergio_fajardo</v>
      </c>
      <c r="C333" s="5" t="s">
        <v>16</v>
      </c>
      <c r="D333" s="5" t="s">
        <v>356</v>
      </c>
      <c r="E333" s="6" t="str">
        <f>HYPERLINK("https://twitter.com/sergio_fajardo/status/1237113701213376512","1237113701213376512")</f>
        <v>1237113701213376512</v>
      </c>
      <c r="F333" s="7" t="s">
        <v>17</v>
      </c>
      <c r="G333" s="7">
        <v>1496135</v>
      </c>
      <c r="H333" s="7">
        <v>361</v>
      </c>
      <c r="I333" s="7">
        <v>92</v>
      </c>
      <c r="J333" s="7">
        <v>0</v>
      </c>
      <c r="K333" s="7" t="s">
        <v>18</v>
      </c>
      <c r="L333" s="8">
        <v>39891.213356481479</v>
      </c>
      <c r="M333" s="9" t="s">
        <v>19</v>
      </c>
      <c r="N333" s="9" t="s">
        <v>22</v>
      </c>
      <c r="O333" s="6" t="str">
        <f>HYPERLINK("https://pbs.twimg.com/profile_images/988971255679324162/jrqiIYf__normal.jpg","View")</f>
        <v>View</v>
      </c>
      <c r="P333" s="7"/>
    </row>
    <row r="334" spans="1:16">
      <c r="A334" s="3">
        <v>43900.723587962959</v>
      </c>
      <c r="B334" s="4" t="str">
        <f>HYPERLINK("https://twitter.com/sergio_fajardo","@sergio_fajardo")</f>
        <v>@sergio_fajardo</v>
      </c>
      <c r="C334" s="5" t="s">
        <v>16</v>
      </c>
      <c r="D334" s="5" t="s">
        <v>357</v>
      </c>
      <c r="E334" s="6" t="str">
        <f>HYPERLINK("https://twitter.com/sergio_fajardo/status/1237345447305502720","1237345447305502720")</f>
        <v>1237345447305502720</v>
      </c>
      <c r="F334" s="7" t="s">
        <v>17</v>
      </c>
      <c r="G334" s="7">
        <v>1496302</v>
      </c>
      <c r="H334" s="7">
        <v>360</v>
      </c>
      <c r="I334" s="7">
        <v>1</v>
      </c>
      <c r="J334" s="7">
        <v>0</v>
      </c>
      <c r="K334" s="7" t="s">
        <v>18</v>
      </c>
      <c r="L334" s="8">
        <v>39891.213356481479</v>
      </c>
      <c r="M334" s="9" t="s">
        <v>19</v>
      </c>
      <c r="N334" s="9" t="s">
        <v>22</v>
      </c>
      <c r="O334" s="6" t="str">
        <f>HYPERLINK("https://pbs.twimg.com/profile_images/988971255679324162/jrqiIYf__normal.jpg","View")</f>
        <v>View</v>
      </c>
      <c r="P334" s="7"/>
    </row>
    <row r="335" spans="1:16">
      <c r="A335" s="3">
        <v>43900.751261574071</v>
      </c>
      <c r="B335" s="4" t="str">
        <f>HYPERLINK("https://twitter.com/sergio_fajardo","@sergio_fajardo")</f>
        <v>@sergio_fajardo</v>
      </c>
      <c r="C335" s="5" t="s">
        <v>16</v>
      </c>
      <c r="D335" s="5" t="s">
        <v>358</v>
      </c>
      <c r="E335" s="6" t="str">
        <f>HYPERLINK("https://twitter.com/sergio_fajardo/status/1237355475743711233","1237355475743711233")</f>
        <v>1237355475743711233</v>
      </c>
      <c r="F335" s="7" t="s">
        <v>17</v>
      </c>
      <c r="G335" s="7">
        <v>1496314</v>
      </c>
      <c r="H335" s="7">
        <v>360</v>
      </c>
      <c r="I335" s="7">
        <v>1</v>
      </c>
      <c r="J335" s="7">
        <v>12</v>
      </c>
      <c r="K335" s="7" t="s">
        <v>18</v>
      </c>
      <c r="L335" s="8">
        <v>39891.213356481479</v>
      </c>
      <c r="M335" s="9" t="s">
        <v>19</v>
      </c>
      <c r="N335" s="9" t="s">
        <v>22</v>
      </c>
      <c r="O335" s="6" t="str">
        <f>HYPERLINK("https://pbs.twimg.com/profile_images/988971255679324162/jrqiIYf__normal.jpg","View")</f>
        <v>View</v>
      </c>
      <c r="P335" s="7"/>
    </row>
    <row r="336" spans="1:16">
      <c r="A336" s="3">
        <v>43900.787719907406</v>
      </c>
      <c r="B336" s="4" t="str">
        <f>HYPERLINK("https://twitter.com/sergio_fajardo","@sergio_fajardo")</f>
        <v>@sergio_fajardo</v>
      </c>
      <c r="C336" s="5" t="s">
        <v>16</v>
      </c>
      <c r="D336" s="5" t="s">
        <v>359</v>
      </c>
      <c r="E336" s="6" t="str">
        <f>HYPERLINK("https://twitter.com/sergio_fajardo/status/1237368689244229632","1237368689244229632")</f>
        <v>1237368689244229632</v>
      </c>
      <c r="F336" s="7" t="s">
        <v>17</v>
      </c>
      <c r="G336" s="7">
        <v>1496334</v>
      </c>
      <c r="H336" s="7">
        <v>360</v>
      </c>
      <c r="I336" s="7">
        <v>69</v>
      </c>
      <c r="J336" s="7">
        <v>0</v>
      </c>
      <c r="K336" s="7" t="s">
        <v>18</v>
      </c>
      <c r="L336" s="8">
        <v>39891.213356481479</v>
      </c>
      <c r="M336" s="9" t="s">
        <v>19</v>
      </c>
      <c r="N336" s="9" t="s">
        <v>22</v>
      </c>
      <c r="O336" s="6" t="str">
        <f>HYPERLINK("https://pbs.twimg.com/profile_images/988971255679324162/jrqiIYf__normal.jpg","View")</f>
        <v>View</v>
      </c>
      <c r="P336" s="7"/>
    </row>
    <row r="337" spans="1:16">
      <c r="A337" s="3">
        <v>43900.790601851855</v>
      </c>
      <c r="B337" s="4" t="str">
        <f>HYPERLINK("https://twitter.com/sergio_fajardo","@sergio_fajardo")</f>
        <v>@sergio_fajardo</v>
      </c>
      <c r="C337" s="5" t="s">
        <v>16</v>
      </c>
      <c r="D337" s="5" t="s">
        <v>360</v>
      </c>
      <c r="E337" s="6" t="str">
        <f>HYPERLINK("https://twitter.com/sergio_fajardo/status/1237369734267576320","1237369734267576320")</f>
        <v>1237369734267576320</v>
      </c>
      <c r="F337" s="7" t="s">
        <v>17</v>
      </c>
      <c r="G337" s="7">
        <v>1496334</v>
      </c>
      <c r="H337" s="7">
        <v>360</v>
      </c>
      <c r="I337" s="7">
        <v>185</v>
      </c>
      <c r="J337" s="7">
        <v>0</v>
      </c>
      <c r="K337" s="7" t="s">
        <v>18</v>
      </c>
      <c r="L337" s="8">
        <v>39891.213356481479</v>
      </c>
      <c r="M337" s="9" t="s">
        <v>19</v>
      </c>
      <c r="N337" s="9" t="s">
        <v>22</v>
      </c>
      <c r="O337" s="6" t="str">
        <f>HYPERLINK("https://pbs.twimg.com/profile_images/988971255679324162/jrqiIYf__normal.jpg","View")</f>
        <v>View</v>
      </c>
      <c r="P337" s="7"/>
    </row>
    <row r="338" spans="1:16">
      <c r="A338" s="3">
        <v>43901.23537037037</v>
      </c>
      <c r="B338" s="4" t="str">
        <f>HYPERLINK("https://twitter.com/sergio_fajardo","@sergio_fajardo")</f>
        <v>@sergio_fajardo</v>
      </c>
      <c r="C338" s="5" t="s">
        <v>16</v>
      </c>
      <c r="D338" s="5" t="s">
        <v>361</v>
      </c>
      <c r="E338" s="6" t="str">
        <f>HYPERLINK("https://twitter.com/sergio_fajardo/status/1237530914244022272","1237530914244022272")</f>
        <v>1237530914244022272</v>
      </c>
      <c r="F338" s="7" t="s">
        <v>17</v>
      </c>
      <c r="G338" s="7">
        <v>1496495</v>
      </c>
      <c r="H338" s="7">
        <v>360</v>
      </c>
      <c r="I338" s="7">
        <v>1</v>
      </c>
      <c r="J338" s="7">
        <v>29</v>
      </c>
      <c r="K338" s="7" t="s">
        <v>18</v>
      </c>
      <c r="L338" s="8">
        <v>39891.213356481479</v>
      </c>
      <c r="M338" s="9" t="s">
        <v>19</v>
      </c>
      <c r="N338" s="9" t="s">
        <v>22</v>
      </c>
      <c r="O338" s="6" t="str">
        <f>HYPERLINK("https://pbs.twimg.com/profile_images/988971255679324162/jrqiIYf__normal.jpg","View")</f>
        <v>View</v>
      </c>
      <c r="P338" s="7"/>
    </row>
    <row r="339" spans="1:16">
      <c r="A339" s="3">
        <v>43901.412592592591</v>
      </c>
      <c r="B339" s="4" t="str">
        <f>HYPERLINK("https://twitter.com/sergio_fajardo","@sergio_fajardo")</f>
        <v>@sergio_fajardo</v>
      </c>
      <c r="C339" s="5" t="s">
        <v>16</v>
      </c>
      <c r="D339" s="5" t="s">
        <v>362</v>
      </c>
      <c r="E339" s="6" t="str">
        <f>HYPERLINK("https://twitter.com/sergio_fajardo/status/1237595135036153856","1237595135036153856")</f>
        <v>1237595135036153856</v>
      </c>
      <c r="F339" s="7" t="s">
        <v>17</v>
      </c>
      <c r="G339" s="7">
        <v>1496587</v>
      </c>
      <c r="H339" s="7">
        <v>360</v>
      </c>
      <c r="I339" s="7">
        <v>29</v>
      </c>
      <c r="J339" s="7">
        <v>0</v>
      </c>
      <c r="K339" s="7" t="s">
        <v>18</v>
      </c>
      <c r="L339" s="8">
        <v>39891.213356481479</v>
      </c>
      <c r="M339" s="9" t="s">
        <v>19</v>
      </c>
      <c r="N339" s="9" t="s">
        <v>22</v>
      </c>
      <c r="O339" s="6" t="str">
        <f>HYPERLINK("https://pbs.twimg.com/profile_images/988971255679324162/jrqiIYf__normal.jpg","View")</f>
        <v>View</v>
      </c>
      <c r="P339" s="7"/>
    </row>
    <row r="340" spans="1:16">
      <c r="A340" s="3">
        <v>43901.722488425927</v>
      </c>
      <c r="B340" s="4" t="str">
        <f>HYPERLINK("https://twitter.com/sergio_fajardo","@sergio_fajardo")</f>
        <v>@sergio_fajardo</v>
      </c>
      <c r="C340" s="5" t="s">
        <v>16</v>
      </c>
      <c r="D340" s="5" t="s">
        <v>363</v>
      </c>
      <c r="E340" s="6" t="str">
        <f>HYPERLINK("https://twitter.com/sergio_fajardo/status/1237707440013148162","1237707440013148162")</f>
        <v>1237707440013148162</v>
      </c>
      <c r="F340" s="7" t="s">
        <v>17</v>
      </c>
      <c r="G340" s="7">
        <v>1496614</v>
      </c>
      <c r="H340" s="7">
        <v>360</v>
      </c>
      <c r="I340" s="7">
        <v>13</v>
      </c>
      <c r="J340" s="7">
        <v>66</v>
      </c>
      <c r="K340" s="7" t="s">
        <v>18</v>
      </c>
      <c r="L340" s="8">
        <v>39891.213356481479</v>
      </c>
      <c r="M340" s="9" t="s">
        <v>19</v>
      </c>
      <c r="N340" s="9" t="s">
        <v>22</v>
      </c>
      <c r="O340" s="6" t="str">
        <f>HYPERLINK("https://pbs.twimg.com/profile_images/988971255679324162/jrqiIYf__normal.jpg","View")</f>
        <v>View</v>
      </c>
      <c r="P340" s="7"/>
    </row>
    <row r="341" spans="1:16">
      <c r="A341" s="3">
        <v>43901.969027777777</v>
      </c>
      <c r="B341" s="4" t="str">
        <f>HYPERLINK("https://twitter.com/sergio_fajardo","@sergio_fajardo")</f>
        <v>@sergio_fajardo</v>
      </c>
      <c r="C341" s="5" t="s">
        <v>16</v>
      </c>
      <c r="D341" s="5" t="s">
        <v>364</v>
      </c>
      <c r="E341" s="6" t="str">
        <f>HYPERLINK("https://twitter.com/sergio_fajardo/status/1237796781649510405","1237796781649510405")</f>
        <v>1237796781649510405</v>
      </c>
      <c r="F341" s="7" t="s">
        <v>17</v>
      </c>
      <c r="G341" s="7">
        <v>1496709</v>
      </c>
      <c r="H341" s="7">
        <v>360</v>
      </c>
      <c r="I341" s="7">
        <v>0</v>
      </c>
      <c r="J341" s="7">
        <v>3</v>
      </c>
      <c r="K341" s="7" t="s">
        <v>18</v>
      </c>
      <c r="L341" s="8">
        <v>39891.213356481479</v>
      </c>
      <c r="M341" s="9" t="s">
        <v>19</v>
      </c>
      <c r="N341" s="9" t="s">
        <v>22</v>
      </c>
      <c r="O341" s="6" t="str">
        <f>HYPERLINK("https://pbs.twimg.com/profile_images/988971255679324162/jrqiIYf__normal.jpg","View")</f>
        <v>View</v>
      </c>
      <c r="P341" s="7"/>
    </row>
    <row r="342" spans="1:16">
      <c r="A342" s="3">
        <v>43901.969687500001</v>
      </c>
      <c r="B342" s="4" t="str">
        <f>HYPERLINK("https://twitter.com/sergio_fajardo","@sergio_fajardo")</f>
        <v>@sergio_fajardo</v>
      </c>
      <c r="C342" s="5" t="s">
        <v>16</v>
      </c>
      <c r="D342" s="5" t="s">
        <v>365</v>
      </c>
      <c r="E342" s="6" t="str">
        <f>HYPERLINK("https://twitter.com/sergio_fajardo/status/1237797020783579138","1237797020783579138")</f>
        <v>1237797020783579138</v>
      </c>
      <c r="F342" s="7" t="s">
        <v>17</v>
      </c>
      <c r="G342" s="7">
        <v>1496709</v>
      </c>
      <c r="H342" s="7">
        <v>360</v>
      </c>
      <c r="I342" s="7">
        <v>705</v>
      </c>
      <c r="J342" s="7">
        <v>0</v>
      </c>
      <c r="K342" s="7" t="s">
        <v>18</v>
      </c>
      <c r="L342" s="8">
        <v>39891.213356481479</v>
      </c>
      <c r="M342" s="9" t="s">
        <v>19</v>
      </c>
      <c r="N342" s="9" t="s">
        <v>22</v>
      </c>
      <c r="O342" s="6" t="str">
        <f>HYPERLINK("https://pbs.twimg.com/profile_images/988971255679324162/jrqiIYf__normal.jpg","View")</f>
        <v>View</v>
      </c>
      <c r="P342" s="7"/>
    </row>
    <row r="343" spans="1:16">
      <c r="A343" s="3">
        <v>43901.971284722225</v>
      </c>
      <c r="B343" s="4" t="str">
        <f>HYPERLINK("https://twitter.com/sergio_fajardo","@sergio_fajardo")</f>
        <v>@sergio_fajardo</v>
      </c>
      <c r="C343" s="5" t="s">
        <v>16</v>
      </c>
      <c r="D343" s="5" t="s">
        <v>366</v>
      </c>
      <c r="E343" s="6" t="str">
        <f>HYPERLINK("https://twitter.com/sergio_fajardo/status/1237797599614246914","1237797599614246914")</f>
        <v>1237797599614246914</v>
      </c>
      <c r="F343" s="7" t="s">
        <v>17</v>
      </c>
      <c r="G343" s="7">
        <v>1496711</v>
      </c>
      <c r="H343" s="7">
        <v>360</v>
      </c>
      <c r="I343" s="7">
        <v>34</v>
      </c>
      <c r="J343" s="7">
        <v>0</v>
      </c>
      <c r="K343" s="7" t="s">
        <v>18</v>
      </c>
      <c r="L343" s="8">
        <v>39891.213356481479</v>
      </c>
      <c r="M343" s="9" t="s">
        <v>19</v>
      </c>
      <c r="N343" s="9" t="s">
        <v>22</v>
      </c>
      <c r="O343" s="6" t="str">
        <f>HYPERLINK("https://pbs.twimg.com/profile_images/988971255679324162/jrqiIYf__normal.jpg","View")</f>
        <v>View</v>
      </c>
      <c r="P343" s="7"/>
    </row>
    <row r="344" spans="1:16">
      <c r="A344" s="3">
        <v>43901.971678240741</v>
      </c>
      <c r="B344" s="4" t="str">
        <f>HYPERLINK("https://twitter.com/sergio_fajardo","@sergio_fajardo")</f>
        <v>@sergio_fajardo</v>
      </c>
      <c r="C344" s="5" t="s">
        <v>16</v>
      </c>
      <c r="D344" s="5" t="s">
        <v>367</v>
      </c>
      <c r="E344" s="6" t="str">
        <f>HYPERLINK("https://twitter.com/sergio_fajardo/status/1237797743638216707","1237797743638216707")</f>
        <v>1237797743638216707</v>
      </c>
      <c r="F344" s="7" t="s">
        <v>17</v>
      </c>
      <c r="G344" s="7">
        <v>1496711</v>
      </c>
      <c r="H344" s="7">
        <v>360</v>
      </c>
      <c r="I344" s="7">
        <v>6</v>
      </c>
      <c r="J344" s="7">
        <v>0</v>
      </c>
      <c r="K344" s="7" t="s">
        <v>18</v>
      </c>
      <c r="L344" s="8">
        <v>39891.213356481479</v>
      </c>
      <c r="M344" s="9" t="s">
        <v>19</v>
      </c>
      <c r="N344" s="9" t="s">
        <v>22</v>
      </c>
      <c r="O344" s="6" t="str">
        <f>HYPERLINK("https://pbs.twimg.com/profile_images/988971255679324162/jrqiIYf__normal.jpg","View")</f>
        <v>View</v>
      </c>
      <c r="P344" s="7"/>
    </row>
    <row r="345" spans="1:16">
      <c r="A345" s="3">
        <v>43901.971921296295</v>
      </c>
      <c r="B345" s="4" t="str">
        <f>HYPERLINK("https://twitter.com/sergio_fajardo","@sergio_fajardo")</f>
        <v>@sergio_fajardo</v>
      </c>
      <c r="C345" s="5" t="s">
        <v>16</v>
      </c>
      <c r="D345" s="5" t="s">
        <v>368</v>
      </c>
      <c r="E345" s="6" t="str">
        <f>HYPERLINK("https://twitter.com/sergio_fajardo/status/1237797830225518592","1237797830225518592")</f>
        <v>1237797830225518592</v>
      </c>
      <c r="F345" s="7" t="s">
        <v>17</v>
      </c>
      <c r="G345" s="7">
        <v>1496711</v>
      </c>
      <c r="H345" s="7">
        <v>360</v>
      </c>
      <c r="I345" s="7">
        <v>1</v>
      </c>
      <c r="J345" s="7">
        <v>0</v>
      </c>
      <c r="K345" s="7" t="s">
        <v>18</v>
      </c>
      <c r="L345" s="8">
        <v>39891.213356481479</v>
      </c>
      <c r="M345" s="9" t="s">
        <v>19</v>
      </c>
      <c r="N345" s="9" t="s">
        <v>22</v>
      </c>
      <c r="O345" s="6" t="str">
        <f>HYPERLINK("https://pbs.twimg.com/profile_images/988971255679324162/jrqiIYf__normal.jpg","View")</f>
        <v>View</v>
      </c>
      <c r="P345" s="7"/>
    </row>
    <row r="346" spans="1:16">
      <c r="A346" s="3">
        <v>43901.972303240742</v>
      </c>
      <c r="B346" s="4" t="str">
        <f>HYPERLINK("https://twitter.com/sergio_fajardo","@sergio_fajardo")</f>
        <v>@sergio_fajardo</v>
      </c>
      <c r="C346" s="5" t="s">
        <v>16</v>
      </c>
      <c r="D346" s="5" t="s">
        <v>369</v>
      </c>
      <c r="E346" s="6" t="str">
        <f>HYPERLINK("https://twitter.com/sergio_fajardo/status/1237797968234917888","1237797968234917888")</f>
        <v>1237797968234917888</v>
      </c>
      <c r="F346" s="7" t="s">
        <v>17</v>
      </c>
      <c r="G346" s="7">
        <v>1496711</v>
      </c>
      <c r="H346" s="7">
        <v>360</v>
      </c>
      <c r="I346" s="7">
        <v>97</v>
      </c>
      <c r="J346" s="7">
        <v>0</v>
      </c>
      <c r="K346" s="7" t="s">
        <v>18</v>
      </c>
      <c r="L346" s="8">
        <v>39891.213356481479</v>
      </c>
      <c r="M346" s="9" t="s">
        <v>19</v>
      </c>
      <c r="N346" s="9" t="s">
        <v>22</v>
      </c>
      <c r="O346" s="6" t="str">
        <f>HYPERLINK("https://pbs.twimg.com/profile_images/988971255679324162/jrqiIYf__normal.jpg","View")</f>
        <v>View</v>
      </c>
      <c r="P346" s="7"/>
    </row>
    <row r="347" spans="1:16">
      <c r="A347" s="3">
        <v>43901.973055555558</v>
      </c>
      <c r="B347" s="4" t="str">
        <f>HYPERLINK("https://twitter.com/sergio_fajardo","@sergio_fajardo")</f>
        <v>@sergio_fajardo</v>
      </c>
      <c r="C347" s="5" t="s">
        <v>16</v>
      </c>
      <c r="D347" s="5" t="s">
        <v>370</v>
      </c>
      <c r="E347" s="6" t="str">
        <f>HYPERLINK("https://twitter.com/sergio_fajardo/status/1237798239811887109","1237798239811887109")</f>
        <v>1237798239811887109</v>
      </c>
      <c r="F347" s="7" t="s">
        <v>17</v>
      </c>
      <c r="G347" s="7">
        <v>1496711</v>
      </c>
      <c r="H347" s="7">
        <v>360</v>
      </c>
      <c r="I347" s="7">
        <v>18</v>
      </c>
      <c r="J347" s="7">
        <v>0</v>
      </c>
      <c r="K347" s="7" t="s">
        <v>18</v>
      </c>
      <c r="L347" s="8">
        <v>39891.213356481479</v>
      </c>
      <c r="M347" s="9" t="s">
        <v>19</v>
      </c>
      <c r="N347" s="9" t="s">
        <v>22</v>
      </c>
      <c r="O347" s="6" t="str">
        <f>HYPERLINK("https://pbs.twimg.com/profile_images/988971255679324162/jrqiIYf__normal.jpg","View")</f>
        <v>View</v>
      </c>
      <c r="P347" s="7"/>
    </row>
    <row r="348" spans="1:16">
      <c r="A348" s="3">
        <v>43901.973194444443</v>
      </c>
      <c r="B348" s="4" t="str">
        <f>HYPERLINK("https://twitter.com/sergio_fajardo","@sergio_fajardo")</f>
        <v>@sergio_fajardo</v>
      </c>
      <c r="C348" s="5" t="s">
        <v>16</v>
      </c>
      <c r="D348" s="5" t="s">
        <v>371</v>
      </c>
      <c r="E348" s="6" t="str">
        <f>HYPERLINK("https://twitter.com/sergio_fajardo/status/1237798292882370563","1237798292882370563")</f>
        <v>1237798292882370563</v>
      </c>
      <c r="F348" s="7" t="s">
        <v>17</v>
      </c>
      <c r="G348" s="7">
        <v>1496711</v>
      </c>
      <c r="H348" s="7">
        <v>360</v>
      </c>
      <c r="I348" s="7">
        <v>3</v>
      </c>
      <c r="J348" s="7">
        <v>0</v>
      </c>
      <c r="K348" s="7" t="s">
        <v>18</v>
      </c>
      <c r="L348" s="8">
        <v>39891.213356481479</v>
      </c>
      <c r="M348" s="9" t="s">
        <v>19</v>
      </c>
      <c r="N348" s="9" t="s">
        <v>22</v>
      </c>
      <c r="O348" s="6" t="str">
        <f>HYPERLINK("https://pbs.twimg.com/profile_images/988971255679324162/jrqiIYf__normal.jpg","View")</f>
        <v>View</v>
      </c>
      <c r="P348" s="7"/>
    </row>
    <row r="349" spans="1:16">
      <c r="A349" s="3">
        <v>43901.973449074074</v>
      </c>
      <c r="B349" s="4" t="str">
        <f>HYPERLINK("https://twitter.com/sergio_fajardo","@sergio_fajardo")</f>
        <v>@sergio_fajardo</v>
      </c>
      <c r="C349" s="5" t="s">
        <v>16</v>
      </c>
      <c r="D349" s="5" t="s">
        <v>372</v>
      </c>
      <c r="E349" s="6" t="str">
        <f>HYPERLINK("https://twitter.com/sergio_fajardo/status/1237798383462551554","1237798383462551554")</f>
        <v>1237798383462551554</v>
      </c>
      <c r="F349" s="7" t="s">
        <v>17</v>
      </c>
      <c r="G349" s="7">
        <v>1496711</v>
      </c>
      <c r="H349" s="7">
        <v>360</v>
      </c>
      <c r="I349" s="7">
        <v>4</v>
      </c>
      <c r="J349" s="7">
        <v>0</v>
      </c>
      <c r="K349" s="7" t="s">
        <v>18</v>
      </c>
      <c r="L349" s="8">
        <v>39891.213356481479</v>
      </c>
      <c r="M349" s="9" t="s">
        <v>19</v>
      </c>
      <c r="N349" s="9" t="s">
        <v>22</v>
      </c>
      <c r="O349" s="6" t="str">
        <f>HYPERLINK("https://pbs.twimg.com/profile_images/988971255679324162/jrqiIYf__normal.jpg","View")</f>
        <v>View</v>
      </c>
      <c r="P349" s="7"/>
    </row>
    <row r="350" spans="1:16">
      <c r="A350" s="3">
        <v>43901.974768518514</v>
      </c>
      <c r="B350" s="4" t="str">
        <f>HYPERLINK("https://twitter.com/sergio_fajardo","@sergio_fajardo")</f>
        <v>@sergio_fajardo</v>
      </c>
      <c r="C350" s="5" t="s">
        <v>16</v>
      </c>
      <c r="D350" s="5" t="s">
        <v>373</v>
      </c>
      <c r="E350" s="6" t="str">
        <f>HYPERLINK("https://twitter.com/sergio_fajardo/status/1237798859717435392","1237798859717435392")</f>
        <v>1237798859717435392</v>
      </c>
      <c r="F350" s="7" t="s">
        <v>17</v>
      </c>
      <c r="G350" s="7">
        <v>1496711</v>
      </c>
      <c r="H350" s="7">
        <v>360</v>
      </c>
      <c r="I350" s="7">
        <v>22</v>
      </c>
      <c r="J350" s="7">
        <v>0</v>
      </c>
      <c r="K350" s="7" t="s">
        <v>18</v>
      </c>
      <c r="L350" s="8">
        <v>39891.213356481479</v>
      </c>
      <c r="M350" s="9" t="s">
        <v>19</v>
      </c>
      <c r="N350" s="9" t="s">
        <v>22</v>
      </c>
      <c r="O350" s="6" t="str">
        <f>HYPERLINK("https://pbs.twimg.com/profile_images/988971255679324162/jrqiIYf__normal.jpg","View")</f>
        <v>View</v>
      </c>
      <c r="P350" s="7"/>
    </row>
    <row r="351" spans="1:16">
      <c r="A351" s="3">
        <v>43902.076388888891</v>
      </c>
      <c r="B351" s="4" t="str">
        <f>HYPERLINK("https://twitter.com/sergio_fajardo","@sergio_fajardo")</f>
        <v>@sergio_fajardo</v>
      </c>
      <c r="C351" s="5" t="s">
        <v>16</v>
      </c>
      <c r="D351" s="5" t="s">
        <v>374</v>
      </c>
      <c r="E351" s="6" t="str">
        <f>HYPERLINK("https://twitter.com/sergio_fajardo/status/1237835689263325185","1237835689263325185")</f>
        <v>1237835689263325185</v>
      </c>
      <c r="F351" s="7" t="s">
        <v>17</v>
      </c>
      <c r="G351" s="7">
        <v>1496734</v>
      </c>
      <c r="H351" s="7">
        <v>360</v>
      </c>
      <c r="I351" s="7">
        <v>35</v>
      </c>
      <c r="J351" s="7">
        <v>73</v>
      </c>
      <c r="K351" s="7" t="s">
        <v>18</v>
      </c>
      <c r="L351" s="8">
        <v>39891.213356481479</v>
      </c>
      <c r="M351" s="9" t="s">
        <v>19</v>
      </c>
      <c r="N351" s="9" t="s">
        <v>22</v>
      </c>
      <c r="O351" s="6" t="str">
        <f>HYPERLINK("https://pbs.twimg.com/profile_images/988971255679324162/jrqiIYf__normal.jpg","View")</f>
        <v>View</v>
      </c>
      <c r="P351" s="7"/>
    </row>
    <row r="352" spans="1:16">
      <c r="A352" s="3">
        <v>43903.23028935185</v>
      </c>
      <c r="B352" s="4" t="str">
        <f>HYPERLINK("https://twitter.com/sergio_fajardo","@sergio_fajardo")</f>
        <v>@sergio_fajardo</v>
      </c>
      <c r="C352" s="5" t="s">
        <v>16</v>
      </c>
      <c r="D352" s="5" t="s">
        <v>375</v>
      </c>
      <c r="E352" s="6" t="str">
        <f>HYPERLINK("https://twitter.com/sergio_fajardo/status/1238253849158311938","1238253849158311938")</f>
        <v>1238253849158311938</v>
      </c>
      <c r="F352" s="7" t="s">
        <v>17</v>
      </c>
      <c r="G352" s="7">
        <v>1497103</v>
      </c>
      <c r="H352" s="7">
        <v>361</v>
      </c>
      <c r="I352" s="7">
        <v>42</v>
      </c>
      <c r="J352" s="7">
        <v>0</v>
      </c>
      <c r="K352" s="7" t="s">
        <v>18</v>
      </c>
      <c r="L352" s="8">
        <v>39891.213356481479</v>
      </c>
      <c r="M352" s="9" t="s">
        <v>19</v>
      </c>
      <c r="N352" s="9" t="s">
        <v>22</v>
      </c>
      <c r="O352" s="6" t="str">
        <f>HYPERLINK("https://pbs.twimg.com/profile_images/988971255679324162/jrqiIYf__normal.jpg","View")</f>
        <v>View</v>
      </c>
      <c r="P352" s="7"/>
    </row>
    <row r="353" spans="1:16">
      <c r="A353" s="3">
        <v>43903.231678240743</v>
      </c>
      <c r="B353" s="4" t="str">
        <f>HYPERLINK("https://twitter.com/sergio_fajardo","@sergio_fajardo")</f>
        <v>@sergio_fajardo</v>
      </c>
      <c r="C353" s="5" t="s">
        <v>16</v>
      </c>
      <c r="D353" s="5" t="s">
        <v>376</v>
      </c>
      <c r="E353" s="6" t="str">
        <f>HYPERLINK("https://twitter.com/sergio_fajardo/status/1238254351174578177","1238254351174578177")</f>
        <v>1238254351174578177</v>
      </c>
      <c r="F353" s="7" t="s">
        <v>17</v>
      </c>
      <c r="G353" s="7">
        <v>1497103</v>
      </c>
      <c r="H353" s="7">
        <v>361</v>
      </c>
      <c r="I353" s="7">
        <v>340</v>
      </c>
      <c r="J353" s="7">
        <v>0</v>
      </c>
      <c r="K353" s="7" t="s">
        <v>18</v>
      </c>
      <c r="L353" s="8">
        <v>39891.213356481479</v>
      </c>
      <c r="M353" s="9" t="s">
        <v>19</v>
      </c>
      <c r="N353" s="9" t="s">
        <v>22</v>
      </c>
      <c r="O353" s="6" t="str">
        <f>HYPERLINK("https://pbs.twimg.com/profile_images/988971255679324162/jrqiIYf__normal.jpg","View")</f>
        <v>View</v>
      </c>
      <c r="P353" s="7"/>
    </row>
    <row r="354" spans="1:16">
      <c r="A354" s="3">
        <v>43903.231793981482</v>
      </c>
      <c r="B354" s="4" t="str">
        <f>HYPERLINK("https://twitter.com/sergio_fajardo","@sergio_fajardo")</f>
        <v>@sergio_fajardo</v>
      </c>
      <c r="C354" s="5" t="s">
        <v>16</v>
      </c>
      <c r="D354" s="5" t="s">
        <v>377</v>
      </c>
      <c r="E354" s="6" t="str">
        <f>HYPERLINK("https://twitter.com/sergio_fajardo/status/1238254390626127876","1238254390626127876")</f>
        <v>1238254390626127876</v>
      </c>
      <c r="F354" s="7" t="s">
        <v>17</v>
      </c>
      <c r="G354" s="7">
        <v>1497103</v>
      </c>
      <c r="H354" s="7">
        <v>361</v>
      </c>
      <c r="I354" s="7">
        <v>25</v>
      </c>
      <c r="J354" s="7">
        <v>0</v>
      </c>
      <c r="K354" s="7" t="s">
        <v>18</v>
      </c>
      <c r="L354" s="8">
        <v>39891.213356481479</v>
      </c>
      <c r="M354" s="9" t="s">
        <v>19</v>
      </c>
      <c r="N354" s="9" t="s">
        <v>22</v>
      </c>
      <c r="O354" s="6" t="str">
        <f>HYPERLINK("https://pbs.twimg.com/profile_images/988971255679324162/jrqiIYf__normal.jpg","View")</f>
        <v>View</v>
      </c>
      <c r="P354" s="7"/>
    </row>
    <row r="355" spans="1:16">
      <c r="A355" s="3">
        <v>43903.864942129629</v>
      </c>
      <c r="B355" s="4" t="str">
        <f>HYPERLINK("https://twitter.com/sergio_fajardo","@sergio_fajardo")</f>
        <v>@sergio_fajardo</v>
      </c>
      <c r="C355" s="5" t="s">
        <v>16</v>
      </c>
      <c r="D355" s="5" t="s">
        <v>378</v>
      </c>
      <c r="E355" s="6" t="str">
        <f>HYPERLINK("https://twitter.com/sergio_fajardo/status/1238483838826942465","1238483838826942465")</f>
        <v>1238483838826942465</v>
      </c>
      <c r="F355" s="7" t="s">
        <v>17</v>
      </c>
      <c r="G355" s="7">
        <v>1497256</v>
      </c>
      <c r="H355" s="7">
        <v>361</v>
      </c>
      <c r="I355" s="7">
        <v>2</v>
      </c>
      <c r="J355" s="7">
        <v>8</v>
      </c>
      <c r="K355" s="7" t="s">
        <v>18</v>
      </c>
      <c r="L355" s="8">
        <v>39891.213356481479</v>
      </c>
      <c r="M355" s="9" t="s">
        <v>19</v>
      </c>
      <c r="N355" s="9" t="s">
        <v>22</v>
      </c>
      <c r="O355" s="6" t="str">
        <f>HYPERLINK("https://pbs.twimg.com/profile_images/988971255679324162/jrqiIYf__normal.jpg","View")</f>
        <v>View</v>
      </c>
      <c r="P355" s="7"/>
    </row>
    <row r="356" spans="1:16">
      <c r="A356" s="3">
        <v>43903.875185185185</v>
      </c>
      <c r="B356" s="4" t="str">
        <f>HYPERLINK("https://twitter.com/sergio_fajardo","@sergio_fajardo")</f>
        <v>@sergio_fajardo</v>
      </c>
      <c r="C356" s="5" t="s">
        <v>16</v>
      </c>
      <c r="D356" s="5" t="s">
        <v>379</v>
      </c>
      <c r="E356" s="6" t="str">
        <f>HYPERLINK("https://twitter.com/sergio_fajardo/status/1238487549284429826","1238487549284429826")</f>
        <v>1238487549284429826</v>
      </c>
      <c r="F356" s="7" t="s">
        <v>17</v>
      </c>
      <c r="G356" s="7">
        <v>1497268</v>
      </c>
      <c r="H356" s="7">
        <v>361</v>
      </c>
      <c r="I356" s="7">
        <v>2</v>
      </c>
      <c r="J356" s="7">
        <v>0</v>
      </c>
      <c r="K356" s="7" t="s">
        <v>18</v>
      </c>
      <c r="L356" s="8">
        <v>39891.213356481479</v>
      </c>
      <c r="M356" s="9" t="s">
        <v>19</v>
      </c>
      <c r="N356" s="9" t="s">
        <v>22</v>
      </c>
      <c r="O356" s="6" t="str">
        <f>HYPERLINK("https://pbs.twimg.com/profile_images/988971255679324162/jrqiIYf__normal.jpg","View")</f>
        <v>View</v>
      </c>
      <c r="P356" s="7"/>
    </row>
    <row r="357" spans="1:16">
      <c r="A357" s="3">
        <v>43903.941990740743</v>
      </c>
      <c r="B357" s="4" t="str">
        <f>HYPERLINK("https://twitter.com/sergio_fajardo","@sergio_fajardo")</f>
        <v>@sergio_fajardo</v>
      </c>
      <c r="C357" s="5" t="s">
        <v>16</v>
      </c>
      <c r="D357" s="5" t="s">
        <v>380</v>
      </c>
      <c r="E357" s="6" t="str">
        <f>HYPERLINK("https://twitter.com/sergio_fajardo/status/1238511760077926403","1238511760077926403")</f>
        <v>1238511760077926403</v>
      </c>
      <c r="F357" s="7" t="s">
        <v>17</v>
      </c>
      <c r="G357" s="7">
        <v>1497283</v>
      </c>
      <c r="H357" s="7">
        <v>361</v>
      </c>
      <c r="I357" s="7">
        <v>6</v>
      </c>
      <c r="J357" s="7">
        <v>0</v>
      </c>
      <c r="K357" s="7" t="s">
        <v>18</v>
      </c>
      <c r="L357" s="8">
        <v>39891.213356481479</v>
      </c>
      <c r="M357" s="9" t="s">
        <v>19</v>
      </c>
      <c r="N357" s="9" t="s">
        <v>22</v>
      </c>
      <c r="O357" s="6" t="str">
        <f>HYPERLINK("https://pbs.twimg.com/profile_images/988971255679324162/jrqiIYf__normal.jpg","View")</f>
        <v>View</v>
      </c>
      <c r="P357" s="7"/>
    </row>
    <row r="358" spans="1:16">
      <c r="A358" s="3">
        <v>43903.950717592597</v>
      </c>
      <c r="B358" s="4" t="str">
        <f>HYPERLINK("https://twitter.com/sergio_fajardo","@sergio_fajardo")</f>
        <v>@sergio_fajardo</v>
      </c>
      <c r="C358" s="5" t="s">
        <v>16</v>
      </c>
      <c r="D358" s="5" t="s">
        <v>381</v>
      </c>
      <c r="E358" s="6" t="str">
        <f>HYPERLINK("https://twitter.com/sergio_fajardo/status/1238514923535241216","1238514923535241216")</f>
        <v>1238514923535241216</v>
      </c>
      <c r="F358" s="7" t="s">
        <v>17</v>
      </c>
      <c r="G358" s="7">
        <v>1497299</v>
      </c>
      <c r="H358" s="7">
        <v>361</v>
      </c>
      <c r="I358" s="7">
        <v>7</v>
      </c>
      <c r="J358" s="7">
        <v>152</v>
      </c>
      <c r="K358" s="7" t="s">
        <v>18</v>
      </c>
      <c r="L358" s="8">
        <v>39891.213356481479</v>
      </c>
      <c r="M358" s="9" t="s">
        <v>19</v>
      </c>
      <c r="N358" s="9" t="s">
        <v>22</v>
      </c>
      <c r="O358" s="6" t="str">
        <f>HYPERLINK("https://pbs.twimg.com/profile_images/988971255679324162/jrqiIYf__normal.jpg","View")</f>
        <v>View</v>
      </c>
      <c r="P358" s="7"/>
    </row>
    <row r="359" spans="1:16">
      <c r="A359" s="3">
        <v>43903.995150462964</v>
      </c>
      <c r="B359" s="4" t="str">
        <f>HYPERLINK("https://twitter.com/sergio_fajardo","@sergio_fajardo")</f>
        <v>@sergio_fajardo</v>
      </c>
      <c r="C359" s="5" t="s">
        <v>16</v>
      </c>
      <c r="D359" s="5" t="s">
        <v>382</v>
      </c>
      <c r="E359" s="6" t="str">
        <f>HYPERLINK("https://twitter.com/sergio_fajardo/status/1238531023094321153","1238531023094321153")</f>
        <v>1238531023094321153</v>
      </c>
      <c r="F359" s="7" t="s">
        <v>17</v>
      </c>
      <c r="G359" s="7">
        <v>1497316</v>
      </c>
      <c r="H359" s="7">
        <v>361</v>
      </c>
      <c r="I359" s="7">
        <v>129</v>
      </c>
      <c r="J359" s="7">
        <v>0</v>
      </c>
      <c r="K359" s="7" t="s">
        <v>18</v>
      </c>
      <c r="L359" s="8">
        <v>39891.213356481479</v>
      </c>
      <c r="M359" s="9" t="s">
        <v>19</v>
      </c>
      <c r="N359" s="9" t="s">
        <v>22</v>
      </c>
      <c r="O359" s="6" t="str">
        <f>HYPERLINK("https://pbs.twimg.com/profile_images/988971255679324162/jrqiIYf__normal.jpg","View")</f>
        <v>View</v>
      </c>
      <c r="P359" s="7"/>
    </row>
    <row r="360" spans="1:16">
      <c r="A360" s="3">
        <v>43904.055601851855</v>
      </c>
      <c r="B360" s="4" t="str">
        <f>HYPERLINK("https://twitter.com/sergio_fajardo","@sergio_fajardo")</f>
        <v>@sergio_fajardo</v>
      </c>
      <c r="C360" s="5" t="s">
        <v>16</v>
      </c>
      <c r="D360" s="5" t="s">
        <v>383</v>
      </c>
      <c r="E360" s="6" t="str">
        <f>HYPERLINK("https://twitter.com/sergio_fajardo/status/1238552930070016001","1238552930070016001")</f>
        <v>1238552930070016001</v>
      </c>
      <c r="F360" s="7" t="s">
        <v>17</v>
      </c>
      <c r="G360" s="7">
        <v>1497347</v>
      </c>
      <c r="H360" s="7">
        <v>361</v>
      </c>
      <c r="I360" s="7">
        <v>1000</v>
      </c>
      <c r="J360" s="7">
        <v>0</v>
      </c>
      <c r="K360" s="7" t="s">
        <v>18</v>
      </c>
      <c r="L360" s="8">
        <v>39891.213356481479</v>
      </c>
      <c r="M360" s="9" t="s">
        <v>19</v>
      </c>
      <c r="N360" s="9" t="s">
        <v>22</v>
      </c>
      <c r="O360" s="6" t="str">
        <f>HYPERLINK("https://pbs.twimg.com/profile_images/988971255679324162/jrqiIYf__normal.jpg","View")</f>
        <v>View</v>
      </c>
      <c r="P360" s="7"/>
    </row>
    <row r="361" spans="1:16">
      <c r="A361" s="3">
        <v>43904.076168981483</v>
      </c>
      <c r="B361" s="4" t="str">
        <f>HYPERLINK("https://twitter.com/sergio_fajardo","@sergio_fajardo")</f>
        <v>@sergio_fajardo</v>
      </c>
      <c r="C361" s="5" t="s">
        <v>16</v>
      </c>
      <c r="D361" s="5" t="s">
        <v>384</v>
      </c>
      <c r="E361" s="6" t="str">
        <f>HYPERLINK("https://twitter.com/sergio_fajardo/status/1238560383604002816","1238560383604002816")</f>
        <v>1238560383604002816</v>
      </c>
      <c r="F361" s="7" t="s">
        <v>17</v>
      </c>
      <c r="G361" s="7">
        <v>1497350</v>
      </c>
      <c r="H361" s="7">
        <v>361</v>
      </c>
      <c r="I361" s="7">
        <v>853</v>
      </c>
      <c r="J361" s="7">
        <v>0</v>
      </c>
      <c r="K361" s="7" t="s">
        <v>18</v>
      </c>
      <c r="L361" s="8">
        <v>39891.213356481479</v>
      </c>
      <c r="M361" s="9" t="s">
        <v>19</v>
      </c>
      <c r="N361" s="9" t="s">
        <v>22</v>
      </c>
      <c r="O361" s="6" t="str">
        <f>HYPERLINK("https://pbs.twimg.com/profile_images/988971255679324162/jrqiIYf__normal.jpg","View")</f>
        <v>View</v>
      </c>
      <c r="P361" s="7"/>
    </row>
    <row r="362" spans="1:16">
      <c r="A362" s="3">
        <v>43904.115752314814</v>
      </c>
      <c r="B362" s="4" t="str">
        <f>HYPERLINK("https://twitter.com/sergio_fajardo","@sergio_fajardo")</f>
        <v>@sergio_fajardo</v>
      </c>
      <c r="C362" s="5" t="s">
        <v>16</v>
      </c>
      <c r="D362" s="5" t="s">
        <v>385</v>
      </c>
      <c r="E362" s="6" t="str">
        <f>HYPERLINK("https://twitter.com/sergio_fajardo/status/1238574729323253761","1238574729323253761")</f>
        <v>1238574729323253761</v>
      </c>
      <c r="F362" s="7" t="s">
        <v>17</v>
      </c>
      <c r="G362" s="7">
        <v>1497356</v>
      </c>
      <c r="H362" s="7">
        <v>361</v>
      </c>
      <c r="I362" s="7">
        <v>406</v>
      </c>
      <c r="J362" s="7">
        <v>0</v>
      </c>
      <c r="K362" s="7" t="s">
        <v>18</v>
      </c>
      <c r="L362" s="8">
        <v>39891.213356481479</v>
      </c>
      <c r="M362" s="9" t="s">
        <v>19</v>
      </c>
      <c r="N362" s="9" t="s">
        <v>22</v>
      </c>
      <c r="O362" s="6" t="str">
        <f>HYPERLINK("https://pbs.twimg.com/profile_images/988971255679324162/jrqiIYf__normal.jpg","View")</f>
        <v>View</v>
      </c>
      <c r="P362" s="7"/>
    </row>
    <row r="363" spans="1:16">
      <c r="A363" s="3">
        <v>43904.183182870373</v>
      </c>
      <c r="B363" s="4" t="str">
        <f>HYPERLINK("https://twitter.com/sergio_fajardo","@sergio_fajardo")</f>
        <v>@sergio_fajardo</v>
      </c>
      <c r="C363" s="5" t="s">
        <v>16</v>
      </c>
      <c r="D363" s="5" t="s">
        <v>386</v>
      </c>
      <c r="E363" s="6" t="str">
        <f>HYPERLINK("https://twitter.com/sergio_fajardo/status/1238599165795598336","1238599165795598336")</f>
        <v>1238599165795598336</v>
      </c>
      <c r="F363" s="7" t="s">
        <v>20</v>
      </c>
      <c r="G363" s="7">
        <v>1497392</v>
      </c>
      <c r="H363" s="7">
        <v>361</v>
      </c>
      <c r="I363" s="7">
        <v>19</v>
      </c>
      <c r="J363" s="7">
        <v>77</v>
      </c>
      <c r="K363" s="7" t="s">
        <v>18</v>
      </c>
      <c r="L363" s="8">
        <v>39891.213356481479</v>
      </c>
      <c r="M363" s="9" t="s">
        <v>19</v>
      </c>
      <c r="N363" s="9" t="s">
        <v>22</v>
      </c>
      <c r="O363" s="6" t="str">
        <f>HYPERLINK("https://pbs.twimg.com/profile_images/988971255679324162/jrqiIYf__normal.jpg","View")</f>
        <v>View</v>
      </c>
      <c r="P363" s="7"/>
    </row>
    <row r="364" spans="1:16">
      <c r="A364" s="3">
        <v>43904.899502314816</v>
      </c>
      <c r="B364" s="4" t="str">
        <f>HYPERLINK("https://twitter.com/sergio_fajardo","@sergio_fajardo")</f>
        <v>@sergio_fajardo</v>
      </c>
      <c r="C364" s="5" t="s">
        <v>16</v>
      </c>
      <c r="D364" s="5" t="s">
        <v>387</v>
      </c>
      <c r="E364" s="6" t="str">
        <f>HYPERLINK("https://twitter.com/sergio_fajardo/status/1238858748099285004","1238858748099285004")</f>
        <v>1238858748099285004</v>
      </c>
      <c r="F364" s="7" t="s">
        <v>17</v>
      </c>
      <c r="G364" s="7">
        <v>1497685</v>
      </c>
      <c r="H364" s="7">
        <v>361</v>
      </c>
      <c r="I364" s="7">
        <v>14</v>
      </c>
      <c r="J364" s="7">
        <v>84</v>
      </c>
      <c r="K364" s="7" t="s">
        <v>18</v>
      </c>
      <c r="L364" s="8">
        <v>39891.213356481479</v>
      </c>
      <c r="M364" s="9" t="s">
        <v>19</v>
      </c>
      <c r="N364" s="9" t="s">
        <v>22</v>
      </c>
      <c r="O364" s="6" t="str">
        <f>HYPERLINK("https://pbs.twimg.com/profile_images/988971255679324162/jrqiIYf__normal.jpg","View")</f>
        <v>View</v>
      </c>
      <c r="P364" s="7"/>
    </row>
    <row r="365" spans="1:16">
      <c r="A365" s="3">
        <v>43905.100682870368</v>
      </c>
      <c r="B365" s="4" t="str">
        <f>HYPERLINK("https://twitter.com/sergio_fajardo","@sergio_fajardo")</f>
        <v>@sergio_fajardo</v>
      </c>
      <c r="C365" s="5" t="s">
        <v>16</v>
      </c>
      <c r="D365" s="5" t="s">
        <v>388</v>
      </c>
      <c r="E365" s="6" t="str">
        <f>HYPERLINK("https://twitter.com/sergio_fajardo/status/1238931656842579968","1238931656842579968")</f>
        <v>1238931656842579968</v>
      </c>
      <c r="F365" s="7" t="s">
        <v>20</v>
      </c>
      <c r="G365" s="7">
        <v>1497807</v>
      </c>
      <c r="H365" s="7">
        <v>361</v>
      </c>
      <c r="I365" s="7">
        <v>4</v>
      </c>
      <c r="J365" s="7">
        <v>34</v>
      </c>
      <c r="K365" s="7" t="s">
        <v>18</v>
      </c>
      <c r="L365" s="8">
        <v>39891.213356481479</v>
      </c>
      <c r="M365" s="9" t="s">
        <v>19</v>
      </c>
      <c r="N365" s="9" t="s">
        <v>22</v>
      </c>
      <c r="O365" s="6" t="str">
        <f>HYPERLINK("https://pbs.twimg.com/profile_images/988971255679324162/jrqiIYf__normal.jpg","View")</f>
        <v>View</v>
      </c>
      <c r="P365" s="7"/>
    </row>
    <row r="366" spans="1:16">
      <c r="A366" s="3">
        <v>43905.121944444443</v>
      </c>
      <c r="B366" s="4" t="str">
        <f>HYPERLINK("https://twitter.com/sergio_fajardo","@sergio_fajardo")</f>
        <v>@sergio_fajardo</v>
      </c>
      <c r="C366" s="5" t="s">
        <v>16</v>
      </c>
      <c r="D366" s="5" t="s">
        <v>389</v>
      </c>
      <c r="E366" s="6" t="str">
        <f>HYPERLINK("https://twitter.com/sergio_fajardo/status/1238939360927649793","1238939360927649793")</f>
        <v>1238939360927649793</v>
      </c>
      <c r="F366" s="7" t="s">
        <v>17</v>
      </c>
      <c r="G366" s="7">
        <v>1497821</v>
      </c>
      <c r="H366" s="7">
        <v>361</v>
      </c>
      <c r="I366" s="7">
        <v>6</v>
      </c>
      <c r="J366" s="7">
        <v>0</v>
      </c>
      <c r="K366" s="7" t="s">
        <v>18</v>
      </c>
      <c r="L366" s="8">
        <v>39891.213356481479</v>
      </c>
      <c r="M366" s="9" t="s">
        <v>19</v>
      </c>
      <c r="N366" s="9" t="s">
        <v>22</v>
      </c>
      <c r="O366" s="6" t="str">
        <f>HYPERLINK("https://pbs.twimg.com/profile_images/988971255679324162/jrqiIYf__normal.jpg","View")</f>
        <v>View</v>
      </c>
      <c r="P366" s="7"/>
    </row>
    <row r="367" spans="1:16">
      <c r="A367" s="3">
        <v>43905.138124999998</v>
      </c>
      <c r="B367" s="4" t="str">
        <f>HYPERLINK("https://twitter.com/sergio_fajardo","@sergio_fajardo")</f>
        <v>@sergio_fajardo</v>
      </c>
      <c r="C367" s="5" t="s">
        <v>16</v>
      </c>
      <c r="D367" s="5" t="s">
        <v>390</v>
      </c>
      <c r="E367" s="6" t="str">
        <f>HYPERLINK("https://twitter.com/sergio_fajardo/status/1238945223859941377","1238945223859941377")</f>
        <v>1238945223859941377</v>
      </c>
      <c r="F367" s="7" t="s">
        <v>17</v>
      </c>
      <c r="G367" s="7">
        <v>1497847</v>
      </c>
      <c r="H367" s="7">
        <v>361</v>
      </c>
      <c r="I367" s="7">
        <v>12</v>
      </c>
      <c r="J367" s="7">
        <v>0</v>
      </c>
      <c r="K367" s="7" t="s">
        <v>18</v>
      </c>
      <c r="L367" s="8">
        <v>39891.213356481479</v>
      </c>
      <c r="M367" s="9" t="s">
        <v>19</v>
      </c>
      <c r="N367" s="9" t="s">
        <v>22</v>
      </c>
      <c r="O367" s="6" t="str">
        <f>HYPERLINK("https://pbs.twimg.com/profile_images/988971255679324162/jrqiIYf__normal.jpg","View")</f>
        <v>View</v>
      </c>
      <c r="P367" s="7"/>
    </row>
    <row r="368" spans="1:16">
      <c r="A368" s="3">
        <v>43905.216574074075</v>
      </c>
      <c r="B368" s="4" t="str">
        <f>HYPERLINK("https://twitter.com/sergio_fajardo","@sergio_fajardo")</f>
        <v>@sergio_fajardo</v>
      </c>
      <c r="C368" s="5" t="s">
        <v>16</v>
      </c>
      <c r="D368" s="5" t="s">
        <v>391</v>
      </c>
      <c r="E368" s="6" t="str">
        <f>HYPERLINK("https://twitter.com/sergio_fajardo/status/1238973654790221825","1238973654790221825")</f>
        <v>1238973654790221825</v>
      </c>
      <c r="F368" s="7" t="s">
        <v>17</v>
      </c>
      <c r="G368" s="7">
        <v>1497902</v>
      </c>
      <c r="H368" s="7">
        <v>361</v>
      </c>
      <c r="I368" s="7">
        <v>2</v>
      </c>
      <c r="J368" s="7">
        <v>22</v>
      </c>
      <c r="K368" s="7" t="s">
        <v>18</v>
      </c>
      <c r="L368" s="8">
        <v>39891.213356481479</v>
      </c>
      <c r="M368" s="9" t="s">
        <v>19</v>
      </c>
      <c r="N368" s="9" t="s">
        <v>22</v>
      </c>
      <c r="O368" s="6" t="str">
        <f>HYPERLINK("https://pbs.twimg.com/profile_images/988971255679324162/jrqiIYf__normal.jpg","View")</f>
        <v>View</v>
      </c>
      <c r="P368" s="7"/>
    </row>
    <row r="369" spans="1:16">
      <c r="A369" s="3">
        <v>43905.319386574076</v>
      </c>
      <c r="B369" s="4" t="str">
        <f>HYPERLINK("https://twitter.com/sergio_fajardo","@sergio_fajardo")</f>
        <v>@sergio_fajardo</v>
      </c>
      <c r="C369" s="5" t="s">
        <v>16</v>
      </c>
      <c r="D369" s="5" t="s">
        <v>392</v>
      </c>
      <c r="E369" s="6" t="str">
        <f>HYPERLINK("https://twitter.com/sergio_fajardo/status/1239010909667934208","1239010909667934208")</f>
        <v>1239010909667934208</v>
      </c>
      <c r="F369" s="7" t="s">
        <v>17</v>
      </c>
      <c r="G369" s="7">
        <v>1497956</v>
      </c>
      <c r="H369" s="7">
        <v>361</v>
      </c>
      <c r="I369" s="7">
        <v>67</v>
      </c>
      <c r="J369" s="7">
        <v>0</v>
      </c>
      <c r="K369" s="7" t="s">
        <v>18</v>
      </c>
      <c r="L369" s="8">
        <v>39891.213356481479</v>
      </c>
      <c r="M369" s="9" t="s">
        <v>19</v>
      </c>
      <c r="N369" s="9" t="s">
        <v>22</v>
      </c>
      <c r="O369" s="6" t="str">
        <f>HYPERLINK("https://pbs.twimg.com/profile_images/988971255679324162/jrqiIYf__normal.jpg","View")</f>
        <v>View</v>
      </c>
      <c r="P369" s="7"/>
    </row>
    <row r="370" spans="1:16">
      <c r="A370" s="3">
        <v>43905.753321759257</v>
      </c>
      <c r="B370" s="4" t="str">
        <f>HYPERLINK("https://twitter.com/sergio_fajardo","@sergio_fajardo")</f>
        <v>@sergio_fajardo</v>
      </c>
      <c r="C370" s="5" t="s">
        <v>16</v>
      </c>
      <c r="D370" s="5" t="s">
        <v>393</v>
      </c>
      <c r="E370" s="6" t="str">
        <f>HYPERLINK("https://twitter.com/sergio_fajardo/status/1239168165151727616","1239168165151727616")</f>
        <v>1239168165151727616</v>
      </c>
      <c r="F370" s="7" t="s">
        <v>17</v>
      </c>
      <c r="G370" s="7">
        <v>1498108</v>
      </c>
      <c r="H370" s="7">
        <v>361</v>
      </c>
      <c r="I370" s="7">
        <v>483</v>
      </c>
      <c r="J370" s="7">
        <v>0</v>
      </c>
      <c r="K370" s="7" t="s">
        <v>18</v>
      </c>
      <c r="L370" s="8">
        <v>39891.213356481479</v>
      </c>
      <c r="M370" s="9" t="s">
        <v>19</v>
      </c>
      <c r="N370" s="9" t="s">
        <v>22</v>
      </c>
      <c r="O370" s="6" t="str">
        <f>HYPERLINK("https://pbs.twimg.com/profile_images/988971255679324162/jrqiIYf__normal.jpg","View")</f>
        <v>View</v>
      </c>
      <c r="P370" s="7"/>
    </row>
    <row r="371" spans="1:16">
      <c r="A371" s="3">
        <v>43906.202731481477</v>
      </c>
      <c r="B371" s="4" t="str">
        <f>HYPERLINK("https://twitter.com/sergio_fajardo","@sergio_fajardo")</f>
        <v>@sergio_fajardo</v>
      </c>
      <c r="C371" s="5" t="s">
        <v>16</v>
      </c>
      <c r="D371" s="5" t="s">
        <v>394</v>
      </c>
      <c r="E371" s="6" t="str">
        <f>HYPERLINK("https://twitter.com/sergio_fajardo/status/1239331022346637312","1239331022346637312")</f>
        <v>1239331022346637312</v>
      </c>
      <c r="F371" s="7" t="s">
        <v>17</v>
      </c>
      <c r="G371" s="7">
        <v>1498683</v>
      </c>
      <c r="H371" s="7">
        <v>361</v>
      </c>
      <c r="I371" s="7">
        <v>8</v>
      </c>
      <c r="J371" s="7">
        <v>0</v>
      </c>
      <c r="K371" s="7" t="s">
        <v>18</v>
      </c>
      <c r="L371" s="8">
        <v>39891.213356481479</v>
      </c>
      <c r="M371" s="9" t="s">
        <v>19</v>
      </c>
      <c r="N371" s="9" t="s">
        <v>22</v>
      </c>
      <c r="O371" s="6" t="str">
        <f>HYPERLINK("https://pbs.twimg.com/profile_images/988971255679324162/jrqiIYf__normal.jpg","View")</f>
        <v>View</v>
      </c>
      <c r="P371" s="7"/>
    </row>
    <row r="372" spans="1:16">
      <c r="A372" s="3">
        <v>43906.269050925926</v>
      </c>
      <c r="B372" s="4" t="str">
        <f>HYPERLINK("https://twitter.com/sergio_fajardo","@sergio_fajardo")</f>
        <v>@sergio_fajardo</v>
      </c>
      <c r="C372" s="5" t="s">
        <v>16</v>
      </c>
      <c r="D372" s="5" t="s">
        <v>395</v>
      </c>
      <c r="E372" s="6" t="str">
        <f>HYPERLINK("https://twitter.com/sergio_fajardo/status/1239355058032185350","1239355058032185350")</f>
        <v>1239355058032185350</v>
      </c>
      <c r="F372" s="7" t="s">
        <v>17</v>
      </c>
      <c r="G372" s="7">
        <v>1498845</v>
      </c>
      <c r="H372" s="7">
        <v>361</v>
      </c>
      <c r="I372" s="7">
        <v>789</v>
      </c>
      <c r="J372" s="7">
        <v>0</v>
      </c>
      <c r="K372" s="7" t="s">
        <v>18</v>
      </c>
      <c r="L372" s="8">
        <v>39891.213356481479</v>
      </c>
      <c r="M372" s="9" t="s">
        <v>19</v>
      </c>
      <c r="N372" s="9" t="s">
        <v>22</v>
      </c>
      <c r="O372" s="6" t="str">
        <f>HYPERLINK("https://pbs.twimg.com/profile_images/988971255679324162/jrqiIYf__normal.jpg","View")</f>
        <v>View</v>
      </c>
      <c r="P372" s="7"/>
    </row>
    <row r="373" spans="1:16">
      <c r="A373" s="3">
        <v>43906.676435185189</v>
      </c>
      <c r="B373" s="4" t="str">
        <f>HYPERLINK("https://twitter.com/sergio_fajardo","@sergio_fajardo")</f>
        <v>@sergio_fajardo</v>
      </c>
      <c r="C373" s="5" t="s">
        <v>16</v>
      </c>
      <c r="D373" s="5" t="s">
        <v>396</v>
      </c>
      <c r="E373" s="6" t="str">
        <f>HYPERLINK("https://twitter.com/sergio_fajardo/status/1239502689643438083","1239502689643438083")</f>
        <v>1239502689643438083</v>
      </c>
      <c r="F373" s="7" t="s">
        <v>17</v>
      </c>
      <c r="G373" s="7">
        <v>1499128</v>
      </c>
      <c r="H373" s="7">
        <v>361</v>
      </c>
      <c r="I373" s="7">
        <v>2110</v>
      </c>
      <c r="J373" s="7">
        <v>0</v>
      </c>
      <c r="K373" s="7" t="s">
        <v>18</v>
      </c>
      <c r="L373" s="8">
        <v>39891.213356481479</v>
      </c>
      <c r="M373" s="9" t="s">
        <v>19</v>
      </c>
      <c r="N373" s="9" t="s">
        <v>22</v>
      </c>
      <c r="O373" s="6" t="str">
        <f>HYPERLINK("https://pbs.twimg.com/profile_images/988971255679324162/jrqiIYf__normal.jpg","View")</f>
        <v>View</v>
      </c>
      <c r="P373" s="7"/>
    </row>
    <row r="374" spans="1:16">
      <c r="A374" s="3">
        <v>43906.95517361111</v>
      </c>
      <c r="B374" s="4" t="str">
        <f>HYPERLINK("https://twitter.com/sergio_fajardo","@sergio_fajardo")</f>
        <v>@sergio_fajardo</v>
      </c>
      <c r="C374" s="5" t="s">
        <v>16</v>
      </c>
      <c r="D374" s="5" t="s">
        <v>397</v>
      </c>
      <c r="E374" s="6" t="str">
        <f>HYPERLINK("https://twitter.com/sergio_fajardo/status/1239603699523215360","1239603699523215360")</f>
        <v>1239603699523215360</v>
      </c>
      <c r="F374" s="7" t="s">
        <v>17</v>
      </c>
      <c r="G374" s="7">
        <v>1499408</v>
      </c>
      <c r="H374" s="7">
        <v>361</v>
      </c>
      <c r="I374" s="7">
        <v>2</v>
      </c>
      <c r="J374" s="7">
        <v>0</v>
      </c>
      <c r="K374" s="7" t="s">
        <v>18</v>
      </c>
      <c r="L374" s="8">
        <v>39891.213356481479</v>
      </c>
      <c r="M374" s="9" t="s">
        <v>19</v>
      </c>
      <c r="N374" s="9" t="s">
        <v>22</v>
      </c>
      <c r="O374" s="6" t="str">
        <f>HYPERLINK("https://pbs.twimg.com/profile_images/988971255679324162/jrqiIYf__normal.jpg","View")</f>
        <v>View</v>
      </c>
      <c r="P374" s="7"/>
    </row>
    <row r="375" spans="1:16">
      <c r="A375" s="3">
        <v>43906.955601851849</v>
      </c>
      <c r="B375" s="4" t="str">
        <f>HYPERLINK("https://twitter.com/sergio_fajardo","@sergio_fajardo")</f>
        <v>@sergio_fajardo</v>
      </c>
      <c r="C375" s="5" t="s">
        <v>16</v>
      </c>
      <c r="D375" s="5" t="s">
        <v>398</v>
      </c>
      <c r="E375" s="6" t="str">
        <f>HYPERLINK("https://twitter.com/sergio_fajardo/status/1239603855161204739","1239603855161204739")</f>
        <v>1239603855161204739</v>
      </c>
      <c r="F375" s="7" t="s">
        <v>17</v>
      </c>
      <c r="G375" s="7">
        <v>1499408</v>
      </c>
      <c r="H375" s="7">
        <v>361</v>
      </c>
      <c r="I375" s="7">
        <v>224</v>
      </c>
      <c r="J375" s="7">
        <v>0</v>
      </c>
      <c r="K375" s="7" t="s">
        <v>18</v>
      </c>
      <c r="L375" s="8">
        <v>39891.213356481479</v>
      </c>
      <c r="M375" s="9" t="s">
        <v>19</v>
      </c>
      <c r="N375" s="9" t="s">
        <v>22</v>
      </c>
      <c r="O375" s="6" t="str">
        <f>HYPERLINK("https://pbs.twimg.com/profile_images/988971255679324162/jrqiIYf__normal.jpg","View")</f>
        <v>View</v>
      </c>
      <c r="P375" s="7"/>
    </row>
    <row r="376" spans="1:16">
      <c r="A376" s="3">
        <v>43907.082800925928</v>
      </c>
      <c r="B376" s="4" t="str">
        <f>HYPERLINK("https://twitter.com/sergio_fajardo","@sergio_fajardo")</f>
        <v>@sergio_fajardo</v>
      </c>
      <c r="C376" s="5" t="s">
        <v>16</v>
      </c>
      <c r="D376" s="5" t="s">
        <v>399</v>
      </c>
      <c r="E376" s="6" t="str">
        <f>HYPERLINK("https://twitter.com/sergio_fajardo/status/1239649952130838530","1239649952130838530")</f>
        <v>1239649952130838530</v>
      </c>
      <c r="F376" s="7" t="s">
        <v>17</v>
      </c>
      <c r="G376" s="7">
        <v>1499522</v>
      </c>
      <c r="H376" s="7">
        <v>361</v>
      </c>
      <c r="I376" s="7">
        <v>11</v>
      </c>
      <c r="J376" s="7">
        <v>0</v>
      </c>
      <c r="K376" s="7" t="s">
        <v>18</v>
      </c>
      <c r="L376" s="8">
        <v>39891.213356481479</v>
      </c>
      <c r="M376" s="9" t="s">
        <v>19</v>
      </c>
      <c r="N376" s="9" t="s">
        <v>22</v>
      </c>
      <c r="O376" s="6" t="str">
        <f>HYPERLINK("https://pbs.twimg.com/profile_images/988971255679324162/jrqiIYf__normal.jpg","View")</f>
        <v>View</v>
      </c>
      <c r="P376" s="7"/>
    </row>
    <row r="377" spans="1:16">
      <c r="A377" s="3">
        <v>43907.81631944445</v>
      </c>
      <c r="B377" s="4" t="str">
        <f>HYPERLINK("https://twitter.com/sergio_fajardo","@sergio_fajardo")</f>
        <v>@sergio_fajardo</v>
      </c>
      <c r="C377" s="5" t="s">
        <v>16</v>
      </c>
      <c r="D377" s="5" t="s">
        <v>400</v>
      </c>
      <c r="E377" s="6" t="str">
        <f>HYPERLINK("https://twitter.com/sergio_fajardo/status/1239915766989950983","1239915766989950983")</f>
        <v>1239915766989950983</v>
      </c>
      <c r="F377" s="7" t="s">
        <v>17</v>
      </c>
      <c r="G377" s="7">
        <v>1500164</v>
      </c>
      <c r="H377" s="7">
        <v>361</v>
      </c>
      <c r="I377" s="7">
        <v>29</v>
      </c>
      <c r="J377" s="7">
        <v>280</v>
      </c>
      <c r="K377" s="7" t="s">
        <v>18</v>
      </c>
      <c r="L377" s="8">
        <v>39891.213356481479</v>
      </c>
      <c r="M377" s="9" t="s">
        <v>19</v>
      </c>
      <c r="N377" s="9" t="s">
        <v>22</v>
      </c>
      <c r="O377" s="6" t="str">
        <f>HYPERLINK("https://pbs.twimg.com/profile_images/988971255679324162/jrqiIYf__normal.jpg","View")</f>
        <v>View</v>
      </c>
      <c r="P377" s="7"/>
    </row>
    <row r="378" spans="1:16">
      <c r="A378" s="3">
        <v>43907.994131944448</v>
      </c>
      <c r="B378" s="4" t="str">
        <f>HYPERLINK("https://twitter.com/sergio_fajardo","@sergio_fajardo")</f>
        <v>@sergio_fajardo</v>
      </c>
      <c r="C378" s="5" t="s">
        <v>16</v>
      </c>
      <c r="D378" s="5" t="s">
        <v>401</v>
      </c>
      <c r="E378" s="6" t="str">
        <f>HYPERLINK("https://twitter.com/sergio_fajardo/status/1239980208154910722","1239980208154910722")</f>
        <v>1239980208154910722</v>
      </c>
      <c r="F378" s="7" t="s">
        <v>17</v>
      </c>
      <c r="G378" s="7">
        <v>1500342</v>
      </c>
      <c r="H378" s="7">
        <v>361</v>
      </c>
      <c r="I378" s="7">
        <v>3</v>
      </c>
      <c r="J378" s="7">
        <v>9</v>
      </c>
      <c r="K378" s="7" t="s">
        <v>18</v>
      </c>
      <c r="L378" s="8">
        <v>39891.213356481479</v>
      </c>
      <c r="M378" s="9" t="s">
        <v>19</v>
      </c>
      <c r="N378" s="9" t="s">
        <v>22</v>
      </c>
      <c r="O378" s="6" t="str">
        <f>HYPERLINK("https://pbs.twimg.com/profile_images/988971255679324162/jrqiIYf__normal.jpg","View")</f>
        <v>View</v>
      </c>
      <c r="P378" s="7"/>
    </row>
    <row r="379" spans="1:16">
      <c r="A379" s="3">
        <v>43908.147256944445</v>
      </c>
      <c r="B379" s="4" t="str">
        <f>HYPERLINK("https://twitter.com/sergio_fajardo","@sergio_fajardo")</f>
        <v>@sergio_fajardo</v>
      </c>
      <c r="C379" s="5" t="s">
        <v>16</v>
      </c>
      <c r="D379" s="5" t="s">
        <v>402</v>
      </c>
      <c r="E379" s="6" t="str">
        <f>HYPERLINK("https://twitter.com/sergio_fajardo/status/1240035695625998337","1240035695625998337")</f>
        <v>1240035695625998337</v>
      </c>
      <c r="F379" s="7" t="s">
        <v>17</v>
      </c>
      <c r="G379" s="7">
        <v>1500471</v>
      </c>
      <c r="H379" s="7">
        <v>361</v>
      </c>
      <c r="I379" s="7">
        <v>34</v>
      </c>
      <c r="J379" s="7">
        <v>0</v>
      </c>
      <c r="K379" s="7" t="s">
        <v>18</v>
      </c>
      <c r="L379" s="8">
        <v>39891.213356481479</v>
      </c>
      <c r="M379" s="9" t="s">
        <v>19</v>
      </c>
      <c r="N379" s="9" t="s">
        <v>22</v>
      </c>
      <c r="O379" s="6" t="str">
        <f>HYPERLINK("https://pbs.twimg.com/profile_images/988971255679324162/jrqiIYf__normal.jpg","View")</f>
        <v>View</v>
      </c>
      <c r="P379" s="7"/>
    </row>
    <row r="380" spans="1:16">
      <c r="A380" s="3">
        <v>43908.198564814811</v>
      </c>
      <c r="B380" s="4" t="str">
        <f>HYPERLINK("https://twitter.com/sergio_fajardo","@sergio_fajardo")</f>
        <v>@sergio_fajardo</v>
      </c>
      <c r="C380" s="5" t="s">
        <v>16</v>
      </c>
      <c r="D380" s="5" t="s">
        <v>403</v>
      </c>
      <c r="E380" s="6" t="str">
        <f>HYPERLINK("https://twitter.com/sergio_fajardo/status/1240054291303407622","1240054291303407622")</f>
        <v>1240054291303407622</v>
      </c>
      <c r="F380" s="7" t="s">
        <v>17</v>
      </c>
      <c r="G380" s="7">
        <v>1500522</v>
      </c>
      <c r="H380" s="7">
        <v>361</v>
      </c>
      <c r="I380" s="7">
        <v>1135</v>
      </c>
      <c r="J380" s="7">
        <v>0</v>
      </c>
      <c r="K380" s="7" t="s">
        <v>18</v>
      </c>
      <c r="L380" s="8">
        <v>39891.213356481479</v>
      </c>
      <c r="M380" s="9" t="s">
        <v>19</v>
      </c>
      <c r="N380" s="9" t="s">
        <v>22</v>
      </c>
      <c r="O380" s="6" t="str">
        <f>HYPERLINK("https://pbs.twimg.com/profile_images/988971255679324162/jrqiIYf__normal.jpg","View")</f>
        <v>View</v>
      </c>
      <c r="P380" s="7"/>
    </row>
    <row r="381" spans="1:16">
      <c r="A381" s="3">
        <v>43908.247129629628</v>
      </c>
      <c r="B381" s="4" t="str">
        <f>HYPERLINK("https://twitter.com/sergio_fajardo","@sergio_fajardo")</f>
        <v>@sergio_fajardo</v>
      </c>
      <c r="C381" s="5" t="s">
        <v>16</v>
      </c>
      <c r="D381" s="5" t="s">
        <v>404</v>
      </c>
      <c r="E381" s="6" t="str">
        <f>HYPERLINK("https://twitter.com/sergio_fajardo/status/1240071888023564288","1240071888023564288")</f>
        <v>1240071888023564288</v>
      </c>
      <c r="F381" s="7" t="s">
        <v>17</v>
      </c>
      <c r="G381" s="7">
        <v>1500574</v>
      </c>
      <c r="H381" s="7">
        <v>361</v>
      </c>
      <c r="I381" s="7">
        <v>8</v>
      </c>
      <c r="J381" s="7">
        <v>0</v>
      </c>
      <c r="K381" s="7" t="s">
        <v>18</v>
      </c>
      <c r="L381" s="8">
        <v>39891.213356481479</v>
      </c>
      <c r="M381" s="9" t="s">
        <v>19</v>
      </c>
      <c r="N381" s="9" t="s">
        <v>22</v>
      </c>
      <c r="O381" s="6" t="str">
        <f>HYPERLINK("https://pbs.twimg.com/profile_images/988971255679324162/jrqiIYf__normal.jpg","View")</f>
        <v>View</v>
      </c>
      <c r="P381" s="7"/>
    </row>
    <row r="382" spans="1:16">
      <c r="A382" s="3">
        <v>43908.373726851853</v>
      </c>
      <c r="B382" s="4" t="str">
        <f>HYPERLINK("https://twitter.com/sergio_fajardo","@sergio_fajardo")</f>
        <v>@sergio_fajardo</v>
      </c>
      <c r="C382" s="5" t="s">
        <v>16</v>
      </c>
      <c r="D382" s="5" t="s">
        <v>405</v>
      </c>
      <c r="E382" s="6" t="str">
        <f>HYPERLINK("https://twitter.com/sergio_fajardo/status/1240117767497486336","1240117767497486336")</f>
        <v>1240117767497486336</v>
      </c>
      <c r="F382" s="7" t="s">
        <v>17</v>
      </c>
      <c r="G382" s="7">
        <v>1500772</v>
      </c>
      <c r="H382" s="7">
        <v>361</v>
      </c>
      <c r="I382" s="7">
        <v>15</v>
      </c>
      <c r="J382" s="7">
        <v>60</v>
      </c>
      <c r="K382" s="7" t="s">
        <v>18</v>
      </c>
      <c r="L382" s="8">
        <v>39891.213356481479</v>
      </c>
      <c r="M382" s="9" t="s">
        <v>19</v>
      </c>
      <c r="N382" s="9" t="s">
        <v>22</v>
      </c>
      <c r="O382" s="6" t="str">
        <f>HYPERLINK("https://pbs.twimg.com/profile_images/988971255679324162/jrqiIYf__normal.jpg","View")</f>
        <v>View</v>
      </c>
      <c r="P382" s="7"/>
    </row>
    <row r="383" spans="1:16">
      <c r="A383" s="3">
        <v>43908.699560185181</v>
      </c>
      <c r="B383" s="4" t="str">
        <f>HYPERLINK("https://twitter.com/sergio_fajardo","@sergio_fajardo")</f>
        <v>@sergio_fajardo</v>
      </c>
      <c r="C383" s="5" t="s">
        <v>16</v>
      </c>
      <c r="D383" s="5" t="s">
        <v>406</v>
      </c>
      <c r="E383" s="6" t="str">
        <f>HYPERLINK("https://twitter.com/sergio_fajardo/status/1240235844402851840","1240235844402851840")</f>
        <v>1240235844402851840</v>
      </c>
      <c r="F383" s="7" t="s">
        <v>17</v>
      </c>
      <c r="G383" s="7">
        <v>1500909</v>
      </c>
      <c r="H383" s="7">
        <v>361</v>
      </c>
      <c r="I383" s="7">
        <v>85</v>
      </c>
      <c r="J383" s="7">
        <v>320</v>
      </c>
      <c r="K383" s="7" t="s">
        <v>18</v>
      </c>
      <c r="L383" s="8">
        <v>39891.213356481479</v>
      </c>
      <c r="M383" s="9" t="s">
        <v>19</v>
      </c>
      <c r="N383" s="9" t="s">
        <v>22</v>
      </c>
      <c r="O383" s="6" t="str">
        <f>HYPERLINK("https://pbs.twimg.com/profile_images/988971255679324162/jrqiIYf__normal.jpg","View")</f>
        <v>View</v>
      </c>
      <c r="P383" s="7"/>
    </row>
    <row r="384" spans="1:16">
      <c r="A384" s="3">
        <v>43908.705833333333</v>
      </c>
      <c r="B384" s="4" t="str">
        <f>HYPERLINK("https://twitter.com/sergio_fajardo","@sergio_fajardo")</f>
        <v>@sergio_fajardo</v>
      </c>
      <c r="C384" s="5" t="s">
        <v>16</v>
      </c>
      <c r="D384" s="5" t="s">
        <v>407</v>
      </c>
      <c r="E384" s="6" t="str">
        <f>HYPERLINK("https://twitter.com/sergio_fajardo/status/1240238119963762690","1240238119963762690")</f>
        <v>1240238119963762690</v>
      </c>
      <c r="F384" s="7" t="s">
        <v>17</v>
      </c>
      <c r="G384" s="7">
        <v>1500909</v>
      </c>
      <c r="H384" s="7">
        <v>361</v>
      </c>
      <c r="I384" s="7">
        <v>19</v>
      </c>
      <c r="J384" s="7">
        <v>67</v>
      </c>
      <c r="K384" s="7" t="s">
        <v>18</v>
      </c>
      <c r="L384" s="8">
        <v>39891.213356481479</v>
      </c>
      <c r="M384" s="9" t="s">
        <v>19</v>
      </c>
      <c r="N384" s="9" t="s">
        <v>22</v>
      </c>
      <c r="O384" s="6" t="str">
        <f>HYPERLINK("https://pbs.twimg.com/profile_images/988971255679324162/jrqiIYf__normal.jpg","View")</f>
        <v>View</v>
      </c>
      <c r="P384" s="7"/>
    </row>
    <row r="385" spans="1:16">
      <c r="A385" s="3">
        <v>43909.3440625</v>
      </c>
      <c r="B385" s="4" t="str">
        <f>HYPERLINK("https://twitter.com/sergio_fajardo","@sergio_fajardo")</f>
        <v>@sergio_fajardo</v>
      </c>
      <c r="C385" s="5" t="s">
        <v>16</v>
      </c>
      <c r="D385" s="5" t="s">
        <v>408</v>
      </c>
      <c r="E385" s="6" t="str">
        <f>HYPERLINK("https://twitter.com/sergio_fajardo/status/1240469405743579136","1240469405743579136")</f>
        <v>1240469405743579136</v>
      </c>
      <c r="F385" s="7" t="s">
        <v>17</v>
      </c>
      <c r="G385" s="7">
        <v>1502551</v>
      </c>
      <c r="H385" s="7">
        <v>362</v>
      </c>
      <c r="I385" s="7">
        <v>59</v>
      </c>
      <c r="J385" s="7">
        <v>0</v>
      </c>
      <c r="K385" s="7" t="s">
        <v>18</v>
      </c>
      <c r="L385" s="8">
        <v>39891.213356481479</v>
      </c>
      <c r="M385" s="9" t="s">
        <v>19</v>
      </c>
      <c r="N385" s="9" t="s">
        <v>22</v>
      </c>
      <c r="O385" s="6" t="str">
        <f>HYPERLINK("https://pbs.twimg.com/profile_images/988971255679324162/jrqiIYf__normal.jpg","View")</f>
        <v>View</v>
      </c>
      <c r="P385" s="7"/>
    </row>
    <row r="386" spans="1:16">
      <c r="A386" s="3">
        <v>43909.344143518523</v>
      </c>
      <c r="B386" s="4" t="str">
        <f>HYPERLINK("https://twitter.com/sergio_fajardo","@sergio_fajardo")</f>
        <v>@sergio_fajardo</v>
      </c>
      <c r="C386" s="5" t="s">
        <v>16</v>
      </c>
      <c r="D386" s="5" t="s">
        <v>409</v>
      </c>
      <c r="E386" s="6" t="str">
        <f>HYPERLINK("https://twitter.com/sergio_fajardo/status/1240469432138375170","1240469432138375170")</f>
        <v>1240469432138375170</v>
      </c>
      <c r="F386" s="7" t="s">
        <v>17</v>
      </c>
      <c r="G386" s="7">
        <v>1502551</v>
      </c>
      <c r="H386" s="7">
        <v>362</v>
      </c>
      <c r="I386" s="7">
        <v>1299</v>
      </c>
      <c r="J386" s="7">
        <v>0</v>
      </c>
      <c r="K386" s="7" t="s">
        <v>18</v>
      </c>
      <c r="L386" s="8">
        <v>39891.213356481479</v>
      </c>
      <c r="M386" s="9" t="s">
        <v>19</v>
      </c>
      <c r="N386" s="9" t="s">
        <v>22</v>
      </c>
      <c r="O386" s="6" t="str">
        <f>HYPERLINK("https://pbs.twimg.com/profile_images/988971255679324162/jrqiIYf__normal.jpg","View")</f>
        <v>View</v>
      </c>
      <c r="P386" s="7"/>
    </row>
    <row r="387" spans="1:16">
      <c r="A387" s="3">
        <v>43909.867430555554</v>
      </c>
      <c r="B387" s="4" t="str">
        <f>HYPERLINK("https://twitter.com/sergio_fajardo","@sergio_fajardo")</f>
        <v>@sergio_fajardo</v>
      </c>
      <c r="C387" s="5" t="s">
        <v>16</v>
      </c>
      <c r="D387" s="5" t="s">
        <v>410</v>
      </c>
      <c r="E387" s="6" t="str">
        <f>HYPERLINK("https://twitter.com/sergio_fajardo/status/1240659066839543813","1240659066839543813")</f>
        <v>1240659066839543813</v>
      </c>
      <c r="F387" s="7" t="s">
        <v>17</v>
      </c>
      <c r="G387" s="7">
        <v>1503371</v>
      </c>
      <c r="H387" s="7">
        <v>362</v>
      </c>
      <c r="I387" s="7">
        <v>1348</v>
      </c>
      <c r="J387" s="7">
        <v>0</v>
      </c>
      <c r="K387" s="7" t="s">
        <v>18</v>
      </c>
      <c r="L387" s="8">
        <v>39891.213356481479</v>
      </c>
      <c r="M387" s="9" t="s">
        <v>19</v>
      </c>
      <c r="N387" s="9" t="s">
        <v>22</v>
      </c>
      <c r="O387" s="6" t="str">
        <f>HYPERLINK("https://pbs.twimg.com/profile_images/988971255679324162/jrqiIYf__normal.jpg","View")</f>
        <v>View</v>
      </c>
      <c r="P387" s="7"/>
    </row>
    <row r="388" spans="1:16">
      <c r="A388" s="3">
        <v>43909.934803240743</v>
      </c>
      <c r="B388" s="4" t="str">
        <f>HYPERLINK("https://twitter.com/sergio_fajardo","@sergio_fajardo")</f>
        <v>@sergio_fajardo</v>
      </c>
      <c r="C388" s="5" t="s">
        <v>16</v>
      </c>
      <c r="D388" s="5" t="s">
        <v>411</v>
      </c>
      <c r="E388" s="6" t="str">
        <f>HYPERLINK("https://twitter.com/sergio_fajardo/status/1240683482629787648","1240683482629787648")</f>
        <v>1240683482629787648</v>
      </c>
      <c r="F388" s="7" t="s">
        <v>17</v>
      </c>
      <c r="G388" s="7">
        <v>1503508</v>
      </c>
      <c r="H388" s="7">
        <v>362</v>
      </c>
      <c r="I388" s="7">
        <v>77</v>
      </c>
      <c r="J388" s="7">
        <v>0</v>
      </c>
      <c r="K388" s="7" t="s">
        <v>18</v>
      </c>
      <c r="L388" s="8">
        <v>39891.213356481479</v>
      </c>
      <c r="M388" s="9" t="s">
        <v>19</v>
      </c>
      <c r="N388" s="9" t="s">
        <v>22</v>
      </c>
      <c r="O388" s="6" t="str">
        <f>HYPERLINK("https://pbs.twimg.com/profile_images/988971255679324162/jrqiIYf__normal.jpg","View")</f>
        <v>View</v>
      </c>
      <c r="P388" s="7"/>
    </row>
    <row r="389" spans="1:16">
      <c r="A389" s="3">
        <v>43909.962083333332</v>
      </c>
      <c r="B389" s="4" t="str">
        <f>HYPERLINK("https://twitter.com/sergio_fajardo","@sergio_fajardo")</f>
        <v>@sergio_fajardo</v>
      </c>
      <c r="C389" s="5" t="s">
        <v>16</v>
      </c>
      <c r="D389" s="5" t="s">
        <v>412</v>
      </c>
      <c r="E389" s="6" t="str">
        <f>HYPERLINK("https://twitter.com/sergio_fajardo/status/1240693368742531072","1240693368742531072")</f>
        <v>1240693368742531072</v>
      </c>
      <c r="F389" s="7" t="s">
        <v>17</v>
      </c>
      <c r="G389" s="7">
        <v>1503589</v>
      </c>
      <c r="H389" s="7">
        <v>362</v>
      </c>
      <c r="I389" s="7">
        <v>41</v>
      </c>
      <c r="J389" s="7">
        <v>0</v>
      </c>
      <c r="K389" s="7" t="s">
        <v>18</v>
      </c>
      <c r="L389" s="8">
        <v>39891.213356481479</v>
      </c>
      <c r="M389" s="9" t="s">
        <v>19</v>
      </c>
      <c r="N389" s="9" t="s">
        <v>22</v>
      </c>
      <c r="O389" s="6" t="str">
        <f>HYPERLINK("https://pbs.twimg.com/profile_images/988971255679324162/jrqiIYf__normal.jpg","View")</f>
        <v>View</v>
      </c>
      <c r="P389" s="7"/>
    </row>
    <row r="390" spans="1:16">
      <c r="A390" s="3">
        <v>43909.962083333332</v>
      </c>
      <c r="B390" s="4" t="str">
        <f>HYPERLINK("https://twitter.com/sergio_fajardo","@sergio_fajardo")</f>
        <v>@sergio_fajardo</v>
      </c>
      <c r="C390" s="5" t="s">
        <v>16</v>
      </c>
      <c r="D390" s="5" t="s">
        <v>413</v>
      </c>
      <c r="E390" s="6" t="str">
        <f>HYPERLINK("https://twitter.com/sergio_fajardo/status/1240693368759312384","1240693368759312384")</f>
        <v>1240693368759312384</v>
      </c>
      <c r="F390" s="7" t="s">
        <v>17</v>
      </c>
      <c r="G390" s="7">
        <v>1503589</v>
      </c>
      <c r="H390" s="7">
        <v>362</v>
      </c>
      <c r="I390" s="7">
        <v>1991</v>
      </c>
      <c r="J390" s="7">
        <v>0</v>
      </c>
      <c r="K390" s="7" t="s">
        <v>18</v>
      </c>
      <c r="L390" s="8">
        <v>39891.213356481479</v>
      </c>
      <c r="M390" s="9" t="s">
        <v>19</v>
      </c>
      <c r="N390" s="9" t="s">
        <v>22</v>
      </c>
      <c r="O390" s="6" t="str">
        <f>HYPERLINK("https://pbs.twimg.com/profile_images/988971255679324162/jrqiIYf__normal.jpg","View")</f>
        <v>View</v>
      </c>
      <c r="P390" s="7"/>
    </row>
    <row r="391" spans="1:16">
      <c r="A391" s="3">
        <v>43909.974155092597</v>
      </c>
      <c r="B391" s="4" t="str">
        <f>HYPERLINK("https://twitter.com/sergio_fajardo","@sergio_fajardo")</f>
        <v>@sergio_fajardo</v>
      </c>
      <c r="C391" s="5" t="s">
        <v>16</v>
      </c>
      <c r="D391" s="5" t="s">
        <v>414</v>
      </c>
      <c r="E391" s="6" t="str">
        <f>HYPERLINK("https://twitter.com/sergio_fajardo/status/1240697743363805185","1240697743363805185")</f>
        <v>1240697743363805185</v>
      </c>
      <c r="F391" s="7" t="s">
        <v>17</v>
      </c>
      <c r="G391" s="7">
        <v>1503589</v>
      </c>
      <c r="H391" s="7">
        <v>362</v>
      </c>
      <c r="I391" s="7">
        <v>59</v>
      </c>
      <c r="J391" s="7">
        <v>0</v>
      </c>
      <c r="K391" s="7" t="s">
        <v>18</v>
      </c>
      <c r="L391" s="8">
        <v>39891.213356481479</v>
      </c>
      <c r="M391" s="9" t="s">
        <v>19</v>
      </c>
      <c r="N391" s="9" t="s">
        <v>22</v>
      </c>
      <c r="O391" s="6" t="str">
        <f>HYPERLINK("https://pbs.twimg.com/profile_images/988971255679324162/jrqiIYf__normal.jpg","View")</f>
        <v>View</v>
      </c>
      <c r="P391" s="7"/>
    </row>
    <row r="392" spans="1:16">
      <c r="A392" s="3">
        <v>43909.975960648153</v>
      </c>
      <c r="B392" s="4" t="str">
        <f>HYPERLINK("https://twitter.com/sergio_fajardo","@sergio_fajardo")</f>
        <v>@sergio_fajardo</v>
      </c>
      <c r="C392" s="5" t="s">
        <v>16</v>
      </c>
      <c r="D392" s="5" t="s">
        <v>415</v>
      </c>
      <c r="E392" s="6" t="str">
        <f>HYPERLINK("https://twitter.com/sergio_fajardo/status/1240698396500885506","1240698396500885506")</f>
        <v>1240698396500885506</v>
      </c>
      <c r="F392" s="7" t="s">
        <v>17</v>
      </c>
      <c r="G392" s="7">
        <v>1503589</v>
      </c>
      <c r="H392" s="7">
        <v>362</v>
      </c>
      <c r="I392" s="7">
        <v>430</v>
      </c>
      <c r="J392" s="7">
        <v>0</v>
      </c>
      <c r="K392" s="7" t="s">
        <v>18</v>
      </c>
      <c r="L392" s="8">
        <v>39891.213356481479</v>
      </c>
      <c r="M392" s="9" t="s">
        <v>19</v>
      </c>
      <c r="N392" s="9" t="s">
        <v>22</v>
      </c>
      <c r="O392" s="6" t="str">
        <f>HYPERLINK("https://pbs.twimg.com/profile_images/988971255679324162/jrqiIYf__normal.jpg","View")</f>
        <v>View</v>
      </c>
      <c r="P392" s="7"/>
    </row>
    <row r="393" spans="1:16">
      <c r="A393" s="3">
        <v>43910.079652777778</v>
      </c>
      <c r="B393" s="4" t="str">
        <f>HYPERLINK("https://twitter.com/sergio_fajardo","@sergio_fajardo")</f>
        <v>@sergio_fajardo</v>
      </c>
      <c r="C393" s="5" t="s">
        <v>16</v>
      </c>
      <c r="D393" s="5" t="s">
        <v>416</v>
      </c>
      <c r="E393" s="6" t="str">
        <f>HYPERLINK("https://twitter.com/sergio_fajardo/status/1240735973392158724","1240735973392158724")</f>
        <v>1240735973392158724</v>
      </c>
      <c r="F393" s="7" t="s">
        <v>17</v>
      </c>
      <c r="G393" s="7">
        <v>1503692</v>
      </c>
      <c r="H393" s="7">
        <v>362</v>
      </c>
      <c r="I393" s="7">
        <v>2</v>
      </c>
      <c r="J393" s="7">
        <v>7</v>
      </c>
      <c r="K393" s="7" t="s">
        <v>18</v>
      </c>
      <c r="L393" s="8">
        <v>39891.213356481479</v>
      </c>
      <c r="M393" s="9" t="s">
        <v>19</v>
      </c>
      <c r="N393" s="9" t="s">
        <v>22</v>
      </c>
      <c r="O393" s="6" t="str">
        <f>HYPERLINK("https://pbs.twimg.com/profile_images/988971255679324162/jrqiIYf__normal.jpg","View")</f>
        <v>View</v>
      </c>
      <c r="P393" s="7"/>
    </row>
    <row r="394" spans="1:16">
      <c r="A394" s="3">
        <v>43910.374143518522</v>
      </c>
      <c r="B394" s="4" t="str">
        <f>HYPERLINK("https://twitter.com/sergio_fajardo","@sergio_fajardo")</f>
        <v>@sergio_fajardo</v>
      </c>
      <c r="C394" s="5" t="s">
        <v>16</v>
      </c>
      <c r="D394" s="5" t="s">
        <v>417</v>
      </c>
      <c r="E394" s="6" t="str">
        <f>HYPERLINK("https://twitter.com/sergio_fajardo/status/1240842691954573312","1240842691954573312")</f>
        <v>1240842691954573312</v>
      </c>
      <c r="F394" s="7" t="s">
        <v>17</v>
      </c>
      <c r="G394" s="7">
        <v>1504241</v>
      </c>
      <c r="H394" s="7">
        <v>362</v>
      </c>
      <c r="I394" s="7">
        <v>1245</v>
      </c>
      <c r="J394" s="7">
        <v>0</v>
      </c>
      <c r="K394" s="7" t="s">
        <v>18</v>
      </c>
      <c r="L394" s="8">
        <v>39891.213356481479</v>
      </c>
      <c r="M394" s="9" t="s">
        <v>19</v>
      </c>
      <c r="N394" s="9" t="s">
        <v>22</v>
      </c>
      <c r="O394" s="6" t="str">
        <f>HYPERLINK("https://pbs.twimg.com/profile_images/988971255679324162/jrqiIYf__normal.jpg","View")</f>
        <v>View</v>
      </c>
      <c r="P394" s="7"/>
    </row>
    <row r="395" spans="1:16">
      <c r="A395" s="3">
        <v>43911.20585648148</v>
      </c>
      <c r="B395" s="4" t="str">
        <f>HYPERLINK("https://twitter.com/sergio_fajardo","@sergio_fajardo")</f>
        <v>@sergio_fajardo</v>
      </c>
      <c r="C395" s="5" t="s">
        <v>16</v>
      </c>
      <c r="D395" s="5" t="s">
        <v>418</v>
      </c>
      <c r="E395" s="6" t="str">
        <f>HYPERLINK("https://twitter.com/sergio_fajardo/status/1241144094912544769","1241144094912544769")</f>
        <v>1241144094912544769</v>
      </c>
      <c r="F395" s="7" t="s">
        <v>17</v>
      </c>
      <c r="G395" s="7">
        <v>1505076</v>
      </c>
      <c r="H395" s="7">
        <v>362</v>
      </c>
      <c r="I395" s="7">
        <v>3261</v>
      </c>
      <c r="J395" s="7">
        <v>0</v>
      </c>
      <c r="K395" s="7" t="s">
        <v>18</v>
      </c>
      <c r="L395" s="8">
        <v>39891.213356481479</v>
      </c>
      <c r="M395" s="9" t="s">
        <v>19</v>
      </c>
      <c r="N395" s="9" t="s">
        <v>22</v>
      </c>
      <c r="O395" s="6" t="str">
        <f>HYPERLINK("https://pbs.twimg.com/profile_images/988971255679324162/jrqiIYf__normal.jpg","View")</f>
        <v>View</v>
      </c>
      <c r="P395" s="7"/>
    </row>
    <row r="396" spans="1:16">
      <c r="A396" s="3">
        <v>43911.323460648149</v>
      </c>
      <c r="B396" s="4" t="str">
        <f>HYPERLINK("https://twitter.com/sergio_fajardo","@sergio_fajardo")</f>
        <v>@sergio_fajardo</v>
      </c>
      <c r="C396" s="5" t="s">
        <v>16</v>
      </c>
      <c r="D396" s="5" t="s">
        <v>419</v>
      </c>
      <c r="E396" s="6" t="str">
        <f>HYPERLINK("https://twitter.com/sergio_fajardo/status/1241186713168461829","1241186713168461829")</f>
        <v>1241186713168461829</v>
      </c>
      <c r="F396" s="7" t="s">
        <v>17</v>
      </c>
      <c r="G396" s="7">
        <v>1505254</v>
      </c>
      <c r="H396" s="7">
        <v>362</v>
      </c>
      <c r="I396" s="7">
        <v>26</v>
      </c>
      <c r="J396" s="7">
        <v>0</v>
      </c>
      <c r="K396" s="7" t="s">
        <v>18</v>
      </c>
      <c r="L396" s="8">
        <v>39891.213356481479</v>
      </c>
      <c r="M396" s="9" t="s">
        <v>19</v>
      </c>
      <c r="N396" s="9" t="s">
        <v>22</v>
      </c>
      <c r="O396" s="6" t="str">
        <f>HYPERLINK("https://pbs.twimg.com/profile_images/988971255679324162/jrqiIYf__normal.jpg","View")</f>
        <v>View</v>
      </c>
      <c r="P396" s="7"/>
    </row>
    <row r="397" spans="1:16">
      <c r="A397" s="3">
        <v>43911.460370370369</v>
      </c>
      <c r="B397" s="4" t="str">
        <f>HYPERLINK("https://twitter.com/sergio_fajardo","@sergio_fajardo")</f>
        <v>@sergio_fajardo</v>
      </c>
      <c r="C397" s="5" t="s">
        <v>16</v>
      </c>
      <c r="D397" s="5" t="s">
        <v>420</v>
      </c>
      <c r="E397" s="6" t="str">
        <f>HYPERLINK("https://twitter.com/sergio_fajardo/status/1241236328739737601","1241236328739737601")</f>
        <v>1241236328739737601</v>
      </c>
      <c r="F397" s="7" t="s">
        <v>17</v>
      </c>
      <c r="G397" s="7">
        <v>1505716</v>
      </c>
      <c r="H397" s="7">
        <v>362</v>
      </c>
      <c r="I397" s="7">
        <v>198</v>
      </c>
      <c r="J397" s="7">
        <v>1060</v>
      </c>
      <c r="K397" s="7" t="s">
        <v>18</v>
      </c>
      <c r="L397" s="8">
        <v>39891.213356481479</v>
      </c>
      <c r="M397" s="9" t="s">
        <v>19</v>
      </c>
      <c r="N397" s="9" t="s">
        <v>22</v>
      </c>
      <c r="O397" s="6" t="str">
        <f>HYPERLINK("https://pbs.twimg.com/profile_images/988971255679324162/jrqiIYf__normal.jpg","View")</f>
        <v>View</v>
      </c>
      <c r="P397" s="7"/>
    </row>
    <row r="398" spans="1:16">
      <c r="A398" s="3">
        <v>43911.987442129626</v>
      </c>
      <c r="B398" s="4" t="str">
        <f>HYPERLINK("https://twitter.com/sergio_fajardo","@sergio_fajardo")</f>
        <v>@sergio_fajardo</v>
      </c>
      <c r="C398" s="5" t="s">
        <v>16</v>
      </c>
      <c r="D398" s="5" t="s">
        <v>421</v>
      </c>
      <c r="E398" s="6" t="str">
        <f>HYPERLINK("https://twitter.com/sergio_fajardo/status/1241427335028658176","1241427335028658176")</f>
        <v>1241427335028658176</v>
      </c>
      <c r="F398" s="7" t="s">
        <v>17</v>
      </c>
      <c r="G398" s="7">
        <v>1506805</v>
      </c>
      <c r="H398" s="7">
        <v>362</v>
      </c>
      <c r="I398" s="7">
        <v>5</v>
      </c>
      <c r="J398" s="7">
        <v>0</v>
      </c>
      <c r="K398" s="7" t="s">
        <v>18</v>
      </c>
      <c r="L398" s="8">
        <v>39891.213356481479</v>
      </c>
      <c r="M398" s="9" t="s">
        <v>19</v>
      </c>
      <c r="N398" s="9" t="s">
        <v>22</v>
      </c>
      <c r="O398" s="6" t="str">
        <f>HYPERLINK("https://pbs.twimg.com/profile_images/988971255679324162/jrqiIYf__normal.jpg","View")</f>
        <v>View</v>
      </c>
      <c r="P398" s="7"/>
    </row>
    <row r="399" spans="1:16">
      <c r="A399" s="3">
        <v>43912.279131944444</v>
      </c>
      <c r="B399" s="4" t="str">
        <f>HYPERLINK("https://twitter.com/sergio_fajardo","@sergio_fajardo")</f>
        <v>@sergio_fajardo</v>
      </c>
      <c r="C399" s="5" t="s">
        <v>16</v>
      </c>
      <c r="D399" s="5" t="s">
        <v>422</v>
      </c>
      <c r="E399" s="6" t="str">
        <f>HYPERLINK("https://twitter.com/sergio_fajardo/status/1241533039366344704","1241533039366344704")</f>
        <v>1241533039366344704</v>
      </c>
      <c r="F399" s="7" t="s">
        <v>17</v>
      </c>
      <c r="G399" s="7">
        <v>1507604</v>
      </c>
      <c r="H399" s="7">
        <v>362</v>
      </c>
      <c r="I399" s="7">
        <v>77</v>
      </c>
      <c r="J399" s="7">
        <v>0</v>
      </c>
      <c r="K399" s="7" t="s">
        <v>18</v>
      </c>
      <c r="L399" s="8">
        <v>39891.213356481479</v>
      </c>
      <c r="M399" s="9" t="s">
        <v>19</v>
      </c>
      <c r="N399" s="9" t="s">
        <v>22</v>
      </c>
      <c r="O399" s="6" t="str">
        <f>HYPERLINK("https://pbs.twimg.com/profile_images/988971255679324162/jrqiIYf__normal.jpg","View")</f>
        <v>View</v>
      </c>
      <c r="P399" s="7"/>
    </row>
    <row r="400" spans="1:16">
      <c r="A400" s="3">
        <v>43913.00645833333</v>
      </c>
      <c r="B400" s="4" t="str">
        <f>HYPERLINK("https://twitter.com/sergio_fajardo","@sergio_fajardo")</f>
        <v>@sergio_fajardo</v>
      </c>
      <c r="C400" s="5" t="s">
        <v>16</v>
      </c>
      <c r="D400" s="5" t="s">
        <v>423</v>
      </c>
      <c r="E400" s="6" t="str">
        <f>HYPERLINK("https://twitter.com/sergio_fajardo/status/1241796612260859908","1241796612260859908")</f>
        <v>1241796612260859908</v>
      </c>
      <c r="F400" s="7" t="s">
        <v>17</v>
      </c>
      <c r="G400" s="7">
        <v>1509753</v>
      </c>
      <c r="H400" s="7">
        <v>362</v>
      </c>
      <c r="I400" s="7">
        <v>5</v>
      </c>
      <c r="J400" s="7">
        <v>0</v>
      </c>
      <c r="K400" s="7" t="s">
        <v>18</v>
      </c>
      <c r="L400" s="8">
        <v>39891.213356481479</v>
      </c>
      <c r="M400" s="9" t="s">
        <v>19</v>
      </c>
      <c r="N400" s="9" t="s">
        <v>22</v>
      </c>
      <c r="O400" s="6" t="str">
        <f>HYPERLINK("https://pbs.twimg.com/profile_images/988971255679324162/jrqiIYf__normal.jpg","View")</f>
        <v>View</v>
      </c>
      <c r="P400" s="7"/>
    </row>
    <row r="401" spans="1:16">
      <c r="A401" s="3">
        <v>43913.014930555553</v>
      </c>
      <c r="B401" s="4" t="str">
        <f>HYPERLINK("https://twitter.com/sergio_fajardo","@sergio_fajardo")</f>
        <v>@sergio_fajardo</v>
      </c>
      <c r="C401" s="5" t="s">
        <v>16</v>
      </c>
      <c r="D401" s="5" t="s">
        <v>424</v>
      </c>
      <c r="E401" s="6" t="str">
        <f>HYPERLINK("https://twitter.com/sergio_fajardo/status/1241799683770585088","1241799683770585088")</f>
        <v>1241799683770585088</v>
      </c>
      <c r="F401" s="7" t="s">
        <v>17</v>
      </c>
      <c r="G401" s="7">
        <v>1509797</v>
      </c>
      <c r="H401" s="7">
        <v>362</v>
      </c>
      <c r="I401" s="7">
        <v>1405</v>
      </c>
      <c r="J401" s="7">
        <v>0</v>
      </c>
      <c r="K401" s="7" t="s">
        <v>18</v>
      </c>
      <c r="L401" s="8">
        <v>39891.213356481479</v>
      </c>
      <c r="M401" s="9" t="s">
        <v>19</v>
      </c>
      <c r="N401" s="9" t="s">
        <v>22</v>
      </c>
      <c r="O401" s="6" t="str">
        <f>HYPERLINK("https://pbs.twimg.com/profile_images/988971255679324162/jrqiIYf__normal.jpg","View")</f>
        <v>View</v>
      </c>
      <c r="P401" s="7"/>
    </row>
    <row r="402" spans="1:16">
      <c r="A402" s="3">
        <v>43913.098773148144</v>
      </c>
      <c r="B402" s="4" t="str">
        <f>HYPERLINK("https://twitter.com/sergio_fajardo","@sergio_fajardo")</f>
        <v>@sergio_fajardo</v>
      </c>
      <c r="C402" s="5" t="s">
        <v>16</v>
      </c>
      <c r="D402" s="5" t="s">
        <v>425</v>
      </c>
      <c r="E402" s="6" t="str">
        <f>HYPERLINK("https://twitter.com/sergio_fajardo/status/1241830067598249992","1241830067598249992")</f>
        <v>1241830067598249992</v>
      </c>
      <c r="F402" s="7" t="s">
        <v>17</v>
      </c>
      <c r="G402" s="7">
        <v>1510009</v>
      </c>
      <c r="H402" s="7">
        <v>362</v>
      </c>
      <c r="I402" s="7">
        <v>16</v>
      </c>
      <c r="J402" s="7">
        <v>0</v>
      </c>
      <c r="K402" s="7" t="s">
        <v>18</v>
      </c>
      <c r="L402" s="8">
        <v>39891.213356481479</v>
      </c>
      <c r="M402" s="9" t="s">
        <v>19</v>
      </c>
      <c r="N402" s="9" t="s">
        <v>22</v>
      </c>
      <c r="O402" s="6" t="str">
        <f>HYPERLINK("https://pbs.twimg.com/profile_images/988971255679324162/jrqiIYf__normal.jpg","View")</f>
        <v>View</v>
      </c>
      <c r="P402" s="7"/>
    </row>
    <row r="403" spans="1:16">
      <c r="A403" s="3">
        <v>43913.234768518523</v>
      </c>
      <c r="B403" s="4" t="str">
        <f>HYPERLINK("https://twitter.com/sergio_fajardo","@sergio_fajardo")</f>
        <v>@sergio_fajardo</v>
      </c>
      <c r="C403" s="5" t="s">
        <v>16</v>
      </c>
      <c r="D403" s="5" t="s">
        <v>426</v>
      </c>
      <c r="E403" s="6" t="str">
        <f>HYPERLINK("https://twitter.com/sergio_fajardo/status/1241879349223141377","1241879349223141377")</f>
        <v>1241879349223141377</v>
      </c>
      <c r="F403" s="7" t="s">
        <v>17</v>
      </c>
      <c r="G403" s="7">
        <v>1510309</v>
      </c>
      <c r="H403" s="7">
        <v>362</v>
      </c>
      <c r="I403" s="7">
        <v>31</v>
      </c>
      <c r="J403" s="7">
        <v>0</v>
      </c>
      <c r="K403" s="7" t="s">
        <v>18</v>
      </c>
      <c r="L403" s="8">
        <v>39891.213356481479</v>
      </c>
      <c r="M403" s="9" t="s">
        <v>19</v>
      </c>
      <c r="N403" s="9" t="s">
        <v>22</v>
      </c>
      <c r="O403" s="6" t="str">
        <f>HYPERLINK("https://pbs.twimg.com/profile_images/988971255679324162/jrqiIYf__normal.jpg","View")</f>
        <v>View</v>
      </c>
      <c r="P403" s="7"/>
    </row>
    <row r="404" spans="1:16">
      <c r="A404" s="3">
        <v>43913.861828703702</v>
      </c>
      <c r="B404" s="4" t="str">
        <f>HYPERLINK("https://twitter.com/sergio_fajardo","@sergio_fajardo")</f>
        <v>@sergio_fajardo</v>
      </c>
      <c r="C404" s="5" t="s">
        <v>16</v>
      </c>
      <c r="D404" s="5" t="s">
        <v>427</v>
      </c>
      <c r="E404" s="6" t="str">
        <f>HYPERLINK("https://twitter.com/sergio_fajardo/status/1242106586337890304","1242106586337890304")</f>
        <v>1242106586337890304</v>
      </c>
      <c r="F404" s="7" t="s">
        <v>17</v>
      </c>
      <c r="G404" s="7">
        <v>1511161</v>
      </c>
      <c r="H404" s="7">
        <v>362</v>
      </c>
      <c r="I404" s="7">
        <v>133</v>
      </c>
      <c r="J404" s="7">
        <v>0</v>
      </c>
      <c r="K404" s="7" t="s">
        <v>18</v>
      </c>
      <c r="L404" s="8">
        <v>39891.213356481479</v>
      </c>
      <c r="M404" s="9" t="s">
        <v>19</v>
      </c>
      <c r="N404" s="9" t="s">
        <v>22</v>
      </c>
      <c r="O404" s="6" t="str">
        <f>HYPERLINK("https://pbs.twimg.com/profile_images/988971255679324162/jrqiIYf__normal.jpg","View")</f>
        <v>View</v>
      </c>
      <c r="P404" s="7"/>
    </row>
    <row r="405" spans="1:16">
      <c r="A405" s="3">
        <v>43914.858460648145</v>
      </c>
      <c r="B405" s="4" t="str">
        <f>HYPERLINK("https://twitter.com/sergio_fajardo","@sergio_fajardo")</f>
        <v>@sergio_fajardo</v>
      </c>
      <c r="C405" s="5" t="s">
        <v>16</v>
      </c>
      <c r="D405" s="5" t="s">
        <v>428</v>
      </c>
      <c r="E405" s="6" t="str">
        <f>HYPERLINK("https://twitter.com/sergio_fajardo/status/1242467755086897153","1242467755086897153")</f>
        <v>1242467755086897153</v>
      </c>
      <c r="F405" s="7" t="s">
        <v>17</v>
      </c>
      <c r="G405" s="7">
        <v>1513023</v>
      </c>
      <c r="H405" s="7">
        <v>362</v>
      </c>
      <c r="I405" s="7">
        <v>2</v>
      </c>
      <c r="J405" s="7">
        <v>2</v>
      </c>
      <c r="K405" s="7" t="s">
        <v>18</v>
      </c>
      <c r="L405" s="8">
        <v>39891.213356481479</v>
      </c>
      <c r="M405" s="9" t="s">
        <v>19</v>
      </c>
      <c r="N405" s="9" t="s">
        <v>22</v>
      </c>
      <c r="O405" s="6" t="str">
        <f>HYPERLINK("https://pbs.twimg.com/profile_images/988971255679324162/jrqiIYf__normal.jpg","View")</f>
        <v>View</v>
      </c>
      <c r="P405" s="7"/>
    </row>
    <row r="406" spans="1:16">
      <c r="A406" s="3">
        <v>43915.006006944444</v>
      </c>
      <c r="B406" s="4" t="str">
        <f>HYPERLINK("https://twitter.com/sergio_fajardo","@sergio_fajardo")</f>
        <v>@sergio_fajardo</v>
      </c>
      <c r="C406" s="5" t="s">
        <v>16</v>
      </c>
      <c r="D406" s="5" t="s">
        <v>429</v>
      </c>
      <c r="E406" s="6" t="str">
        <f>HYPERLINK("https://twitter.com/sergio_fajardo/status/1242521223436947457","1242521223436947457")</f>
        <v>1242521223436947457</v>
      </c>
      <c r="F406" s="7" t="s">
        <v>17</v>
      </c>
      <c r="G406" s="7">
        <v>1513376</v>
      </c>
      <c r="H406" s="7">
        <v>362</v>
      </c>
      <c r="I406" s="7">
        <v>157</v>
      </c>
      <c r="J406" s="7">
        <v>0</v>
      </c>
      <c r="K406" s="7" t="s">
        <v>18</v>
      </c>
      <c r="L406" s="8">
        <v>39891.213356481479</v>
      </c>
      <c r="M406" s="9" t="s">
        <v>19</v>
      </c>
      <c r="N406" s="9" t="s">
        <v>22</v>
      </c>
      <c r="O406" s="6" t="str">
        <f>HYPERLINK("https://pbs.twimg.com/profile_images/988971255679324162/jrqiIYf__normal.jpg","View")</f>
        <v>View</v>
      </c>
      <c r="P406" s="7"/>
    </row>
    <row r="407" spans="1:16">
      <c r="A407" s="3">
        <v>43915.109305555554</v>
      </c>
      <c r="B407" s="4" t="str">
        <f>HYPERLINK("https://twitter.com/sergio_fajardo","@sergio_fajardo")</f>
        <v>@sergio_fajardo</v>
      </c>
      <c r="C407" s="5" t="s">
        <v>16</v>
      </c>
      <c r="D407" s="5" t="s">
        <v>430</v>
      </c>
      <c r="E407" s="6" t="str">
        <f>HYPERLINK("https://twitter.com/sergio_fajardo/status/1242558660473171969","1242558660473171969")</f>
        <v>1242558660473171969</v>
      </c>
      <c r="F407" s="7" t="s">
        <v>17</v>
      </c>
      <c r="G407" s="7">
        <v>1513567</v>
      </c>
      <c r="H407" s="7">
        <v>362</v>
      </c>
      <c r="I407" s="7">
        <v>6</v>
      </c>
      <c r="J407" s="7">
        <v>0</v>
      </c>
      <c r="K407" s="7" t="s">
        <v>18</v>
      </c>
      <c r="L407" s="8">
        <v>39891.213356481479</v>
      </c>
      <c r="M407" s="9" t="s">
        <v>19</v>
      </c>
      <c r="N407" s="9" t="s">
        <v>22</v>
      </c>
      <c r="O407" s="6" t="str">
        <f>HYPERLINK("https://pbs.twimg.com/profile_images/988971255679324162/jrqiIYf__normal.jpg","View")</f>
        <v>View</v>
      </c>
      <c r="P407" s="7"/>
    </row>
    <row r="408" spans="1:16">
      <c r="A408" s="3">
        <v>43915.135243055556</v>
      </c>
      <c r="B408" s="4" t="str">
        <f>HYPERLINK("https://twitter.com/sergio_fajardo","@sergio_fajardo")</f>
        <v>@sergio_fajardo</v>
      </c>
      <c r="C408" s="5" t="s">
        <v>16</v>
      </c>
      <c r="D408" s="5" t="s">
        <v>431</v>
      </c>
      <c r="E408" s="6" t="str">
        <f>HYPERLINK("https://twitter.com/sergio_fajardo/status/1242568058926923776","1242568058926923776")</f>
        <v>1242568058926923776</v>
      </c>
      <c r="F408" s="7" t="s">
        <v>20</v>
      </c>
      <c r="G408" s="7">
        <v>1513612</v>
      </c>
      <c r="H408" s="7">
        <v>362</v>
      </c>
      <c r="I408" s="7">
        <v>9</v>
      </c>
      <c r="J408" s="7">
        <v>20</v>
      </c>
      <c r="K408" s="7" t="s">
        <v>18</v>
      </c>
      <c r="L408" s="8">
        <v>39891.213356481479</v>
      </c>
      <c r="M408" s="9" t="s">
        <v>19</v>
      </c>
      <c r="N408" s="9" t="s">
        <v>22</v>
      </c>
      <c r="O408" s="6" t="str">
        <f>HYPERLINK("https://pbs.twimg.com/profile_images/988971255679324162/jrqiIYf__normal.jpg","View")</f>
        <v>View</v>
      </c>
      <c r="P408" s="7"/>
    </row>
    <row r="409" spans="1:16">
      <c r="A409" s="3">
        <v>43915.210532407407</v>
      </c>
      <c r="B409" s="4" t="str">
        <f>HYPERLINK("https://twitter.com/sergio_fajardo","@sergio_fajardo")</f>
        <v>@sergio_fajardo</v>
      </c>
      <c r="C409" s="5" t="s">
        <v>16</v>
      </c>
      <c r="D409" s="5" t="s">
        <v>432</v>
      </c>
      <c r="E409" s="6" t="str">
        <f>HYPERLINK("https://twitter.com/sergio_fajardo/status/1242595341674917891","1242595341674917891")</f>
        <v>1242595341674917891</v>
      </c>
      <c r="F409" s="7" t="s">
        <v>17</v>
      </c>
      <c r="G409" s="7">
        <v>1513774</v>
      </c>
      <c r="H409" s="7">
        <v>362</v>
      </c>
      <c r="I409" s="7">
        <v>0</v>
      </c>
      <c r="J409" s="7">
        <v>1</v>
      </c>
      <c r="K409" s="7" t="s">
        <v>18</v>
      </c>
      <c r="L409" s="8">
        <v>39891.213356481479</v>
      </c>
      <c r="M409" s="9" t="s">
        <v>19</v>
      </c>
      <c r="N409" s="9" t="s">
        <v>22</v>
      </c>
      <c r="O409" s="6" t="str">
        <f>HYPERLINK("https://pbs.twimg.com/profile_images/988971255679324162/jrqiIYf__normal.jpg","View")</f>
        <v>View</v>
      </c>
      <c r="P409" s="7"/>
    </row>
    <row r="410" spans="1:16">
      <c r="A410" s="3">
        <v>43915.21266203704</v>
      </c>
      <c r="B410" s="4" t="str">
        <f>HYPERLINK("https://twitter.com/sergio_fajardo","@sergio_fajardo")</f>
        <v>@sergio_fajardo</v>
      </c>
      <c r="C410" s="5" t="s">
        <v>16</v>
      </c>
      <c r="D410" s="5" t="s">
        <v>433</v>
      </c>
      <c r="E410" s="6" t="str">
        <f>HYPERLINK("https://twitter.com/sergio_fajardo/status/1242596115167555586","1242596115167555586")</f>
        <v>1242596115167555586</v>
      </c>
      <c r="F410" s="7" t="s">
        <v>17</v>
      </c>
      <c r="G410" s="7">
        <v>1513774</v>
      </c>
      <c r="H410" s="7">
        <v>362</v>
      </c>
      <c r="I410" s="7">
        <v>7</v>
      </c>
      <c r="J410" s="7">
        <v>12</v>
      </c>
      <c r="K410" s="7" t="s">
        <v>18</v>
      </c>
      <c r="L410" s="8">
        <v>39891.213356481479</v>
      </c>
      <c r="M410" s="9" t="s">
        <v>19</v>
      </c>
      <c r="N410" s="9" t="s">
        <v>22</v>
      </c>
      <c r="O410" s="6" t="str">
        <f>HYPERLINK("https://pbs.twimg.com/profile_images/988971255679324162/jrqiIYf__normal.jpg","View")</f>
        <v>View</v>
      </c>
      <c r="P410" s="7"/>
    </row>
    <row r="411" spans="1:16">
      <c r="A411" s="3">
        <v>43915.255543981482</v>
      </c>
      <c r="B411" s="4" t="str">
        <f>HYPERLINK("https://twitter.com/sergio_fajardo","@sergio_fajardo")</f>
        <v>@sergio_fajardo</v>
      </c>
      <c r="C411" s="5" t="s">
        <v>16</v>
      </c>
      <c r="D411" s="5" t="s">
        <v>434</v>
      </c>
      <c r="E411" s="6" t="str">
        <f>HYPERLINK("https://twitter.com/sergio_fajardo/status/1242611653021179905","1242611653021179905")</f>
        <v>1242611653021179905</v>
      </c>
      <c r="F411" s="7" t="s">
        <v>17</v>
      </c>
      <c r="G411" s="7">
        <v>1513874</v>
      </c>
      <c r="H411" s="7">
        <v>362</v>
      </c>
      <c r="I411" s="7">
        <v>99</v>
      </c>
      <c r="J411" s="7">
        <v>0</v>
      </c>
      <c r="K411" s="7" t="s">
        <v>18</v>
      </c>
      <c r="L411" s="8">
        <v>39891.213356481479</v>
      </c>
      <c r="M411" s="9" t="s">
        <v>19</v>
      </c>
      <c r="N411" s="9" t="s">
        <v>22</v>
      </c>
      <c r="O411" s="6" t="str">
        <f>HYPERLINK("https://pbs.twimg.com/profile_images/988971255679324162/jrqiIYf__normal.jpg","View")</f>
        <v>View</v>
      </c>
      <c r="P411" s="7"/>
    </row>
    <row r="412" spans="1:16">
      <c r="A412" s="3">
        <v>43915.833402777775</v>
      </c>
      <c r="B412" s="4" t="str">
        <f>HYPERLINK("https://twitter.com/sergio_fajardo","@sergio_fajardo")</f>
        <v>@sergio_fajardo</v>
      </c>
      <c r="C412" s="5" t="s">
        <v>16</v>
      </c>
      <c r="D412" s="5" t="s">
        <v>435</v>
      </c>
      <c r="E412" s="6" t="str">
        <f>HYPERLINK("https://twitter.com/sergio_fajardo/status/1242821064369020928","1242821064369020928")</f>
        <v>1242821064369020928</v>
      </c>
      <c r="F412" s="7" t="s">
        <v>17</v>
      </c>
      <c r="G412" s="7">
        <v>1514575</v>
      </c>
      <c r="H412" s="7">
        <v>362</v>
      </c>
      <c r="I412" s="7">
        <v>516</v>
      </c>
      <c r="J412" s="7">
        <v>0</v>
      </c>
      <c r="K412" s="7" t="s">
        <v>18</v>
      </c>
      <c r="L412" s="8">
        <v>39891.213356481479</v>
      </c>
      <c r="M412" s="9" t="s">
        <v>19</v>
      </c>
      <c r="N412" s="9" t="s">
        <v>22</v>
      </c>
      <c r="O412" s="6" t="str">
        <f>HYPERLINK("https://pbs.twimg.com/profile_images/988971255679324162/jrqiIYf__normal.jpg","View")</f>
        <v>View</v>
      </c>
      <c r="P412" s="7"/>
    </row>
    <row r="413" spans="1:16">
      <c r="A413" s="3">
        <v>43915.895752314813</v>
      </c>
      <c r="B413" s="4" t="str">
        <f>HYPERLINK("https://twitter.com/sergio_fajardo","@sergio_fajardo")</f>
        <v>@sergio_fajardo</v>
      </c>
      <c r="C413" s="5" t="s">
        <v>16</v>
      </c>
      <c r="D413" s="5" t="s">
        <v>436</v>
      </c>
      <c r="E413" s="6" t="str">
        <f>HYPERLINK("https://twitter.com/sergio_fajardo/status/1242843659495788546","1242843659495788546")</f>
        <v>1242843659495788546</v>
      </c>
      <c r="F413" s="7" t="s">
        <v>17</v>
      </c>
      <c r="G413" s="7">
        <v>1514703</v>
      </c>
      <c r="H413" s="7">
        <v>362</v>
      </c>
      <c r="I413" s="7">
        <v>435</v>
      </c>
      <c r="J413" s="7">
        <v>0</v>
      </c>
      <c r="K413" s="7" t="s">
        <v>18</v>
      </c>
      <c r="L413" s="8">
        <v>39891.213356481479</v>
      </c>
      <c r="M413" s="9" t="s">
        <v>19</v>
      </c>
      <c r="N413" s="9" t="s">
        <v>22</v>
      </c>
      <c r="O413" s="6" t="str">
        <f>HYPERLINK("https://pbs.twimg.com/profile_images/988971255679324162/jrqiIYf__normal.jpg","View")</f>
        <v>View</v>
      </c>
      <c r="P413" s="7"/>
    </row>
    <row r="414" spans="1:16">
      <c r="A414" s="3">
        <v>43916.148877314816</v>
      </c>
      <c r="B414" s="4" t="str">
        <f>HYPERLINK("https://twitter.com/sergio_fajardo","@sergio_fajardo")</f>
        <v>@sergio_fajardo</v>
      </c>
      <c r="C414" s="5" t="s">
        <v>16</v>
      </c>
      <c r="D414" s="5" t="s">
        <v>437</v>
      </c>
      <c r="E414" s="6" t="str">
        <f>HYPERLINK("https://twitter.com/sergio_fajardo/status/1242935385468153856","1242935385468153856")</f>
        <v>1242935385468153856</v>
      </c>
      <c r="F414" s="7" t="s">
        <v>23</v>
      </c>
      <c r="G414" s="7">
        <v>1515130</v>
      </c>
      <c r="H414" s="7">
        <v>362</v>
      </c>
      <c r="I414" s="7">
        <v>27</v>
      </c>
      <c r="J414" s="7">
        <v>84</v>
      </c>
      <c r="K414" s="7" t="s">
        <v>18</v>
      </c>
      <c r="L414" s="8">
        <v>39891.213356481479</v>
      </c>
      <c r="M414" s="9" t="s">
        <v>19</v>
      </c>
      <c r="N414" s="9" t="s">
        <v>22</v>
      </c>
      <c r="O414" s="6" t="str">
        <f>HYPERLINK("https://pbs.twimg.com/profile_images/988971255679324162/jrqiIYf__normal.jpg","View")</f>
        <v>View</v>
      </c>
      <c r="P414" s="7"/>
    </row>
    <row r="415" spans="1:16">
      <c r="A415" s="3">
        <v>43916.301608796297</v>
      </c>
      <c r="B415" s="4" t="str">
        <f>HYPERLINK("https://twitter.com/sergio_fajardo","@sergio_fajardo")</f>
        <v>@sergio_fajardo</v>
      </c>
      <c r="C415" s="5" t="s">
        <v>16</v>
      </c>
      <c r="D415" s="5" t="s">
        <v>438</v>
      </c>
      <c r="E415" s="6" t="str">
        <f>HYPERLINK("https://twitter.com/sergio_fajardo/status/1242990736401973254","1242990736401973254")</f>
        <v>1242990736401973254</v>
      </c>
      <c r="F415" s="7" t="s">
        <v>17</v>
      </c>
      <c r="G415" s="7">
        <v>1515344</v>
      </c>
      <c r="H415" s="7">
        <v>362</v>
      </c>
      <c r="I415" s="7">
        <v>8</v>
      </c>
      <c r="J415" s="7">
        <v>40</v>
      </c>
      <c r="K415" s="7" t="s">
        <v>18</v>
      </c>
      <c r="L415" s="8">
        <v>39891.213356481479</v>
      </c>
      <c r="M415" s="9" t="s">
        <v>19</v>
      </c>
      <c r="N415" s="9" t="s">
        <v>22</v>
      </c>
      <c r="O415" s="6" t="str">
        <f>HYPERLINK("https://pbs.twimg.com/profile_images/988971255679324162/jrqiIYf__normal.jpg","View")</f>
        <v>View</v>
      </c>
      <c r="P415" s="7"/>
    </row>
    <row r="416" spans="1:16">
      <c r="A416" s="3">
        <v>43916.302939814814</v>
      </c>
      <c r="B416" s="4" t="str">
        <f>HYPERLINK("https://twitter.com/sergio_fajardo","@sergio_fajardo")</f>
        <v>@sergio_fajardo</v>
      </c>
      <c r="C416" s="5" t="s">
        <v>16</v>
      </c>
      <c r="D416" s="5" t="s">
        <v>439</v>
      </c>
      <c r="E416" s="6" t="str">
        <f>HYPERLINK("https://twitter.com/sergio_fajardo/status/1242991215697711107","1242991215697711107")</f>
        <v>1242991215697711107</v>
      </c>
      <c r="F416" s="7" t="s">
        <v>17</v>
      </c>
      <c r="G416" s="7">
        <v>1515344</v>
      </c>
      <c r="H416" s="7">
        <v>362</v>
      </c>
      <c r="I416" s="7">
        <v>313</v>
      </c>
      <c r="J416" s="7">
        <v>0</v>
      </c>
      <c r="K416" s="7" t="s">
        <v>18</v>
      </c>
      <c r="L416" s="8">
        <v>39891.213356481479</v>
      </c>
      <c r="M416" s="9" t="s">
        <v>19</v>
      </c>
      <c r="N416" s="9" t="s">
        <v>22</v>
      </c>
      <c r="O416" s="6" t="str">
        <f>HYPERLINK("https://pbs.twimg.com/profile_images/988971255679324162/jrqiIYf__normal.jpg","View")</f>
        <v>View</v>
      </c>
      <c r="P416" s="7"/>
    </row>
    <row r="417" spans="1:16">
      <c r="A417" s="3">
        <v>43917.273506944446</v>
      </c>
      <c r="B417" s="4" t="str">
        <f>HYPERLINK("https://twitter.com/sergio_fajardo","@sergio_fajardo")</f>
        <v>@sergio_fajardo</v>
      </c>
      <c r="C417" s="5" t="s">
        <v>16</v>
      </c>
      <c r="D417" s="5" t="s">
        <v>440</v>
      </c>
      <c r="E417" s="6" t="str">
        <f>HYPERLINK("https://twitter.com/sergio_fajardo/status/1243342937586651139","1243342937586651139")</f>
        <v>1243342937586651139</v>
      </c>
      <c r="F417" s="7" t="s">
        <v>17</v>
      </c>
      <c r="G417" s="7">
        <v>1516488</v>
      </c>
      <c r="H417" s="7">
        <v>362</v>
      </c>
      <c r="I417" s="7">
        <v>380</v>
      </c>
      <c r="J417" s="7">
        <v>0</v>
      </c>
      <c r="K417" s="7" t="s">
        <v>18</v>
      </c>
      <c r="L417" s="8">
        <v>39891.213356481479</v>
      </c>
      <c r="M417" s="9" t="s">
        <v>19</v>
      </c>
      <c r="N417" s="9" t="s">
        <v>22</v>
      </c>
      <c r="O417" s="6" t="str">
        <f>HYPERLINK("https://pbs.twimg.com/profile_images/988971255679324162/jrqiIYf__normal.jpg","View")</f>
        <v>View</v>
      </c>
      <c r="P417" s="7"/>
    </row>
    <row r="418" spans="1:16">
      <c r="A418" s="3">
        <v>43917.301388888889</v>
      </c>
      <c r="B418" s="4" t="str">
        <f>HYPERLINK("https://twitter.com/sergio_fajardo","@sergio_fajardo")</f>
        <v>@sergio_fajardo</v>
      </c>
      <c r="C418" s="5" t="s">
        <v>16</v>
      </c>
      <c r="D418" s="5" t="s">
        <v>441</v>
      </c>
      <c r="E418" s="6" t="str">
        <f>HYPERLINK("https://twitter.com/sergio_fajardo/status/1243353045129474049","1243353045129474049")</f>
        <v>1243353045129474049</v>
      </c>
      <c r="F418" s="7" t="s">
        <v>17</v>
      </c>
      <c r="G418" s="7">
        <v>1516521</v>
      </c>
      <c r="H418" s="7">
        <v>362</v>
      </c>
      <c r="I418" s="7">
        <v>97</v>
      </c>
      <c r="J418" s="7">
        <v>0</v>
      </c>
      <c r="K418" s="7" t="s">
        <v>18</v>
      </c>
      <c r="L418" s="8">
        <v>39891.213356481479</v>
      </c>
      <c r="M418" s="9" t="s">
        <v>19</v>
      </c>
      <c r="N418" s="9" t="s">
        <v>22</v>
      </c>
      <c r="O418" s="6" t="str">
        <f>HYPERLINK("https://pbs.twimg.com/profile_images/988971255679324162/jrqiIYf__normal.jpg","View")</f>
        <v>View</v>
      </c>
      <c r="P418" s="7"/>
    </row>
    <row r="419" spans="1:16">
      <c r="A419" s="3">
        <v>43917.311574074076</v>
      </c>
      <c r="B419" s="4" t="str">
        <f>HYPERLINK("https://twitter.com/sergio_fajardo","@sergio_fajardo")</f>
        <v>@sergio_fajardo</v>
      </c>
      <c r="C419" s="5" t="s">
        <v>16</v>
      </c>
      <c r="D419" s="5" t="s">
        <v>442</v>
      </c>
      <c r="E419" s="6" t="str">
        <f>HYPERLINK("https://twitter.com/sergio_fajardo/status/1243356733184991237","1243356733184991237")</f>
        <v>1243356733184991237</v>
      </c>
      <c r="F419" s="7" t="s">
        <v>17</v>
      </c>
      <c r="G419" s="7">
        <v>1516521</v>
      </c>
      <c r="H419" s="7">
        <v>362</v>
      </c>
      <c r="I419" s="7">
        <v>1</v>
      </c>
      <c r="J419" s="7">
        <v>4</v>
      </c>
      <c r="K419" s="7" t="s">
        <v>18</v>
      </c>
      <c r="L419" s="8">
        <v>39891.213356481479</v>
      </c>
      <c r="M419" s="9" t="s">
        <v>19</v>
      </c>
      <c r="N419" s="9" t="s">
        <v>22</v>
      </c>
      <c r="O419" s="6" t="str">
        <f>HYPERLINK("https://pbs.twimg.com/profile_images/988971255679324162/jrqiIYf__normal.jpg","View")</f>
        <v>View</v>
      </c>
      <c r="P419" s="7"/>
    </row>
    <row r="420" spans="1:16">
      <c r="A420" s="3">
        <v>43917.34510416667</v>
      </c>
      <c r="B420" s="4" t="str">
        <f>HYPERLINK("https://twitter.com/sergio_fajardo","@sergio_fajardo")</f>
        <v>@sergio_fajardo</v>
      </c>
      <c r="C420" s="5" t="s">
        <v>16</v>
      </c>
      <c r="D420" s="5" t="s">
        <v>443</v>
      </c>
      <c r="E420" s="6" t="str">
        <f>HYPERLINK("https://twitter.com/sergio_fajardo/status/1243368886818480128","1243368886818480128")</f>
        <v>1243368886818480128</v>
      </c>
      <c r="F420" s="7" t="s">
        <v>20</v>
      </c>
      <c r="G420" s="7">
        <v>1516564</v>
      </c>
      <c r="H420" s="7">
        <v>362</v>
      </c>
      <c r="I420" s="7">
        <v>8</v>
      </c>
      <c r="J420" s="7">
        <v>37</v>
      </c>
      <c r="K420" s="7" t="s">
        <v>18</v>
      </c>
      <c r="L420" s="8">
        <v>39891.213356481479</v>
      </c>
      <c r="M420" s="9" t="s">
        <v>19</v>
      </c>
      <c r="N420" s="9" t="s">
        <v>22</v>
      </c>
      <c r="O420" s="6" t="str">
        <f>HYPERLINK("https://pbs.twimg.com/profile_images/988971255679324162/jrqiIYf__normal.jpg","View")</f>
        <v>View</v>
      </c>
      <c r="P420" s="7"/>
    </row>
    <row r="421" spans="1:16">
      <c r="A421" s="3">
        <v>43917.394074074073</v>
      </c>
      <c r="B421" s="4" t="str">
        <f>HYPERLINK("https://twitter.com/sergio_fajardo","@sergio_fajardo")</f>
        <v>@sergio_fajardo</v>
      </c>
      <c r="C421" s="5" t="s">
        <v>16</v>
      </c>
      <c r="D421" s="5" t="s">
        <v>444</v>
      </c>
      <c r="E421" s="6" t="str">
        <f>HYPERLINK("https://twitter.com/sergio_fajardo/status/1243386630020317186","1243386630020317186")</f>
        <v>1243386630020317186</v>
      </c>
      <c r="F421" s="7" t="s">
        <v>17</v>
      </c>
      <c r="G421" s="7">
        <v>1516666</v>
      </c>
      <c r="H421" s="7">
        <v>362</v>
      </c>
      <c r="I421" s="7">
        <v>18</v>
      </c>
      <c r="J421" s="7">
        <v>0</v>
      </c>
      <c r="K421" s="7" t="s">
        <v>18</v>
      </c>
      <c r="L421" s="8">
        <v>39891.213356481479</v>
      </c>
      <c r="M421" s="9" t="s">
        <v>19</v>
      </c>
      <c r="N421" s="9" t="s">
        <v>22</v>
      </c>
      <c r="O421" s="6" t="str">
        <f>HYPERLINK("https://pbs.twimg.com/profile_images/988971255679324162/jrqiIYf__normal.jpg","View")</f>
        <v>View</v>
      </c>
      <c r="P421" s="7"/>
    </row>
    <row r="422" spans="1:16">
      <c r="A422" s="3">
        <v>43917.781493055554</v>
      </c>
      <c r="B422" s="4" t="str">
        <f>HYPERLINK("https://twitter.com/sergio_fajardo","@sergio_fajardo")</f>
        <v>@sergio_fajardo</v>
      </c>
      <c r="C422" s="5" t="s">
        <v>16</v>
      </c>
      <c r="D422" s="5" t="s">
        <v>445</v>
      </c>
      <c r="E422" s="6" t="str">
        <f>HYPERLINK("https://twitter.com/sergio_fajardo/status/1243527028952965122","1243527028952965122")</f>
        <v>1243527028952965122</v>
      </c>
      <c r="F422" s="7" t="s">
        <v>17</v>
      </c>
      <c r="G422" s="7">
        <v>1516861</v>
      </c>
      <c r="H422" s="7">
        <v>362</v>
      </c>
      <c r="I422" s="7">
        <v>9</v>
      </c>
      <c r="J422" s="7">
        <v>43</v>
      </c>
      <c r="K422" s="7" t="s">
        <v>18</v>
      </c>
      <c r="L422" s="8">
        <v>39891.213356481479</v>
      </c>
      <c r="M422" s="9" t="s">
        <v>19</v>
      </c>
      <c r="N422" s="9" t="s">
        <v>22</v>
      </c>
      <c r="O422" s="6" t="str">
        <f>HYPERLINK("https://pbs.twimg.com/profile_images/988971255679324162/jrqiIYf__normal.jpg","View")</f>
        <v>View</v>
      </c>
      <c r="P422" s="7"/>
    </row>
    <row r="423" spans="1:16">
      <c r="A423" s="3">
        <v>43917.784143518518</v>
      </c>
      <c r="B423" s="4" t="str">
        <f>HYPERLINK("https://twitter.com/sergio_fajardo","@sergio_fajardo")</f>
        <v>@sergio_fajardo</v>
      </c>
      <c r="C423" s="5" t="s">
        <v>16</v>
      </c>
      <c r="D423" s="5" t="s">
        <v>446</v>
      </c>
      <c r="E423" s="6" t="str">
        <f>HYPERLINK("https://twitter.com/sergio_fajardo/status/1243527985875111938","1243527985875111938")</f>
        <v>1243527985875111938</v>
      </c>
      <c r="F423" s="7" t="s">
        <v>17</v>
      </c>
      <c r="G423" s="7">
        <v>1516861</v>
      </c>
      <c r="H423" s="7">
        <v>362</v>
      </c>
      <c r="I423" s="7">
        <v>573</v>
      </c>
      <c r="J423" s="7">
        <v>0</v>
      </c>
      <c r="K423" s="7" t="s">
        <v>18</v>
      </c>
      <c r="L423" s="8">
        <v>39891.213356481479</v>
      </c>
      <c r="M423" s="9" t="s">
        <v>19</v>
      </c>
      <c r="N423" s="9" t="s">
        <v>22</v>
      </c>
      <c r="O423" s="6" t="str">
        <f>HYPERLINK("https://pbs.twimg.com/profile_images/988971255679324162/jrqiIYf__normal.jpg","View")</f>
        <v>View</v>
      </c>
      <c r="P423" s="7"/>
    </row>
    <row r="424" spans="1:16">
      <c r="A424" s="3">
        <v>43917.805543981478</v>
      </c>
      <c r="B424" s="4" t="str">
        <f>HYPERLINK("https://twitter.com/sergio_fajardo","@sergio_fajardo")</f>
        <v>@sergio_fajardo</v>
      </c>
      <c r="C424" s="5" t="s">
        <v>16</v>
      </c>
      <c r="D424" s="5" t="s">
        <v>447</v>
      </c>
      <c r="E424" s="6" t="str">
        <f>HYPERLINK("https://twitter.com/sergio_fajardo/status/1243535741457702913","1243535741457702913")</f>
        <v>1243535741457702913</v>
      </c>
      <c r="F424" s="7" t="s">
        <v>17</v>
      </c>
      <c r="G424" s="7">
        <v>1516887</v>
      </c>
      <c r="H424" s="7">
        <v>362</v>
      </c>
      <c r="I424" s="7">
        <v>240</v>
      </c>
      <c r="J424" s="7">
        <v>0</v>
      </c>
      <c r="K424" s="7" t="s">
        <v>18</v>
      </c>
      <c r="L424" s="8">
        <v>39891.213356481479</v>
      </c>
      <c r="M424" s="9" t="s">
        <v>19</v>
      </c>
      <c r="N424" s="9" t="s">
        <v>22</v>
      </c>
      <c r="O424" s="6" t="str">
        <f>HYPERLINK("https://pbs.twimg.com/profile_images/988971255679324162/jrqiIYf__normal.jpg","View")</f>
        <v>View</v>
      </c>
      <c r="P424" s="7"/>
    </row>
    <row r="425" spans="1:16">
      <c r="A425" s="3">
        <v>43917.80636574074</v>
      </c>
      <c r="B425" s="4" t="str">
        <f>HYPERLINK("https://twitter.com/sergio_fajardo","@sergio_fajardo")</f>
        <v>@sergio_fajardo</v>
      </c>
      <c r="C425" s="5" t="s">
        <v>16</v>
      </c>
      <c r="D425" s="5" t="s">
        <v>448</v>
      </c>
      <c r="E425" s="6" t="str">
        <f>HYPERLINK("https://twitter.com/sergio_fajardo/status/1243536039198830597","1243536039198830597")</f>
        <v>1243536039198830597</v>
      </c>
      <c r="F425" s="7" t="s">
        <v>17</v>
      </c>
      <c r="G425" s="7">
        <v>1516887</v>
      </c>
      <c r="H425" s="7">
        <v>362</v>
      </c>
      <c r="I425" s="7">
        <v>4</v>
      </c>
      <c r="J425" s="7">
        <v>0</v>
      </c>
      <c r="K425" s="7" t="s">
        <v>18</v>
      </c>
      <c r="L425" s="8">
        <v>39891.213356481479</v>
      </c>
      <c r="M425" s="9" t="s">
        <v>19</v>
      </c>
      <c r="N425" s="9" t="s">
        <v>22</v>
      </c>
      <c r="O425" s="6" t="str">
        <f>HYPERLINK("https://pbs.twimg.com/profile_images/988971255679324162/jrqiIYf__normal.jpg","View")</f>
        <v>View</v>
      </c>
      <c r="P425" s="7"/>
    </row>
    <row r="426" spans="1:16">
      <c r="A426" s="3">
        <v>43917.876828703702</v>
      </c>
      <c r="B426" s="4" t="str">
        <f>HYPERLINK("https://twitter.com/sergio_fajardo","@sergio_fajardo")</f>
        <v>@sergio_fajardo</v>
      </c>
      <c r="C426" s="5" t="s">
        <v>16</v>
      </c>
      <c r="D426" s="5" t="s">
        <v>449</v>
      </c>
      <c r="E426" s="6" t="str">
        <f>HYPERLINK("https://twitter.com/sergio_fajardo/status/1243561575694372869","1243561575694372869")</f>
        <v>1243561575694372869</v>
      </c>
      <c r="F426" s="7" t="s">
        <v>17</v>
      </c>
      <c r="G426" s="7">
        <v>1517000</v>
      </c>
      <c r="H426" s="7">
        <v>362</v>
      </c>
      <c r="I426" s="7">
        <v>29</v>
      </c>
      <c r="J426" s="7">
        <v>0</v>
      </c>
      <c r="K426" s="7" t="s">
        <v>18</v>
      </c>
      <c r="L426" s="8">
        <v>39891.213356481479</v>
      </c>
      <c r="M426" s="9" t="s">
        <v>19</v>
      </c>
      <c r="N426" s="9" t="s">
        <v>22</v>
      </c>
      <c r="O426" s="6" t="str">
        <f>HYPERLINK("https://pbs.twimg.com/profile_images/988971255679324162/jrqiIYf__normal.jpg","View")</f>
        <v>View</v>
      </c>
      <c r="P426" s="7"/>
    </row>
    <row r="427" spans="1:16">
      <c r="A427" s="3">
        <v>43917.95789351852</v>
      </c>
      <c r="B427" s="4" t="str">
        <f>HYPERLINK("https://twitter.com/sergio_fajardo","@sergio_fajardo")</f>
        <v>@sergio_fajardo</v>
      </c>
      <c r="C427" s="5" t="s">
        <v>16</v>
      </c>
      <c r="D427" s="5" t="s">
        <v>450</v>
      </c>
      <c r="E427" s="6" t="str">
        <f>HYPERLINK("https://twitter.com/sergio_fajardo/status/1243590950485725190","1243590950485725190")</f>
        <v>1243590950485725190</v>
      </c>
      <c r="F427" s="7" t="s">
        <v>17</v>
      </c>
      <c r="G427" s="7">
        <v>1517090</v>
      </c>
      <c r="H427" s="7">
        <v>362</v>
      </c>
      <c r="I427" s="7">
        <v>27</v>
      </c>
      <c r="J427" s="7">
        <v>0</v>
      </c>
      <c r="K427" s="7" t="s">
        <v>18</v>
      </c>
      <c r="L427" s="8">
        <v>39891.213356481479</v>
      </c>
      <c r="M427" s="9" t="s">
        <v>19</v>
      </c>
      <c r="N427" s="9" t="s">
        <v>22</v>
      </c>
      <c r="O427" s="6" t="str">
        <f>HYPERLINK("https://pbs.twimg.com/profile_images/988971255679324162/jrqiIYf__normal.jpg","View")</f>
        <v>View</v>
      </c>
      <c r="P427" s="7"/>
    </row>
    <row r="428" spans="1:16">
      <c r="A428" s="3">
        <v>43918.095023148147</v>
      </c>
      <c r="B428" s="4" t="str">
        <f>HYPERLINK("https://twitter.com/sergio_fajardo","@sergio_fajardo")</f>
        <v>@sergio_fajardo</v>
      </c>
      <c r="C428" s="5" t="s">
        <v>16</v>
      </c>
      <c r="D428" s="5" t="s">
        <v>451</v>
      </c>
      <c r="E428" s="6" t="str">
        <f>HYPERLINK("https://twitter.com/sergio_fajardo/status/1243640646868652032","1243640646868652032")</f>
        <v>1243640646868652032</v>
      </c>
      <c r="F428" s="7" t="s">
        <v>17</v>
      </c>
      <c r="G428" s="7">
        <v>1517233</v>
      </c>
      <c r="H428" s="7">
        <v>362</v>
      </c>
      <c r="I428" s="7">
        <v>52</v>
      </c>
      <c r="J428" s="7">
        <v>0</v>
      </c>
      <c r="K428" s="7" t="s">
        <v>18</v>
      </c>
      <c r="L428" s="8">
        <v>39891.213356481479</v>
      </c>
      <c r="M428" s="9" t="s">
        <v>19</v>
      </c>
      <c r="N428" s="9" t="s">
        <v>22</v>
      </c>
      <c r="O428" s="6" t="str">
        <f>HYPERLINK("https://pbs.twimg.com/profile_images/988971255679324162/jrqiIYf__normal.jpg","View")</f>
        <v>View</v>
      </c>
      <c r="P428" s="7"/>
    </row>
    <row r="429" spans="1:16">
      <c r="A429" s="3">
        <v>43918.760428240741</v>
      </c>
      <c r="B429" s="4" t="str">
        <f>HYPERLINK("https://twitter.com/sergio_fajardo","@sergio_fajardo")</f>
        <v>@sergio_fajardo</v>
      </c>
      <c r="C429" s="5" t="s">
        <v>16</v>
      </c>
      <c r="D429" s="5" t="s">
        <v>452</v>
      </c>
      <c r="E429" s="6" t="str">
        <f>HYPERLINK("https://twitter.com/sergio_fajardo/status/1243881780832350208","1243881780832350208")</f>
        <v>1243881780832350208</v>
      </c>
      <c r="F429" s="7" t="s">
        <v>17</v>
      </c>
      <c r="G429" s="7">
        <v>1517684</v>
      </c>
      <c r="H429" s="7">
        <v>362</v>
      </c>
      <c r="I429" s="7">
        <v>23</v>
      </c>
      <c r="J429" s="7">
        <v>0</v>
      </c>
      <c r="K429" s="7" t="s">
        <v>18</v>
      </c>
      <c r="L429" s="8">
        <v>39891.213356481479</v>
      </c>
      <c r="M429" s="9" t="s">
        <v>19</v>
      </c>
      <c r="N429" s="9" t="s">
        <v>22</v>
      </c>
      <c r="O429" s="6" t="str">
        <f>HYPERLINK("https://pbs.twimg.com/profile_images/988971255679324162/jrqiIYf__normal.jpg","View")</f>
        <v>View</v>
      </c>
      <c r="P429" s="7"/>
    </row>
    <row r="430" spans="1:16">
      <c r="A430" s="3">
        <v>43919.069374999999</v>
      </c>
      <c r="B430" s="4" t="str">
        <f>HYPERLINK("https://twitter.com/sergio_fajardo","@sergio_fajardo")</f>
        <v>@sergio_fajardo</v>
      </c>
      <c r="C430" s="5" t="s">
        <v>16</v>
      </c>
      <c r="D430" s="5" t="s">
        <v>453</v>
      </c>
      <c r="E430" s="6" t="str">
        <f>HYPERLINK("https://twitter.com/sergio_fajardo/status/1243993738541662208","1243993738541662208")</f>
        <v>1243993738541662208</v>
      </c>
      <c r="F430" s="7" t="s">
        <v>17</v>
      </c>
      <c r="G430" s="7">
        <v>1518032</v>
      </c>
      <c r="H430" s="7">
        <v>362</v>
      </c>
      <c r="I430" s="7">
        <v>682</v>
      </c>
      <c r="J430" s="7">
        <v>0</v>
      </c>
      <c r="K430" s="7" t="s">
        <v>18</v>
      </c>
      <c r="L430" s="8">
        <v>39891.213356481479</v>
      </c>
      <c r="M430" s="9" t="s">
        <v>19</v>
      </c>
      <c r="N430" s="9" t="s">
        <v>22</v>
      </c>
      <c r="O430" s="6" t="str">
        <f>HYPERLINK("https://pbs.twimg.com/profile_images/988971255679324162/jrqiIYf__normal.jpg","View")</f>
        <v>View</v>
      </c>
      <c r="P430" s="7"/>
    </row>
    <row r="431" spans="1:16">
      <c r="A431" s="3">
        <v>43919.069490740745</v>
      </c>
      <c r="B431" s="4" t="str">
        <f>HYPERLINK("https://twitter.com/sergio_fajardo","@sergio_fajardo")</f>
        <v>@sergio_fajardo</v>
      </c>
      <c r="C431" s="5" t="s">
        <v>16</v>
      </c>
      <c r="D431" s="5" t="s">
        <v>24</v>
      </c>
      <c r="E431" s="6" t="str">
        <f>HYPERLINK("https://twitter.com/sergio_fajardo/status/1243993781759881216","1243993781759881216")</f>
        <v>1243993781759881216</v>
      </c>
      <c r="F431" s="7" t="s">
        <v>17</v>
      </c>
      <c r="G431" s="7">
        <v>1518032</v>
      </c>
      <c r="H431" s="7">
        <v>362</v>
      </c>
      <c r="I431" s="7">
        <v>407</v>
      </c>
      <c r="J431" s="7">
        <v>0</v>
      </c>
      <c r="K431" s="7" t="s">
        <v>18</v>
      </c>
      <c r="L431" s="8">
        <v>39891.213356481479</v>
      </c>
      <c r="M431" s="9" t="s">
        <v>19</v>
      </c>
      <c r="N431" s="9" t="s">
        <v>22</v>
      </c>
      <c r="O431" s="6" t="str">
        <f>HYPERLINK("https://pbs.twimg.com/profile_images/988971255679324162/jrqiIYf__normal.jpg","View")</f>
        <v>View</v>
      </c>
      <c r="P431" s="7"/>
    </row>
    <row r="432" spans="1:16">
      <c r="A432" s="3">
        <v>43920.105300925927</v>
      </c>
      <c r="B432" s="4" t="str">
        <f>HYPERLINK("https://twitter.com/sergio_fajardo","@sergio_fajardo")</f>
        <v>@sergio_fajardo</v>
      </c>
      <c r="C432" s="5" t="s">
        <v>16</v>
      </c>
      <c r="D432" s="5" t="s">
        <v>454</v>
      </c>
      <c r="E432" s="6" t="str">
        <f>HYPERLINK("https://twitter.com/sergio_fajardo/status/1244369147317964800","1244369147317964800")</f>
        <v>1244369147317964800</v>
      </c>
      <c r="F432" s="7" t="s">
        <v>17</v>
      </c>
      <c r="G432" s="7">
        <v>1518953</v>
      </c>
      <c r="H432" s="7">
        <v>362</v>
      </c>
      <c r="I432" s="7">
        <v>164</v>
      </c>
      <c r="J432" s="7">
        <v>0</v>
      </c>
      <c r="K432" s="7" t="s">
        <v>18</v>
      </c>
      <c r="L432" s="8">
        <v>39891.213356481479</v>
      </c>
      <c r="M432" s="9" t="s">
        <v>19</v>
      </c>
      <c r="N432" s="9" t="s">
        <v>22</v>
      </c>
      <c r="O432" s="6" t="str">
        <f>HYPERLINK("https://pbs.twimg.com/profile_images/988971255679324162/jrqiIYf__normal.jpg","View")</f>
        <v>View</v>
      </c>
      <c r="P432" s="7"/>
    </row>
    <row r="433" spans="1:16">
      <c r="A433" s="3">
        <v>43920.105729166666</v>
      </c>
      <c r="B433" s="4" t="str">
        <f>HYPERLINK("https://twitter.com/sergio_fajardo","@sergio_fajardo")</f>
        <v>@sergio_fajardo</v>
      </c>
      <c r="C433" s="5" t="s">
        <v>16</v>
      </c>
      <c r="D433" s="5" t="s">
        <v>455</v>
      </c>
      <c r="E433" s="6" t="str">
        <f>HYPERLINK("https://twitter.com/sergio_fajardo/status/1244369302150619141","1244369302150619141")</f>
        <v>1244369302150619141</v>
      </c>
      <c r="F433" s="7" t="s">
        <v>17</v>
      </c>
      <c r="G433" s="7">
        <v>1518979</v>
      </c>
      <c r="H433" s="7">
        <v>362</v>
      </c>
      <c r="I433" s="7">
        <v>915</v>
      </c>
      <c r="J433" s="7">
        <v>0</v>
      </c>
      <c r="K433" s="7" t="s">
        <v>18</v>
      </c>
      <c r="L433" s="8">
        <v>39891.213356481479</v>
      </c>
      <c r="M433" s="9" t="s">
        <v>19</v>
      </c>
      <c r="N433" s="9" t="s">
        <v>22</v>
      </c>
      <c r="O433" s="6" t="str">
        <f>HYPERLINK("https://pbs.twimg.com/profile_images/988971255679324162/jrqiIYf__normal.jpg","View")</f>
        <v>View</v>
      </c>
      <c r="P433" s="7"/>
    </row>
    <row r="434" spans="1:16">
      <c r="A434" s="3">
        <v>43920.271400462967</v>
      </c>
      <c r="B434" s="4" t="str">
        <f>HYPERLINK("https://twitter.com/sergio_fajardo","@sergio_fajardo")</f>
        <v>@sergio_fajardo</v>
      </c>
      <c r="C434" s="5" t="s">
        <v>16</v>
      </c>
      <c r="D434" s="5" t="s">
        <v>456</v>
      </c>
      <c r="E434" s="6" t="str">
        <f>HYPERLINK("https://twitter.com/sergio_fajardo/status/1244429339837505537","1244429339837505537")</f>
        <v>1244429339837505537</v>
      </c>
      <c r="F434" s="7" t="s">
        <v>17</v>
      </c>
      <c r="G434" s="7">
        <v>1519147</v>
      </c>
      <c r="H434" s="7">
        <v>362</v>
      </c>
      <c r="I434" s="7">
        <v>3</v>
      </c>
      <c r="J434" s="7">
        <v>0</v>
      </c>
      <c r="K434" s="7" t="s">
        <v>18</v>
      </c>
      <c r="L434" s="8">
        <v>39891.213356481479</v>
      </c>
      <c r="M434" s="9" t="s">
        <v>19</v>
      </c>
      <c r="N434" s="9" t="s">
        <v>22</v>
      </c>
      <c r="O434" s="6" t="str">
        <f>HYPERLINK("https://pbs.twimg.com/profile_images/988971255679324162/jrqiIYf__normal.jpg","View")</f>
        <v>View</v>
      </c>
      <c r="P434" s="7"/>
    </row>
    <row r="435" spans="1:16">
      <c r="A435" s="3">
        <v>43920.273506944446</v>
      </c>
      <c r="B435" s="4" t="str">
        <f>HYPERLINK("https://twitter.com/sergio_fajardo","@sergio_fajardo")</f>
        <v>@sergio_fajardo</v>
      </c>
      <c r="C435" s="5" t="s">
        <v>16</v>
      </c>
      <c r="D435" s="5" t="s">
        <v>457</v>
      </c>
      <c r="E435" s="6" t="str">
        <f>HYPERLINK("https://twitter.com/sergio_fajardo/status/1244430101833539586","1244430101833539586")</f>
        <v>1244430101833539586</v>
      </c>
      <c r="F435" s="7" t="s">
        <v>17</v>
      </c>
      <c r="G435" s="7">
        <v>1519172</v>
      </c>
      <c r="H435" s="7">
        <v>362</v>
      </c>
      <c r="I435" s="7">
        <v>40</v>
      </c>
      <c r="J435" s="7">
        <v>0</v>
      </c>
      <c r="K435" s="7" t="s">
        <v>18</v>
      </c>
      <c r="L435" s="8">
        <v>39891.213356481479</v>
      </c>
      <c r="M435" s="9" t="s">
        <v>19</v>
      </c>
      <c r="N435" s="9" t="s">
        <v>22</v>
      </c>
      <c r="O435" s="6" t="str">
        <f>HYPERLINK("https://pbs.twimg.com/profile_images/988971255679324162/jrqiIYf__normal.jpg","View")</f>
        <v>View</v>
      </c>
      <c r="P435" s="7"/>
    </row>
    <row r="436" spans="1:16">
      <c r="A436" s="3">
        <v>43920.274108796293</v>
      </c>
      <c r="B436" s="4" t="str">
        <f>HYPERLINK("https://twitter.com/sergio_fajardo","@sergio_fajardo")</f>
        <v>@sergio_fajardo</v>
      </c>
      <c r="C436" s="5" t="s">
        <v>16</v>
      </c>
      <c r="D436" s="5" t="s">
        <v>458</v>
      </c>
      <c r="E436" s="6" t="str">
        <f>HYPERLINK("https://twitter.com/sergio_fajardo/status/1244430319555620864","1244430319555620864")</f>
        <v>1244430319555620864</v>
      </c>
      <c r="F436" s="7" t="s">
        <v>17</v>
      </c>
      <c r="G436" s="7">
        <v>1519172</v>
      </c>
      <c r="H436" s="7">
        <v>362</v>
      </c>
      <c r="I436" s="7">
        <v>28</v>
      </c>
      <c r="J436" s="7">
        <v>0</v>
      </c>
      <c r="K436" s="7" t="s">
        <v>18</v>
      </c>
      <c r="L436" s="8">
        <v>39891.213356481479</v>
      </c>
      <c r="M436" s="9" t="s">
        <v>19</v>
      </c>
      <c r="N436" s="9" t="s">
        <v>22</v>
      </c>
      <c r="O436" s="6" t="str">
        <f>HYPERLINK("https://pbs.twimg.com/profile_images/988971255679324162/jrqiIYf__normal.jpg","View")</f>
        <v>View</v>
      </c>
      <c r="P436" s="7"/>
    </row>
    <row r="437" spans="1:16">
      <c r="A437" s="3">
        <v>43920.279421296298</v>
      </c>
      <c r="B437" s="4" t="str">
        <f>HYPERLINK("https://twitter.com/sergio_fajardo","@sergio_fajardo")</f>
        <v>@sergio_fajardo</v>
      </c>
      <c r="C437" s="5" t="s">
        <v>16</v>
      </c>
      <c r="D437" s="5" t="s">
        <v>459</v>
      </c>
      <c r="E437" s="6" t="str">
        <f>HYPERLINK("https://twitter.com/sergio_fajardo/status/1244432245160579073","1244432245160579073")</f>
        <v>1244432245160579073</v>
      </c>
      <c r="F437" s="7" t="s">
        <v>17</v>
      </c>
      <c r="G437" s="7">
        <v>1519172</v>
      </c>
      <c r="H437" s="7">
        <v>362</v>
      </c>
      <c r="I437" s="7">
        <v>13</v>
      </c>
      <c r="J437" s="7">
        <v>0</v>
      </c>
      <c r="K437" s="7" t="s">
        <v>18</v>
      </c>
      <c r="L437" s="8">
        <v>39891.213356481479</v>
      </c>
      <c r="M437" s="9" t="s">
        <v>19</v>
      </c>
      <c r="N437" s="9" t="s">
        <v>22</v>
      </c>
      <c r="O437" s="6" t="str">
        <f>HYPERLINK("https://pbs.twimg.com/profile_images/988971255679324162/jrqiIYf__normal.jpg","View")</f>
        <v>View</v>
      </c>
      <c r="P437" s="7"/>
    </row>
    <row r="438" spans="1:16">
      <c r="A438" s="3">
        <v>43920.366423611107</v>
      </c>
      <c r="B438" s="4" t="str">
        <f>HYPERLINK("https://twitter.com/sergio_fajardo","@sergio_fajardo")</f>
        <v>@sergio_fajardo</v>
      </c>
      <c r="C438" s="5" t="s">
        <v>16</v>
      </c>
      <c r="D438" s="5" t="s">
        <v>460</v>
      </c>
      <c r="E438" s="6" t="str">
        <f>HYPERLINK("https://twitter.com/sergio_fajardo/status/1244463773932453890","1244463773932453890")</f>
        <v>1244463773932453890</v>
      </c>
      <c r="F438" s="7" t="s">
        <v>17</v>
      </c>
      <c r="G438" s="7">
        <v>1519292</v>
      </c>
      <c r="H438" s="7">
        <v>362</v>
      </c>
      <c r="I438" s="7">
        <v>3</v>
      </c>
      <c r="J438" s="7">
        <v>9</v>
      </c>
      <c r="K438" s="7" t="s">
        <v>18</v>
      </c>
      <c r="L438" s="8">
        <v>39891.213356481479</v>
      </c>
      <c r="M438" s="9" t="s">
        <v>19</v>
      </c>
      <c r="N438" s="9" t="s">
        <v>22</v>
      </c>
      <c r="O438" s="6" t="str">
        <f>HYPERLINK("https://pbs.twimg.com/profile_images/988971255679324162/jrqiIYf__normal.jpg","View")</f>
        <v>View</v>
      </c>
      <c r="P438" s="7"/>
    </row>
    <row r="439" spans="1:16">
      <c r="A439" s="3">
        <v>43920.368587962963</v>
      </c>
      <c r="B439" s="4" t="str">
        <f>HYPERLINK("https://twitter.com/sergio_fajardo","@sergio_fajardo")</f>
        <v>@sergio_fajardo</v>
      </c>
      <c r="C439" s="5" t="s">
        <v>16</v>
      </c>
      <c r="D439" s="5" t="s">
        <v>461</v>
      </c>
      <c r="E439" s="6" t="str">
        <f>HYPERLINK("https://twitter.com/sergio_fajardo/status/1244464558879760386","1244464558879760386")</f>
        <v>1244464558879760386</v>
      </c>
      <c r="F439" s="7" t="s">
        <v>17</v>
      </c>
      <c r="G439" s="7">
        <v>1519292</v>
      </c>
      <c r="H439" s="7">
        <v>362</v>
      </c>
      <c r="I439" s="7">
        <v>1</v>
      </c>
      <c r="J439" s="7">
        <v>6</v>
      </c>
      <c r="K439" s="7" t="s">
        <v>18</v>
      </c>
      <c r="L439" s="8">
        <v>39891.213356481479</v>
      </c>
      <c r="M439" s="9" t="s">
        <v>19</v>
      </c>
      <c r="N439" s="9" t="s">
        <v>22</v>
      </c>
      <c r="O439" s="6" t="str">
        <f>HYPERLINK("https://pbs.twimg.com/profile_images/988971255679324162/jrqiIYf__normal.jpg","View")</f>
        <v>View</v>
      </c>
      <c r="P439" s="7"/>
    </row>
    <row r="440" spans="1:16">
      <c r="A440" s="3">
        <v>43920.807673611111</v>
      </c>
      <c r="B440" s="4" t="str">
        <f>HYPERLINK("https://twitter.com/sergio_fajardo","@sergio_fajardo")</f>
        <v>@sergio_fajardo</v>
      </c>
      <c r="C440" s="5" t="s">
        <v>16</v>
      </c>
      <c r="D440" s="5" t="s">
        <v>462</v>
      </c>
      <c r="E440" s="6" t="str">
        <f>HYPERLINK("https://twitter.com/sergio_fajardo/status/1244623677754408961","1244623677754408961")</f>
        <v>1244623677754408961</v>
      </c>
      <c r="F440" s="7" t="s">
        <v>17</v>
      </c>
      <c r="G440" s="7">
        <v>1519534</v>
      </c>
      <c r="H440" s="7">
        <v>362</v>
      </c>
      <c r="I440" s="7">
        <v>185</v>
      </c>
      <c r="J440" s="7">
        <v>0</v>
      </c>
      <c r="K440" s="7" t="s">
        <v>18</v>
      </c>
      <c r="L440" s="8">
        <v>39891.213356481479</v>
      </c>
      <c r="M440" s="9" t="s">
        <v>19</v>
      </c>
      <c r="N440" s="9" t="s">
        <v>22</v>
      </c>
      <c r="O440" s="6" t="str">
        <f>HYPERLINK("https://pbs.twimg.com/profile_images/988971255679324162/jrqiIYf__normal.jpg","View")</f>
        <v>View</v>
      </c>
      <c r="P440" s="7"/>
    </row>
    <row r="441" spans="1:16">
      <c r="A441" s="3">
        <v>43920.896377314813</v>
      </c>
      <c r="B441" s="4" t="str">
        <f>HYPERLINK("https://twitter.com/sergio_fajardo","@sergio_fajardo")</f>
        <v>@sergio_fajardo</v>
      </c>
      <c r="C441" s="5" t="s">
        <v>16</v>
      </c>
      <c r="D441" s="5" t="s">
        <v>463</v>
      </c>
      <c r="E441" s="6" t="str">
        <f>HYPERLINK("https://twitter.com/sergio_fajardo/status/1244655823571365888","1244655823571365888")</f>
        <v>1244655823571365888</v>
      </c>
      <c r="F441" s="7" t="s">
        <v>17</v>
      </c>
      <c r="G441" s="7">
        <v>1519642</v>
      </c>
      <c r="H441" s="7">
        <v>362</v>
      </c>
      <c r="I441" s="7">
        <v>27</v>
      </c>
      <c r="J441" s="7">
        <v>0</v>
      </c>
      <c r="K441" s="7" t="s">
        <v>18</v>
      </c>
      <c r="L441" s="8">
        <v>39891.213356481479</v>
      </c>
      <c r="M441" s="9" t="s">
        <v>19</v>
      </c>
      <c r="N441" s="9" t="s">
        <v>22</v>
      </c>
      <c r="O441" s="6" t="str">
        <f>HYPERLINK("https://pbs.twimg.com/profile_images/988971255679324162/jrqiIYf__normal.jpg","View")</f>
        <v>View</v>
      </c>
      <c r="P441" s="7"/>
    </row>
    <row r="442" spans="1:16">
      <c r="A442" s="3">
        <v>43921.288587962961</v>
      </c>
      <c r="B442" s="4" t="str">
        <f>HYPERLINK("https://twitter.com/sergio_fajardo","@sergio_fajardo")</f>
        <v>@sergio_fajardo</v>
      </c>
      <c r="C442" s="5" t="s">
        <v>16</v>
      </c>
      <c r="D442" s="5" t="s">
        <v>464</v>
      </c>
      <c r="E442" s="6" t="str">
        <f>HYPERLINK("https://twitter.com/sergio_fajardo/status/1244797955225399297","1244797955225399297")</f>
        <v>1244797955225399297</v>
      </c>
      <c r="F442" s="7" t="s">
        <v>17</v>
      </c>
      <c r="G442" s="7">
        <v>1520106</v>
      </c>
      <c r="H442" s="7">
        <v>362</v>
      </c>
      <c r="I442" s="7">
        <v>8</v>
      </c>
      <c r="J442" s="7">
        <v>0</v>
      </c>
      <c r="K442" s="7" t="s">
        <v>18</v>
      </c>
      <c r="L442" s="8">
        <v>39891.213356481479</v>
      </c>
      <c r="M442" s="9" t="s">
        <v>19</v>
      </c>
      <c r="N442" s="9" t="s">
        <v>22</v>
      </c>
      <c r="O442" s="6" t="str">
        <f>HYPERLINK("https://pbs.twimg.com/profile_images/988971255679324162/jrqiIYf__normal.jpg","View")</f>
        <v>View</v>
      </c>
      <c r="P442" s="7"/>
    </row>
    <row r="443" spans="1:16">
      <c r="A443" s="3">
        <v>43921.289340277777</v>
      </c>
      <c r="B443" s="4" t="str">
        <f>HYPERLINK("https://twitter.com/sergio_fajardo","@sergio_fajardo")</f>
        <v>@sergio_fajardo</v>
      </c>
      <c r="C443" s="5" t="s">
        <v>16</v>
      </c>
      <c r="D443" s="5" t="s">
        <v>465</v>
      </c>
      <c r="E443" s="6" t="str">
        <f>HYPERLINK("https://twitter.com/sergio_fajardo/status/1244798228526137346","1244798228526137346")</f>
        <v>1244798228526137346</v>
      </c>
      <c r="F443" s="7" t="s">
        <v>17</v>
      </c>
      <c r="G443" s="7">
        <v>1520106</v>
      </c>
      <c r="H443" s="7">
        <v>362</v>
      </c>
      <c r="I443" s="7">
        <v>2</v>
      </c>
      <c r="J443" s="7">
        <v>0</v>
      </c>
      <c r="K443" s="7" t="s">
        <v>18</v>
      </c>
      <c r="L443" s="8">
        <v>39891.213356481479</v>
      </c>
      <c r="M443" s="9" t="s">
        <v>19</v>
      </c>
      <c r="N443" s="9" t="s">
        <v>22</v>
      </c>
      <c r="O443" s="6" t="str">
        <f>HYPERLINK("https://pbs.twimg.com/profile_images/988971255679324162/jrqiIYf__normal.jpg","View")</f>
        <v>View</v>
      </c>
      <c r="P443" s="7"/>
    </row>
    <row r="444" spans="1:16">
      <c r="A444" s="3">
        <v>43921.31695601852</v>
      </c>
      <c r="B444" s="4" t="str">
        <f>HYPERLINK("https://twitter.com/sergio_fajardo","@sergio_fajardo")</f>
        <v>@sergio_fajardo</v>
      </c>
      <c r="C444" s="5" t="s">
        <v>16</v>
      </c>
      <c r="D444" s="5" t="s">
        <v>466</v>
      </c>
      <c r="E444" s="6" t="str">
        <f>HYPERLINK("https://twitter.com/sergio_fajardo/status/1244808234004774912","1244808234004774912")</f>
        <v>1244808234004774912</v>
      </c>
      <c r="F444" s="7" t="s">
        <v>17</v>
      </c>
      <c r="G444" s="7">
        <v>1520121</v>
      </c>
      <c r="H444" s="7">
        <v>362</v>
      </c>
      <c r="I444" s="7">
        <v>192</v>
      </c>
      <c r="J444" s="7">
        <v>0</v>
      </c>
      <c r="K444" s="7" t="s">
        <v>18</v>
      </c>
      <c r="L444" s="8">
        <v>39891.213356481479</v>
      </c>
      <c r="M444" s="9" t="s">
        <v>19</v>
      </c>
      <c r="N444" s="9" t="s">
        <v>22</v>
      </c>
      <c r="O444" s="6" t="str">
        <f>HYPERLINK("https://pbs.twimg.com/profile_images/988971255679324162/jrqiIYf__normal.jpg","View")</f>
        <v>View</v>
      </c>
      <c r="P444" s="7"/>
    </row>
    <row r="445" spans="1:16">
      <c r="A445" s="3">
        <v>43921.679907407408</v>
      </c>
      <c r="B445" s="4" t="str">
        <f>HYPERLINK("https://twitter.com/sergio_fajardo","@sergio_fajardo")</f>
        <v>@sergio_fajardo</v>
      </c>
      <c r="C445" s="5" t="s">
        <v>16</v>
      </c>
      <c r="D445" s="5" t="s">
        <v>467</v>
      </c>
      <c r="E445" s="6" t="str">
        <f>HYPERLINK("https://twitter.com/sergio_fajardo/status/1244939763867627520","1244939763867627520")</f>
        <v>1244939763867627520</v>
      </c>
      <c r="F445" s="7" t="s">
        <v>17</v>
      </c>
      <c r="G445" s="7">
        <v>1520336</v>
      </c>
      <c r="H445" s="7">
        <v>362</v>
      </c>
      <c r="I445" s="7">
        <v>870</v>
      </c>
      <c r="J445" s="7">
        <v>0</v>
      </c>
      <c r="K445" s="7" t="s">
        <v>18</v>
      </c>
      <c r="L445" s="8">
        <v>39891.213356481479</v>
      </c>
      <c r="M445" s="9" t="s">
        <v>19</v>
      </c>
      <c r="N445" s="9" t="s">
        <v>22</v>
      </c>
      <c r="O445" s="6" t="str">
        <f>HYPERLINK("https://pbs.twimg.com/profile_images/988971255679324162/jrqiIYf__normal.jpg","View")</f>
        <v>View</v>
      </c>
      <c r="P445" s="7"/>
    </row>
    <row r="446" spans="1:16">
      <c r="A446" s="3">
        <v>43921.755983796298</v>
      </c>
      <c r="B446" s="4" t="str">
        <f>HYPERLINK("https://twitter.com/sergio_fajardo","@sergio_fajardo")</f>
        <v>@sergio_fajardo</v>
      </c>
      <c r="C446" s="5" t="s">
        <v>16</v>
      </c>
      <c r="D446" s="5" t="s">
        <v>468</v>
      </c>
      <c r="E446" s="6" t="str">
        <f>HYPERLINK("https://twitter.com/sergio_fajardo/status/1244967333434712064","1244967333434712064")</f>
        <v>1244967333434712064</v>
      </c>
      <c r="F446" s="7" t="s">
        <v>17</v>
      </c>
      <c r="G446" s="7">
        <v>1520322</v>
      </c>
      <c r="H446" s="7">
        <v>362</v>
      </c>
      <c r="I446" s="7">
        <v>10</v>
      </c>
      <c r="J446" s="7">
        <v>53</v>
      </c>
      <c r="K446" s="7" t="s">
        <v>18</v>
      </c>
      <c r="L446" s="8">
        <v>39891.213356481479</v>
      </c>
      <c r="M446" s="9" t="s">
        <v>19</v>
      </c>
      <c r="N446" s="9" t="s">
        <v>22</v>
      </c>
      <c r="O446" s="6" t="str">
        <f>HYPERLINK("https://pbs.twimg.com/profile_images/988971255679324162/jrqiIYf__normal.jpg","View")</f>
        <v>View</v>
      </c>
      <c r="P446" s="7"/>
    </row>
    <row r="447" spans="1:16">
      <c r="A447" s="3">
        <v>43921.760798611111</v>
      </c>
      <c r="B447" s="4" t="str">
        <f>HYPERLINK("https://twitter.com/sergio_fajardo","@sergio_fajardo")</f>
        <v>@sergio_fajardo</v>
      </c>
      <c r="C447" s="5" t="s">
        <v>16</v>
      </c>
      <c r="D447" s="5" t="s">
        <v>469</v>
      </c>
      <c r="E447" s="6" t="str">
        <f>HYPERLINK("https://twitter.com/sergio_fajardo/status/1244969077279543298","1244969077279543298")</f>
        <v>1244969077279543298</v>
      </c>
      <c r="F447" s="7" t="s">
        <v>17</v>
      </c>
      <c r="G447" s="7">
        <v>1520322</v>
      </c>
      <c r="H447" s="7">
        <v>362</v>
      </c>
      <c r="I447" s="7">
        <v>11</v>
      </c>
      <c r="J447" s="7">
        <v>0</v>
      </c>
      <c r="K447" s="7" t="s">
        <v>18</v>
      </c>
      <c r="L447" s="8">
        <v>39891.213356481479</v>
      </c>
      <c r="M447" s="9" t="s">
        <v>19</v>
      </c>
      <c r="N447" s="9" t="s">
        <v>22</v>
      </c>
      <c r="O447" s="6" t="str">
        <f>HYPERLINK("https://pbs.twimg.com/profile_images/988971255679324162/jrqiIYf__normal.jpg","View")</f>
        <v>View</v>
      </c>
      <c r="P447" s="7"/>
    </row>
    <row r="448" spans="1:16">
      <c r="A448" s="3">
        <v>43921.772511574076</v>
      </c>
      <c r="B448" s="4" t="str">
        <f>HYPERLINK("https://twitter.com/sergio_fajardo","@sergio_fajardo")</f>
        <v>@sergio_fajardo</v>
      </c>
      <c r="C448" s="5" t="s">
        <v>16</v>
      </c>
      <c r="D448" s="5" t="s">
        <v>470</v>
      </c>
      <c r="E448" s="6" t="str">
        <f>HYPERLINK("https://twitter.com/sergio_fajardo/status/1244973322917621764","1244973322917621764")</f>
        <v>1244973322917621764</v>
      </c>
      <c r="F448" s="7" t="s">
        <v>17</v>
      </c>
      <c r="G448" s="7">
        <v>1520364</v>
      </c>
      <c r="H448" s="7">
        <v>362</v>
      </c>
      <c r="I448" s="7">
        <v>17</v>
      </c>
      <c r="J448" s="7">
        <v>0</v>
      </c>
      <c r="K448" s="7" t="s">
        <v>18</v>
      </c>
      <c r="L448" s="8">
        <v>39891.213356481479</v>
      </c>
      <c r="M448" s="9" t="s">
        <v>19</v>
      </c>
      <c r="N448" s="9" t="s">
        <v>22</v>
      </c>
      <c r="O448" s="6" t="str">
        <f>HYPERLINK("https://pbs.twimg.com/profile_images/988971255679324162/jrqiIYf__normal.jpg","View")</f>
        <v>View</v>
      </c>
      <c r="P448" s="7"/>
    </row>
    <row r="449" spans="1:16">
      <c r="A449" s="3">
        <v>43921.825208333335</v>
      </c>
      <c r="B449" s="4" t="str">
        <f>HYPERLINK("https://twitter.com/sergio_fajardo","@sergio_fajardo")</f>
        <v>@sergio_fajardo</v>
      </c>
      <c r="C449" s="5" t="s">
        <v>16</v>
      </c>
      <c r="D449" s="5" t="s">
        <v>471</v>
      </c>
      <c r="E449" s="6" t="str">
        <f>HYPERLINK("https://twitter.com/sergio_fajardo/status/1244992421399855104","1244992421399855104")</f>
        <v>1244992421399855104</v>
      </c>
      <c r="F449" s="7" t="s">
        <v>17</v>
      </c>
      <c r="G449" s="7">
        <v>1520418</v>
      </c>
      <c r="H449" s="7">
        <v>362</v>
      </c>
      <c r="I449" s="7">
        <v>739</v>
      </c>
      <c r="J449" s="7">
        <v>0</v>
      </c>
      <c r="K449" s="7" t="s">
        <v>18</v>
      </c>
      <c r="L449" s="8">
        <v>39891.213356481479</v>
      </c>
      <c r="M449" s="9" t="s">
        <v>19</v>
      </c>
      <c r="N449" s="9" t="s">
        <v>22</v>
      </c>
      <c r="O449" s="6" t="str">
        <f>HYPERLINK("https://pbs.twimg.com/profile_images/988971255679324162/jrqiIYf__normal.jpg","View")</f>
        <v>View</v>
      </c>
      <c r="P449" s="7"/>
    </row>
    <row r="450" spans="1:16">
      <c r="A450" s="3">
        <v>43921.855196759258</v>
      </c>
      <c r="B450" s="4" t="str">
        <f>HYPERLINK("https://twitter.com/sergio_fajardo","@sergio_fajardo")</f>
        <v>@sergio_fajardo</v>
      </c>
      <c r="C450" s="5" t="s">
        <v>16</v>
      </c>
      <c r="D450" s="5" t="s">
        <v>472</v>
      </c>
      <c r="E450" s="6" t="str">
        <f>HYPERLINK("https://twitter.com/sergio_fajardo/status/1245003287503548416","1245003287503548416")</f>
        <v>1245003287503548416</v>
      </c>
      <c r="F450" s="7" t="s">
        <v>17</v>
      </c>
      <c r="G450" s="7">
        <v>1520444</v>
      </c>
      <c r="H450" s="7">
        <v>362</v>
      </c>
      <c r="I450" s="7">
        <v>0</v>
      </c>
      <c r="J450" s="7">
        <v>1</v>
      </c>
      <c r="K450" s="7" t="s">
        <v>18</v>
      </c>
      <c r="L450" s="8">
        <v>39891.213356481479</v>
      </c>
      <c r="M450" s="9" t="s">
        <v>19</v>
      </c>
      <c r="N450" s="9" t="s">
        <v>22</v>
      </c>
      <c r="O450" s="6" t="str">
        <f>HYPERLINK("https://pbs.twimg.com/profile_images/988971255679324162/jrqiIYf__normal.jpg","View")</f>
        <v>View</v>
      </c>
      <c r="P450" s="7"/>
    </row>
    <row r="451" spans="1:16">
      <c r="A451" s="3">
        <v>43921.879537037035</v>
      </c>
      <c r="B451" s="4" t="str">
        <f>HYPERLINK("https://twitter.com/sergio_fajardo","@sergio_fajardo")</f>
        <v>@sergio_fajardo</v>
      </c>
      <c r="C451" s="5" t="s">
        <v>16</v>
      </c>
      <c r="D451" s="5" t="s">
        <v>473</v>
      </c>
      <c r="E451" s="6" t="str">
        <f>HYPERLINK("https://twitter.com/sergio_fajardo/status/1245012110112849920","1245012110112849920")</f>
        <v>1245012110112849920</v>
      </c>
      <c r="F451" s="7" t="s">
        <v>17</v>
      </c>
      <c r="G451" s="7">
        <v>1520511</v>
      </c>
      <c r="H451" s="7">
        <v>362</v>
      </c>
      <c r="I451" s="7">
        <v>3</v>
      </c>
      <c r="J451" s="7">
        <v>10</v>
      </c>
      <c r="K451" s="7" t="s">
        <v>18</v>
      </c>
      <c r="L451" s="8">
        <v>39891.213356481479</v>
      </c>
      <c r="M451" s="9" t="s">
        <v>19</v>
      </c>
      <c r="N451" s="9" t="s">
        <v>22</v>
      </c>
      <c r="O451" s="6" t="str">
        <f>HYPERLINK("https://pbs.twimg.com/profile_images/988971255679324162/jrqiIYf__normal.jpg","View")</f>
        <v>View</v>
      </c>
      <c r="P451" s="7"/>
    </row>
    <row r="452" spans="1:16">
      <c r="A452" s="3">
        <v>43921.944189814814</v>
      </c>
      <c r="B452" s="4" t="str">
        <f>HYPERLINK("https://twitter.com/sergio_fajardo","@sergio_fajardo")</f>
        <v>@sergio_fajardo</v>
      </c>
      <c r="C452" s="5" t="s">
        <v>16</v>
      </c>
      <c r="D452" s="5" t="s">
        <v>474</v>
      </c>
      <c r="E452" s="6" t="str">
        <f>HYPERLINK("https://twitter.com/sergio_fajardo/status/1245035539801280515","1245035539801280515")</f>
        <v>1245035539801280515</v>
      </c>
      <c r="F452" s="7" t="s">
        <v>17</v>
      </c>
      <c r="G452" s="7">
        <v>1520603</v>
      </c>
      <c r="H452" s="7">
        <v>362</v>
      </c>
      <c r="I452" s="7">
        <v>16</v>
      </c>
      <c r="J452" s="7">
        <v>49</v>
      </c>
      <c r="K452" s="7" t="s">
        <v>18</v>
      </c>
      <c r="L452" s="8">
        <v>39891.213356481479</v>
      </c>
      <c r="M452" s="9" t="s">
        <v>19</v>
      </c>
      <c r="N452" s="9" t="s">
        <v>22</v>
      </c>
      <c r="O452" s="6" t="str">
        <f>HYPERLINK("https://pbs.twimg.com/profile_images/988971255679324162/jrqiIYf__normal.jpg","View")</f>
        <v>View</v>
      </c>
      <c r="P452" s="7"/>
    </row>
    <row r="453" spans="1:16">
      <c r="A453" s="3">
        <v>43921.960011574076</v>
      </c>
      <c r="B453" s="4" t="str">
        <f>HYPERLINK("https://twitter.com/sergio_fajardo","@sergio_fajardo")</f>
        <v>@sergio_fajardo</v>
      </c>
      <c r="C453" s="5" t="s">
        <v>16</v>
      </c>
      <c r="D453" s="5" t="s">
        <v>475</v>
      </c>
      <c r="E453" s="6" t="str">
        <f>HYPERLINK("https://twitter.com/sergio_fajardo/status/1245041271745531905","1245041271745531905")</f>
        <v>1245041271745531905</v>
      </c>
      <c r="F453" s="7" t="s">
        <v>17</v>
      </c>
      <c r="G453" s="7">
        <v>1520603</v>
      </c>
      <c r="H453" s="7">
        <v>362</v>
      </c>
      <c r="I453" s="7">
        <v>72</v>
      </c>
      <c r="J453" s="7">
        <v>0</v>
      </c>
      <c r="K453" s="7" t="s">
        <v>18</v>
      </c>
      <c r="L453" s="8">
        <v>39891.213356481479</v>
      </c>
      <c r="M453" s="9" t="s">
        <v>19</v>
      </c>
      <c r="N453" s="9" t="s">
        <v>22</v>
      </c>
      <c r="O453" s="6" t="str">
        <f>HYPERLINK("https://pbs.twimg.com/profile_images/988971255679324162/jrqiIYf__normal.jpg","View")</f>
        <v>View</v>
      </c>
      <c r="P453" s="7"/>
    </row>
    <row r="454" spans="1:16">
      <c r="A454" s="3">
        <v>43921.985578703709</v>
      </c>
      <c r="B454" s="4" t="str">
        <f>HYPERLINK("https://twitter.com/sergio_fajardo","@sergio_fajardo")</f>
        <v>@sergio_fajardo</v>
      </c>
      <c r="C454" s="5" t="s">
        <v>16</v>
      </c>
      <c r="D454" s="5" t="s">
        <v>476</v>
      </c>
      <c r="E454" s="6" t="str">
        <f>HYPERLINK("https://twitter.com/sergio_fajardo/status/1245050537453682691","1245050537453682691")</f>
        <v>1245050537453682691</v>
      </c>
      <c r="F454" s="7" t="s">
        <v>17</v>
      </c>
      <c r="G454" s="7">
        <v>1520651</v>
      </c>
      <c r="H454" s="7">
        <v>362</v>
      </c>
      <c r="I454" s="7">
        <v>9</v>
      </c>
      <c r="J454" s="7">
        <v>38</v>
      </c>
      <c r="K454" s="7" t="s">
        <v>18</v>
      </c>
      <c r="L454" s="8">
        <v>39891.213356481479</v>
      </c>
      <c r="M454" s="9" t="s">
        <v>19</v>
      </c>
      <c r="N454" s="9" t="s">
        <v>22</v>
      </c>
      <c r="O454" s="6" t="str">
        <f>HYPERLINK("https://pbs.twimg.com/profile_images/988971255679324162/jrqiIYf__normal.jpg","View")</f>
        <v>View</v>
      </c>
      <c r="P454" s="7"/>
    </row>
    <row r="455" spans="1:16">
      <c r="A455" s="3">
        <v>43922.106874999998</v>
      </c>
      <c r="B455" s="4" t="str">
        <f>HYPERLINK("https://twitter.com/sergio_fajardo","@sergio_fajardo")</f>
        <v>@sergio_fajardo</v>
      </c>
      <c r="C455" s="5" t="s">
        <v>16</v>
      </c>
      <c r="D455" s="5" t="s">
        <v>477</v>
      </c>
      <c r="E455" s="6" t="str">
        <f>HYPERLINK("https://twitter.com/sergio_fajardo/status/1245094491503157253","1245094491503157253")</f>
        <v>1245094491503157253</v>
      </c>
      <c r="F455" s="7" t="s">
        <v>17</v>
      </c>
      <c r="G455" s="7">
        <v>1520777</v>
      </c>
      <c r="H455" s="7">
        <v>362</v>
      </c>
      <c r="I455" s="7">
        <v>335</v>
      </c>
      <c r="J455" s="7">
        <v>0</v>
      </c>
      <c r="K455" s="7" t="s">
        <v>18</v>
      </c>
      <c r="L455" s="8">
        <v>39891.213356481479</v>
      </c>
      <c r="M455" s="9" t="s">
        <v>19</v>
      </c>
      <c r="N455" s="9" t="s">
        <v>22</v>
      </c>
      <c r="O455" s="6" t="str">
        <f>HYPERLINK("https://pbs.twimg.com/profile_images/988971255679324162/jrqiIYf__normal.jpg","View")</f>
        <v>View</v>
      </c>
      <c r="P455" s="7"/>
    </row>
    <row r="456" spans="1:16">
      <c r="A456" s="3">
        <v>43924.030729166669</v>
      </c>
      <c r="B456" s="4" t="str">
        <f>HYPERLINK("https://twitter.com/sergio_fajardo","@sergio_fajardo")</f>
        <v>@sergio_fajardo</v>
      </c>
      <c r="C456" s="5" t="s">
        <v>16</v>
      </c>
      <c r="D456" s="5" t="s">
        <v>478</v>
      </c>
      <c r="E456" s="6" t="str">
        <f>HYPERLINK("https://twitter.com/sergio_fajardo/status/1245791676339232770","1245791676339232770")</f>
        <v>1245791676339232770</v>
      </c>
      <c r="F456" s="7" t="s">
        <v>17</v>
      </c>
      <c r="G456" s="7">
        <v>1522767</v>
      </c>
      <c r="H456" s="7">
        <v>362</v>
      </c>
      <c r="I456" s="7">
        <v>4</v>
      </c>
      <c r="J456" s="7">
        <v>0</v>
      </c>
      <c r="K456" s="7" t="s">
        <v>18</v>
      </c>
      <c r="L456" s="8">
        <v>39891.213356481479</v>
      </c>
      <c r="M456" s="9" t="s">
        <v>19</v>
      </c>
      <c r="N456" s="9" t="s">
        <v>22</v>
      </c>
      <c r="O456" s="6" t="str">
        <f>HYPERLINK("https://pbs.twimg.com/profile_images/988971255679324162/jrqiIYf__normal.jpg","View")</f>
        <v>View</v>
      </c>
      <c r="P456" s="7"/>
    </row>
    <row r="457" spans="1:16">
      <c r="A457" s="3">
        <v>43924.108993055561</v>
      </c>
      <c r="B457" s="4" t="str">
        <f>HYPERLINK("https://twitter.com/sergio_fajardo","@sergio_fajardo")</f>
        <v>@sergio_fajardo</v>
      </c>
      <c r="C457" s="5" t="s">
        <v>16</v>
      </c>
      <c r="D457" s="5" t="s">
        <v>479</v>
      </c>
      <c r="E457" s="6" t="str">
        <f>HYPERLINK("https://twitter.com/sergio_fajardo/status/1245820034968162310","1245820034968162310")</f>
        <v>1245820034968162310</v>
      </c>
      <c r="F457" s="7" t="s">
        <v>17</v>
      </c>
      <c r="G457" s="7">
        <v>1522840</v>
      </c>
      <c r="H457" s="7">
        <v>363</v>
      </c>
      <c r="I457" s="7">
        <v>7</v>
      </c>
      <c r="J457" s="7">
        <v>0</v>
      </c>
      <c r="K457" s="7" t="s">
        <v>18</v>
      </c>
      <c r="L457" s="8">
        <v>39891.213356481479</v>
      </c>
      <c r="M457" s="9" t="s">
        <v>19</v>
      </c>
      <c r="N457" s="9" t="s">
        <v>22</v>
      </c>
      <c r="O457" s="6" t="str">
        <f>HYPERLINK("https://pbs.twimg.com/profile_images/988971255679324162/jrqiIYf__normal.jpg","View")</f>
        <v>View</v>
      </c>
      <c r="P457" s="7"/>
    </row>
    <row r="458" spans="1:16">
      <c r="A458" s="3">
        <v>43924.721574074079</v>
      </c>
      <c r="B458" s="4" t="str">
        <f>HYPERLINK("https://twitter.com/sergio_fajardo","@sergio_fajardo")</f>
        <v>@sergio_fajardo</v>
      </c>
      <c r="C458" s="5" t="s">
        <v>16</v>
      </c>
      <c r="D458" s="5" t="s">
        <v>480</v>
      </c>
      <c r="E458" s="6" t="str">
        <f>HYPERLINK("https://twitter.com/sergio_fajardo/status/1246042027223023617","1246042027223023617")</f>
        <v>1246042027223023617</v>
      </c>
      <c r="F458" s="7" t="s">
        <v>17</v>
      </c>
      <c r="G458" s="7">
        <v>1523295</v>
      </c>
      <c r="H458" s="7">
        <v>363</v>
      </c>
      <c r="I458" s="7">
        <v>4</v>
      </c>
      <c r="J458" s="7">
        <v>12</v>
      </c>
      <c r="K458" s="7" t="s">
        <v>18</v>
      </c>
      <c r="L458" s="8">
        <v>39891.213356481479</v>
      </c>
      <c r="M458" s="9" t="s">
        <v>19</v>
      </c>
      <c r="N458" s="9" t="s">
        <v>22</v>
      </c>
      <c r="O458" s="6" t="str">
        <f>HYPERLINK("https://pbs.twimg.com/profile_images/988971255679324162/jrqiIYf__normal.jpg","View")</f>
        <v>View</v>
      </c>
      <c r="P458" s="7"/>
    </row>
    <row r="459" spans="1:16">
      <c r="A459" s="3">
        <v>43924.722314814819</v>
      </c>
      <c r="B459" s="4" t="str">
        <f>HYPERLINK("https://twitter.com/sergio_fajardo","@sergio_fajardo")</f>
        <v>@sergio_fajardo</v>
      </c>
      <c r="C459" s="5" t="s">
        <v>16</v>
      </c>
      <c r="D459" s="5" t="s">
        <v>481</v>
      </c>
      <c r="E459" s="6" t="str">
        <f>HYPERLINK("https://twitter.com/sergio_fajardo/status/1246042294597365760","1246042294597365760")</f>
        <v>1246042294597365760</v>
      </c>
      <c r="F459" s="7" t="s">
        <v>17</v>
      </c>
      <c r="G459" s="7">
        <v>1523295</v>
      </c>
      <c r="H459" s="7">
        <v>363</v>
      </c>
      <c r="I459" s="7">
        <v>2</v>
      </c>
      <c r="J459" s="7">
        <v>17</v>
      </c>
      <c r="K459" s="7" t="s">
        <v>18</v>
      </c>
      <c r="L459" s="8">
        <v>39891.213356481479</v>
      </c>
      <c r="M459" s="9" t="s">
        <v>19</v>
      </c>
      <c r="N459" s="9" t="s">
        <v>22</v>
      </c>
      <c r="O459" s="6" t="str">
        <f>HYPERLINK("https://pbs.twimg.com/profile_images/988971255679324162/jrqiIYf__normal.jpg","View")</f>
        <v>View</v>
      </c>
      <c r="P459" s="7"/>
    </row>
    <row r="460" spans="1:16">
      <c r="A460" s="3">
        <v>43925.864328703705</v>
      </c>
      <c r="B460" s="4" t="str">
        <f>HYPERLINK("https://twitter.com/sergio_fajardo","@sergio_fajardo")</f>
        <v>@sergio_fajardo</v>
      </c>
      <c r="C460" s="5" t="s">
        <v>16</v>
      </c>
      <c r="D460" s="5" t="s">
        <v>482</v>
      </c>
      <c r="E460" s="6" t="str">
        <f>HYPERLINK("https://twitter.com/sergio_fajardo/status/1246456148594655233","1246456148594655233")</f>
        <v>1246456148594655233</v>
      </c>
      <c r="F460" s="7" t="s">
        <v>17</v>
      </c>
      <c r="G460" s="7">
        <v>1524072</v>
      </c>
      <c r="H460" s="7">
        <v>365</v>
      </c>
      <c r="I460" s="7">
        <v>31</v>
      </c>
      <c r="J460" s="7">
        <v>175</v>
      </c>
      <c r="K460" s="7" t="s">
        <v>18</v>
      </c>
      <c r="L460" s="8">
        <v>39891.213356481479</v>
      </c>
      <c r="M460" s="9" t="s">
        <v>19</v>
      </c>
      <c r="N460" s="9" t="s">
        <v>22</v>
      </c>
      <c r="O460" s="6" t="str">
        <f>HYPERLINK("https://pbs.twimg.com/profile_images/988971255679324162/jrqiIYf__normal.jpg","View")</f>
        <v>View</v>
      </c>
      <c r="P460" s="7"/>
    </row>
    <row r="461" spans="1:16">
      <c r="A461" s="3">
        <v>43925.984791666662</v>
      </c>
      <c r="B461" s="4" t="str">
        <f>HYPERLINK("https://twitter.com/sergio_fajardo","@sergio_fajardo")</f>
        <v>@sergio_fajardo</v>
      </c>
      <c r="C461" s="5" t="s">
        <v>16</v>
      </c>
      <c r="D461" s="5" t="s">
        <v>483</v>
      </c>
      <c r="E461" s="6" t="str">
        <f>HYPERLINK("https://twitter.com/sergio_fajardo/status/1246499803929939968","1246499803929939968")</f>
        <v>1246499803929939968</v>
      </c>
      <c r="F461" s="7" t="s">
        <v>17</v>
      </c>
      <c r="G461" s="7">
        <v>1524187</v>
      </c>
      <c r="H461" s="7">
        <v>365</v>
      </c>
      <c r="I461" s="7">
        <v>27</v>
      </c>
      <c r="J461" s="7">
        <v>125</v>
      </c>
      <c r="K461" s="7" t="s">
        <v>18</v>
      </c>
      <c r="L461" s="8">
        <v>39891.213356481479</v>
      </c>
      <c r="M461" s="9" t="s">
        <v>19</v>
      </c>
      <c r="N461" s="9" t="s">
        <v>22</v>
      </c>
      <c r="O461" s="6" t="str">
        <f>HYPERLINK("https://pbs.twimg.com/profile_images/988971255679324162/jrqiIYf__normal.jpg","View")</f>
        <v>View</v>
      </c>
      <c r="P461" s="7"/>
    </row>
    <row r="462" spans="1:16">
      <c r="A462" s="3">
        <v>43926.668310185181</v>
      </c>
      <c r="B462" s="4" t="str">
        <f>HYPERLINK("https://twitter.com/sergio_fajardo","@sergio_fajardo")</f>
        <v>@sergio_fajardo</v>
      </c>
      <c r="C462" s="5" t="s">
        <v>16</v>
      </c>
      <c r="D462" s="5" t="s">
        <v>484</v>
      </c>
      <c r="E462" s="6" t="str">
        <f>HYPERLINK("https://twitter.com/sergio_fajardo/status/1246747499748098049","1246747499748098049")</f>
        <v>1246747499748098049</v>
      </c>
      <c r="F462" s="7" t="s">
        <v>17</v>
      </c>
      <c r="G462" s="7">
        <v>1524530</v>
      </c>
      <c r="H462" s="7">
        <v>365</v>
      </c>
      <c r="I462" s="7">
        <v>451</v>
      </c>
      <c r="J462" s="7">
        <v>0</v>
      </c>
      <c r="K462" s="7" t="s">
        <v>18</v>
      </c>
      <c r="L462" s="8">
        <v>39891.213356481479</v>
      </c>
      <c r="M462" s="9" t="s">
        <v>19</v>
      </c>
      <c r="N462" s="9" t="s">
        <v>22</v>
      </c>
      <c r="O462" s="6" t="str">
        <f>HYPERLINK("https://pbs.twimg.com/profile_images/988971255679324162/jrqiIYf__normal.jpg","View")</f>
        <v>View</v>
      </c>
      <c r="P462" s="7"/>
    </row>
    <row r="463" spans="1:16">
      <c r="A463" s="3">
        <v>43926.669340277775</v>
      </c>
      <c r="B463" s="4" t="str">
        <f>HYPERLINK("https://twitter.com/sergio_fajardo","@sergio_fajardo")</f>
        <v>@sergio_fajardo</v>
      </c>
      <c r="C463" s="5" t="s">
        <v>16</v>
      </c>
      <c r="D463" s="5" t="s">
        <v>485</v>
      </c>
      <c r="E463" s="6" t="str">
        <f>HYPERLINK("https://twitter.com/sergio_fajardo/status/1246747876279103488","1246747876279103488")</f>
        <v>1246747876279103488</v>
      </c>
      <c r="F463" s="7" t="s">
        <v>17</v>
      </c>
      <c r="G463" s="7">
        <v>1524530</v>
      </c>
      <c r="H463" s="7">
        <v>365</v>
      </c>
      <c r="I463" s="7">
        <v>703</v>
      </c>
      <c r="J463" s="7">
        <v>0</v>
      </c>
      <c r="K463" s="7" t="s">
        <v>18</v>
      </c>
      <c r="L463" s="8">
        <v>39891.213356481479</v>
      </c>
      <c r="M463" s="9" t="s">
        <v>19</v>
      </c>
      <c r="N463" s="9" t="s">
        <v>22</v>
      </c>
      <c r="O463" s="6" t="str">
        <f>HYPERLINK("https://pbs.twimg.com/profile_images/988971255679324162/jrqiIYf__normal.jpg","View")</f>
        <v>View</v>
      </c>
      <c r="P463" s="7"/>
    </row>
    <row r="464" spans="1:16">
      <c r="A464" s="3">
        <v>43926.846331018518</v>
      </c>
      <c r="B464" s="4" t="str">
        <f>HYPERLINK("https://twitter.com/sergio_fajardo","@sergio_fajardo")</f>
        <v>@sergio_fajardo</v>
      </c>
      <c r="C464" s="5" t="s">
        <v>16</v>
      </c>
      <c r="D464" s="5" t="s">
        <v>486</v>
      </c>
      <c r="E464" s="6" t="str">
        <f>HYPERLINK("https://twitter.com/sergio_fajardo/status/1246812013898145793","1246812013898145793")</f>
        <v>1246812013898145793</v>
      </c>
      <c r="F464" s="7" t="s">
        <v>17</v>
      </c>
      <c r="G464" s="7">
        <v>1524651</v>
      </c>
      <c r="H464" s="7">
        <v>365</v>
      </c>
      <c r="I464" s="7">
        <v>4</v>
      </c>
      <c r="J464" s="7">
        <v>0</v>
      </c>
      <c r="K464" s="7" t="s">
        <v>18</v>
      </c>
      <c r="L464" s="8">
        <v>39891.213356481479</v>
      </c>
      <c r="M464" s="9" t="s">
        <v>19</v>
      </c>
      <c r="N464" s="9" t="s">
        <v>22</v>
      </c>
      <c r="O464" s="6" t="str">
        <f>HYPERLINK("https://pbs.twimg.com/profile_images/988971255679324162/jrqiIYf__normal.jpg","View")</f>
        <v>View</v>
      </c>
      <c r="P464" s="7"/>
    </row>
    <row r="465" spans="1:16">
      <c r="A465" s="3">
        <v>43926.889027777783</v>
      </c>
      <c r="B465" s="4" t="str">
        <f>HYPERLINK("https://twitter.com/sergio_fajardo","@sergio_fajardo")</f>
        <v>@sergio_fajardo</v>
      </c>
      <c r="C465" s="5" t="s">
        <v>16</v>
      </c>
      <c r="D465" s="5" t="s">
        <v>487</v>
      </c>
      <c r="E465" s="6" t="str">
        <f>HYPERLINK("https://twitter.com/sergio_fajardo/status/1246827488988274693","1246827488988274693")</f>
        <v>1246827488988274693</v>
      </c>
      <c r="F465" s="7" t="s">
        <v>17</v>
      </c>
      <c r="G465" s="7">
        <v>1524696</v>
      </c>
      <c r="H465" s="7">
        <v>365</v>
      </c>
      <c r="I465" s="7">
        <v>32</v>
      </c>
      <c r="J465" s="7">
        <v>0</v>
      </c>
      <c r="K465" s="7" t="s">
        <v>18</v>
      </c>
      <c r="L465" s="8">
        <v>39891.213356481479</v>
      </c>
      <c r="M465" s="9" t="s">
        <v>19</v>
      </c>
      <c r="N465" s="9" t="s">
        <v>22</v>
      </c>
      <c r="O465" s="6" t="str">
        <f>HYPERLINK("https://pbs.twimg.com/profile_images/988971255679324162/jrqiIYf__normal.jpg","View")</f>
        <v>View</v>
      </c>
      <c r="P465" s="7"/>
    </row>
    <row r="466" spans="1:16">
      <c r="A466" s="3">
        <v>43927.098854166667</v>
      </c>
      <c r="B466" s="4" t="str">
        <f>HYPERLINK("https://twitter.com/sergio_fajardo","@sergio_fajardo")</f>
        <v>@sergio_fajardo</v>
      </c>
      <c r="C466" s="5" t="s">
        <v>16</v>
      </c>
      <c r="D466" s="5" t="s">
        <v>488</v>
      </c>
      <c r="E466" s="6" t="str">
        <f>HYPERLINK("https://twitter.com/sergio_fajardo/status/1246903526531399682","1246903526531399682")</f>
        <v>1246903526531399682</v>
      </c>
      <c r="F466" s="7" t="s">
        <v>17</v>
      </c>
      <c r="G466" s="7">
        <v>1524853</v>
      </c>
      <c r="H466" s="7">
        <v>365</v>
      </c>
      <c r="I466" s="7">
        <v>242</v>
      </c>
      <c r="J466" s="7">
        <v>0</v>
      </c>
      <c r="K466" s="7" t="s">
        <v>18</v>
      </c>
      <c r="L466" s="8">
        <v>39891.213356481479</v>
      </c>
      <c r="M466" s="9" t="s">
        <v>19</v>
      </c>
      <c r="N466" s="9" t="s">
        <v>22</v>
      </c>
      <c r="O466" s="6" t="str">
        <f>HYPERLINK("https://pbs.twimg.com/profile_images/988971255679324162/jrqiIYf__normal.jpg","View")</f>
        <v>View</v>
      </c>
      <c r="P466" s="7"/>
    </row>
    <row r="467" spans="1:16">
      <c r="A467" s="3">
        <v>43927.099317129629</v>
      </c>
      <c r="B467" s="4" t="str">
        <f>HYPERLINK("https://twitter.com/sergio_fajardo","@sergio_fajardo")</f>
        <v>@sergio_fajardo</v>
      </c>
      <c r="C467" s="5" t="s">
        <v>16</v>
      </c>
      <c r="D467" s="5" t="s">
        <v>489</v>
      </c>
      <c r="E467" s="6" t="str">
        <f>HYPERLINK("https://twitter.com/sergio_fajardo/status/1246903691950665728","1246903691950665728")</f>
        <v>1246903691950665728</v>
      </c>
      <c r="F467" s="7" t="s">
        <v>17</v>
      </c>
      <c r="G467" s="7">
        <v>1524853</v>
      </c>
      <c r="H467" s="7">
        <v>365</v>
      </c>
      <c r="I467" s="7">
        <v>5</v>
      </c>
      <c r="J467" s="7">
        <v>15</v>
      </c>
      <c r="K467" s="7" t="s">
        <v>18</v>
      </c>
      <c r="L467" s="8">
        <v>39891.213356481479</v>
      </c>
      <c r="M467" s="9" t="s">
        <v>19</v>
      </c>
      <c r="N467" s="9" t="s">
        <v>22</v>
      </c>
      <c r="O467" s="6" t="str">
        <f>HYPERLINK("https://pbs.twimg.com/profile_images/988971255679324162/jrqiIYf__normal.jpg","View")</f>
        <v>View</v>
      </c>
      <c r="P467" s="7"/>
    </row>
    <row r="468" spans="1:16">
      <c r="A468" s="3">
        <v>43927.202939814815</v>
      </c>
      <c r="B468" s="4" t="str">
        <f>HYPERLINK("https://twitter.com/sergio_fajardo","@sergio_fajardo")</f>
        <v>@sergio_fajardo</v>
      </c>
      <c r="C468" s="5" t="s">
        <v>16</v>
      </c>
      <c r="D468" s="5" t="s">
        <v>490</v>
      </c>
      <c r="E468" s="6" t="str">
        <f>HYPERLINK("https://twitter.com/sergio_fajardo/status/1246941245177503751","1246941245177503751")</f>
        <v>1246941245177503751</v>
      </c>
      <c r="F468" s="7" t="s">
        <v>17</v>
      </c>
      <c r="G468" s="7">
        <v>1524930</v>
      </c>
      <c r="H468" s="7">
        <v>365</v>
      </c>
      <c r="I468" s="7">
        <v>103</v>
      </c>
      <c r="J468" s="7">
        <v>0</v>
      </c>
      <c r="K468" s="7" t="s">
        <v>18</v>
      </c>
      <c r="L468" s="8">
        <v>39891.213356481479</v>
      </c>
      <c r="M468" s="9" t="s">
        <v>19</v>
      </c>
      <c r="N468" s="9" t="s">
        <v>22</v>
      </c>
      <c r="O468" s="6" t="str">
        <f>HYPERLINK("https://pbs.twimg.com/profile_images/988971255679324162/jrqiIYf__normal.jpg","View")</f>
        <v>View</v>
      </c>
      <c r="P468" s="7"/>
    </row>
    <row r="469" spans="1:16">
      <c r="A469" s="3">
        <v>43927.419502314813</v>
      </c>
      <c r="B469" s="4" t="str">
        <f>HYPERLINK("https://twitter.com/sergio_fajardo","@sergio_fajardo")</f>
        <v>@sergio_fajardo</v>
      </c>
      <c r="C469" s="5" t="s">
        <v>16</v>
      </c>
      <c r="D469" s="5" t="s">
        <v>491</v>
      </c>
      <c r="E469" s="6" t="str">
        <f>HYPERLINK("https://twitter.com/sergio_fajardo/status/1247019723021320192","1247019723021320192")</f>
        <v>1247019723021320192</v>
      </c>
      <c r="F469" s="7" t="s">
        <v>17</v>
      </c>
      <c r="G469" s="7">
        <v>1525121</v>
      </c>
      <c r="H469" s="7">
        <v>365</v>
      </c>
      <c r="I469" s="7">
        <v>11</v>
      </c>
      <c r="J469" s="7">
        <v>0</v>
      </c>
      <c r="K469" s="7" t="s">
        <v>18</v>
      </c>
      <c r="L469" s="8">
        <v>39891.213356481479</v>
      </c>
      <c r="M469" s="9" t="s">
        <v>19</v>
      </c>
      <c r="N469" s="9" t="s">
        <v>22</v>
      </c>
      <c r="O469" s="6" t="str">
        <f>HYPERLINK("https://pbs.twimg.com/profile_images/988971255679324162/jrqiIYf__normal.jpg","View")</f>
        <v>View</v>
      </c>
      <c r="P469" s="7"/>
    </row>
    <row r="470" spans="1:16">
      <c r="A470" s="3">
        <v>43927.848495370374</v>
      </c>
      <c r="B470" s="4" t="str">
        <f>HYPERLINK("https://twitter.com/sergio_fajardo","@sergio_fajardo")</f>
        <v>@sergio_fajardo</v>
      </c>
      <c r="C470" s="5" t="s">
        <v>16</v>
      </c>
      <c r="D470" s="5" t="s">
        <v>492</v>
      </c>
      <c r="E470" s="6" t="str">
        <f>HYPERLINK("https://twitter.com/sergio_fajardo/status/1247175187386245121","1247175187386245121")</f>
        <v>1247175187386245121</v>
      </c>
      <c r="F470" s="7" t="s">
        <v>17</v>
      </c>
      <c r="G470" s="7">
        <v>1525345</v>
      </c>
      <c r="H470" s="7">
        <v>365</v>
      </c>
      <c r="I470" s="7">
        <v>34</v>
      </c>
      <c r="J470" s="7">
        <v>0</v>
      </c>
      <c r="K470" s="7" t="s">
        <v>18</v>
      </c>
      <c r="L470" s="8">
        <v>39891.213356481479</v>
      </c>
      <c r="M470" s="9" t="s">
        <v>19</v>
      </c>
      <c r="N470" s="9" t="s">
        <v>22</v>
      </c>
      <c r="O470" s="6" t="str">
        <f>HYPERLINK("https://pbs.twimg.com/profile_images/988971255679324162/jrqiIYf__normal.jpg","View")</f>
        <v>View</v>
      </c>
      <c r="P470" s="7"/>
    </row>
    <row r="471" spans="1:16">
      <c r="A471" s="3">
        <v>43927.898136574076</v>
      </c>
      <c r="B471" s="4" t="str">
        <f>HYPERLINK("https://twitter.com/sergio_fajardo","@sergio_fajardo")</f>
        <v>@sergio_fajardo</v>
      </c>
      <c r="C471" s="5" t="s">
        <v>16</v>
      </c>
      <c r="D471" s="5" t="s">
        <v>493</v>
      </c>
      <c r="E471" s="6" t="str">
        <f>HYPERLINK("https://twitter.com/sergio_fajardo/status/1247193176932311042","1247193176932311042")</f>
        <v>1247193176932311042</v>
      </c>
      <c r="F471" s="7" t="s">
        <v>17</v>
      </c>
      <c r="G471" s="7">
        <v>1525415</v>
      </c>
      <c r="H471" s="7">
        <v>365</v>
      </c>
      <c r="I471" s="7">
        <v>132</v>
      </c>
      <c r="J471" s="7">
        <v>0</v>
      </c>
      <c r="K471" s="7" t="s">
        <v>18</v>
      </c>
      <c r="L471" s="8">
        <v>39891.213356481479</v>
      </c>
      <c r="M471" s="9" t="s">
        <v>19</v>
      </c>
      <c r="N471" s="9" t="s">
        <v>22</v>
      </c>
      <c r="O471" s="6" t="str">
        <f>HYPERLINK("https://pbs.twimg.com/profile_images/988971255679324162/jrqiIYf__normal.jpg","View")</f>
        <v>View</v>
      </c>
      <c r="P471" s="7"/>
    </row>
    <row r="472" spans="1:16">
      <c r="A472" s="3">
        <v>43927.905555555553</v>
      </c>
      <c r="B472" s="4" t="str">
        <f>HYPERLINK("https://twitter.com/sergio_fajardo","@sergio_fajardo")</f>
        <v>@sergio_fajardo</v>
      </c>
      <c r="C472" s="5" t="s">
        <v>16</v>
      </c>
      <c r="D472" s="5" t="s">
        <v>494</v>
      </c>
      <c r="E472" s="6" t="str">
        <f>HYPERLINK("https://twitter.com/sergio_fajardo/status/1247195862595448832","1247195862595448832")</f>
        <v>1247195862595448832</v>
      </c>
      <c r="F472" s="7" t="s">
        <v>17</v>
      </c>
      <c r="G472" s="7">
        <v>1525415</v>
      </c>
      <c r="H472" s="7">
        <v>365</v>
      </c>
      <c r="I472" s="7">
        <v>640</v>
      </c>
      <c r="J472" s="7">
        <v>0</v>
      </c>
      <c r="K472" s="7" t="s">
        <v>18</v>
      </c>
      <c r="L472" s="8">
        <v>39891.213356481479</v>
      </c>
      <c r="M472" s="9" t="s">
        <v>19</v>
      </c>
      <c r="N472" s="9" t="s">
        <v>22</v>
      </c>
      <c r="O472" s="6" t="str">
        <f>HYPERLINK("https://pbs.twimg.com/profile_images/988971255679324162/jrqiIYf__normal.jpg","View")</f>
        <v>View</v>
      </c>
      <c r="P472" s="7"/>
    </row>
    <row r="473" spans="1:16">
      <c r="A473" s="3">
        <v>43928.057893518519</v>
      </c>
      <c r="B473" s="4" t="str">
        <f>HYPERLINK("https://twitter.com/sergio_fajardo","@sergio_fajardo")</f>
        <v>@sergio_fajardo</v>
      </c>
      <c r="C473" s="5" t="s">
        <v>16</v>
      </c>
      <c r="D473" s="5" t="s">
        <v>495</v>
      </c>
      <c r="E473" s="6" t="str">
        <f>HYPERLINK("https://twitter.com/sergio_fajardo/status/1247251071476662273","1247251071476662273")</f>
        <v>1247251071476662273</v>
      </c>
      <c r="F473" s="7" t="s">
        <v>17</v>
      </c>
      <c r="G473" s="7">
        <v>1525571</v>
      </c>
      <c r="H473" s="7">
        <v>365</v>
      </c>
      <c r="I473" s="7">
        <v>35</v>
      </c>
      <c r="J473" s="7">
        <v>0</v>
      </c>
      <c r="K473" s="7" t="s">
        <v>18</v>
      </c>
      <c r="L473" s="8">
        <v>39891.213356481479</v>
      </c>
      <c r="M473" s="9" t="s">
        <v>19</v>
      </c>
      <c r="N473" s="9" t="s">
        <v>22</v>
      </c>
      <c r="O473" s="6" t="str">
        <f>HYPERLINK("https://pbs.twimg.com/profile_images/988971255679324162/jrqiIYf__normal.jpg","View")</f>
        <v>View</v>
      </c>
      <c r="P473" s="7"/>
    </row>
    <row r="474" spans="1:16">
      <c r="A474" s="3">
        <v>43928.074953703705</v>
      </c>
      <c r="B474" s="4" t="str">
        <f>HYPERLINK("https://twitter.com/sergio_fajardo","@sergio_fajardo")</f>
        <v>@sergio_fajardo</v>
      </c>
      <c r="C474" s="5" t="s">
        <v>16</v>
      </c>
      <c r="D474" s="5" t="s">
        <v>496</v>
      </c>
      <c r="E474" s="6" t="str">
        <f>HYPERLINK("https://twitter.com/sergio_fajardo/status/1247257251837931520","1247257251837931520")</f>
        <v>1247257251837931520</v>
      </c>
      <c r="F474" s="7" t="s">
        <v>17</v>
      </c>
      <c r="G474" s="7">
        <v>1525580</v>
      </c>
      <c r="H474" s="7">
        <v>365</v>
      </c>
      <c r="I474" s="7">
        <v>8</v>
      </c>
      <c r="J474" s="7">
        <v>51</v>
      </c>
      <c r="K474" s="7" t="s">
        <v>18</v>
      </c>
      <c r="L474" s="8">
        <v>39891.213356481479</v>
      </c>
      <c r="M474" s="9" t="s">
        <v>19</v>
      </c>
      <c r="N474" s="9" t="s">
        <v>22</v>
      </c>
      <c r="O474" s="6" t="str">
        <f>HYPERLINK("https://pbs.twimg.com/profile_images/988971255679324162/jrqiIYf__normal.jpg","View")</f>
        <v>View</v>
      </c>
      <c r="P474" s="7"/>
    </row>
    <row r="475" spans="1:16">
      <c r="A475" s="3">
        <v>43928.076192129629</v>
      </c>
      <c r="B475" s="4" t="str">
        <f>HYPERLINK("https://twitter.com/sergio_fajardo","@sergio_fajardo")</f>
        <v>@sergio_fajardo</v>
      </c>
      <c r="C475" s="5" t="s">
        <v>16</v>
      </c>
      <c r="D475" s="5" t="s">
        <v>497</v>
      </c>
      <c r="E475" s="6" t="str">
        <f>HYPERLINK("https://twitter.com/sergio_fajardo/status/1247257700561453057","1247257700561453057")</f>
        <v>1247257700561453057</v>
      </c>
      <c r="F475" s="7" t="s">
        <v>17</v>
      </c>
      <c r="G475" s="7">
        <v>1525580</v>
      </c>
      <c r="H475" s="7">
        <v>365</v>
      </c>
      <c r="I475" s="7">
        <v>206</v>
      </c>
      <c r="J475" s="7">
        <v>0</v>
      </c>
      <c r="K475" s="7" t="s">
        <v>18</v>
      </c>
      <c r="L475" s="8">
        <v>39891.213356481479</v>
      </c>
      <c r="M475" s="9" t="s">
        <v>19</v>
      </c>
      <c r="N475" s="9" t="s">
        <v>22</v>
      </c>
      <c r="O475" s="6" t="str">
        <f>HYPERLINK("https://pbs.twimg.com/profile_images/988971255679324162/jrqiIYf__normal.jpg","View")</f>
        <v>View</v>
      </c>
      <c r="P475" s="7"/>
    </row>
    <row r="476" spans="1:16">
      <c r="A476" s="3">
        <v>43928.208981481483</v>
      </c>
      <c r="B476" s="4" t="str">
        <f>HYPERLINK("https://twitter.com/sergio_fajardo","@sergio_fajardo")</f>
        <v>@sergio_fajardo</v>
      </c>
      <c r="C476" s="5" t="s">
        <v>16</v>
      </c>
      <c r="D476" s="5" t="s">
        <v>498</v>
      </c>
      <c r="E476" s="6" t="str">
        <f>HYPERLINK("https://twitter.com/sergio_fajardo/status/1247305822427848706","1247305822427848706")</f>
        <v>1247305822427848706</v>
      </c>
      <c r="F476" s="7" t="s">
        <v>17</v>
      </c>
      <c r="G476" s="7">
        <v>1525727</v>
      </c>
      <c r="H476" s="7">
        <v>366</v>
      </c>
      <c r="I476" s="7">
        <v>155</v>
      </c>
      <c r="J476" s="7">
        <v>0</v>
      </c>
      <c r="K476" s="7" t="s">
        <v>18</v>
      </c>
      <c r="L476" s="8">
        <v>39891.213356481479</v>
      </c>
      <c r="M476" s="9" t="s">
        <v>19</v>
      </c>
      <c r="N476" s="9" t="s">
        <v>22</v>
      </c>
      <c r="O476" s="6" t="str">
        <f>HYPERLINK("https://pbs.twimg.com/profile_images/988971255679324162/jrqiIYf__normal.jpg","View")</f>
        <v>View</v>
      </c>
      <c r="P476" s="7"/>
    </row>
    <row r="477" spans="1:16">
      <c r="A477" s="3">
        <v>43928.283796296295</v>
      </c>
      <c r="B477" s="4" t="str">
        <f>HYPERLINK("https://twitter.com/sergio_fajardo","@sergio_fajardo")</f>
        <v>@sergio_fajardo</v>
      </c>
      <c r="C477" s="5" t="s">
        <v>16</v>
      </c>
      <c r="D477" s="5" t="s">
        <v>499</v>
      </c>
      <c r="E477" s="6" t="str">
        <f>HYPERLINK("https://twitter.com/sergio_fajardo/status/1247332933624639488","1247332933624639488")</f>
        <v>1247332933624639488</v>
      </c>
      <c r="F477" s="7" t="s">
        <v>20</v>
      </c>
      <c r="G477" s="7">
        <v>1525999</v>
      </c>
      <c r="H477" s="7">
        <v>366</v>
      </c>
      <c r="I477" s="7">
        <v>63</v>
      </c>
      <c r="J477" s="7">
        <v>332</v>
      </c>
      <c r="K477" s="7" t="s">
        <v>18</v>
      </c>
      <c r="L477" s="8">
        <v>39891.213356481479</v>
      </c>
      <c r="M477" s="9" t="s">
        <v>19</v>
      </c>
      <c r="N477" s="9" t="s">
        <v>22</v>
      </c>
      <c r="O477" s="6" t="str">
        <f>HYPERLINK("https://pbs.twimg.com/profile_images/988971255679324162/jrqiIYf__normal.jpg","View")</f>
        <v>View</v>
      </c>
      <c r="P477" s="7"/>
    </row>
    <row r="478" spans="1:16">
      <c r="A478" s="3">
        <v>43928.788715277777</v>
      </c>
      <c r="B478" s="4" t="str">
        <f>HYPERLINK("https://twitter.com/sergio_fajardo","@sergio_fajardo")</f>
        <v>@sergio_fajardo</v>
      </c>
      <c r="C478" s="5" t="s">
        <v>16</v>
      </c>
      <c r="D478" s="5" t="s">
        <v>500</v>
      </c>
      <c r="E478" s="6" t="str">
        <f>HYPERLINK("https://twitter.com/sergio_fajardo/status/1247515912334274560","1247515912334274560")</f>
        <v>1247515912334274560</v>
      </c>
      <c r="F478" s="7" t="s">
        <v>20</v>
      </c>
      <c r="G478" s="7">
        <v>1526300</v>
      </c>
      <c r="H478" s="7">
        <v>366</v>
      </c>
      <c r="I478" s="7">
        <v>8</v>
      </c>
      <c r="J478" s="7">
        <v>22</v>
      </c>
      <c r="K478" s="7" t="s">
        <v>18</v>
      </c>
      <c r="L478" s="8">
        <v>39891.213356481479</v>
      </c>
      <c r="M478" s="9" t="s">
        <v>19</v>
      </c>
      <c r="N478" s="9" t="s">
        <v>22</v>
      </c>
      <c r="O478" s="6" t="str">
        <f>HYPERLINK("https://pbs.twimg.com/profile_images/988971255679324162/jrqiIYf__normal.jpg","View")</f>
        <v>View</v>
      </c>
      <c r="P478" s="7"/>
    </row>
    <row r="479" spans="1:16">
      <c r="A479" s="3">
        <v>43928.801111111112</v>
      </c>
      <c r="B479" s="4" t="str">
        <f>HYPERLINK("https://twitter.com/sergio_fajardo","@sergio_fajardo")</f>
        <v>@sergio_fajardo</v>
      </c>
      <c r="C479" s="5" t="s">
        <v>16</v>
      </c>
      <c r="D479" s="5" t="s">
        <v>501</v>
      </c>
      <c r="E479" s="6" t="str">
        <f>HYPERLINK("https://twitter.com/sergio_fajardo/status/1247520404429627398","1247520404429627398")</f>
        <v>1247520404429627398</v>
      </c>
      <c r="F479" s="7" t="s">
        <v>20</v>
      </c>
      <c r="G479" s="7">
        <v>1526305</v>
      </c>
      <c r="H479" s="7">
        <v>366</v>
      </c>
      <c r="I479" s="7">
        <v>22</v>
      </c>
      <c r="J479" s="7">
        <v>69</v>
      </c>
      <c r="K479" s="7" t="s">
        <v>18</v>
      </c>
      <c r="L479" s="8">
        <v>39891.213356481479</v>
      </c>
      <c r="M479" s="9" t="s">
        <v>19</v>
      </c>
      <c r="N479" s="9" t="s">
        <v>22</v>
      </c>
      <c r="O479" s="6" t="str">
        <f>HYPERLINK("https://pbs.twimg.com/profile_images/988971255679324162/jrqiIYf__normal.jpg","View")</f>
        <v>View</v>
      </c>
      <c r="P479" s="7"/>
    </row>
    <row r="480" spans="1:16">
      <c r="A480" s="3">
        <v>43929.124386574069</v>
      </c>
      <c r="B480" s="4" t="str">
        <f>HYPERLINK("https://twitter.com/sergio_fajardo","@sergio_fajardo")</f>
        <v>@sergio_fajardo</v>
      </c>
      <c r="C480" s="5" t="s">
        <v>16</v>
      </c>
      <c r="D480" s="5" t="s">
        <v>502</v>
      </c>
      <c r="E480" s="6" t="str">
        <f>HYPERLINK("https://twitter.com/sergio_fajardo/status/1247637555492851719","1247637555492851719")</f>
        <v>1247637555492851719</v>
      </c>
      <c r="F480" s="7" t="s">
        <v>17</v>
      </c>
      <c r="G480" s="7">
        <v>1526676</v>
      </c>
      <c r="H480" s="7">
        <v>366</v>
      </c>
      <c r="I480" s="7">
        <v>6</v>
      </c>
      <c r="J480" s="7">
        <v>0</v>
      </c>
      <c r="K480" s="7" t="s">
        <v>18</v>
      </c>
      <c r="L480" s="8">
        <v>39891.213356481479</v>
      </c>
      <c r="M480" s="9" t="s">
        <v>19</v>
      </c>
      <c r="N480" s="9" t="s">
        <v>22</v>
      </c>
      <c r="O480" s="6" t="str">
        <f>HYPERLINK("https://pbs.twimg.com/profile_images/988971255679324162/jrqiIYf__normal.jpg","View")</f>
        <v>View</v>
      </c>
      <c r="P480" s="7"/>
    </row>
    <row r="481" spans="1:16">
      <c r="A481" s="3">
        <v>43929.223854166667</v>
      </c>
      <c r="B481" s="4" t="str">
        <f>HYPERLINK("https://twitter.com/sergio_fajardo","@sergio_fajardo")</f>
        <v>@sergio_fajardo</v>
      </c>
      <c r="C481" s="5" t="s">
        <v>16</v>
      </c>
      <c r="D481" s="5" t="s">
        <v>503</v>
      </c>
      <c r="E481" s="6" t="str">
        <f>HYPERLINK("https://twitter.com/sergio_fajardo/status/1247673600376782848","1247673600376782848")</f>
        <v>1247673600376782848</v>
      </c>
      <c r="F481" s="7" t="s">
        <v>20</v>
      </c>
      <c r="G481" s="7">
        <v>1526759</v>
      </c>
      <c r="H481" s="7">
        <v>366</v>
      </c>
      <c r="I481" s="7">
        <v>5</v>
      </c>
      <c r="J481" s="7">
        <v>13</v>
      </c>
      <c r="K481" s="7" t="s">
        <v>18</v>
      </c>
      <c r="L481" s="8">
        <v>39891.213356481479</v>
      </c>
      <c r="M481" s="9" t="s">
        <v>19</v>
      </c>
      <c r="N481" s="9" t="s">
        <v>22</v>
      </c>
      <c r="O481" s="6" t="str">
        <f>HYPERLINK("https://pbs.twimg.com/profile_images/988971255679324162/jrqiIYf__normal.jpg","View")</f>
        <v>View</v>
      </c>
      <c r="P481" s="7"/>
    </row>
    <row r="482" spans="1:16">
      <c r="A482" s="3">
        <v>43929.265520833331</v>
      </c>
      <c r="B482" s="4" t="str">
        <f>HYPERLINK("https://twitter.com/sergio_fajardo","@sergio_fajardo")</f>
        <v>@sergio_fajardo</v>
      </c>
      <c r="C482" s="5" t="s">
        <v>16</v>
      </c>
      <c r="D482" s="5" t="s">
        <v>504</v>
      </c>
      <c r="E482" s="6" t="str">
        <f>HYPERLINK("https://twitter.com/sergio_fajardo/status/1247688698097020928","1247688698097020928")</f>
        <v>1247688698097020928</v>
      </c>
      <c r="F482" s="7" t="s">
        <v>17</v>
      </c>
      <c r="G482" s="7">
        <v>1526786</v>
      </c>
      <c r="H482" s="7">
        <v>366</v>
      </c>
      <c r="I482" s="7">
        <v>4</v>
      </c>
      <c r="J482" s="7">
        <v>33</v>
      </c>
      <c r="K482" s="7" t="s">
        <v>18</v>
      </c>
      <c r="L482" s="8">
        <v>39891.213356481479</v>
      </c>
      <c r="M482" s="9" t="s">
        <v>19</v>
      </c>
      <c r="N482" s="9" t="s">
        <v>22</v>
      </c>
      <c r="O482" s="6" t="str">
        <f>HYPERLINK("https://pbs.twimg.com/profile_images/988971255679324162/jrqiIYf__normal.jpg","View")</f>
        <v>View</v>
      </c>
      <c r="P482" s="7"/>
    </row>
    <row r="483" spans="1:16">
      <c r="A483" s="3">
        <v>43929.297210648147</v>
      </c>
      <c r="B483" s="4" t="str">
        <f>HYPERLINK("https://twitter.com/sergio_fajardo","@sergio_fajardo")</f>
        <v>@sergio_fajardo</v>
      </c>
      <c r="C483" s="5" t="s">
        <v>16</v>
      </c>
      <c r="D483" s="5" t="s">
        <v>505</v>
      </c>
      <c r="E483" s="6" t="str">
        <f>HYPERLINK("https://twitter.com/sergio_fajardo/status/1247700183355396096","1247700183355396096")</f>
        <v>1247700183355396096</v>
      </c>
      <c r="F483" s="7" t="s">
        <v>17</v>
      </c>
      <c r="G483" s="7">
        <v>1526821</v>
      </c>
      <c r="H483" s="7">
        <v>366</v>
      </c>
      <c r="I483" s="7">
        <v>4</v>
      </c>
      <c r="J483" s="7">
        <v>14</v>
      </c>
      <c r="K483" s="7" t="s">
        <v>18</v>
      </c>
      <c r="L483" s="8">
        <v>39891.213356481479</v>
      </c>
      <c r="M483" s="9" t="s">
        <v>19</v>
      </c>
      <c r="N483" s="9" t="s">
        <v>22</v>
      </c>
      <c r="O483" s="6" t="str">
        <f>HYPERLINK("https://pbs.twimg.com/profile_images/988971255679324162/jrqiIYf__normal.jpg","View")</f>
        <v>View</v>
      </c>
      <c r="P483" s="7"/>
    </row>
    <row r="484" spans="1:16">
      <c r="A484" s="3">
        <v>43929.310833333337</v>
      </c>
      <c r="B484" s="4" t="str">
        <f>HYPERLINK("https://twitter.com/sergio_fajardo","@sergio_fajardo")</f>
        <v>@sergio_fajardo</v>
      </c>
      <c r="C484" s="5" t="s">
        <v>16</v>
      </c>
      <c r="D484" s="5" t="s">
        <v>506</v>
      </c>
      <c r="E484" s="6" t="str">
        <f>HYPERLINK("https://twitter.com/sergio_fajardo/status/1247705118448988160","1247705118448988160")</f>
        <v>1247705118448988160</v>
      </c>
      <c r="F484" s="7" t="s">
        <v>17</v>
      </c>
      <c r="G484" s="7">
        <v>1526821</v>
      </c>
      <c r="H484" s="7">
        <v>366</v>
      </c>
      <c r="I484" s="7">
        <v>6</v>
      </c>
      <c r="J484" s="7">
        <v>0</v>
      </c>
      <c r="K484" s="7" t="s">
        <v>18</v>
      </c>
      <c r="L484" s="8">
        <v>39891.213356481479</v>
      </c>
      <c r="M484" s="9" t="s">
        <v>19</v>
      </c>
      <c r="N484" s="9" t="s">
        <v>22</v>
      </c>
      <c r="O484" s="6" t="str">
        <f>HYPERLINK("https://pbs.twimg.com/profile_images/988971255679324162/jrqiIYf__normal.jpg","View")</f>
        <v>View</v>
      </c>
      <c r="P484" s="7"/>
    </row>
    <row r="485" spans="1:16">
      <c r="A485" s="3">
        <v>43929.323900462958</v>
      </c>
      <c r="B485" s="4" t="str">
        <f>HYPERLINK("https://twitter.com/sergio_fajardo","@sergio_fajardo")</f>
        <v>@sergio_fajardo</v>
      </c>
      <c r="C485" s="5" t="s">
        <v>16</v>
      </c>
      <c r="D485" s="5" t="s">
        <v>507</v>
      </c>
      <c r="E485" s="6" t="str">
        <f>HYPERLINK("https://twitter.com/sergio_fajardo/status/1247709853541416961","1247709853541416961")</f>
        <v>1247709853541416961</v>
      </c>
      <c r="F485" s="7" t="s">
        <v>17</v>
      </c>
      <c r="G485" s="7">
        <v>1526838</v>
      </c>
      <c r="H485" s="7">
        <v>366</v>
      </c>
      <c r="I485" s="7">
        <v>10</v>
      </c>
      <c r="J485" s="7">
        <v>0</v>
      </c>
      <c r="K485" s="7" t="s">
        <v>18</v>
      </c>
      <c r="L485" s="8">
        <v>39891.213356481479</v>
      </c>
      <c r="M485" s="9" t="s">
        <v>19</v>
      </c>
      <c r="N485" s="9" t="s">
        <v>22</v>
      </c>
      <c r="O485" s="6" t="str">
        <f>HYPERLINK("https://pbs.twimg.com/profile_images/988971255679324162/jrqiIYf__normal.jpg","View")</f>
        <v>View</v>
      </c>
      <c r="P485" s="7"/>
    </row>
    <row r="486" spans="1:16">
      <c r="A486" s="3">
        <v>43929.324074074073</v>
      </c>
      <c r="B486" s="4" t="str">
        <f>HYPERLINK("https://twitter.com/sergio_fajardo","@sergio_fajardo")</f>
        <v>@sergio_fajardo</v>
      </c>
      <c r="C486" s="5" t="s">
        <v>16</v>
      </c>
      <c r="D486" s="5" t="s">
        <v>508</v>
      </c>
      <c r="E486" s="6" t="str">
        <f>HYPERLINK("https://twitter.com/sergio_fajardo/status/1247709918326644737","1247709918326644737")</f>
        <v>1247709918326644737</v>
      </c>
      <c r="F486" s="7" t="s">
        <v>17</v>
      </c>
      <c r="G486" s="7">
        <v>1526838</v>
      </c>
      <c r="H486" s="7">
        <v>366</v>
      </c>
      <c r="I486" s="7">
        <v>201</v>
      </c>
      <c r="J486" s="7">
        <v>0</v>
      </c>
      <c r="K486" s="7" t="s">
        <v>18</v>
      </c>
      <c r="L486" s="8">
        <v>39891.213356481479</v>
      </c>
      <c r="M486" s="9" t="s">
        <v>19</v>
      </c>
      <c r="N486" s="9" t="s">
        <v>22</v>
      </c>
      <c r="O486" s="6" t="str">
        <f>HYPERLINK("https://pbs.twimg.com/profile_images/988971255679324162/jrqiIYf__normal.jpg","View")</f>
        <v>View</v>
      </c>
      <c r="P486" s="7"/>
    </row>
    <row r="487" spans="1:16">
      <c r="A487" s="3">
        <v>43929.329965277779</v>
      </c>
      <c r="B487" s="4" t="str">
        <f>HYPERLINK("https://twitter.com/sergio_fajardo","@sergio_fajardo")</f>
        <v>@sergio_fajardo</v>
      </c>
      <c r="C487" s="5" t="s">
        <v>16</v>
      </c>
      <c r="D487" s="5" t="s">
        <v>509</v>
      </c>
      <c r="E487" s="6" t="str">
        <f>HYPERLINK("https://twitter.com/sergio_fajardo/status/1247712053181272066","1247712053181272066")</f>
        <v>1247712053181272066</v>
      </c>
      <c r="F487" s="7" t="s">
        <v>17</v>
      </c>
      <c r="G487" s="7">
        <v>1526838</v>
      </c>
      <c r="H487" s="7">
        <v>366</v>
      </c>
      <c r="I487" s="7">
        <v>3370</v>
      </c>
      <c r="J487" s="7">
        <v>0</v>
      </c>
      <c r="K487" s="7" t="s">
        <v>18</v>
      </c>
      <c r="L487" s="8">
        <v>39891.213356481479</v>
      </c>
      <c r="M487" s="9" t="s">
        <v>19</v>
      </c>
      <c r="N487" s="9" t="s">
        <v>22</v>
      </c>
      <c r="O487" s="6" t="str">
        <f>HYPERLINK("https://pbs.twimg.com/profile_images/988971255679324162/jrqiIYf__normal.jpg","View")</f>
        <v>View</v>
      </c>
      <c r="P487" s="7"/>
    </row>
    <row r="488" spans="1:16">
      <c r="A488" s="3">
        <v>43929.330196759256</v>
      </c>
      <c r="B488" s="4" t="str">
        <f>HYPERLINK("https://twitter.com/sergio_fajardo","@sergio_fajardo")</f>
        <v>@sergio_fajardo</v>
      </c>
      <c r="C488" s="5" t="s">
        <v>16</v>
      </c>
      <c r="D488" s="5" t="s">
        <v>510</v>
      </c>
      <c r="E488" s="6" t="str">
        <f>HYPERLINK("https://twitter.com/sergio_fajardo/status/1247712136035524608","1247712136035524608")</f>
        <v>1247712136035524608</v>
      </c>
      <c r="F488" s="7" t="s">
        <v>17</v>
      </c>
      <c r="G488" s="7">
        <v>1526838</v>
      </c>
      <c r="H488" s="7">
        <v>366</v>
      </c>
      <c r="I488" s="7">
        <v>1266</v>
      </c>
      <c r="J488" s="7">
        <v>0</v>
      </c>
      <c r="K488" s="7" t="s">
        <v>18</v>
      </c>
      <c r="L488" s="8">
        <v>39891.213356481479</v>
      </c>
      <c r="M488" s="9" t="s">
        <v>19</v>
      </c>
      <c r="N488" s="9" t="s">
        <v>22</v>
      </c>
      <c r="O488" s="6" t="str">
        <f>HYPERLINK("https://pbs.twimg.com/profile_images/988971255679324162/jrqiIYf__normal.jpg","View")</f>
        <v>View</v>
      </c>
      <c r="P488" s="7"/>
    </row>
    <row r="489" spans="1:16">
      <c r="A489" s="3">
        <v>43929.33048611111</v>
      </c>
      <c r="B489" s="4" t="str">
        <f>HYPERLINK("https://twitter.com/sergio_fajardo","@sergio_fajardo")</f>
        <v>@sergio_fajardo</v>
      </c>
      <c r="C489" s="5" t="s">
        <v>16</v>
      </c>
      <c r="D489" s="5" t="s">
        <v>511</v>
      </c>
      <c r="E489" s="6" t="str">
        <f>HYPERLINK("https://twitter.com/sergio_fajardo/status/1247712243233554458","1247712243233554458")</f>
        <v>1247712243233554458</v>
      </c>
      <c r="F489" s="7" t="s">
        <v>17</v>
      </c>
      <c r="G489" s="7">
        <v>1526838</v>
      </c>
      <c r="H489" s="7">
        <v>366</v>
      </c>
      <c r="I489" s="7">
        <v>39</v>
      </c>
      <c r="J489" s="7">
        <v>0</v>
      </c>
      <c r="K489" s="7" t="s">
        <v>18</v>
      </c>
      <c r="L489" s="8">
        <v>39891.213356481479</v>
      </c>
      <c r="M489" s="9" t="s">
        <v>19</v>
      </c>
      <c r="N489" s="9" t="s">
        <v>22</v>
      </c>
      <c r="O489" s="6" t="str">
        <f>HYPERLINK("https://pbs.twimg.com/profile_images/988971255679324162/jrqiIYf__normal.jpg","View")</f>
        <v>View</v>
      </c>
      <c r="P489" s="7"/>
    </row>
    <row r="490" spans="1:16">
      <c r="A490" s="3">
        <v>43929.338599537034</v>
      </c>
      <c r="B490" s="4" t="str">
        <f>HYPERLINK("https://twitter.com/sergio_fajardo","@sergio_fajardo")</f>
        <v>@sergio_fajardo</v>
      </c>
      <c r="C490" s="5" t="s">
        <v>16</v>
      </c>
      <c r="D490" s="5" t="s">
        <v>512</v>
      </c>
      <c r="E490" s="6" t="str">
        <f>HYPERLINK("https://twitter.com/sergio_fajardo/status/1247715180605255682","1247715180605255682")</f>
        <v>1247715180605255682</v>
      </c>
      <c r="F490" s="7" t="s">
        <v>17</v>
      </c>
      <c r="G490" s="7">
        <v>1526851</v>
      </c>
      <c r="H490" s="7">
        <v>366</v>
      </c>
      <c r="I490" s="7">
        <v>14</v>
      </c>
      <c r="J490" s="7">
        <v>0</v>
      </c>
      <c r="K490" s="7" t="s">
        <v>18</v>
      </c>
      <c r="L490" s="8">
        <v>39891.213356481479</v>
      </c>
      <c r="M490" s="9" t="s">
        <v>19</v>
      </c>
      <c r="N490" s="9" t="s">
        <v>22</v>
      </c>
      <c r="O490" s="6" t="str">
        <f>HYPERLINK("https://pbs.twimg.com/profile_images/988971255679324162/jrqiIYf__normal.jpg","View")</f>
        <v>View</v>
      </c>
      <c r="P490" s="7"/>
    </row>
    <row r="491" spans="1:16">
      <c r="A491" s="3">
        <v>43929.339988425927</v>
      </c>
      <c r="B491" s="4" t="str">
        <f>HYPERLINK("https://twitter.com/sergio_fajardo","@sergio_fajardo")</f>
        <v>@sergio_fajardo</v>
      </c>
      <c r="C491" s="5" t="s">
        <v>16</v>
      </c>
      <c r="D491" s="5" t="s">
        <v>513</v>
      </c>
      <c r="E491" s="6" t="str">
        <f>HYPERLINK("https://twitter.com/sergio_fajardo/status/1247715683347189762","1247715683347189762")</f>
        <v>1247715683347189762</v>
      </c>
      <c r="F491" s="7" t="s">
        <v>17</v>
      </c>
      <c r="G491" s="7">
        <v>1526851</v>
      </c>
      <c r="H491" s="7">
        <v>366</v>
      </c>
      <c r="I491" s="7">
        <v>10</v>
      </c>
      <c r="J491" s="7">
        <v>0</v>
      </c>
      <c r="K491" s="7" t="s">
        <v>18</v>
      </c>
      <c r="L491" s="8">
        <v>39891.213356481479</v>
      </c>
      <c r="M491" s="9" t="s">
        <v>19</v>
      </c>
      <c r="N491" s="9" t="s">
        <v>22</v>
      </c>
      <c r="O491" s="6" t="str">
        <f>HYPERLINK("https://pbs.twimg.com/profile_images/988971255679324162/jrqiIYf__normal.jpg","View")</f>
        <v>View</v>
      </c>
      <c r="P491" s="7"/>
    </row>
    <row r="492" spans="1:16">
      <c r="A492" s="3">
        <v>43930.04619212963</v>
      </c>
      <c r="B492" s="4" t="str">
        <f>HYPERLINK("https://twitter.com/sergio_fajardo","@sergio_fajardo")</f>
        <v>@sergio_fajardo</v>
      </c>
      <c r="C492" s="5" t="s">
        <v>16</v>
      </c>
      <c r="D492" s="5" t="s">
        <v>514</v>
      </c>
      <c r="E492" s="6" t="str">
        <f>HYPERLINK("https://twitter.com/sergio_fajardo/status/1247971603876642825","1247971603876642825")</f>
        <v>1247971603876642825</v>
      </c>
      <c r="F492" s="7" t="s">
        <v>17</v>
      </c>
      <c r="G492" s="7">
        <v>1527228</v>
      </c>
      <c r="H492" s="7">
        <v>366</v>
      </c>
      <c r="I492" s="7">
        <v>19</v>
      </c>
      <c r="J492" s="7">
        <v>0</v>
      </c>
      <c r="K492" s="7" t="s">
        <v>18</v>
      </c>
      <c r="L492" s="8">
        <v>39891.213356481479</v>
      </c>
      <c r="M492" s="9" t="s">
        <v>19</v>
      </c>
      <c r="N492" s="9" t="s">
        <v>22</v>
      </c>
      <c r="O492" s="6" t="str">
        <f>HYPERLINK("https://pbs.twimg.com/profile_images/988971255679324162/jrqiIYf__normal.jpg","View")</f>
        <v>View</v>
      </c>
      <c r="P492" s="7"/>
    </row>
    <row r="493" spans="1:16">
      <c r="A493" s="3">
        <v>43930.157916666663</v>
      </c>
      <c r="B493" s="4" t="str">
        <f>HYPERLINK("https://twitter.com/sergio_fajardo","@sergio_fajardo")</f>
        <v>@sergio_fajardo</v>
      </c>
      <c r="C493" s="5" t="s">
        <v>16</v>
      </c>
      <c r="D493" s="5" t="s">
        <v>515</v>
      </c>
      <c r="E493" s="6" t="str">
        <f>HYPERLINK("https://twitter.com/sergio_fajardo/status/1248012092197597185","1248012092197597185")</f>
        <v>1248012092197597185</v>
      </c>
      <c r="F493" s="7" t="s">
        <v>17</v>
      </c>
      <c r="G493" s="7">
        <v>1527315</v>
      </c>
      <c r="H493" s="7">
        <v>366</v>
      </c>
      <c r="I493" s="7">
        <v>144</v>
      </c>
      <c r="J493" s="7">
        <v>0</v>
      </c>
      <c r="K493" s="7" t="s">
        <v>18</v>
      </c>
      <c r="L493" s="8">
        <v>39891.213356481479</v>
      </c>
      <c r="M493" s="9" t="s">
        <v>19</v>
      </c>
      <c r="N493" s="9" t="s">
        <v>22</v>
      </c>
      <c r="O493" s="6" t="str">
        <f>HYPERLINK("https://pbs.twimg.com/profile_images/988971255679324162/jrqiIYf__normal.jpg","View")</f>
        <v>View</v>
      </c>
      <c r="P493" s="7"/>
    </row>
    <row r="494" spans="1:16">
      <c r="A494" s="3">
        <v>43930.401701388888</v>
      </c>
      <c r="B494" s="4" t="str">
        <f>HYPERLINK("https://twitter.com/sergio_fajardo","@sergio_fajardo")</f>
        <v>@sergio_fajardo</v>
      </c>
      <c r="C494" s="5" t="s">
        <v>16</v>
      </c>
      <c r="D494" s="5" t="s">
        <v>516</v>
      </c>
      <c r="E494" s="6" t="str">
        <f>HYPERLINK("https://twitter.com/sergio_fajardo/status/1248100438152491014","1248100438152491014")</f>
        <v>1248100438152491014</v>
      </c>
      <c r="F494" s="7" t="s">
        <v>17</v>
      </c>
      <c r="G494" s="7">
        <v>1527582</v>
      </c>
      <c r="H494" s="7">
        <v>366</v>
      </c>
      <c r="I494" s="7">
        <v>8</v>
      </c>
      <c r="J494" s="7">
        <v>0</v>
      </c>
      <c r="K494" s="7" t="s">
        <v>18</v>
      </c>
      <c r="L494" s="8">
        <v>39891.213356481479</v>
      </c>
      <c r="M494" s="9" t="s">
        <v>19</v>
      </c>
      <c r="N494" s="9" t="s">
        <v>22</v>
      </c>
      <c r="O494" s="6" t="str">
        <f>HYPERLINK("https://pbs.twimg.com/profile_images/988971255679324162/jrqiIYf__normal.jpg","View")</f>
        <v>View</v>
      </c>
      <c r="P494" s="7"/>
    </row>
    <row r="495" spans="1:16">
      <c r="A495" s="3">
        <v>43930.40247685185</v>
      </c>
      <c r="B495" s="4" t="str">
        <f>HYPERLINK("https://twitter.com/sergio_fajardo","@sergio_fajardo")</f>
        <v>@sergio_fajardo</v>
      </c>
      <c r="C495" s="5" t="s">
        <v>16</v>
      </c>
      <c r="D495" s="5" t="s">
        <v>517</v>
      </c>
      <c r="E495" s="6" t="str">
        <f>HYPERLINK("https://twitter.com/sergio_fajardo/status/1248100718873100291","1248100718873100291")</f>
        <v>1248100718873100291</v>
      </c>
      <c r="F495" s="7" t="s">
        <v>17</v>
      </c>
      <c r="G495" s="7">
        <v>1527582</v>
      </c>
      <c r="H495" s="7">
        <v>366</v>
      </c>
      <c r="I495" s="7">
        <v>41</v>
      </c>
      <c r="J495" s="7">
        <v>0</v>
      </c>
      <c r="K495" s="7" t="s">
        <v>18</v>
      </c>
      <c r="L495" s="8">
        <v>39891.213356481479</v>
      </c>
      <c r="M495" s="9" t="s">
        <v>19</v>
      </c>
      <c r="N495" s="9" t="s">
        <v>22</v>
      </c>
      <c r="O495" s="6" t="str">
        <f>HYPERLINK("https://pbs.twimg.com/profile_images/988971255679324162/jrqiIYf__normal.jpg","View")</f>
        <v>View</v>
      </c>
      <c r="P495" s="7"/>
    </row>
    <row r="496" spans="1:16">
      <c r="A496" s="3">
        <v>43930.687094907407</v>
      </c>
      <c r="B496" s="4" t="str">
        <f>HYPERLINK("https://twitter.com/sergio_fajardo","@sergio_fajardo")</f>
        <v>@sergio_fajardo</v>
      </c>
      <c r="C496" s="5" t="s">
        <v>16</v>
      </c>
      <c r="D496" s="5" t="s">
        <v>518</v>
      </c>
      <c r="E496" s="6" t="str">
        <f>HYPERLINK("https://twitter.com/sergio_fajardo/status/1248203861032144897","1248203861032144897")</f>
        <v>1248203861032144897</v>
      </c>
      <c r="F496" s="7" t="s">
        <v>17</v>
      </c>
      <c r="G496" s="7">
        <v>1527691</v>
      </c>
      <c r="H496" s="7">
        <v>366</v>
      </c>
      <c r="I496" s="7">
        <v>195</v>
      </c>
      <c r="J496" s="7">
        <v>0</v>
      </c>
      <c r="K496" s="7" t="s">
        <v>18</v>
      </c>
      <c r="L496" s="8">
        <v>39891.213356481479</v>
      </c>
      <c r="M496" s="9" t="s">
        <v>19</v>
      </c>
      <c r="N496" s="9" t="s">
        <v>22</v>
      </c>
      <c r="O496" s="6" t="str">
        <f>HYPERLINK("https://pbs.twimg.com/profile_images/988971255679324162/jrqiIYf__normal.jpg","View")</f>
        <v>View</v>
      </c>
      <c r="P496" s="7"/>
    </row>
    <row r="497" spans="1:16">
      <c r="A497" s="3">
        <v>43930.720532407402</v>
      </c>
      <c r="B497" s="4" t="str">
        <f>HYPERLINK("https://twitter.com/sergio_fajardo","@sergio_fajardo")</f>
        <v>@sergio_fajardo</v>
      </c>
      <c r="C497" s="5" t="s">
        <v>16</v>
      </c>
      <c r="D497" s="5" t="s">
        <v>519</v>
      </c>
      <c r="E497" s="6" t="str">
        <f>HYPERLINK("https://twitter.com/sergio_fajardo/status/1248215978820935680","1248215978820935680")</f>
        <v>1248215978820935680</v>
      </c>
      <c r="F497" s="7" t="s">
        <v>17</v>
      </c>
      <c r="G497" s="7">
        <v>1527708</v>
      </c>
      <c r="H497" s="7">
        <v>366</v>
      </c>
      <c r="I497" s="7">
        <v>11</v>
      </c>
      <c r="J497" s="7">
        <v>0</v>
      </c>
      <c r="K497" s="7" t="s">
        <v>18</v>
      </c>
      <c r="L497" s="8">
        <v>39891.213356481479</v>
      </c>
      <c r="M497" s="9" t="s">
        <v>19</v>
      </c>
      <c r="N497" s="9" t="s">
        <v>22</v>
      </c>
      <c r="O497" s="6" t="str">
        <f>HYPERLINK("https://pbs.twimg.com/profile_images/988971255679324162/jrqiIYf__normal.jpg","View")</f>
        <v>View</v>
      </c>
      <c r="P497" s="7"/>
    </row>
    <row r="498" spans="1:16">
      <c r="A498" s="3">
        <v>43931.166898148149</v>
      </c>
      <c r="B498" s="4" t="str">
        <f>HYPERLINK("https://twitter.com/sergio_fajardo","@sergio_fajardo")</f>
        <v>@sergio_fajardo</v>
      </c>
      <c r="C498" s="5" t="s">
        <v>16</v>
      </c>
      <c r="D498" s="5" t="s">
        <v>520</v>
      </c>
      <c r="E498" s="6" t="str">
        <f>HYPERLINK("https://twitter.com/sergio_fajardo/status/1248377733387710470","1248377733387710470")</f>
        <v>1248377733387710470</v>
      </c>
      <c r="F498" s="7" t="s">
        <v>17</v>
      </c>
      <c r="G498" s="7">
        <v>1528061</v>
      </c>
      <c r="H498" s="7">
        <v>366</v>
      </c>
      <c r="I498" s="7">
        <v>750</v>
      </c>
      <c r="J498" s="7">
        <v>0</v>
      </c>
      <c r="K498" s="7" t="s">
        <v>18</v>
      </c>
      <c r="L498" s="8">
        <v>39891.213356481479</v>
      </c>
      <c r="M498" s="9" t="s">
        <v>19</v>
      </c>
      <c r="N498" s="9" t="s">
        <v>22</v>
      </c>
      <c r="O498" s="6" t="str">
        <f>HYPERLINK("https://pbs.twimg.com/profile_images/988971255679324162/jrqiIYf__normal.jpg","View")</f>
        <v>View</v>
      </c>
      <c r="P498" s="7"/>
    </row>
    <row r="499" spans="1:16">
      <c r="A499" s="3">
        <v>43932.054756944446</v>
      </c>
      <c r="B499" s="4" t="str">
        <f>HYPERLINK("https://twitter.com/sergio_fajardo","@sergio_fajardo")</f>
        <v>@sergio_fajardo</v>
      </c>
      <c r="C499" s="5" t="s">
        <v>16</v>
      </c>
      <c r="D499" s="5" t="s">
        <v>521</v>
      </c>
      <c r="E499" s="6" t="str">
        <f>HYPERLINK("https://twitter.com/sergio_fajardo/status/1248699484525207554","1248699484525207554")</f>
        <v>1248699484525207554</v>
      </c>
      <c r="F499" s="7" t="s">
        <v>17</v>
      </c>
      <c r="G499" s="7">
        <v>1528563</v>
      </c>
      <c r="H499" s="7">
        <v>366</v>
      </c>
      <c r="I499" s="7">
        <v>102</v>
      </c>
      <c r="J499" s="7">
        <v>708</v>
      </c>
      <c r="K499" s="7" t="s">
        <v>18</v>
      </c>
      <c r="L499" s="8">
        <v>39891.213356481479</v>
      </c>
      <c r="M499" s="9" t="s">
        <v>19</v>
      </c>
      <c r="N499" s="9" t="s">
        <v>22</v>
      </c>
      <c r="O499" s="6" t="str">
        <f>HYPERLINK("https://pbs.twimg.com/profile_images/988971255679324162/jrqiIYf__normal.jpg","View")</f>
        <v>View</v>
      </c>
      <c r="P499" s="7"/>
    </row>
    <row r="500" spans="1:16">
      <c r="A500" s="3">
        <v>43932.055636574078</v>
      </c>
      <c r="B500" s="4" t="str">
        <f>HYPERLINK("https://twitter.com/sergio_fajardo","@sergio_fajardo")</f>
        <v>@sergio_fajardo</v>
      </c>
      <c r="C500" s="5" t="s">
        <v>16</v>
      </c>
      <c r="D500" s="5" t="s">
        <v>522</v>
      </c>
      <c r="E500" s="6" t="str">
        <f>HYPERLINK("https://twitter.com/sergio_fajardo/status/1248699802646388736","1248699802646388736")</f>
        <v>1248699802646388736</v>
      </c>
      <c r="F500" s="7" t="s">
        <v>17</v>
      </c>
      <c r="G500" s="7">
        <v>1528563</v>
      </c>
      <c r="H500" s="7">
        <v>366</v>
      </c>
      <c r="I500" s="7">
        <v>3</v>
      </c>
      <c r="J500" s="7">
        <v>0</v>
      </c>
      <c r="K500" s="7" t="s">
        <v>18</v>
      </c>
      <c r="L500" s="8">
        <v>39891.213356481479</v>
      </c>
      <c r="M500" s="9" t="s">
        <v>19</v>
      </c>
      <c r="N500" s="9" t="s">
        <v>22</v>
      </c>
      <c r="O500" s="6" t="str">
        <f>HYPERLINK("https://pbs.twimg.com/profile_images/988971255679324162/jrqiIYf__normal.jpg","View")</f>
        <v>View</v>
      </c>
      <c r="P500" s="7"/>
    </row>
    <row r="501" spans="1:16">
      <c r="A501" s="3">
        <v>43932.93954861111</v>
      </c>
      <c r="B501" s="4" t="str">
        <f>HYPERLINK("https://twitter.com/sergio_fajardo","@sergio_fajardo")</f>
        <v>@sergio_fajardo</v>
      </c>
      <c r="C501" s="5" t="s">
        <v>16</v>
      </c>
      <c r="D501" s="5" t="s">
        <v>523</v>
      </c>
      <c r="E501" s="6" t="str">
        <f>HYPERLINK("https://twitter.com/sergio_fajardo/status/1249020121122824192","1249020121122824192")</f>
        <v>1249020121122824192</v>
      </c>
      <c r="F501" s="7" t="s">
        <v>17</v>
      </c>
      <c r="G501" s="7">
        <v>1529220</v>
      </c>
      <c r="H501" s="7">
        <v>366</v>
      </c>
      <c r="I501" s="7">
        <v>113</v>
      </c>
      <c r="J501" s="7">
        <v>0</v>
      </c>
      <c r="K501" s="7" t="s">
        <v>18</v>
      </c>
      <c r="L501" s="8">
        <v>39891.213356481479</v>
      </c>
      <c r="M501" s="9" t="s">
        <v>19</v>
      </c>
      <c r="N501" s="9" t="s">
        <v>22</v>
      </c>
      <c r="O501" s="6" t="str">
        <f>HYPERLINK("https://pbs.twimg.com/profile_images/988971255679324162/jrqiIYf__normal.jpg","View")</f>
        <v>View</v>
      </c>
      <c r="P501" s="7"/>
    </row>
    <row r="502" spans="1:16">
      <c r="A502" s="3">
        <v>43933.624594907407</v>
      </c>
      <c r="B502" s="4" t="str">
        <f>HYPERLINK("https://twitter.com/sergio_fajardo","@sergio_fajardo")</f>
        <v>@sergio_fajardo</v>
      </c>
      <c r="C502" s="5" t="s">
        <v>16</v>
      </c>
      <c r="D502" s="5" t="s">
        <v>524</v>
      </c>
      <c r="E502" s="6" t="str">
        <f>HYPERLINK("https://twitter.com/sergio_fajardo/status/1249268374582018048","1249268374582018048")</f>
        <v>1249268374582018048</v>
      </c>
      <c r="F502" s="7" t="s">
        <v>17</v>
      </c>
      <c r="G502" s="7">
        <v>1529585</v>
      </c>
      <c r="H502" s="7">
        <v>366</v>
      </c>
      <c r="I502" s="7">
        <v>22</v>
      </c>
      <c r="J502" s="7">
        <v>0</v>
      </c>
      <c r="K502" s="7" t="s">
        <v>18</v>
      </c>
      <c r="L502" s="8">
        <v>39891.213356481479</v>
      </c>
      <c r="M502" s="9" t="s">
        <v>19</v>
      </c>
      <c r="N502" s="9" t="s">
        <v>22</v>
      </c>
      <c r="O502" s="6" t="str">
        <f>HYPERLINK("https://pbs.twimg.com/profile_images/988971255679324162/jrqiIYf__normal.jpg","View")</f>
        <v>View</v>
      </c>
      <c r="P502" s="7"/>
    </row>
    <row r="503" spans="1:16">
      <c r="A503" s="3">
        <v>43933.661655092597</v>
      </c>
      <c r="B503" s="4" t="str">
        <f>HYPERLINK("https://twitter.com/sergio_fajardo","@sergio_fajardo")</f>
        <v>@sergio_fajardo</v>
      </c>
      <c r="C503" s="5" t="s">
        <v>16</v>
      </c>
      <c r="D503" s="5" t="s">
        <v>525</v>
      </c>
      <c r="E503" s="6" t="str">
        <f>HYPERLINK("https://twitter.com/sergio_fajardo/status/1249281805250945025","1249281805250945025")</f>
        <v>1249281805250945025</v>
      </c>
      <c r="F503" s="7" t="s">
        <v>17</v>
      </c>
      <c r="G503" s="7">
        <v>1529587</v>
      </c>
      <c r="H503" s="7">
        <v>366</v>
      </c>
      <c r="I503" s="7">
        <v>20</v>
      </c>
      <c r="J503" s="7">
        <v>0</v>
      </c>
      <c r="K503" s="7" t="s">
        <v>18</v>
      </c>
      <c r="L503" s="8">
        <v>39891.213356481479</v>
      </c>
      <c r="M503" s="9" t="s">
        <v>19</v>
      </c>
      <c r="N503" s="9" t="s">
        <v>22</v>
      </c>
      <c r="O503" s="6" t="str">
        <f>HYPERLINK("https://pbs.twimg.com/profile_images/988971255679324162/jrqiIYf__normal.jpg","View")</f>
        <v>View</v>
      </c>
      <c r="P503" s="7"/>
    </row>
    <row r="504" spans="1:16">
      <c r="A504" s="3">
        <v>43933.661956018521</v>
      </c>
      <c r="B504" s="4" t="str">
        <f>HYPERLINK("https://twitter.com/sergio_fajardo","@sergio_fajardo")</f>
        <v>@sergio_fajardo</v>
      </c>
      <c r="C504" s="5" t="s">
        <v>16</v>
      </c>
      <c r="D504" s="5" t="s">
        <v>526</v>
      </c>
      <c r="E504" s="6" t="str">
        <f>HYPERLINK("https://twitter.com/sergio_fajardo/status/1249281912969015296","1249281912969015296")</f>
        <v>1249281912969015296</v>
      </c>
      <c r="F504" s="7" t="s">
        <v>17</v>
      </c>
      <c r="G504" s="7">
        <v>1529587</v>
      </c>
      <c r="H504" s="7">
        <v>366</v>
      </c>
      <c r="I504" s="7">
        <v>6</v>
      </c>
      <c r="J504" s="7">
        <v>0</v>
      </c>
      <c r="K504" s="7" t="s">
        <v>18</v>
      </c>
      <c r="L504" s="8">
        <v>39891.213356481479</v>
      </c>
      <c r="M504" s="9" t="s">
        <v>19</v>
      </c>
      <c r="N504" s="9" t="s">
        <v>22</v>
      </c>
      <c r="O504" s="6" t="str">
        <f>HYPERLINK("https://pbs.twimg.com/profile_images/988971255679324162/jrqiIYf__normal.jpg","View")</f>
        <v>View</v>
      </c>
      <c r="P504" s="7"/>
    </row>
    <row r="505" spans="1:16">
      <c r="A505" s="3">
        <v>43933.668449074074</v>
      </c>
      <c r="B505" s="4" t="str">
        <f>HYPERLINK("https://twitter.com/sergio_fajardo","@sergio_fajardo")</f>
        <v>@sergio_fajardo</v>
      </c>
      <c r="C505" s="5" t="s">
        <v>16</v>
      </c>
      <c r="D505" s="5" t="s">
        <v>527</v>
      </c>
      <c r="E505" s="6" t="str">
        <f>HYPERLINK("https://twitter.com/sergio_fajardo/status/1249284267605217282","1249284267605217282")</f>
        <v>1249284267605217282</v>
      </c>
      <c r="F505" s="7" t="s">
        <v>17</v>
      </c>
      <c r="G505" s="7">
        <v>1529586</v>
      </c>
      <c r="H505" s="7">
        <v>366</v>
      </c>
      <c r="I505" s="7">
        <v>20</v>
      </c>
      <c r="J505" s="7">
        <v>67</v>
      </c>
      <c r="K505" s="7" t="s">
        <v>18</v>
      </c>
      <c r="L505" s="8">
        <v>39891.213356481479</v>
      </c>
      <c r="M505" s="9" t="s">
        <v>19</v>
      </c>
      <c r="N505" s="9" t="s">
        <v>22</v>
      </c>
      <c r="O505" s="6" t="str">
        <f>HYPERLINK("https://pbs.twimg.com/profile_images/988971255679324162/jrqiIYf__normal.jpg","View")</f>
        <v>View</v>
      </c>
      <c r="P505" s="7"/>
    </row>
    <row r="506" spans="1:16">
      <c r="A506" s="3">
        <v>43933.702893518523</v>
      </c>
      <c r="B506" s="4" t="str">
        <f>HYPERLINK("https://twitter.com/sergio_fajardo","@sergio_fajardo")</f>
        <v>@sergio_fajardo</v>
      </c>
      <c r="C506" s="5" t="s">
        <v>16</v>
      </c>
      <c r="D506" s="5" t="s">
        <v>528</v>
      </c>
      <c r="E506" s="6" t="str">
        <f>HYPERLINK("https://twitter.com/sergio_fajardo/status/1249296748574650369","1249296748574650369")</f>
        <v>1249296748574650369</v>
      </c>
      <c r="F506" s="7" t="s">
        <v>17</v>
      </c>
      <c r="G506" s="7">
        <v>1529590</v>
      </c>
      <c r="H506" s="7">
        <v>366</v>
      </c>
      <c r="I506" s="7">
        <v>8</v>
      </c>
      <c r="J506" s="7">
        <v>0</v>
      </c>
      <c r="K506" s="7" t="s">
        <v>18</v>
      </c>
      <c r="L506" s="8">
        <v>39891.213356481479</v>
      </c>
      <c r="M506" s="9" t="s">
        <v>19</v>
      </c>
      <c r="N506" s="9" t="s">
        <v>22</v>
      </c>
      <c r="O506" s="6" t="str">
        <f>HYPERLINK("https://pbs.twimg.com/profile_images/988971255679324162/jrqiIYf__normal.jpg","View")</f>
        <v>View</v>
      </c>
      <c r="P506" s="7"/>
    </row>
    <row r="507" spans="1:16">
      <c r="A507" s="3">
        <v>43933.810254629629</v>
      </c>
      <c r="B507" s="4" t="str">
        <f>HYPERLINK("https://twitter.com/sergio_fajardo","@sergio_fajardo")</f>
        <v>@sergio_fajardo</v>
      </c>
      <c r="C507" s="5" t="s">
        <v>16</v>
      </c>
      <c r="D507" s="5" t="s">
        <v>529</v>
      </c>
      <c r="E507" s="6" t="str">
        <f>HYPERLINK("https://twitter.com/sergio_fajardo/status/1249335655211175938","1249335655211175938")</f>
        <v>1249335655211175938</v>
      </c>
      <c r="F507" s="7" t="s">
        <v>17</v>
      </c>
      <c r="G507" s="7">
        <v>1529644</v>
      </c>
      <c r="H507" s="7">
        <v>366</v>
      </c>
      <c r="I507" s="7">
        <v>7</v>
      </c>
      <c r="J507" s="7">
        <v>0</v>
      </c>
      <c r="K507" s="7" t="s">
        <v>18</v>
      </c>
      <c r="L507" s="8">
        <v>39891.213356481479</v>
      </c>
      <c r="M507" s="9" t="s">
        <v>19</v>
      </c>
      <c r="N507" s="9" t="s">
        <v>22</v>
      </c>
      <c r="O507" s="6" t="str">
        <f>HYPERLINK("https://pbs.twimg.com/profile_images/988971255679324162/jrqiIYf__normal.jpg","View")</f>
        <v>View</v>
      </c>
      <c r="P507" s="7"/>
    </row>
    <row r="508" spans="1:16">
      <c r="A508" s="3">
        <v>43934.013518518521</v>
      </c>
      <c r="B508" s="4" t="str">
        <f>HYPERLINK("https://twitter.com/sergio_fajardo","@sergio_fajardo")</f>
        <v>@sergio_fajardo</v>
      </c>
      <c r="C508" s="5" t="s">
        <v>16</v>
      </c>
      <c r="D508" s="5" t="s">
        <v>530</v>
      </c>
      <c r="E508" s="6" t="str">
        <f>HYPERLINK("https://twitter.com/sergio_fajardo/status/1249409314877517832","1249409314877517832")</f>
        <v>1249409314877517832</v>
      </c>
      <c r="F508" s="7" t="s">
        <v>17</v>
      </c>
      <c r="G508" s="7">
        <v>1529802</v>
      </c>
      <c r="H508" s="7">
        <v>366</v>
      </c>
      <c r="I508" s="7">
        <v>48</v>
      </c>
      <c r="J508" s="7">
        <v>0</v>
      </c>
      <c r="K508" s="7" t="s">
        <v>18</v>
      </c>
      <c r="L508" s="8">
        <v>39891.213356481479</v>
      </c>
      <c r="M508" s="9" t="s">
        <v>19</v>
      </c>
      <c r="N508" s="9" t="s">
        <v>22</v>
      </c>
      <c r="O508" s="6" t="str">
        <f>HYPERLINK("https://pbs.twimg.com/profile_images/988971255679324162/jrqiIYf__normal.jpg","View")</f>
        <v>View</v>
      </c>
      <c r="P508" s="7"/>
    </row>
    <row r="509" spans="1:16">
      <c r="A509" s="3">
        <v>43934.021585648152</v>
      </c>
      <c r="B509" s="4" t="str">
        <f>HYPERLINK("https://twitter.com/sergio_fajardo","@sergio_fajardo")</f>
        <v>@sergio_fajardo</v>
      </c>
      <c r="C509" s="5" t="s">
        <v>16</v>
      </c>
      <c r="D509" s="5" t="s">
        <v>531</v>
      </c>
      <c r="E509" s="6" t="str">
        <f>HYPERLINK("https://twitter.com/sergio_fajardo/status/1249412237527330816","1249412237527330816")</f>
        <v>1249412237527330816</v>
      </c>
      <c r="F509" s="7" t="s">
        <v>17</v>
      </c>
      <c r="G509" s="7">
        <v>1529802</v>
      </c>
      <c r="H509" s="7">
        <v>366</v>
      </c>
      <c r="I509" s="7">
        <v>8</v>
      </c>
      <c r="J509" s="7">
        <v>24</v>
      </c>
      <c r="K509" s="7" t="s">
        <v>18</v>
      </c>
      <c r="L509" s="8">
        <v>39891.213356481479</v>
      </c>
      <c r="M509" s="9" t="s">
        <v>19</v>
      </c>
      <c r="N509" s="9" t="s">
        <v>22</v>
      </c>
      <c r="O509" s="6" t="str">
        <f>HYPERLINK("https://pbs.twimg.com/profile_images/988971255679324162/jrqiIYf__normal.jpg","View")</f>
        <v>View</v>
      </c>
      <c r="P509" s="7"/>
    </row>
    <row r="510" spans="1:16">
      <c r="A510" s="3">
        <v>43934.044131944444</v>
      </c>
      <c r="B510" s="4" t="str">
        <f>HYPERLINK("https://twitter.com/sergio_fajardo","@sergio_fajardo")</f>
        <v>@sergio_fajardo</v>
      </c>
      <c r="C510" s="5" t="s">
        <v>16</v>
      </c>
      <c r="D510" s="5" t="s">
        <v>532</v>
      </c>
      <c r="E510" s="6" t="str">
        <f>HYPERLINK("https://twitter.com/sergio_fajardo/status/1249420410262781960","1249420410262781960")</f>
        <v>1249420410262781960</v>
      </c>
      <c r="F510" s="7" t="s">
        <v>17</v>
      </c>
      <c r="G510" s="7">
        <v>1529819</v>
      </c>
      <c r="H510" s="7">
        <v>366</v>
      </c>
      <c r="I510" s="7">
        <v>107</v>
      </c>
      <c r="J510" s="7">
        <v>0</v>
      </c>
      <c r="K510" s="7" t="s">
        <v>18</v>
      </c>
      <c r="L510" s="8">
        <v>39891.213356481479</v>
      </c>
      <c r="M510" s="9" t="s">
        <v>19</v>
      </c>
      <c r="N510" s="9" t="s">
        <v>22</v>
      </c>
      <c r="O510" s="6" t="str">
        <f>HYPERLINK("https://pbs.twimg.com/profile_images/988971255679324162/jrqiIYf__normal.jpg","View")</f>
        <v>View</v>
      </c>
      <c r="P510" s="7"/>
    </row>
    <row r="511" spans="1:16">
      <c r="A511" s="3">
        <v>43934.044849537036</v>
      </c>
      <c r="B511" s="4" t="str">
        <f>HYPERLINK("https://twitter.com/sergio_fajardo","@sergio_fajardo")</f>
        <v>@sergio_fajardo</v>
      </c>
      <c r="C511" s="5" t="s">
        <v>16</v>
      </c>
      <c r="D511" s="5" t="s">
        <v>533</v>
      </c>
      <c r="E511" s="6" t="str">
        <f>HYPERLINK("https://twitter.com/sergio_fajardo/status/1249420671303716865","1249420671303716865")</f>
        <v>1249420671303716865</v>
      </c>
      <c r="F511" s="7" t="s">
        <v>17</v>
      </c>
      <c r="G511" s="7">
        <v>1529819</v>
      </c>
      <c r="H511" s="7">
        <v>366</v>
      </c>
      <c r="I511" s="7">
        <v>110</v>
      </c>
      <c r="J511" s="7">
        <v>0</v>
      </c>
      <c r="K511" s="7" t="s">
        <v>18</v>
      </c>
      <c r="L511" s="8">
        <v>39891.213356481479</v>
      </c>
      <c r="M511" s="9" t="s">
        <v>19</v>
      </c>
      <c r="N511" s="9" t="s">
        <v>22</v>
      </c>
      <c r="O511" s="6" t="str">
        <f>HYPERLINK("https://pbs.twimg.com/profile_images/988971255679324162/jrqiIYf__normal.jpg","View")</f>
        <v>View</v>
      </c>
      <c r="P511" s="7"/>
    </row>
    <row r="512" spans="1:16">
      <c r="A512" s="3">
        <v>43934.056631944448</v>
      </c>
      <c r="B512" s="4" t="str">
        <f>HYPERLINK("https://twitter.com/sergio_fajardo","@sergio_fajardo")</f>
        <v>@sergio_fajardo</v>
      </c>
      <c r="C512" s="5" t="s">
        <v>16</v>
      </c>
      <c r="D512" s="5" t="s">
        <v>534</v>
      </c>
      <c r="E512" s="6" t="str">
        <f>HYPERLINK("https://twitter.com/sergio_fajardo/status/1249424941663031296","1249424941663031296")</f>
        <v>1249424941663031296</v>
      </c>
      <c r="F512" s="7" t="s">
        <v>17</v>
      </c>
      <c r="G512" s="7">
        <v>1529819</v>
      </c>
      <c r="H512" s="7">
        <v>366</v>
      </c>
      <c r="I512" s="7">
        <v>9</v>
      </c>
      <c r="J512" s="7">
        <v>0</v>
      </c>
      <c r="K512" s="7" t="s">
        <v>18</v>
      </c>
      <c r="L512" s="8">
        <v>39891.213356481479</v>
      </c>
      <c r="M512" s="9" t="s">
        <v>19</v>
      </c>
      <c r="N512" s="9" t="s">
        <v>22</v>
      </c>
      <c r="O512" s="6" t="str">
        <f>HYPERLINK("https://pbs.twimg.com/profile_images/988971255679324162/jrqiIYf__normal.jpg","View")</f>
        <v>View</v>
      </c>
      <c r="P512" s="7"/>
    </row>
    <row r="513" spans="1:16">
      <c r="A513" s="3">
        <v>43934.169189814813</v>
      </c>
      <c r="B513" s="4" t="str">
        <f>HYPERLINK("https://twitter.com/sergio_fajardo","@sergio_fajardo")</f>
        <v>@sergio_fajardo</v>
      </c>
      <c r="C513" s="5" t="s">
        <v>16</v>
      </c>
      <c r="D513" s="5" t="s">
        <v>535</v>
      </c>
      <c r="E513" s="6" t="str">
        <f>HYPERLINK("https://twitter.com/sergio_fajardo/status/1249465728752848898","1249465728752848898")</f>
        <v>1249465728752848898</v>
      </c>
      <c r="F513" s="7" t="s">
        <v>17</v>
      </c>
      <c r="G513" s="7">
        <v>1529887</v>
      </c>
      <c r="H513" s="7">
        <v>366</v>
      </c>
      <c r="I513" s="7">
        <v>407</v>
      </c>
      <c r="J513" s="7">
        <v>0</v>
      </c>
      <c r="K513" s="7" t="s">
        <v>18</v>
      </c>
      <c r="L513" s="8">
        <v>39891.213356481479</v>
      </c>
      <c r="M513" s="9" t="s">
        <v>19</v>
      </c>
      <c r="N513" s="9" t="s">
        <v>22</v>
      </c>
      <c r="O513" s="6" t="str">
        <f>HYPERLINK("https://pbs.twimg.com/profile_images/988971255679324162/jrqiIYf__normal.jpg","View")</f>
        <v>View</v>
      </c>
      <c r="P513" s="7"/>
    </row>
    <row r="514" spans="1:16">
      <c r="A514" s="3">
        <v>43934.195428240739</v>
      </c>
      <c r="B514" s="4" t="str">
        <f>HYPERLINK("https://twitter.com/sergio_fajardo","@sergio_fajardo")</f>
        <v>@sergio_fajardo</v>
      </c>
      <c r="C514" s="5" t="s">
        <v>16</v>
      </c>
      <c r="D514" s="5" t="s">
        <v>536</v>
      </c>
      <c r="E514" s="6" t="str">
        <f>HYPERLINK("https://twitter.com/sergio_fajardo/status/1249475238838120454","1249475238838120454")</f>
        <v>1249475238838120454</v>
      </c>
      <c r="F514" s="7" t="s">
        <v>17</v>
      </c>
      <c r="G514" s="7">
        <v>1529888</v>
      </c>
      <c r="H514" s="7">
        <v>366</v>
      </c>
      <c r="I514" s="7">
        <v>3</v>
      </c>
      <c r="J514" s="7">
        <v>0</v>
      </c>
      <c r="K514" s="7" t="s">
        <v>18</v>
      </c>
      <c r="L514" s="8">
        <v>39891.213356481479</v>
      </c>
      <c r="M514" s="9" t="s">
        <v>19</v>
      </c>
      <c r="N514" s="9" t="s">
        <v>22</v>
      </c>
      <c r="O514" s="6" t="str">
        <f>HYPERLINK("https://pbs.twimg.com/profile_images/988971255679324162/jrqiIYf__normal.jpg","View")</f>
        <v>View</v>
      </c>
      <c r="P514" s="7"/>
    </row>
    <row r="515" spans="1:16">
      <c r="A515" s="3">
        <v>43934.195833333331</v>
      </c>
      <c r="B515" s="4" t="str">
        <f>HYPERLINK("https://twitter.com/sergio_fajardo","@sergio_fajardo")</f>
        <v>@sergio_fajardo</v>
      </c>
      <c r="C515" s="5" t="s">
        <v>16</v>
      </c>
      <c r="D515" s="5" t="s">
        <v>537</v>
      </c>
      <c r="E515" s="6" t="str">
        <f>HYPERLINK("https://twitter.com/sergio_fajardo/status/1249475384527204361","1249475384527204361")</f>
        <v>1249475384527204361</v>
      </c>
      <c r="F515" s="7" t="s">
        <v>17</v>
      </c>
      <c r="G515" s="7">
        <v>1529888</v>
      </c>
      <c r="H515" s="7">
        <v>366</v>
      </c>
      <c r="I515" s="7">
        <v>501</v>
      </c>
      <c r="J515" s="7">
        <v>0</v>
      </c>
      <c r="K515" s="7" t="s">
        <v>18</v>
      </c>
      <c r="L515" s="8">
        <v>39891.213356481479</v>
      </c>
      <c r="M515" s="9" t="s">
        <v>19</v>
      </c>
      <c r="N515" s="9" t="s">
        <v>22</v>
      </c>
      <c r="O515" s="6" t="str">
        <f>HYPERLINK("https://pbs.twimg.com/profile_images/988971255679324162/jrqiIYf__normal.jpg","View")</f>
        <v>View</v>
      </c>
      <c r="P515" s="7"/>
    </row>
    <row r="516" spans="1:16">
      <c r="A516" s="3">
        <v>43934.19636574074</v>
      </c>
      <c r="B516" s="4" t="str">
        <f>HYPERLINK("https://twitter.com/sergio_fajardo","@sergio_fajardo")</f>
        <v>@sergio_fajardo</v>
      </c>
      <c r="C516" s="5" t="s">
        <v>16</v>
      </c>
      <c r="D516" s="5" t="s">
        <v>538</v>
      </c>
      <c r="E516" s="6" t="str">
        <f>HYPERLINK("https://twitter.com/sergio_fajardo/status/1249475575967776774","1249475575967776774")</f>
        <v>1249475575967776774</v>
      </c>
      <c r="F516" s="7" t="s">
        <v>17</v>
      </c>
      <c r="G516" s="7">
        <v>1529888</v>
      </c>
      <c r="H516" s="7">
        <v>366</v>
      </c>
      <c r="I516" s="7">
        <v>570</v>
      </c>
      <c r="J516" s="7">
        <v>0</v>
      </c>
      <c r="K516" s="7" t="s">
        <v>18</v>
      </c>
      <c r="L516" s="8">
        <v>39891.213356481479</v>
      </c>
      <c r="M516" s="9" t="s">
        <v>19</v>
      </c>
      <c r="N516" s="9" t="s">
        <v>22</v>
      </c>
      <c r="O516" s="6" t="str">
        <f>HYPERLINK("https://pbs.twimg.com/profile_images/988971255679324162/jrqiIYf__normal.jpg","View")</f>
        <v>View</v>
      </c>
      <c r="P516" s="7"/>
    </row>
    <row r="517" spans="1:16">
      <c r="A517" s="3">
        <v>43934.197141203702</v>
      </c>
      <c r="B517" s="4" t="str">
        <f>HYPERLINK("https://twitter.com/sergio_fajardo","@sergio_fajardo")</f>
        <v>@sergio_fajardo</v>
      </c>
      <c r="C517" s="5" t="s">
        <v>16</v>
      </c>
      <c r="D517" s="5" t="s">
        <v>539</v>
      </c>
      <c r="E517" s="6" t="str">
        <f>HYPERLINK("https://twitter.com/sergio_fajardo/status/1249475859108544512","1249475859108544512")</f>
        <v>1249475859108544512</v>
      </c>
      <c r="F517" s="7" t="s">
        <v>17</v>
      </c>
      <c r="G517" s="7">
        <v>1529888</v>
      </c>
      <c r="H517" s="7">
        <v>366</v>
      </c>
      <c r="I517" s="7">
        <v>3</v>
      </c>
      <c r="J517" s="7">
        <v>0</v>
      </c>
      <c r="K517" s="7" t="s">
        <v>18</v>
      </c>
      <c r="L517" s="8">
        <v>39891.213356481479</v>
      </c>
      <c r="M517" s="9" t="s">
        <v>19</v>
      </c>
      <c r="N517" s="9" t="s">
        <v>22</v>
      </c>
      <c r="O517" s="6" t="str">
        <f>HYPERLINK("https://pbs.twimg.com/profile_images/988971255679324162/jrqiIYf__normal.jpg","View")</f>
        <v>View</v>
      </c>
      <c r="P517" s="7"/>
    </row>
    <row r="518" spans="1:16">
      <c r="A518" s="3">
        <v>43934.199074074073</v>
      </c>
      <c r="B518" s="4" t="str">
        <f>HYPERLINK("https://twitter.com/sergio_fajardo","@sergio_fajardo")</f>
        <v>@sergio_fajardo</v>
      </c>
      <c r="C518" s="5" t="s">
        <v>16</v>
      </c>
      <c r="D518" s="5" t="s">
        <v>540</v>
      </c>
      <c r="E518" s="6" t="str">
        <f>HYPERLINK("https://twitter.com/sergio_fajardo/status/1249476560513642498","1249476560513642498")</f>
        <v>1249476560513642498</v>
      </c>
      <c r="F518" s="7" t="s">
        <v>17</v>
      </c>
      <c r="G518" s="7">
        <v>1529888</v>
      </c>
      <c r="H518" s="7">
        <v>366</v>
      </c>
      <c r="I518" s="7">
        <v>107</v>
      </c>
      <c r="J518" s="7">
        <v>0</v>
      </c>
      <c r="K518" s="7" t="s">
        <v>18</v>
      </c>
      <c r="L518" s="8">
        <v>39891.213356481479</v>
      </c>
      <c r="M518" s="9" t="s">
        <v>19</v>
      </c>
      <c r="N518" s="9" t="s">
        <v>22</v>
      </c>
      <c r="O518" s="6" t="str">
        <f>HYPERLINK("https://pbs.twimg.com/profile_images/988971255679324162/jrqiIYf__normal.jpg","View")</f>
        <v>View</v>
      </c>
      <c r="P518" s="7"/>
    </row>
    <row r="519" spans="1:16">
      <c r="A519" s="3">
        <v>43934.199421296296</v>
      </c>
      <c r="B519" s="4" t="str">
        <f>HYPERLINK("https://twitter.com/sergio_fajardo","@sergio_fajardo")</f>
        <v>@sergio_fajardo</v>
      </c>
      <c r="C519" s="5" t="s">
        <v>16</v>
      </c>
      <c r="D519" s="5" t="s">
        <v>541</v>
      </c>
      <c r="E519" s="6" t="str">
        <f>HYPERLINK("https://twitter.com/sergio_fajardo/status/1249476685474533378","1249476685474533378")</f>
        <v>1249476685474533378</v>
      </c>
      <c r="F519" s="7" t="s">
        <v>17</v>
      </c>
      <c r="G519" s="7">
        <v>1529888</v>
      </c>
      <c r="H519" s="7">
        <v>366</v>
      </c>
      <c r="I519" s="7">
        <v>36</v>
      </c>
      <c r="J519" s="7">
        <v>0</v>
      </c>
      <c r="K519" s="7" t="s">
        <v>18</v>
      </c>
      <c r="L519" s="8">
        <v>39891.213356481479</v>
      </c>
      <c r="M519" s="9" t="s">
        <v>19</v>
      </c>
      <c r="N519" s="9" t="s">
        <v>22</v>
      </c>
      <c r="O519" s="6" t="str">
        <f>HYPERLINK("https://pbs.twimg.com/profile_images/988971255679324162/jrqiIYf__normal.jpg","View")</f>
        <v>View</v>
      </c>
      <c r="P519" s="7"/>
    </row>
    <row r="520" spans="1:16">
      <c r="A520" s="3">
        <v>43934.290462962963</v>
      </c>
      <c r="B520" s="4" t="str">
        <f>HYPERLINK("https://twitter.com/sergio_fajardo","@sergio_fajardo")</f>
        <v>@sergio_fajardo</v>
      </c>
      <c r="C520" s="5" t="s">
        <v>16</v>
      </c>
      <c r="D520" s="5" t="s">
        <v>542</v>
      </c>
      <c r="E520" s="6" t="str">
        <f>HYPERLINK("https://twitter.com/sergio_fajardo/status/1249509677181927427","1249509677181927427")</f>
        <v>1249509677181927427</v>
      </c>
      <c r="F520" s="7" t="s">
        <v>17</v>
      </c>
      <c r="G520" s="7">
        <v>1529963</v>
      </c>
      <c r="H520" s="7">
        <v>366</v>
      </c>
      <c r="I520" s="7">
        <v>2</v>
      </c>
      <c r="J520" s="7">
        <v>28</v>
      </c>
      <c r="K520" s="7" t="s">
        <v>18</v>
      </c>
      <c r="L520" s="8">
        <v>39891.213356481479</v>
      </c>
      <c r="M520" s="9" t="s">
        <v>19</v>
      </c>
      <c r="N520" s="9" t="s">
        <v>22</v>
      </c>
      <c r="O520" s="6" t="str">
        <f>HYPERLINK("https://pbs.twimg.com/profile_images/988971255679324162/jrqiIYf__normal.jpg","View")</f>
        <v>View</v>
      </c>
      <c r="P520" s="7"/>
    </row>
    <row r="521" spans="1:16">
      <c r="A521" s="3">
        <v>43934.726053240738</v>
      </c>
      <c r="B521" s="4" t="str">
        <f>HYPERLINK("https://twitter.com/sergio_fajardo","@sergio_fajardo")</f>
        <v>@sergio_fajardo</v>
      </c>
      <c r="C521" s="5" t="s">
        <v>16</v>
      </c>
      <c r="D521" s="5" t="s">
        <v>543</v>
      </c>
      <c r="E521" s="6" t="str">
        <f>HYPERLINK("https://twitter.com/sergio_fajardo/status/1249667529208930306","1249667529208930306")</f>
        <v>1249667529208930306</v>
      </c>
      <c r="F521" s="7" t="s">
        <v>17</v>
      </c>
      <c r="G521" s="7">
        <v>1530135</v>
      </c>
      <c r="H521" s="7">
        <v>366</v>
      </c>
      <c r="I521" s="7">
        <v>731</v>
      </c>
      <c r="J521" s="7">
        <v>0</v>
      </c>
      <c r="K521" s="7" t="s">
        <v>18</v>
      </c>
      <c r="L521" s="8">
        <v>39891.213356481479</v>
      </c>
      <c r="M521" s="9" t="s">
        <v>19</v>
      </c>
      <c r="N521" s="9" t="s">
        <v>22</v>
      </c>
      <c r="O521" s="6" t="str">
        <f>HYPERLINK("https://pbs.twimg.com/profile_images/988971255679324162/jrqiIYf__normal.jpg","View")</f>
        <v>View</v>
      </c>
      <c r="P521" s="7"/>
    </row>
    <row r="522" spans="1:16">
      <c r="A522" s="3">
        <v>43934.726458333331</v>
      </c>
      <c r="B522" s="4" t="str">
        <f>HYPERLINK("https://twitter.com/sergio_fajardo","@sergio_fajardo")</f>
        <v>@sergio_fajardo</v>
      </c>
      <c r="C522" s="5" t="s">
        <v>16</v>
      </c>
      <c r="D522" s="5" t="s">
        <v>544</v>
      </c>
      <c r="E522" s="6" t="str">
        <f>HYPERLINK("https://twitter.com/sergio_fajardo/status/1249667675216904192","1249667675216904192")</f>
        <v>1249667675216904192</v>
      </c>
      <c r="F522" s="7" t="s">
        <v>17</v>
      </c>
      <c r="G522" s="7">
        <v>1530135</v>
      </c>
      <c r="H522" s="7">
        <v>366</v>
      </c>
      <c r="I522" s="7">
        <v>1312</v>
      </c>
      <c r="J522" s="7">
        <v>0</v>
      </c>
      <c r="K522" s="7" t="s">
        <v>18</v>
      </c>
      <c r="L522" s="8">
        <v>39891.213356481479</v>
      </c>
      <c r="M522" s="9" t="s">
        <v>19</v>
      </c>
      <c r="N522" s="9" t="s">
        <v>22</v>
      </c>
      <c r="O522" s="6" t="str">
        <f>HYPERLINK("https://pbs.twimg.com/profile_images/988971255679324162/jrqiIYf__normal.jpg","View")</f>
        <v>View</v>
      </c>
      <c r="P522" s="7"/>
    </row>
    <row r="523" spans="1:16">
      <c r="A523" s="3">
        <v>43934.72729166667</v>
      </c>
      <c r="B523" s="4" t="str">
        <f>HYPERLINK("https://twitter.com/sergio_fajardo","@sergio_fajardo")</f>
        <v>@sergio_fajardo</v>
      </c>
      <c r="C523" s="5" t="s">
        <v>16</v>
      </c>
      <c r="D523" s="5" t="s">
        <v>545</v>
      </c>
      <c r="E523" s="6" t="str">
        <f>HYPERLINK("https://twitter.com/sergio_fajardo/status/1249667976850259972","1249667976850259972")</f>
        <v>1249667976850259972</v>
      </c>
      <c r="F523" s="7" t="s">
        <v>20</v>
      </c>
      <c r="G523" s="7">
        <v>1530135</v>
      </c>
      <c r="H523" s="7">
        <v>366</v>
      </c>
      <c r="I523" s="7">
        <v>2</v>
      </c>
      <c r="J523" s="7">
        <v>7</v>
      </c>
      <c r="K523" s="7" t="s">
        <v>18</v>
      </c>
      <c r="L523" s="8">
        <v>39891.213356481479</v>
      </c>
      <c r="M523" s="9" t="s">
        <v>19</v>
      </c>
      <c r="N523" s="9" t="s">
        <v>22</v>
      </c>
      <c r="O523" s="6" t="str">
        <f>HYPERLINK("https://pbs.twimg.com/profile_images/988971255679324162/jrqiIYf__normal.jpg","View")</f>
        <v>View</v>
      </c>
      <c r="P523" s="7"/>
    </row>
    <row r="524" spans="1:16">
      <c r="A524" s="3">
        <v>43934.787407407406</v>
      </c>
      <c r="B524" s="4" t="str">
        <f>HYPERLINK("https://twitter.com/sergio_fajardo","@sergio_fajardo")</f>
        <v>@sergio_fajardo</v>
      </c>
      <c r="C524" s="5" t="s">
        <v>16</v>
      </c>
      <c r="D524" s="5" t="s">
        <v>546</v>
      </c>
      <c r="E524" s="6" t="str">
        <f>HYPERLINK("https://twitter.com/sergio_fajardo/status/1249689763596177408","1249689763596177408")</f>
        <v>1249689763596177408</v>
      </c>
      <c r="F524" s="7" t="s">
        <v>17</v>
      </c>
      <c r="G524" s="7">
        <v>1530187</v>
      </c>
      <c r="H524" s="7">
        <v>366</v>
      </c>
      <c r="I524" s="7">
        <v>27085</v>
      </c>
      <c r="J524" s="7">
        <v>0</v>
      </c>
      <c r="K524" s="7" t="s">
        <v>18</v>
      </c>
      <c r="L524" s="8">
        <v>39891.213356481479</v>
      </c>
      <c r="M524" s="9" t="s">
        <v>19</v>
      </c>
      <c r="N524" s="9" t="s">
        <v>22</v>
      </c>
      <c r="O524" s="6" t="str">
        <f>HYPERLINK("https://pbs.twimg.com/profile_images/988971255679324162/jrqiIYf__normal.jpg","View")</f>
        <v>View</v>
      </c>
      <c r="P524" s="7"/>
    </row>
    <row r="525" spans="1:16">
      <c r="A525" s="3">
        <v>43934.87400462963</v>
      </c>
      <c r="B525" s="4" t="str">
        <f>HYPERLINK("https://twitter.com/sergio_fajardo","@sergio_fajardo")</f>
        <v>@sergio_fajardo</v>
      </c>
      <c r="C525" s="5" t="s">
        <v>16</v>
      </c>
      <c r="D525" s="5" t="s">
        <v>547</v>
      </c>
      <c r="E525" s="6" t="str">
        <f>HYPERLINK("https://twitter.com/sergio_fajardo/status/1249721144338415616","1249721144338415616")</f>
        <v>1249721144338415616</v>
      </c>
      <c r="F525" s="7" t="s">
        <v>17</v>
      </c>
      <c r="G525" s="7">
        <v>1530267</v>
      </c>
      <c r="H525" s="7">
        <v>366</v>
      </c>
      <c r="I525" s="7">
        <v>158</v>
      </c>
      <c r="J525" s="7">
        <v>0</v>
      </c>
      <c r="K525" s="7" t="s">
        <v>18</v>
      </c>
      <c r="L525" s="8">
        <v>39891.213356481479</v>
      </c>
      <c r="M525" s="9" t="s">
        <v>19</v>
      </c>
      <c r="N525" s="9" t="s">
        <v>22</v>
      </c>
      <c r="O525" s="6" t="str">
        <f>HYPERLINK("https://pbs.twimg.com/profile_images/988971255679324162/jrqiIYf__normal.jpg","View")</f>
        <v>View</v>
      </c>
      <c r="P525" s="7"/>
    </row>
    <row r="526" spans="1:16">
      <c r="A526" s="3">
        <v>43935.130520833336</v>
      </c>
      <c r="B526" s="4" t="str">
        <f>HYPERLINK("https://twitter.com/sergio_fajardo","@sergio_fajardo")</f>
        <v>@sergio_fajardo</v>
      </c>
      <c r="C526" s="5" t="s">
        <v>16</v>
      </c>
      <c r="D526" s="5" t="s">
        <v>548</v>
      </c>
      <c r="E526" s="6" t="str">
        <f>HYPERLINK("https://twitter.com/sergio_fajardo/status/1249814105814376448","1249814105814376448")</f>
        <v>1249814105814376448</v>
      </c>
      <c r="F526" s="7" t="s">
        <v>17</v>
      </c>
      <c r="G526" s="7">
        <v>1530446</v>
      </c>
      <c r="H526" s="7">
        <v>366</v>
      </c>
      <c r="I526" s="7">
        <v>19</v>
      </c>
      <c r="J526" s="7">
        <v>0</v>
      </c>
      <c r="K526" s="7" t="s">
        <v>18</v>
      </c>
      <c r="L526" s="8">
        <v>39891.213356481479</v>
      </c>
      <c r="M526" s="9" t="s">
        <v>19</v>
      </c>
      <c r="N526" s="9" t="s">
        <v>22</v>
      </c>
      <c r="O526" s="6" t="str">
        <f>HYPERLINK("https://pbs.twimg.com/profile_images/988971255679324162/jrqiIYf__normal.jpg","View")</f>
        <v>View</v>
      </c>
      <c r="P526" s="7"/>
    </row>
    <row r="527" spans="1:16">
      <c r="A527" s="3">
        <v>43935.278564814813</v>
      </c>
      <c r="B527" s="4" t="str">
        <f>HYPERLINK("https://twitter.com/sergio_fajardo","@sergio_fajardo")</f>
        <v>@sergio_fajardo</v>
      </c>
      <c r="C527" s="5" t="s">
        <v>16</v>
      </c>
      <c r="D527" s="5" t="s">
        <v>549</v>
      </c>
      <c r="E527" s="6" t="str">
        <f>HYPERLINK("https://twitter.com/sergio_fajardo/status/1249867754246754307","1249867754246754307")</f>
        <v>1249867754246754307</v>
      </c>
      <c r="F527" s="7" t="s">
        <v>17</v>
      </c>
      <c r="G527" s="7">
        <v>1530525</v>
      </c>
      <c r="H527" s="7">
        <v>366</v>
      </c>
      <c r="I527" s="7">
        <v>10</v>
      </c>
      <c r="J527" s="7">
        <v>0</v>
      </c>
      <c r="K527" s="7" t="s">
        <v>18</v>
      </c>
      <c r="L527" s="8">
        <v>39891.213356481479</v>
      </c>
      <c r="M527" s="9" t="s">
        <v>19</v>
      </c>
      <c r="N527" s="9" t="s">
        <v>22</v>
      </c>
      <c r="O527" s="6" t="str">
        <f>HYPERLINK("https://pbs.twimg.com/profile_images/988971255679324162/jrqiIYf__normal.jpg","View")</f>
        <v>View</v>
      </c>
      <c r="P527" s="7"/>
    </row>
    <row r="528" spans="1:16">
      <c r="A528" s="3">
        <v>43935.278611111113</v>
      </c>
      <c r="B528" s="4" t="str">
        <f>HYPERLINK("https://twitter.com/sergio_fajardo","@sergio_fajardo")</f>
        <v>@sergio_fajardo</v>
      </c>
      <c r="C528" s="5" t="s">
        <v>16</v>
      </c>
      <c r="D528" s="5" t="s">
        <v>550</v>
      </c>
      <c r="E528" s="6" t="str">
        <f>HYPERLINK("https://twitter.com/sergio_fajardo/status/1249867771543990273","1249867771543990273")</f>
        <v>1249867771543990273</v>
      </c>
      <c r="F528" s="7" t="s">
        <v>17</v>
      </c>
      <c r="G528" s="7">
        <v>1530525</v>
      </c>
      <c r="H528" s="7">
        <v>366</v>
      </c>
      <c r="I528" s="7">
        <v>8</v>
      </c>
      <c r="J528" s="7">
        <v>0</v>
      </c>
      <c r="K528" s="7" t="s">
        <v>18</v>
      </c>
      <c r="L528" s="8">
        <v>39891.213356481479</v>
      </c>
      <c r="M528" s="9" t="s">
        <v>19</v>
      </c>
      <c r="N528" s="9" t="s">
        <v>22</v>
      </c>
      <c r="O528" s="6" t="str">
        <f>HYPERLINK("https://pbs.twimg.com/profile_images/988971255679324162/jrqiIYf__normal.jpg","View")</f>
        <v>View</v>
      </c>
      <c r="P528" s="7"/>
    </row>
    <row r="529" spans="1:16">
      <c r="A529" s="3">
        <v>43935.278692129628</v>
      </c>
      <c r="B529" s="4" t="str">
        <f>HYPERLINK("https://twitter.com/sergio_fajardo","@sergio_fajardo")</f>
        <v>@sergio_fajardo</v>
      </c>
      <c r="C529" s="5" t="s">
        <v>16</v>
      </c>
      <c r="D529" s="5" t="s">
        <v>551</v>
      </c>
      <c r="E529" s="6" t="str">
        <f>HYPERLINK("https://twitter.com/sergio_fajardo/status/1249867799931105286","1249867799931105286")</f>
        <v>1249867799931105286</v>
      </c>
      <c r="F529" s="7" t="s">
        <v>17</v>
      </c>
      <c r="G529" s="7">
        <v>1530525</v>
      </c>
      <c r="H529" s="7">
        <v>366</v>
      </c>
      <c r="I529" s="7">
        <v>177</v>
      </c>
      <c r="J529" s="7">
        <v>0</v>
      </c>
      <c r="K529" s="7" t="s">
        <v>18</v>
      </c>
      <c r="L529" s="8">
        <v>39891.213356481479</v>
      </c>
      <c r="M529" s="9" t="s">
        <v>19</v>
      </c>
      <c r="N529" s="9" t="s">
        <v>22</v>
      </c>
      <c r="O529" s="6" t="str">
        <f>HYPERLINK("https://pbs.twimg.com/profile_images/988971255679324162/jrqiIYf__normal.jpg","View")</f>
        <v>View</v>
      </c>
      <c r="P529" s="7"/>
    </row>
    <row r="530" spans="1:16">
      <c r="A530" s="3">
        <v>43935.736296296294</v>
      </c>
      <c r="B530" s="4" t="str">
        <f>HYPERLINK("https://twitter.com/sergio_fajardo","@sergio_fajardo")</f>
        <v>@sergio_fajardo</v>
      </c>
      <c r="C530" s="5" t="s">
        <v>16</v>
      </c>
      <c r="D530" s="5" t="s">
        <v>552</v>
      </c>
      <c r="E530" s="6" t="str">
        <f>HYPERLINK("https://twitter.com/sergio_fajardo/status/1250033631361368069","1250033631361368069")</f>
        <v>1250033631361368069</v>
      </c>
      <c r="F530" s="7" t="s">
        <v>17</v>
      </c>
      <c r="G530" s="7">
        <v>1530620</v>
      </c>
      <c r="H530" s="7">
        <v>366</v>
      </c>
      <c r="I530" s="7">
        <v>49</v>
      </c>
      <c r="J530" s="7">
        <v>0</v>
      </c>
      <c r="K530" s="7" t="s">
        <v>18</v>
      </c>
      <c r="L530" s="8">
        <v>39891.213356481479</v>
      </c>
      <c r="M530" s="9" t="s">
        <v>19</v>
      </c>
      <c r="N530" s="9" t="s">
        <v>22</v>
      </c>
      <c r="O530" s="6" t="str">
        <f>HYPERLINK("https://pbs.twimg.com/profile_images/988971255679324162/jrqiIYf__normal.jpg","View")</f>
        <v>View</v>
      </c>
      <c r="P530" s="7"/>
    </row>
    <row r="531" spans="1:16">
      <c r="A531" s="3">
        <v>43935.737997685181</v>
      </c>
      <c r="B531" s="4" t="str">
        <f>HYPERLINK("https://twitter.com/sergio_fajardo","@sergio_fajardo")</f>
        <v>@sergio_fajardo</v>
      </c>
      <c r="C531" s="5" t="s">
        <v>16</v>
      </c>
      <c r="D531" s="5" t="s">
        <v>553</v>
      </c>
      <c r="E531" s="6" t="str">
        <f>HYPERLINK("https://twitter.com/sergio_fajardo/status/1250034244942004230","1250034244942004230")</f>
        <v>1250034244942004230</v>
      </c>
      <c r="F531" s="7" t="s">
        <v>17</v>
      </c>
      <c r="G531" s="7">
        <v>1530620</v>
      </c>
      <c r="H531" s="7">
        <v>366</v>
      </c>
      <c r="I531" s="7">
        <v>9</v>
      </c>
      <c r="J531" s="7">
        <v>39</v>
      </c>
      <c r="K531" s="7" t="s">
        <v>18</v>
      </c>
      <c r="L531" s="8">
        <v>39891.213356481479</v>
      </c>
      <c r="M531" s="9" t="s">
        <v>19</v>
      </c>
      <c r="N531" s="9" t="s">
        <v>22</v>
      </c>
      <c r="O531" s="6" t="str">
        <f>HYPERLINK("https://pbs.twimg.com/profile_images/988971255679324162/jrqiIYf__normal.jpg","View")</f>
        <v>View</v>
      </c>
      <c r="P531" s="7"/>
    </row>
    <row r="532" spans="1:16">
      <c r="A532" s="3">
        <v>43935.815601851849</v>
      </c>
      <c r="B532" s="4" t="str">
        <f>HYPERLINK("https://twitter.com/sergio_fajardo","@sergio_fajardo")</f>
        <v>@sergio_fajardo</v>
      </c>
      <c r="C532" s="5" t="s">
        <v>16</v>
      </c>
      <c r="D532" s="5" t="s">
        <v>554</v>
      </c>
      <c r="E532" s="6" t="str">
        <f>HYPERLINK("https://twitter.com/sergio_fajardo/status/1250062370132680710","1250062370132680710")</f>
        <v>1250062370132680710</v>
      </c>
      <c r="F532" s="7" t="s">
        <v>17</v>
      </c>
      <c r="G532" s="7">
        <v>1530668</v>
      </c>
      <c r="H532" s="7">
        <v>366</v>
      </c>
      <c r="I532" s="7">
        <v>52</v>
      </c>
      <c r="J532" s="7">
        <v>231</v>
      </c>
      <c r="K532" s="7" t="s">
        <v>18</v>
      </c>
      <c r="L532" s="8">
        <v>39891.213356481479</v>
      </c>
      <c r="M532" s="9" t="s">
        <v>19</v>
      </c>
      <c r="N532" s="9" t="s">
        <v>22</v>
      </c>
      <c r="O532" s="6" t="str">
        <f>HYPERLINK("https://pbs.twimg.com/profile_images/988971255679324162/jrqiIYf__normal.jpg","View")</f>
        <v>View</v>
      </c>
      <c r="P532" s="7"/>
    </row>
    <row r="533" spans="1:16">
      <c r="A533" s="3">
        <v>43935.930011574077</v>
      </c>
      <c r="B533" s="4" t="str">
        <f>HYPERLINK("https://twitter.com/sergio_fajardo","@sergio_fajardo")</f>
        <v>@sergio_fajardo</v>
      </c>
      <c r="C533" s="5" t="s">
        <v>16</v>
      </c>
      <c r="D533" s="5" t="s">
        <v>555</v>
      </c>
      <c r="E533" s="6" t="str">
        <f>HYPERLINK("https://twitter.com/sergio_fajardo/status/1250103827908493315","1250103827908493315")</f>
        <v>1250103827908493315</v>
      </c>
      <c r="F533" s="7" t="s">
        <v>17</v>
      </c>
      <c r="G533" s="7">
        <v>1530723</v>
      </c>
      <c r="H533" s="7">
        <v>366</v>
      </c>
      <c r="I533" s="7">
        <v>3</v>
      </c>
      <c r="J533" s="7">
        <v>12</v>
      </c>
      <c r="K533" s="7" t="s">
        <v>18</v>
      </c>
      <c r="L533" s="8">
        <v>39891.213356481479</v>
      </c>
      <c r="M533" s="9" t="s">
        <v>19</v>
      </c>
      <c r="N533" s="9" t="s">
        <v>22</v>
      </c>
      <c r="O533" s="6" t="str">
        <f>HYPERLINK("https://pbs.twimg.com/profile_images/988971255679324162/jrqiIYf__normal.jpg","View")</f>
        <v>View</v>
      </c>
      <c r="P533" s="7"/>
    </row>
    <row r="534" spans="1:16">
      <c r="A534" s="3">
        <v>43936.017314814817</v>
      </c>
      <c r="B534" s="4" t="str">
        <f>HYPERLINK("https://twitter.com/sergio_fajardo","@sergio_fajardo")</f>
        <v>@sergio_fajardo</v>
      </c>
      <c r="C534" s="5" t="s">
        <v>16</v>
      </c>
      <c r="D534" s="5" t="s">
        <v>556</v>
      </c>
      <c r="E534" s="6" t="str">
        <f>HYPERLINK("https://twitter.com/sergio_fajardo/status/1250135466264887296","1250135466264887296")</f>
        <v>1250135466264887296</v>
      </c>
      <c r="F534" s="7" t="s">
        <v>17</v>
      </c>
      <c r="G534" s="7">
        <v>1530780</v>
      </c>
      <c r="H534" s="7">
        <v>366</v>
      </c>
      <c r="I534" s="7">
        <v>3</v>
      </c>
      <c r="J534" s="7">
        <v>0</v>
      </c>
      <c r="K534" s="7" t="s">
        <v>18</v>
      </c>
      <c r="L534" s="8">
        <v>39891.213356481479</v>
      </c>
      <c r="M534" s="9" t="s">
        <v>19</v>
      </c>
      <c r="N534" s="9" t="s">
        <v>22</v>
      </c>
      <c r="O534" s="6" t="str">
        <f>HYPERLINK("https://pbs.twimg.com/profile_images/988971255679324162/jrqiIYf__normal.jpg","View")</f>
        <v>View</v>
      </c>
      <c r="P534" s="7"/>
    </row>
    <row r="535" spans="1:16">
      <c r="A535" s="3">
        <v>43936.020335648151</v>
      </c>
      <c r="B535" s="4" t="str">
        <f>HYPERLINK("https://twitter.com/sergio_fajardo","@sergio_fajardo")</f>
        <v>@sergio_fajardo</v>
      </c>
      <c r="C535" s="5" t="s">
        <v>16</v>
      </c>
      <c r="D535" s="5" t="s">
        <v>557</v>
      </c>
      <c r="E535" s="6" t="str">
        <f>HYPERLINK("https://twitter.com/sergio_fajardo/status/1250136563712917505","1250136563712917505")</f>
        <v>1250136563712917505</v>
      </c>
      <c r="F535" s="7" t="s">
        <v>17</v>
      </c>
      <c r="G535" s="7">
        <v>1530780</v>
      </c>
      <c r="H535" s="7">
        <v>366</v>
      </c>
      <c r="I535" s="7">
        <v>3</v>
      </c>
      <c r="J535" s="7">
        <v>0</v>
      </c>
      <c r="K535" s="7" t="s">
        <v>18</v>
      </c>
      <c r="L535" s="8">
        <v>39891.213356481479</v>
      </c>
      <c r="M535" s="9" t="s">
        <v>19</v>
      </c>
      <c r="N535" s="9" t="s">
        <v>22</v>
      </c>
      <c r="O535" s="6" t="str">
        <f>HYPERLINK("https://pbs.twimg.com/profile_images/988971255679324162/jrqiIYf__normal.jpg","View")</f>
        <v>View</v>
      </c>
      <c r="P535" s="7"/>
    </row>
    <row r="536" spans="1:16">
      <c r="A536" s="3">
        <v>43936.193657407406</v>
      </c>
      <c r="B536" s="4" t="str">
        <f>HYPERLINK("https://twitter.com/sergio_fajardo","@sergio_fajardo")</f>
        <v>@sergio_fajardo</v>
      </c>
      <c r="C536" s="5" t="s">
        <v>16</v>
      </c>
      <c r="D536" s="5" t="s">
        <v>558</v>
      </c>
      <c r="E536" s="6" t="str">
        <f>HYPERLINK("https://twitter.com/sergio_fajardo/status/1250199372710785025","1250199372710785025")</f>
        <v>1250199372710785025</v>
      </c>
      <c r="F536" s="7" t="s">
        <v>17</v>
      </c>
      <c r="G536" s="7">
        <v>1530892</v>
      </c>
      <c r="H536" s="7">
        <v>366</v>
      </c>
      <c r="I536" s="7">
        <v>8</v>
      </c>
      <c r="J536" s="7">
        <v>0</v>
      </c>
      <c r="K536" s="7" t="s">
        <v>18</v>
      </c>
      <c r="L536" s="8">
        <v>39891.213356481479</v>
      </c>
      <c r="M536" s="9" t="s">
        <v>19</v>
      </c>
      <c r="N536" s="9" t="s">
        <v>22</v>
      </c>
      <c r="O536" s="6" t="str">
        <f>HYPERLINK("https://pbs.twimg.com/profile_images/988971255679324162/jrqiIYf__normal.jpg","View")</f>
        <v>View</v>
      </c>
      <c r="P536" s="7"/>
    </row>
    <row r="537" spans="1:16">
      <c r="A537" s="3">
        <v>43936.979710648149</v>
      </c>
      <c r="B537" s="4" t="str">
        <f>HYPERLINK("https://twitter.com/sergio_fajardo","@sergio_fajardo")</f>
        <v>@sergio_fajardo</v>
      </c>
      <c r="C537" s="5" t="s">
        <v>16</v>
      </c>
      <c r="D537" s="5" t="s">
        <v>559</v>
      </c>
      <c r="E537" s="6" t="str">
        <f>HYPERLINK("https://twitter.com/sergio_fajardo/status/1250484229332443138","1250484229332443138")</f>
        <v>1250484229332443138</v>
      </c>
      <c r="F537" s="7" t="s">
        <v>17</v>
      </c>
      <c r="G537" s="7">
        <v>1531234</v>
      </c>
      <c r="H537" s="7">
        <v>366</v>
      </c>
      <c r="I537" s="7">
        <v>85</v>
      </c>
      <c r="J537" s="7">
        <v>0</v>
      </c>
      <c r="K537" s="7" t="s">
        <v>18</v>
      </c>
      <c r="L537" s="8">
        <v>39891.213356481479</v>
      </c>
      <c r="M537" s="9" t="s">
        <v>19</v>
      </c>
      <c r="N537" s="9" t="s">
        <v>22</v>
      </c>
      <c r="O537" s="6" t="str">
        <f>HYPERLINK("https://pbs.twimg.com/profile_images/988971255679324162/jrqiIYf__normal.jpg","View")</f>
        <v>View</v>
      </c>
      <c r="P537" s="7"/>
    </row>
    <row r="538" spans="1:16">
      <c r="A538" s="3">
        <v>43937.158807870372</v>
      </c>
      <c r="B538" s="4" t="str">
        <f>HYPERLINK("https://twitter.com/sergio_fajardo","@sergio_fajardo")</f>
        <v>@sergio_fajardo</v>
      </c>
      <c r="C538" s="5" t="s">
        <v>16</v>
      </c>
      <c r="D538" s="5" t="s">
        <v>560</v>
      </c>
      <c r="E538" s="6" t="str">
        <f>HYPERLINK("https://twitter.com/sergio_fajardo/status/1250549129694117890","1250549129694117890")</f>
        <v>1250549129694117890</v>
      </c>
      <c r="F538" s="7" t="s">
        <v>17</v>
      </c>
      <c r="G538" s="7">
        <v>1531327</v>
      </c>
      <c r="H538" s="7">
        <v>366</v>
      </c>
      <c r="I538" s="7">
        <v>18</v>
      </c>
      <c r="J538" s="7">
        <v>0</v>
      </c>
      <c r="K538" s="7" t="s">
        <v>18</v>
      </c>
      <c r="L538" s="8">
        <v>39891.213356481479</v>
      </c>
      <c r="M538" s="9" t="s">
        <v>19</v>
      </c>
      <c r="N538" s="9" t="s">
        <v>22</v>
      </c>
      <c r="O538" s="6" t="str">
        <f>HYPERLINK("https://pbs.twimg.com/profile_images/988971255679324162/jrqiIYf__normal.jpg","View")</f>
        <v>View</v>
      </c>
      <c r="P538" s="7"/>
    </row>
    <row r="539" spans="1:16">
      <c r="A539" s="3">
        <v>43937.320868055554</v>
      </c>
      <c r="B539" s="4" t="str">
        <f>HYPERLINK("https://twitter.com/sergio_fajardo","@sergio_fajardo")</f>
        <v>@sergio_fajardo</v>
      </c>
      <c r="C539" s="5" t="s">
        <v>16</v>
      </c>
      <c r="D539" s="5" t="s">
        <v>561</v>
      </c>
      <c r="E539" s="6" t="str">
        <f>HYPERLINK("https://twitter.com/sergio_fajardo/status/1250607860733673474","1250607860733673474")</f>
        <v>1250607860733673474</v>
      </c>
      <c r="F539" s="7" t="s">
        <v>17</v>
      </c>
      <c r="G539" s="7">
        <v>1531408</v>
      </c>
      <c r="H539" s="7">
        <v>366</v>
      </c>
      <c r="I539" s="7">
        <v>8</v>
      </c>
      <c r="J539" s="7">
        <v>25</v>
      </c>
      <c r="K539" s="7" t="s">
        <v>18</v>
      </c>
      <c r="L539" s="8">
        <v>39891.213356481479</v>
      </c>
      <c r="M539" s="9" t="s">
        <v>19</v>
      </c>
      <c r="N539" s="9" t="s">
        <v>22</v>
      </c>
      <c r="O539" s="6" t="str">
        <f>HYPERLINK("https://pbs.twimg.com/profile_images/988971255679324162/jrqiIYf__normal.jpg","View")</f>
        <v>View</v>
      </c>
      <c r="P539" s="7"/>
    </row>
    <row r="540" spans="1:16">
      <c r="A540" s="3">
        <v>43937.332175925927</v>
      </c>
      <c r="B540" s="4" t="str">
        <f>HYPERLINK("https://twitter.com/sergio_fajardo","@sergio_fajardo")</f>
        <v>@sergio_fajardo</v>
      </c>
      <c r="C540" s="5" t="s">
        <v>16</v>
      </c>
      <c r="D540" s="5" t="s">
        <v>562</v>
      </c>
      <c r="E540" s="6" t="str">
        <f>HYPERLINK("https://twitter.com/sergio_fajardo/status/1250611958145040384","1250611958145040384")</f>
        <v>1250611958145040384</v>
      </c>
      <c r="F540" s="7" t="s">
        <v>17</v>
      </c>
      <c r="G540" s="7">
        <v>1531408</v>
      </c>
      <c r="H540" s="7">
        <v>366</v>
      </c>
      <c r="I540" s="7">
        <v>6</v>
      </c>
      <c r="J540" s="7">
        <v>0</v>
      </c>
      <c r="K540" s="7" t="s">
        <v>18</v>
      </c>
      <c r="L540" s="8">
        <v>39891.213356481479</v>
      </c>
      <c r="M540" s="9" t="s">
        <v>19</v>
      </c>
      <c r="N540" s="9" t="s">
        <v>22</v>
      </c>
      <c r="O540" s="6" t="str">
        <f>HYPERLINK("https://pbs.twimg.com/profile_images/988971255679324162/jrqiIYf__normal.jpg","View")</f>
        <v>View</v>
      </c>
      <c r="P540" s="7"/>
    </row>
    <row r="541" spans="1:16">
      <c r="A541" s="3">
        <v>43937.878807870366</v>
      </c>
      <c r="B541" s="4" t="str">
        <f>HYPERLINK("https://twitter.com/sergio_fajardo","@sergio_fajardo")</f>
        <v>@sergio_fajardo</v>
      </c>
      <c r="C541" s="5" t="s">
        <v>16</v>
      </c>
      <c r="D541" s="5" t="s">
        <v>563</v>
      </c>
      <c r="E541" s="6" t="str">
        <f>HYPERLINK("https://twitter.com/sergio_fajardo/status/1250810050278494208","1250810050278494208")</f>
        <v>1250810050278494208</v>
      </c>
      <c r="F541" s="7" t="s">
        <v>17</v>
      </c>
      <c r="G541" s="7">
        <v>1531607</v>
      </c>
      <c r="H541" s="7">
        <v>366</v>
      </c>
      <c r="I541" s="7">
        <v>824</v>
      </c>
      <c r="J541" s="7">
        <v>0</v>
      </c>
      <c r="K541" s="7" t="s">
        <v>18</v>
      </c>
      <c r="L541" s="8">
        <v>39891.213356481479</v>
      </c>
      <c r="M541" s="9" t="s">
        <v>19</v>
      </c>
      <c r="N541" s="9" t="s">
        <v>22</v>
      </c>
      <c r="O541" s="6" t="str">
        <f>HYPERLINK("https://pbs.twimg.com/profile_images/988971255679324162/jrqiIYf__normal.jpg","View")</f>
        <v>View</v>
      </c>
      <c r="P541" s="7"/>
    </row>
    <row r="542" spans="1:16">
      <c r="A542" s="3">
        <v>43937.93445601852</v>
      </c>
      <c r="B542" s="4" t="str">
        <f>HYPERLINK("https://twitter.com/sergio_fajardo","@sergio_fajardo")</f>
        <v>@sergio_fajardo</v>
      </c>
      <c r="C542" s="5" t="s">
        <v>16</v>
      </c>
      <c r="D542" s="5" t="s">
        <v>564</v>
      </c>
      <c r="E542" s="6" t="str">
        <f>HYPERLINK("https://twitter.com/sergio_fajardo/status/1250830216680951818","1250830216680951818")</f>
        <v>1250830216680951818</v>
      </c>
      <c r="F542" s="7" t="s">
        <v>17</v>
      </c>
      <c r="G542" s="7">
        <v>1531630</v>
      </c>
      <c r="H542" s="7">
        <v>366</v>
      </c>
      <c r="I542" s="7">
        <v>14</v>
      </c>
      <c r="J542" s="7">
        <v>0</v>
      </c>
      <c r="K542" s="7" t="s">
        <v>18</v>
      </c>
      <c r="L542" s="8">
        <v>39891.213356481479</v>
      </c>
      <c r="M542" s="9" t="s">
        <v>19</v>
      </c>
      <c r="N542" s="9" t="s">
        <v>22</v>
      </c>
      <c r="O542" s="6" t="str">
        <f>HYPERLINK("https://pbs.twimg.com/profile_images/988971255679324162/jrqiIYf__normal.jpg","View")</f>
        <v>View</v>
      </c>
      <c r="P542" s="7"/>
    </row>
    <row r="543" spans="1:16">
      <c r="A543" s="3">
        <v>43937.935347222221</v>
      </c>
      <c r="B543" s="4" t="str">
        <f>HYPERLINK("https://twitter.com/sergio_fajardo","@sergio_fajardo")</f>
        <v>@sergio_fajardo</v>
      </c>
      <c r="C543" s="5" t="s">
        <v>16</v>
      </c>
      <c r="D543" s="5" t="s">
        <v>565</v>
      </c>
      <c r="E543" s="6" t="str">
        <f>HYPERLINK("https://twitter.com/sergio_fajardo/status/1250830537838809092","1250830537838809092")</f>
        <v>1250830537838809092</v>
      </c>
      <c r="F543" s="7" t="s">
        <v>17</v>
      </c>
      <c r="G543" s="7">
        <v>1531630</v>
      </c>
      <c r="H543" s="7">
        <v>366</v>
      </c>
      <c r="I543" s="7">
        <v>34</v>
      </c>
      <c r="J543" s="7">
        <v>0</v>
      </c>
      <c r="K543" s="7" t="s">
        <v>18</v>
      </c>
      <c r="L543" s="8">
        <v>39891.213356481479</v>
      </c>
      <c r="M543" s="9" t="s">
        <v>19</v>
      </c>
      <c r="N543" s="9" t="s">
        <v>22</v>
      </c>
      <c r="O543" s="6" t="str">
        <f>HYPERLINK("https://pbs.twimg.com/profile_images/988971255679324162/jrqiIYf__normal.jpg","View")</f>
        <v>View</v>
      </c>
      <c r="P543" s="7"/>
    </row>
    <row r="544" spans="1:16">
      <c r="A544" s="3">
        <v>43938.122731481482</v>
      </c>
      <c r="B544" s="4" t="str">
        <f>HYPERLINK("https://twitter.com/sergio_fajardo","@sergio_fajardo")</f>
        <v>@sergio_fajardo</v>
      </c>
      <c r="C544" s="5" t="s">
        <v>16</v>
      </c>
      <c r="D544" s="5" t="s">
        <v>566</v>
      </c>
      <c r="E544" s="6" t="str">
        <f>HYPERLINK("https://twitter.com/sergio_fajardo/status/1250898445474369538","1250898445474369538")</f>
        <v>1250898445474369538</v>
      </c>
      <c r="F544" s="7" t="s">
        <v>17</v>
      </c>
      <c r="G544" s="7">
        <v>1531721</v>
      </c>
      <c r="H544" s="7">
        <v>366</v>
      </c>
      <c r="I544" s="7">
        <v>20</v>
      </c>
      <c r="J544" s="7">
        <v>0</v>
      </c>
      <c r="K544" s="7" t="s">
        <v>18</v>
      </c>
      <c r="L544" s="8">
        <v>39891.213356481479</v>
      </c>
      <c r="M544" s="9" t="s">
        <v>19</v>
      </c>
      <c r="N544" s="9" t="s">
        <v>22</v>
      </c>
      <c r="O544" s="6" t="str">
        <f>HYPERLINK("https://pbs.twimg.com/profile_images/988971255679324162/jrqiIYf__normal.jpg","View")</f>
        <v>View</v>
      </c>
      <c r="P544" s="7"/>
    </row>
    <row r="545" spans="1:16">
      <c r="A545" s="3">
        <v>43938.123692129629</v>
      </c>
      <c r="B545" s="4" t="str">
        <f>HYPERLINK("https://twitter.com/sergio_fajardo","@sergio_fajardo")</f>
        <v>@sergio_fajardo</v>
      </c>
      <c r="C545" s="5" t="s">
        <v>16</v>
      </c>
      <c r="D545" s="5" t="s">
        <v>567</v>
      </c>
      <c r="E545" s="6" t="str">
        <f>HYPERLINK("https://twitter.com/sergio_fajardo/status/1250898791701663751","1250898791701663751")</f>
        <v>1250898791701663751</v>
      </c>
      <c r="F545" s="7" t="s">
        <v>17</v>
      </c>
      <c r="G545" s="7">
        <v>1531721</v>
      </c>
      <c r="H545" s="7">
        <v>366</v>
      </c>
      <c r="I545" s="7">
        <v>2</v>
      </c>
      <c r="J545" s="7">
        <v>0</v>
      </c>
      <c r="K545" s="7" t="s">
        <v>18</v>
      </c>
      <c r="L545" s="8">
        <v>39891.213356481479</v>
      </c>
      <c r="M545" s="9" t="s">
        <v>19</v>
      </c>
      <c r="N545" s="9" t="s">
        <v>22</v>
      </c>
      <c r="O545" s="6" t="str">
        <f>HYPERLINK("https://pbs.twimg.com/profile_images/988971255679324162/jrqiIYf__normal.jpg","View")</f>
        <v>View</v>
      </c>
      <c r="P545" s="7"/>
    </row>
    <row r="546" spans="1:16">
      <c r="A546" s="3">
        <v>43938.123969907407</v>
      </c>
      <c r="B546" s="4" t="str">
        <f>HYPERLINK("https://twitter.com/sergio_fajardo","@sergio_fajardo")</f>
        <v>@sergio_fajardo</v>
      </c>
      <c r="C546" s="5" t="s">
        <v>16</v>
      </c>
      <c r="D546" s="5" t="s">
        <v>568</v>
      </c>
      <c r="E546" s="6" t="str">
        <f>HYPERLINK("https://twitter.com/sergio_fajardo/status/1250898894910881792","1250898894910881792")</f>
        <v>1250898894910881792</v>
      </c>
      <c r="F546" s="7" t="s">
        <v>17</v>
      </c>
      <c r="G546" s="7">
        <v>1531721</v>
      </c>
      <c r="H546" s="7">
        <v>366</v>
      </c>
      <c r="I546" s="7">
        <v>29</v>
      </c>
      <c r="J546" s="7">
        <v>0</v>
      </c>
      <c r="K546" s="7" t="s">
        <v>18</v>
      </c>
      <c r="L546" s="8">
        <v>39891.213356481479</v>
      </c>
      <c r="M546" s="9" t="s">
        <v>19</v>
      </c>
      <c r="N546" s="9" t="s">
        <v>22</v>
      </c>
      <c r="O546" s="6" t="str">
        <f>HYPERLINK("https://pbs.twimg.com/profile_images/988971255679324162/jrqiIYf__normal.jpg","View")</f>
        <v>View</v>
      </c>
      <c r="P546" s="7"/>
    </row>
    <row r="547" spans="1:16">
      <c r="A547" s="3">
        <v>43938.128761574073</v>
      </c>
      <c r="B547" s="4" t="str">
        <f>HYPERLINK("https://twitter.com/sergio_fajardo","@sergio_fajardo")</f>
        <v>@sergio_fajardo</v>
      </c>
      <c r="C547" s="5" t="s">
        <v>16</v>
      </c>
      <c r="D547" s="5" t="s">
        <v>569</v>
      </c>
      <c r="E547" s="6" t="str">
        <f>HYPERLINK("https://twitter.com/sergio_fajardo/status/1250900629339410433","1250900629339410433")</f>
        <v>1250900629339410433</v>
      </c>
      <c r="F547" s="7" t="s">
        <v>17</v>
      </c>
      <c r="G547" s="7">
        <v>1531728</v>
      </c>
      <c r="H547" s="7">
        <v>366</v>
      </c>
      <c r="I547" s="7">
        <v>3</v>
      </c>
      <c r="J547" s="7">
        <v>10</v>
      </c>
      <c r="K547" s="7" t="s">
        <v>18</v>
      </c>
      <c r="L547" s="8">
        <v>39891.213356481479</v>
      </c>
      <c r="M547" s="9" t="s">
        <v>19</v>
      </c>
      <c r="N547" s="9" t="s">
        <v>22</v>
      </c>
      <c r="O547" s="6" t="str">
        <f>HYPERLINK("https://pbs.twimg.com/profile_images/988971255679324162/jrqiIYf__normal.jpg","View")</f>
        <v>View</v>
      </c>
      <c r="P547" s="7"/>
    </row>
    <row r="548" spans="1:16">
      <c r="A548" s="3">
        <v>43938.130520833336</v>
      </c>
      <c r="B548" s="4" t="str">
        <f>HYPERLINK("https://twitter.com/sergio_fajardo","@sergio_fajardo")</f>
        <v>@sergio_fajardo</v>
      </c>
      <c r="C548" s="5" t="s">
        <v>16</v>
      </c>
      <c r="D548" s="5" t="s">
        <v>570</v>
      </c>
      <c r="E548" s="6" t="str">
        <f>HYPERLINK("https://twitter.com/sergio_fajardo/status/1250901267171422208","1250901267171422208")</f>
        <v>1250901267171422208</v>
      </c>
      <c r="F548" s="7" t="s">
        <v>17</v>
      </c>
      <c r="G548" s="7">
        <v>1531728</v>
      </c>
      <c r="H548" s="7">
        <v>366</v>
      </c>
      <c r="I548" s="7">
        <v>27</v>
      </c>
      <c r="J548" s="7">
        <v>100</v>
      </c>
      <c r="K548" s="7" t="s">
        <v>18</v>
      </c>
      <c r="L548" s="8">
        <v>39891.213356481479</v>
      </c>
      <c r="M548" s="9" t="s">
        <v>19</v>
      </c>
      <c r="N548" s="9" t="s">
        <v>22</v>
      </c>
      <c r="O548" s="6" t="str">
        <f>HYPERLINK("https://pbs.twimg.com/profile_images/988971255679324162/jrqiIYf__normal.jpg","View")</f>
        <v>View</v>
      </c>
      <c r="P548" s="7"/>
    </row>
    <row r="549" spans="1:16">
      <c r="A549" s="3">
        <v>43938.133240740739</v>
      </c>
      <c r="B549" s="4" t="str">
        <f>HYPERLINK("https://twitter.com/sergio_fajardo","@sergio_fajardo")</f>
        <v>@sergio_fajardo</v>
      </c>
      <c r="C549" s="5" t="s">
        <v>16</v>
      </c>
      <c r="D549" s="5" t="s">
        <v>571</v>
      </c>
      <c r="E549" s="6" t="str">
        <f>HYPERLINK("https://twitter.com/sergio_fajardo/status/1250902255315935234","1250902255315935234")</f>
        <v>1250902255315935234</v>
      </c>
      <c r="F549" s="7" t="s">
        <v>17</v>
      </c>
      <c r="G549" s="7">
        <v>1531728</v>
      </c>
      <c r="H549" s="7">
        <v>366</v>
      </c>
      <c r="I549" s="7">
        <v>348</v>
      </c>
      <c r="J549" s="7">
        <v>0</v>
      </c>
      <c r="K549" s="7" t="s">
        <v>18</v>
      </c>
      <c r="L549" s="8">
        <v>39891.213356481479</v>
      </c>
      <c r="M549" s="9" t="s">
        <v>19</v>
      </c>
      <c r="N549" s="9" t="s">
        <v>22</v>
      </c>
      <c r="O549" s="6" t="str">
        <f>HYPERLINK("https://pbs.twimg.com/profile_images/988971255679324162/jrqiIYf__normal.jpg","View")</f>
        <v>View</v>
      </c>
      <c r="P549" s="7"/>
    </row>
    <row r="550" spans="1:16">
      <c r="A550" s="3">
        <v>43938.239733796298</v>
      </c>
      <c r="B550" s="4" t="str">
        <f>HYPERLINK("https://twitter.com/sergio_fajardo","@sergio_fajardo")</f>
        <v>@sergio_fajardo</v>
      </c>
      <c r="C550" s="5" t="s">
        <v>16</v>
      </c>
      <c r="D550" s="5" t="s">
        <v>572</v>
      </c>
      <c r="E550" s="6" t="str">
        <f>HYPERLINK("https://twitter.com/sergio_fajardo/status/1250940846549151744","1250940846549151744")</f>
        <v>1250940846549151744</v>
      </c>
      <c r="F550" s="7" t="s">
        <v>17</v>
      </c>
      <c r="G550" s="7">
        <v>1531777</v>
      </c>
      <c r="H550" s="7">
        <v>366</v>
      </c>
      <c r="I550" s="7">
        <v>2</v>
      </c>
      <c r="J550" s="7">
        <v>0</v>
      </c>
      <c r="K550" s="7" t="s">
        <v>18</v>
      </c>
      <c r="L550" s="8">
        <v>39891.213356481479</v>
      </c>
      <c r="M550" s="9" t="s">
        <v>19</v>
      </c>
      <c r="N550" s="9" t="s">
        <v>22</v>
      </c>
      <c r="O550" s="6" t="str">
        <f>HYPERLINK("https://pbs.twimg.com/profile_images/988971255679324162/jrqiIYf__normal.jpg","View")</f>
        <v>View</v>
      </c>
      <c r="P550" s="7"/>
    </row>
    <row r="551" spans="1:16">
      <c r="A551" s="3">
        <v>43938.249756944446</v>
      </c>
      <c r="B551" s="4" t="str">
        <f>HYPERLINK("https://twitter.com/sergio_fajardo","@sergio_fajardo")</f>
        <v>@sergio_fajardo</v>
      </c>
      <c r="C551" s="5" t="s">
        <v>16</v>
      </c>
      <c r="D551" s="5" t="s">
        <v>573</v>
      </c>
      <c r="E551" s="6" t="str">
        <f>HYPERLINK("https://twitter.com/sergio_fajardo/status/1250944479315529731","1250944479315529731")</f>
        <v>1250944479315529731</v>
      </c>
      <c r="F551" s="7" t="s">
        <v>17</v>
      </c>
      <c r="G551" s="7">
        <v>1531777</v>
      </c>
      <c r="H551" s="7">
        <v>366</v>
      </c>
      <c r="I551" s="7">
        <v>19</v>
      </c>
      <c r="J551" s="7">
        <v>0</v>
      </c>
      <c r="K551" s="7" t="s">
        <v>18</v>
      </c>
      <c r="L551" s="8">
        <v>39891.213356481479</v>
      </c>
      <c r="M551" s="9" t="s">
        <v>19</v>
      </c>
      <c r="N551" s="9" t="s">
        <v>22</v>
      </c>
      <c r="O551" s="6" t="str">
        <f>HYPERLINK("https://pbs.twimg.com/profile_images/988971255679324162/jrqiIYf__normal.jpg","View")</f>
        <v>View</v>
      </c>
      <c r="P551" s="7"/>
    </row>
    <row r="552" spans="1:16">
      <c r="A552" s="3">
        <v>43938.252905092595</v>
      </c>
      <c r="B552" s="4" t="str">
        <f>HYPERLINK("https://twitter.com/sergio_fajardo","@sergio_fajardo")</f>
        <v>@sergio_fajardo</v>
      </c>
      <c r="C552" s="5" t="s">
        <v>16</v>
      </c>
      <c r="D552" s="5" t="s">
        <v>574</v>
      </c>
      <c r="E552" s="6" t="str">
        <f>HYPERLINK("https://twitter.com/sergio_fajardo/status/1250945616643076097","1250945616643076097")</f>
        <v>1250945616643076097</v>
      </c>
      <c r="F552" s="7" t="s">
        <v>17</v>
      </c>
      <c r="G552" s="7">
        <v>1531789</v>
      </c>
      <c r="H552" s="7">
        <v>366</v>
      </c>
      <c r="I552" s="7">
        <v>20</v>
      </c>
      <c r="J552" s="7">
        <v>0</v>
      </c>
      <c r="K552" s="7" t="s">
        <v>18</v>
      </c>
      <c r="L552" s="8">
        <v>39891.213356481479</v>
      </c>
      <c r="M552" s="9" t="s">
        <v>19</v>
      </c>
      <c r="N552" s="9" t="s">
        <v>22</v>
      </c>
      <c r="O552" s="6" t="str">
        <f>HYPERLINK("https://pbs.twimg.com/profile_images/988971255679324162/jrqiIYf__normal.jpg","View")</f>
        <v>View</v>
      </c>
      <c r="P552" s="7"/>
    </row>
    <row r="553" spans="1:16">
      <c r="A553" s="3">
        <v>43938.270057870366</v>
      </c>
      <c r="B553" s="4" t="str">
        <f>HYPERLINK("https://twitter.com/sergio_fajardo","@sergio_fajardo")</f>
        <v>@sergio_fajardo</v>
      </c>
      <c r="C553" s="5" t="s">
        <v>16</v>
      </c>
      <c r="D553" s="5" t="s">
        <v>575</v>
      </c>
      <c r="E553" s="6" t="str">
        <f>HYPERLINK("https://twitter.com/sergio_fajardo/status/1250951835608854529","1250951835608854529")</f>
        <v>1250951835608854529</v>
      </c>
      <c r="F553" s="7" t="s">
        <v>17</v>
      </c>
      <c r="G553" s="7">
        <v>1531789</v>
      </c>
      <c r="H553" s="7">
        <v>366</v>
      </c>
      <c r="I553" s="7">
        <v>57</v>
      </c>
      <c r="J553" s="7">
        <v>0</v>
      </c>
      <c r="K553" s="7" t="s">
        <v>18</v>
      </c>
      <c r="L553" s="8">
        <v>39891.213356481479</v>
      </c>
      <c r="M553" s="9" t="s">
        <v>19</v>
      </c>
      <c r="N553" s="9" t="s">
        <v>22</v>
      </c>
      <c r="O553" s="6" t="str">
        <f>HYPERLINK("https://pbs.twimg.com/profile_images/988971255679324162/jrqiIYf__normal.jpg","View")</f>
        <v>View</v>
      </c>
      <c r="P553" s="7"/>
    </row>
    <row r="554" spans="1:16">
      <c r="A554" s="3">
        <v>43938.303981481484</v>
      </c>
      <c r="B554" s="4" t="str">
        <f>HYPERLINK("https://twitter.com/sergio_fajardo","@sergio_fajardo")</f>
        <v>@sergio_fajardo</v>
      </c>
      <c r="C554" s="5" t="s">
        <v>16</v>
      </c>
      <c r="D554" s="5" t="s">
        <v>576</v>
      </c>
      <c r="E554" s="6" t="str">
        <f>HYPERLINK("https://twitter.com/sergio_fajardo/status/1250964128497352704","1250964128497352704")</f>
        <v>1250964128497352704</v>
      </c>
      <c r="F554" s="7" t="s">
        <v>17</v>
      </c>
      <c r="G554" s="7">
        <v>1531814</v>
      </c>
      <c r="H554" s="7">
        <v>366</v>
      </c>
      <c r="I554" s="7">
        <v>222</v>
      </c>
      <c r="J554" s="7">
        <v>0</v>
      </c>
      <c r="K554" s="7" t="s">
        <v>18</v>
      </c>
      <c r="L554" s="8">
        <v>39891.213356481479</v>
      </c>
      <c r="M554" s="9" t="s">
        <v>19</v>
      </c>
      <c r="N554" s="9" t="s">
        <v>22</v>
      </c>
      <c r="O554" s="6" t="str">
        <f>HYPERLINK("https://pbs.twimg.com/profile_images/988971255679324162/jrqiIYf__normal.jpg","View")</f>
        <v>View</v>
      </c>
      <c r="P554" s="7"/>
    </row>
    <row r="555" spans="1:16">
      <c r="A555" s="3">
        <v>43938.743356481486</v>
      </c>
      <c r="B555" s="4" t="str">
        <f>HYPERLINK("https://twitter.com/sergio_fajardo","@sergio_fajardo")</f>
        <v>@sergio_fajardo</v>
      </c>
      <c r="C555" s="5" t="s">
        <v>16</v>
      </c>
      <c r="D555" s="5" t="s">
        <v>577</v>
      </c>
      <c r="E555" s="6" t="str">
        <f>HYPERLINK("https://twitter.com/sergio_fajardo/status/1251123352615497733","1251123352615497733")</f>
        <v>1251123352615497733</v>
      </c>
      <c r="F555" s="7" t="s">
        <v>17</v>
      </c>
      <c r="G555" s="7">
        <v>1531910</v>
      </c>
      <c r="H555" s="7">
        <v>366</v>
      </c>
      <c r="I555" s="7">
        <v>3</v>
      </c>
      <c r="J555" s="7">
        <v>0</v>
      </c>
      <c r="K555" s="7" t="s">
        <v>18</v>
      </c>
      <c r="L555" s="8">
        <v>39891.213356481479</v>
      </c>
      <c r="M555" s="9" t="s">
        <v>19</v>
      </c>
      <c r="N555" s="9" t="s">
        <v>22</v>
      </c>
      <c r="O555" s="6" t="str">
        <f>HYPERLINK("https://pbs.twimg.com/profile_images/988971255679324162/jrqiIYf__normal.jpg","View")</f>
        <v>View</v>
      </c>
      <c r="P555" s="7"/>
    </row>
    <row r="556" spans="1:16">
      <c r="A556" s="3">
        <v>43938.954965277779</v>
      </c>
      <c r="B556" s="4" t="str">
        <f>HYPERLINK("https://twitter.com/sergio_fajardo","@sergio_fajardo")</f>
        <v>@sergio_fajardo</v>
      </c>
      <c r="C556" s="5" t="s">
        <v>16</v>
      </c>
      <c r="D556" s="5" t="s">
        <v>578</v>
      </c>
      <c r="E556" s="6" t="str">
        <f>HYPERLINK("https://twitter.com/sergio_fajardo/status/1251200034949017604","1251200034949017604")</f>
        <v>1251200034949017604</v>
      </c>
      <c r="F556" s="7" t="s">
        <v>17</v>
      </c>
      <c r="G556" s="7">
        <v>1532022</v>
      </c>
      <c r="H556" s="7">
        <v>366</v>
      </c>
      <c r="I556" s="7">
        <v>36</v>
      </c>
      <c r="J556" s="7">
        <v>0</v>
      </c>
      <c r="K556" s="7" t="s">
        <v>18</v>
      </c>
      <c r="L556" s="8">
        <v>39891.213356481479</v>
      </c>
      <c r="M556" s="9" t="s">
        <v>19</v>
      </c>
      <c r="N556" s="9" t="s">
        <v>22</v>
      </c>
      <c r="O556" s="6" t="str">
        <f>HYPERLINK("https://pbs.twimg.com/profile_images/988971255679324162/jrqiIYf__normal.jpg","View")</f>
        <v>View</v>
      </c>
      <c r="P556" s="7"/>
    </row>
    <row r="557" spans="1:16">
      <c r="A557" s="3">
        <v>43938.969976851848</v>
      </c>
      <c r="B557" s="4" t="str">
        <f>HYPERLINK("https://twitter.com/sergio_fajardo","@sergio_fajardo")</f>
        <v>@sergio_fajardo</v>
      </c>
      <c r="C557" s="5" t="s">
        <v>16</v>
      </c>
      <c r="D557" s="5" t="s">
        <v>579</v>
      </c>
      <c r="E557" s="6" t="str">
        <f>HYPERLINK("https://twitter.com/sergio_fajardo/status/1251205475821129730","1251205475821129730")</f>
        <v>1251205475821129730</v>
      </c>
      <c r="F557" s="7" t="s">
        <v>17</v>
      </c>
      <c r="G557" s="7">
        <v>1532030</v>
      </c>
      <c r="H557" s="7">
        <v>366</v>
      </c>
      <c r="I557" s="7">
        <v>1</v>
      </c>
      <c r="J557" s="7">
        <v>0</v>
      </c>
      <c r="K557" s="7" t="s">
        <v>18</v>
      </c>
      <c r="L557" s="8">
        <v>39891.213356481479</v>
      </c>
      <c r="M557" s="9" t="s">
        <v>19</v>
      </c>
      <c r="N557" s="9" t="s">
        <v>22</v>
      </c>
      <c r="O557" s="6" t="str">
        <f>HYPERLINK("https://pbs.twimg.com/profile_images/988971255679324162/jrqiIYf__normal.jpg","View")</f>
        <v>View</v>
      </c>
      <c r="P557" s="7"/>
    </row>
    <row r="558" spans="1:16">
      <c r="A558" s="3">
        <v>43939.154791666668</v>
      </c>
      <c r="B558" s="4" t="str">
        <f>HYPERLINK("https://twitter.com/sergio_fajardo","@sergio_fajardo")</f>
        <v>@sergio_fajardo</v>
      </c>
      <c r="C558" s="5" t="s">
        <v>16</v>
      </c>
      <c r="D558" s="5" t="s">
        <v>580</v>
      </c>
      <c r="E558" s="6" t="str">
        <f>HYPERLINK("https://twitter.com/sergio_fajardo/status/1251272451973099520","1251272451973099520")</f>
        <v>1251272451973099520</v>
      </c>
      <c r="F558" s="7" t="s">
        <v>17</v>
      </c>
      <c r="G558" s="7">
        <v>1532115</v>
      </c>
      <c r="H558" s="7">
        <v>367</v>
      </c>
      <c r="I558" s="7">
        <v>10</v>
      </c>
      <c r="J558" s="7">
        <v>36</v>
      </c>
      <c r="K558" s="7" t="s">
        <v>18</v>
      </c>
      <c r="L558" s="8">
        <v>39891.213356481479</v>
      </c>
      <c r="M558" s="9" t="s">
        <v>19</v>
      </c>
      <c r="N558" s="9" t="s">
        <v>22</v>
      </c>
      <c r="O558" s="6" t="str">
        <f>HYPERLINK("https://pbs.twimg.com/profile_images/988971255679324162/jrqiIYf__normal.jpg","View")</f>
        <v>View</v>
      </c>
      <c r="P558" s="7"/>
    </row>
    <row r="559" spans="1:16">
      <c r="A559" s="3">
        <v>43939.164340277777</v>
      </c>
      <c r="B559" s="4" t="str">
        <f>HYPERLINK("https://twitter.com/sergio_fajardo","@sergio_fajardo")</f>
        <v>@sergio_fajardo</v>
      </c>
      <c r="C559" s="5" t="s">
        <v>16</v>
      </c>
      <c r="D559" s="5" t="s">
        <v>581</v>
      </c>
      <c r="E559" s="6" t="str">
        <f>HYPERLINK("https://twitter.com/sergio_fajardo/status/1251275912030695426","1251275912030695426")</f>
        <v>1251275912030695426</v>
      </c>
      <c r="F559" s="7" t="s">
        <v>17</v>
      </c>
      <c r="G559" s="7">
        <v>1532115</v>
      </c>
      <c r="H559" s="7">
        <v>367</v>
      </c>
      <c r="I559" s="7">
        <v>9</v>
      </c>
      <c r="J559" s="7">
        <v>0</v>
      </c>
      <c r="K559" s="7" t="s">
        <v>18</v>
      </c>
      <c r="L559" s="8">
        <v>39891.213356481479</v>
      </c>
      <c r="M559" s="9" t="s">
        <v>19</v>
      </c>
      <c r="N559" s="9" t="s">
        <v>22</v>
      </c>
      <c r="O559" s="6" t="str">
        <f>HYPERLINK("https://pbs.twimg.com/profile_images/988971255679324162/jrqiIYf__normal.jpg","View")</f>
        <v>View</v>
      </c>
      <c r="P559" s="7"/>
    </row>
    <row r="560" spans="1:16">
      <c r="A560" s="3">
        <v>43939.164884259255</v>
      </c>
      <c r="B560" s="4" t="str">
        <f>HYPERLINK("https://twitter.com/sergio_fajardo","@sergio_fajardo")</f>
        <v>@sergio_fajardo</v>
      </c>
      <c r="C560" s="5" t="s">
        <v>16</v>
      </c>
      <c r="D560" s="5" t="s">
        <v>582</v>
      </c>
      <c r="E560" s="6" t="str">
        <f>HYPERLINK("https://twitter.com/sergio_fajardo/status/1251276109955637251","1251276109955637251")</f>
        <v>1251276109955637251</v>
      </c>
      <c r="F560" s="7" t="s">
        <v>17</v>
      </c>
      <c r="G560" s="7">
        <v>1532115</v>
      </c>
      <c r="H560" s="7">
        <v>367</v>
      </c>
      <c r="I560" s="7">
        <v>1270</v>
      </c>
      <c r="J560" s="7">
        <v>0</v>
      </c>
      <c r="K560" s="7" t="s">
        <v>18</v>
      </c>
      <c r="L560" s="8">
        <v>39891.213356481479</v>
      </c>
      <c r="M560" s="9" t="s">
        <v>19</v>
      </c>
      <c r="N560" s="9" t="s">
        <v>22</v>
      </c>
      <c r="O560" s="6" t="str">
        <f>HYPERLINK("https://pbs.twimg.com/profile_images/988971255679324162/jrqiIYf__normal.jpg","View")</f>
        <v>View</v>
      </c>
      <c r="P560" s="7"/>
    </row>
    <row r="561" spans="1:16">
      <c r="A561" s="3">
        <v>43939.166469907403</v>
      </c>
      <c r="B561" s="4" t="str">
        <f>HYPERLINK("https://twitter.com/sergio_fajardo","@sergio_fajardo")</f>
        <v>@sergio_fajardo</v>
      </c>
      <c r="C561" s="5" t="s">
        <v>16</v>
      </c>
      <c r="D561" s="5" t="s">
        <v>583</v>
      </c>
      <c r="E561" s="6" t="str">
        <f>HYPERLINK("https://twitter.com/sergio_fajardo/status/1251276682734047233","1251276682734047233")</f>
        <v>1251276682734047233</v>
      </c>
      <c r="F561" s="7" t="s">
        <v>17</v>
      </c>
      <c r="G561" s="7">
        <v>1532115</v>
      </c>
      <c r="H561" s="7">
        <v>367</v>
      </c>
      <c r="I561" s="7">
        <v>35</v>
      </c>
      <c r="J561" s="7">
        <v>0</v>
      </c>
      <c r="K561" s="7" t="s">
        <v>18</v>
      </c>
      <c r="L561" s="8">
        <v>39891.213356481479</v>
      </c>
      <c r="M561" s="9" t="s">
        <v>19</v>
      </c>
      <c r="N561" s="9" t="s">
        <v>22</v>
      </c>
      <c r="O561" s="6" t="str">
        <f>HYPERLINK("https://pbs.twimg.com/profile_images/988971255679324162/jrqiIYf__normal.jpg","View")</f>
        <v>View</v>
      </c>
      <c r="P561" s="7"/>
    </row>
    <row r="562" spans="1:16">
      <c r="A562" s="3">
        <v>43939.308912037042</v>
      </c>
      <c r="B562" s="4" t="str">
        <f>HYPERLINK("https://twitter.com/sergio_fajardo","@sergio_fajardo")</f>
        <v>@sergio_fajardo</v>
      </c>
      <c r="C562" s="5" t="s">
        <v>16</v>
      </c>
      <c r="D562" s="5" t="s">
        <v>584</v>
      </c>
      <c r="E562" s="6" t="str">
        <f>HYPERLINK("https://twitter.com/sergio_fajardo/status/1251328300837896193","1251328300837896193")</f>
        <v>1251328300837896193</v>
      </c>
      <c r="F562" s="7" t="s">
        <v>17</v>
      </c>
      <c r="G562" s="7">
        <v>1532181</v>
      </c>
      <c r="H562" s="7">
        <v>367</v>
      </c>
      <c r="I562" s="7">
        <v>1</v>
      </c>
      <c r="J562" s="7">
        <v>0</v>
      </c>
      <c r="K562" s="7" t="s">
        <v>18</v>
      </c>
      <c r="L562" s="8">
        <v>39891.213356481479</v>
      </c>
      <c r="M562" s="9" t="s">
        <v>19</v>
      </c>
      <c r="N562" s="9" t="s">
        <v>22</v>
      </c>
      <c r="O562" s="6" t="str">
        <f>HYPERLINK("https://pbs.twimg.com/profile_images/988971255679324162/jrqiIYf__normal.jpg","View")</f>
        <v>View</v>
      </c>
      <c r="P562" s="7"/>
    </row>
    <row r="563" spans="1:16">
      <c r="A563" s="3">
        <v>43939.718703703707</v>
      </c>
      <c r="B563" s="4" t="str">
        <f>HYPERLINK("https://twitter.com/sergio_fajardo","@sergio_fajardo")</f>
        <v>@sergio_fajardo</v>
      </c>
      <c r="C563" s="5" t="s">
        <v>16</v>
      </c>
      <c r="D563" s="5" t="s">
        <v>585</v>
      </c>
      <c r="E563" s="6" t="str">
        <f>HYPERLINK("https://twitter.com/sergio_fajardo/status/1251476804323377159","1251476804323377159")</f>
        <v>1251476804323377159</v>
      </c>
      <c r="F563" s="7" t="s">
        <v>17</v>
      </c>
      <c r="G563" s="7">
        <v>1532286</v>
      </c>
      <c r="H563" s="7">
        <v>367</v>
      </c>
      <c r="I563" s="7">
        <v>29</v>
      </c>
      <c r="J563" s="7">
        <v>0</v>
      </c>
      <c r="K563" s="7" t="s">
        <v>18</v>
      </c>
      <c r="L563" s="8">
        <v>39891.213356481479</v>
      </c>
      <c r="M563" s="9" t="s">
        <v>19</v>
      </c>
      <c r="N563" s="9" t="s">
        <v>22</v>
      </c>
      <c r="O563" s="6" t="str">
        <f>HYPERLINK("https://pbs.twimg.com/profile_images/988971255679324162/jrqiIYf__normal.jpg","View")</f>
        <v>View</v>
      </c>
      <c r="P563" s="7"/>
    </row>
    <row r="564" spans="1:16">
      <c r="A564" s="3">
        <v>43939.754571759258</v>
      </c>
      <c r="B564" s="4" t="str">
        <f>HYPERLINK("https://twitter.com/sergio_fajardo","@sergio_fajardo")</f>
        <v>@sergio_fajardo</v>
      </c>
      <c r="C564" s="5" t="s">
        <v>16</v>
      </c>
      <c r="D564" s="5" t="s">
        <v>586</v>
      </c>
      <c r="E564" s="6" t="str">
        <f>HYPERLINK("https://twitter.com/sergio_fajardo/status/1251489805348884481","1251489805348884481")</f>
        <v>1251489805348884481</v>
      </c>
      <c r="F564" s="7" t="s">
        <v>17</v>
      </c>
      <c r="G564" s="7">
        <v>1532294</v>
      </c>
      <c r="H564" s="7">
        <v>367</v>
      </c>
      <c r="I564" s="7">
        <v>7</v>
      </c>
      <c r="J564" s="7">
        <v>0</v>
      </c>
      <c r="K564" s="7" t="s">
        <v>18</v>
      </c>
      <c r="L564" s="8">
        <v>39891.213356481479</v>
      </c>
      <c r="M564" s="9" t="s">
        <v>19</v>
      </c>
      <c r="N564" s="9" t="s">
        <v>22</v>
      </c>
      <c r="O564" s="6" t="str">
        <f>HYPERLINK("https://pbs.twimg.com/profile_images/988971255679324162/jrqiIYf__normal.jpg","View")</f>
        <v>View</v>
      </c>
      <c r="P564" s="7"/>
    </row>
    <row r="565" spans="1:16">
      <c r="A565" s="3">
        <v>43939.843472222223</v>
      </c>
      <c r="B565" s="4" t="str">
        <f>HYPERLINK("https://twitter.com/sergio_fajardo","@sergio_fajardo")</f>
        <v>@sergio_fajardo</v>
      </c>
      <c r="C565" s="5" t="s">
        <v>16</v>
      </c>
      <c r="D565" s="5" t="s">
        <v>587</v>
      </c>
      <c r="E565" s="6" t="str">
        <f>HYPERLINK("https://twitter.com/sergio_fajardo/status/1251522020787052545","1251522020787052545")</f>
        <v>1251522020787052545</v>
      </c>
      <c r="F565" s="7" t="s">
        <v>17</v>
      </c>
      <c r="G565" s="7">
        <v>1532349</v>
      </c>
      <c r="H565" s="7">
        <v>367</v>
      </c>
      <c r="I565" s="7">
        <v>4</v>
      </c>
      <c r="J565" s="7">
        <v>0</v>
      </c>
      <c r="K565" s="7" t="s">
        <v>18</v>
      </c>
      <c r="L565" s="8">
        <v>39891.213356481479</v>
      </c>
      <c r="M565" s="9" t="s">
        <v>19</v>
      </c>
      <c r="N565" s="9" t="s">
        <v>22</v>
      </c>
      <c r="O565" s="6" t="str">
        <f>HYPERLINK("https://pbs.twimg.com/profile_images/988971255679324162/jrqiIYf__normal.jpg","View")</f>
        <v>View</v>
      </c>
      <c r="P565" s="7"/>
    </row>
    <row r="566" spans="1:16">
      <c r="A566" s="3">
        <v>43939.854363425926</v>
      </c>
      <c r="B566" s="4" t="str">
        <f>HYPERLINK("https://twitter.com/sergio_fajardo","@sergio_fajardo")</f>
        <v>@sergio_fajardo</v>
      </c>
      <c r="C566" s="5" t="s">
        <v>16</v>
      </c>
      <c r="D566" s="5" t="s">
        <v>588</v>
      </c>
      <c r="E566" s="6" t="str">
        <f>HYPERLINK("https://twitter.com/sergio_fajardo/status/1251525965991247873","1251525965991247873")</f>
        <v>1251525965991247873</v>
      </c>
      <c r="F566" s="7" t="s">
        <v>17</v>
      </c>
      <c r="G566" s="7">
        <v>1532349</v>
      </c>
      <c r="H566" s="7">
        <v>367</v>
      </c>
      <c r="I566" s="7">
        <v>2</v>
      </c>
      <c r="J566" s="7">
        <v>0</v>
      </c>
      <c r="K566" s="7" t="s">
        <v>18</v>
      </c>
      <c r="L566" s="8">
        <v>39891.213356481479</v>
      </c>
      <c r="M566" s="9" t="s">
        <v>19</v>
      </c>
      <c r="N566" s="9" t="s">
        <v>22</v>
      </c>
      <c r="O566" s="6" t="str">
        <f>HYPERLINK("https://pbs.twimg.com/profile_images/988971255679324162/jrqiIYf__normal.jpg","View")</f>
        <v>View</v>
      </c>
      <c r="P566" s="7"/>
    </row>
    <row r="567" spans="1:16">
      <c r="A567" s="3">
        <v>43939.854895833334</v>
      </c>
      <c r="B567" s="4" t="str">
        <f>HYPERLINK("https://twitter.com/sergio_fajardo","@sergio_fajardo")</f>
        <v>@sergio_fajardo</v>
      </c>
      <c r="C567" s="5" t="s">
        <v>16</v>
      </c>
      <c r="D567" s="5" t="s">
        <v>589</v>
      </c>
      <c r="E567" s="6" t="str">
        <f>HYPERLINK("https://twitter.com/sergio_fajardo/status/1251526161043243015","1251526161043243015")</f>
        <v>1251526161043243015</v>
      </c>
      <c r="F567" s="7" t="s">
        <v>17</v>
      </c>
      <c r="G567" s="7">
        <v>1532349</v>
      </c>
      <c r="H567" s="7">
        <v>367</v>
      </c>
      <c r="I567" s="7">
        <v>156</v>
      </c>
      <c r="J567" s="7">
        <v>0</v>
      </c>
      <c r="K567" s="7" t="s">
        <v>18</v>
      </c>
      <c r="L567" s="8">
        <v>39891.213356481479</v>
      </c>
      <c r="M567" s="9" t="s">
        <v>19</v>
      </c>
      <c r="N567" s="9" t="s">
        <v>22</v>
      </c>
      <c r="O567" s="6" t="str">
        <f>HYPERLINK("https://pbs.twimg.com/profile_images/988971255679324162/jrqiIYf__normal.jpg","View")</f>
        <v>View</v>
      </c>
      <c r="P567" s="7"/>
    </row>
    <row r="568" spans="1:16">
      <c r="A568" s="3">
        <v>43939.860648148147</v>
      </c>
      <c r="B568" s="4" t="str">
        <f>HYPERLINK("https://twitter.com/sergio_fajardo","@sergio_fajardo")</f>
        <v>@sergio_fajardo</v>
      </c>
      <c r="C568" s="5" t="s">
        <v>16</v>
      </c>
      <c r="D568" s="5" t="s">
        <v>590</v>
      </c>
      <c r="E568" s="6" t="str">
        <f>HYPERLINK("https://twitter.com/sergio_fajardo/status/1251528245620719616","1251528245620719616")</f>
        <v>1251528245620719616</v>
      </c>
      <c r="F568" s="7" t="s">
        <v>17</v>
      </c>
      <c r="G568" s="7">
        <v>1532362</v>
      </c>
      <c r="H568" s="7">
        <v>367</v>
      </c>
      <c r="I568" s="7">
        <v>58</v>
      </c>
      <c r="J568" s="7">
        <v>0</v>
      </c>
      <c r="K568" s="7" t="s">
        <v>18</v>
      </c>
      <c r="L568" s="8">
        <v>39891.213356481479</v>
      </c>
      <c r="M568" s="9" t="s">
        <v>19</v>
      </c>
      <c r="N568" s="9" t="s">
        <v>22</v>
      </c>
      <c r="O568" s="6" t="str">
        <f>HYPERLINK("https://pbs.twimg.com/profile_images/988971255679324162/jrqiIYf__normal.jpg","View")</f>
        <v>View</v>
      </c>
      <c r="P568" s="7"/>
    </row>
    <row r="569" spans="1:16">
      <c r="A569" s="3">
        <v>43939.865231481483</v>
      </c>
      <c r="B569" s="4" t="str">
        <f>HYPERLINK("https://twitter.com/sergio_fajardo","@sergio_fajardo")</f>
        <v>@sergio_fajardo</v>
      </c>
      <c r="C569" s="5" t="s">
        <v>16</v>
      </c>
      <c r="D569" s="5" t="s">
        <v>591</v>
      </c>
      <c r="E569" s="6" t="str">
        <f>HYPERLINK("https://twitter.com/sergio_fajardo/status/1251529906451857408","1251529906451857408")</f>
        <v>1251529906451857408</v>
      </c>
      <c r="F569" s="7" t="s">
        <v>17</v>
      </c>
      <c r="G569" s="7">
        <v>1532362</v>
      </c>
      <c r="H569" s="7">
        <v>367</v>
      </c>
      <c r="I569" s="7">
        <v>243</v>
      </c>
      <c r="J569" s="7">
        <v>0</v>
      </c>
      <c r="K569" s="7" t="s">
        <v>18</v>
      </c>
      <c r="L569" s="8">
        <v>39891.213356481479</v>
      </c>
      <c r="M569" s="9" t="s">
        <v>19</v>
      </c>
      <c r="N569" s="9" t="s">
        <v>22</v>
      </c>
      <c r="O569" s="6" t="str">
        <f>HYPERLINK("https://pbs.twimg.com/profile_images/988971255679324162/jrqiIYf__normal.jpg","View")</f>
        <v>View</v>
      </c>
      <c r="P569" s="7"/>
    </row>
    <row r="570" spans="1:16">
      <c r="A570" s="3">
        <v>43939.865381944444</v>
      </c>
      <c r="B570" s="4" t="str">
        <f>HYPERLINK("https://twitter.com/sergio_fajardo","@sergio_fajardo")</f>
        <v>@sergio_fajardo</v>
      </c>
      <c r="C570" s="5" t="s">
        <v>16</v>
      </c>
      <c r="D570" s="5" t="s">
        <v>592</v>
      </c>
      <c r="E570" s="6" t="str">
        <f>HYPERLINK("https://twitter.com/sergio_fajardo/status/1251529961724350466","1251529961724350466")</f>
        <v>1251529961724350466</v>
      </c>
      <c r="F570" s="7" t="s">
        <v>17</v>
      </c>
      <c r="G570" s="7">
        <v>1532362</v>
      </c>
      <c r="H570" s="7">
        <v>367</v>
      </c>
      <c r="I570" s="7">
        <v>3</v>
      </c>
      <c r="J570" s="7">
        <v>0</v>
      </c>
      <c r="K570" s="7" t="s">
        <v>18</v>
      </c>
      <c r="L570" s="8">
        <v>39891.213356481479</v>
      </c>
      <c r="M570" s="9" t="s">
        <v>19</v>
      </c>
      <c r="N570" s="9" t="s">
        <v>22</v>
      </c>
      <c r="O570" s="6" t="str">
        <f>HYPERLINK("https://pbs.twimg.com/profile_images/988971255679324162/jrqiIYf__normal.jpg","View")</f>
        <v>View</v>
      </c>
      <c r="P570" s="7"/>
    </row>
    <row r="571" spans="1:16">
      <c r="A571" s="3">
        <v>43939.912083333329</v>
      </c>
      <c r="B571" s="4" t="str">
        <f>HYPERLINK("https://twitter.com/sergio_fajardo","@sergio_fajardo")</f>
        <v>@sergio_fajardo</v>
      </c>
      <c r="C571" s="5" t="s">
        <v>16</v>
      </c>
      <c r="D571" s="5" t="s">
        <v>593</v>
      </c>
      <c r="E571" s="6" t="str">
        <f>HYPERLINK("https://twitter.com/sergio_fajardo/status/1251546883648040966","1251546883648040966")</f>
        <v>1251546883648040966</v>
      </c>
      <c r="F571" s="7" t="s">
        <v>17</v>
      </c>
      <c r="G571" s="7">
        <v>1532395</v>
      </c>
      <c r="H571" s="7">
        <v>367</v>
      </c>
      <c r="I571" s="7">
        <v>23</v>
      </c>
      <c r="J571" s="7">
        <v>79</v>
      </c>
      <c r="K571" s="7" t="s">
        <v>18</v>
      </c>
      <c r="L571" s="8">
        <v>39891.213356481479</v>
      </c>
      <c r="M571" s="9" t="s">
        <v>19</v>
      </c>
      <c r="N571" s="9" t="s">
        <v>22</v>
      </c>
      <c r="O571" s="6" t="str">
        <f>HYPERLINK("https://pbs.twimg.com/profile_images/988971255679324162/jrqiIYf__normal.jpg","View")</f>
        <v>View</v>
      </c>
      <c r="P571" s="7"/>
    </row>
    <row r="572" spans="1:16">
      <c r="A572" s="3">
        <v>43939.9378125</v>
      </c>
      <c r="B572" s="4" t="str">
        <f>HYPERLINK("https://twitter.com/sergio_fajardo","@sergio_fajardo")</f>
        <v>@sergio_fajardo</v>
      </c>
      <c r="C572" s="5" t="s">
        <v>16</v>
      </c>
      <c r="D572" s="5" t="s">
        <v>594</v>
      </c>
      <c r="E572" s="6" t="str">
        <f>HYPERLINK("https://twitter.com/sergio_fajardo/status/1251556209636847616","1251556209636847616")</f>
        <v>1251556209636847616</v>
      </c>
      <c r="F572" s="7" t="s">
        <v>17</v>
      </c>
      <c r="G572" s="7">
        <v>1532414</v>
      </c>
      <c r="H572" s="7">
        <v>367</v>
      </c>
      <c r="I572" s="7">
        <v>97</v>
      </c>
      <c r="J572" s="7">
        <v>0</v>
      </c>
      <c r="K572" s="7" t="s">
        <v>18</v>
      </c>
      <c r="L572" s="8">
        <v>39891.213356481479</v>
      </c>
      <c r="M572" s="9" t="s">
        <v>19</v>
      </c>
      <c r="N572" s="9" t="s">
        <v>22</v>
      </c>
      <c r="O572" s="6" t="str">
        <f>HYPERLINK("https://pbs.twimg.com/profile_images/988971255679324162/jrqiIYf__normal.jpg","View")</f>
        <v>View</v>
      </c>
      <c r="P572" s="7"/>
    </row>
    <row r="573" spans="1:16">
      <c r="A573" s="3">
        <v>43940.724259259259</v>
      </c>
      <c r="B573" s="4" t="str">
        <f>HYPERLINK("https://twitter.com/sergio_fajardo","@sergio_fajardo")</f>
        <v>@sergio_fajardo</v>
      </c>
      <c r="C573" s="5" t="s">
        <v>16</v>
      </c>
      <c r="D573" s="5" t="s">
        <v>595</v>
      </c>
      <c r="E573" s="6" t="str">
        <f>HYPERLINK("https://twitter.com/sergio_fajardo/status/1251841207602491393","1251841207602491393")</f>
        <v>1251841207602491393</v>
      </c>
      <c r="F573" s="7" t="s">
        <v>17</v>
      </c>
      <c r="G573" s="7">
        <v>1532819</v>
      </c>
      <c r="H573" s="7">
        <v>368</v>
      </c>
      <c r="I573" s="7">
        <v>5</v>
      </c>
      <c r="J573" s="7">
        <v>5</v>
      </c>
      <c r="K573" s="7" t="s">
        <v>18</v>
      </c>
      <c r="L573" s="8">
        <v>39891.213356481479</v>
      </c>
      <c r="M573" s="9" t="s">
        <v>19</v>
      </c>
      <c r="N573" s="9" t="s">
        <v>22</v>
      </c>
      <c r="O573" s="6" t="str">
        <f>HYPERLINK("https://pbs.twimg.com/profile_images/988971255679324162/jrqiIYf__normal.jpg","View")</f>
        <v>View</v>
      </c>
      <c r="P573" s="7"/>
    </row>
    <row r="574" spans="1:16">
      <c r="A574" s="3">
        <v>43940.744386574079</v>
      </c>
      <c r="B574" s="4" t="str">
        <f>HYPERLINK("https://twitter.com/sergio_fajardo","@sergio_fajardo")</f>
        <v>@sergio_fajardo</v>
      </c>
      <c r="C574" s="5" t="s">
        <v>16</v>
      </c>
      <c r="D574" s="5" t="s">
        <v>596</v>
      </c>
      <c r="E574" s="6" t="str">
        <f>HYPERLINK("https://twitter.com/sergio_fajardo/status/1251848502658904066","1251848502658904066")</f>
        <v>1251848502658904066</v>
      </c>
      <c r="F574" s="7" t="s">
        <v>17</v>
      </c>
      <c r="G574" s="7">
        <v>1532828</v>
      </c>
      <c r="H574" s="7">
        <v>368</v>
      </c>
      <c r="I574" s="7">
        <v>795</v>
      </c>
      <c r="J574" s="7">
        <v>0</v>
      </c>
      <c r="K574" s="7" t="s">
        <v>18</v>
      </c>
      <c r="L574" s="8">
        <v>39891.213356481479</v>
      </c>
      <c r="M574" s="9" t="s">
        <v>19</v>
      </c>
      <c r="N574" s="9" t="s">
        <v>22</v>
      </c>
      <c r="O574" s="6" t="str">
        <f>HYPERLINK("https://pbs.twimg.com/profile_images/988971255679324162/jrqiIYf__normal.jpg","View")</f>
        <v>View</v>
      </c>
      <c r="P574" s="7"/>
    </row>
    <row r="575" spans="1:16">
      <c r="A575" s="3">
        <v>43940.915763888886</v>
      </c>
      <c r="B575" s="4" t="str">
        <f>HYPERLINK("https://twitter.com/sergio_fajardo","@sergio_fajardo")</f>
        <v>@sergio_fajardo</v>
      </c>
      <c r="C575" s="5" t="s">
        <v>16</v>
      </c>
      <c r="D575" s="5" t="s">
        <v>597</v>
      </c>
      <c r="E575" s="6" t="str">
        <f>HYPERLINK("https://twitter.com/sergio_fajardo/status/1251910605625266179","1251910605625266179")</f>
        <v>1251910605625266179</v>
      </c>
      <c r="F575" s="7" t="s">
        <v>17</v>
      </c>
      <c r="G575" s="7">
        <v>1532941</v>
      </c>
      <c r="H575" s="7">
        <v>368</v>
      </c>
      <c r="I575" s="7">
        <v>8</v>
      </c>
      <c r="J575" s="7">
        <v>0</v>
      </c>
      <c r="K575" s="7" t="s">
        <v>18</v>
      </c>
      <c r="L575" s="8">
        <v>39891.213356481479</v>
      </c>
      <c r="M575" s="9" t="s">
        <v>19</v>
      </c>
      <c r="N575" s="9" t="s">
        <v>22</v>
      </c>
      <c r="O575" s="6" t="str">
        <f>HYPERLINK("https://pbs.twimg.com/profile_images/988971255679324162/jrqiIYf__normal.jpg","View")</f>
        <v>View</v>
      </c>
      <c r="P575" s="7"/>
    </row>
    <row r="576" spans="1:16">
      <c r="A576" s="3">
        <v>43941.059259259258</v>
      </c>
      <c r="B576" s="4" t="str">
        <f>HYPERLINK("https://twitter.com/sergio_fajardo","@sergio_fajardo")</f>
        <v>@sergio_fajardo</v>
      </c>
      <c r="C576" s="5" t="s">
        <v>16</v>
      </c>
      <c r="D576" s="5" t="s">
        <v>598</v>
      </c>
      <c r="E576" s="6" t="str">
        <f>HYPERLINK("https://twitter.com/sergio_fajardo/status/1251962606262398976","1251962606262398976")</f>
        <v>1251962606262398976</v>
      </c>
      <c r="F576" s="7" t="s">
        <v>17</v>
      </c>
      <c r="G576" s="7">
        <v>1533059</v>
      </c>
      <c r="H576" s="7">
        <v>368</v>
      </c>
      <c r="I576" s="7">
        <v>2</v>
      </c>
      <c r="J576" s="7">
        <v>6</v>
      </c>
      <c r="K576" s="7" t="s">
        <v>18</v>
      </c>
      <c r="L576" s="8">
        <v>39891.213356481479</v>
      </c>
      <c r="M576" s="9" t="s">
        <v>19</v>
      </c>
      <c r="N576" s="9" t="s">
        <v>22</v>
      </c>
      <c r="O576" s="6" t="str">
        <f>HYPERLINK("https://pbs.twimg.com/profile_images/988971255679324162/jrqiIYf__normal.jpg","View")</f>
        <v>View</v>
      </c>
      <c r="P576" s="7"/>
    </row>
    <row r="577" spans="1:16">
      <c r="A577" s="3">
        <v>43941.263240740736</v>
      </c>
      <c r="B577" s="4" t="str">
        <f>HYPERLINK("https://twitter.com/sergio_fajardo","@sergio_fajardo")</f>
        <v>@sergio_fajardo</v>
      </c>
      <c r="C577" s="5" t="s">
        <v>16</v>
      </c>
      <c r="D577" s="5" t="s">
        <v>599</v>
      </c>
      <c r="E577" s="6" t="str">
        <f>HYPERLINK("https://twitter.com/sergio_fajardo/status/1252036527892422663","1252036527892422663")</f>
        <v>1252036527892422663</v>
      </c>
      <c r="F577" s="7" t="s">
        <v>17</v>
      </c>
      <c r="G577" s="7">
        <v>1533176</v>
      </c>
      <c r="H577" s="7">
        <v>368</v>
      </c>
      <c r="I577" s="7">
        <v>3</v>
      </c>
      <c r="J577" s="7">
        <v>0</v>
      </c>
      <c r="K577" s="7" t="s">
        <v>18</v>
      </c>
      <c r="L577" s="8">
        <v>39891.213356481479</v>
      </c>
      <c r="M577" s="9" t="s">
        <v>19</v>
      </c>
      <c r="N577" s="9" t="s">
        <v>22</v>
      </c>
      <c r="O577" s="6" t="str">
        <f>HYPERLINK("https://pbs.twimg.com/profile_images/988971255679324162/jrqiIYf__normal.jpg","View")</f>
        <v>View</v>
      </c>
      <c r="P577" s="7"/>
    </row>
    <row r="578" spans="1:16">
      <c r="A578" s="3">
        <v>43941.263310185182</v>
      </c>
      <c r="B578" s="4" t="str">
        <f>HYPERLINK("https://twitter.com/sergio_fajardo","@sergio_fajardo")</f>
        <v>@sergio_fajardo</v>
      </c>
      <c r="C578" s="5" t="s">
        <v>16</v>
      </c>
      <c r="D578" s="5" t="s">
        <v>600</v>
      </c>
      <c r="E578" s="6" t="str">
        <f>HYPERLINK("https://twitter.com/sergio_fajardo/status/1252036552194129923","1252036552194129923")</f>
        <v>1252036552194129923</v>
      </c>
      <c r="F578" s="7" t="s">
        <v>17</v>
      </c>
      <c r="G578" s="7">
        <v>1533176</v>
      </c>
      <c r="H578" s="7">
        <v>368</v>
      </c>
      <c r="I578" s="7">
        <v>10</v>
      </c>
      <c r="J578" s="7">
        <v>0</v>
      </c>
      <c r="K578" s="7" t="s">
        <v>18</v>
      </c>
      <c r="L578" s="8">
        <v>39891.213356481479</v>
      </c>
      <c r="M578" s="9" t="s">
        <v>19</v>
      </c>
      <c r="N578" s="9" t="s">
        <v>22</v>
      </c>
      <c r="O578" s="6" t="str">
        <f>HYPERLINK("https://pbs.twimg.com/profile_images/988971255679324162/jrqiIYf__normal.jpg","View")</f>
        <v>View</v>
      </c>
      <c r="P578" s="7"/>
    </row>
    <row r="579" spans="1:16">
      <c r="A579" s="3">
        <v>43941.263692129629</v>
      </c>
      <c r="B579" s="4" t="str">
        <f>HYPERLINK("https://twitter.com/sergio_fajardo","@sergio_fajardo")</f>
        <v>@sergio_fajardo</v>
      </c>
      <c r="C579" s="5" t="s">
        <v>16</v>
      </c>
      <c r="D579" s="5" t="s">
        <v>601</v>
      </c>
      <c r="E579" s="6" t="str">
        <f>HYPERLINK("https://twitter.com/sergio_fajardo/status/1252036691210260481","1252036691210260481")</f>
        <v>1252036691210260481</v>
      </c>
      <c r="F579" s="7" t="s">
        <v>17</v>
      </c>
      <c r="G579" s="7">
        <v>1533176</v>
      </c>
      <c r="H579" s="7">
        <v>368</v>
      </c>
      <c r="I579" s="7">
        <v>1462</v>
      </c>
      <c r="J579" s="7">
        <v>0</v>
      </c>
      <c r="K579" s="7" t="s">
        <v>18</v>
      </c>
      <c r="L579" s="8">
        <v>39891.213356481479</v>
      </c>
      <c r="M579" s="9" t="s">
        <v>19</v>
      </c>
      <c r="N579" s="9" t="s">
        <v>22</v>
      </c>
      <c r="O579" s="6" t="str">
        <f>HYPERLINK("https://pbs.twimg.com/profile_images/988971255679324162/jrqiIYf__normal.jpg","View")</f>
        <v>View</v>
      </c>
      <c r="P579" s="7"/>
    </row>
    <row r="580" spans="1:16">
      <c r="A580" s="3">
        <v>43941.26394675926</v>
      </c>
      <c r="B580" s="4" t="str">
        <f>HYPERLINK("https://twitter.com/sergio_fajardo","@sergio_fajardo")</f>
        <v>@sergio_fajardo</v>
      </c>
      <c r="C580" s="5" t="s">
        <v>16</v>
      </c>
      <c r="D580" s="5" t="s">
        <v>602</v>
      </c>
      <c r="E580" s="6" t="str">
        <f>HYPERLINK("https://twitter.com/sergio_fajardo/status/1252036783715557376","1252036783715557376")</f>
        <v>1252036783715557376</v>
      </c>
      <c r="F580" s="7" t="s">
        <v>17</v>
      </c>
      <c r="G580" s="7">
        <v>1533176</v>
      </c>
      <c r="H580" s="7">
        <v>368</v>
      </c>
      <c r="I580" s="7">
        <v>47</v>
      </c>
      <c r="J580" s="7">
        <v>0</v>
      </c>
      <c r="K580" s="7" t="s">
        <v>18</v>
      </c>
      <c r="L580" s="8">
        <v>39891.213356481479</v>
      </c>
      <c r="M580" s="9" t="s">
        <v>19</v>
      </c>
      <c r="N580" s="9" t="s">
        <v>22</v>
      </c>
      <c r="O580" s="6" t="str">
        <f>HYPERLINK("https://pbs.twimg.com/profile_images/988971255679324162/jrqiIYf__normal.jpg","View")</f>
        <v>View</v>
      </c>
      <c r="P580" s="7"/>
    </row>
    <row r="581" spans="1:16">
      <c r="A581" s="3">
        <v>43941.264363425929</v>
      </c>
      <c r="B581" s="4" t="str">
        <f>HYPERLINK("https://twitter.com/sergio_fajardo","@sergio_fajardo")</f>
        <v>@sergio_fajardo</v>
      </c>
      <c r="C581" s="5" t="s">
        <v>16</v>
      </c>
      <c r="D581" s="5" t="s">
        <v>603</v>
      </c>
      <c r="E581" s="6" t="str">
        <f>HYPERLINK("https://twitter.com/sergio_fajardo/status/1252036934190485504","1252036934190485504")</f>
        <v>1252036934190485504</v>
      </c>
      <c r="F581" s="7" t="s">
        <v>17</v>
      </c>
      <c r="G581" s="7">
        <v>1533176</v>
      </c>
      <c r="H581" s="7">
        <v>368</v>
      </c>
      <c r="I581" s="7">
        <v>178</v>
      </c>
      <c r="J581" s="7">
        <v>0</v>
      </c>
      <c r="K581" s="7" t="s">
        <v>18</v>
      </c>
      <c r="L581" s="8">
        <v>39891.213356481479</v>
      </c>
      <c r="M581" s="9" t="s">
        <v>19</v>
      </c>
      <c r="N581" s="9" t="s">
        <v>22</v>
      </c>
      <c r="O581" s="6" t="str">
        <f>HYPERLINK("https://pbs.twimg.com/profile_images/988971255679324162/jrqiIYf__normal.jpg","View")</f>
        <v>View</v>
      </c>
      <c r="P581" s="7"/>
    </row>
    <row r="582" spans="1:16">
      <c r="A582" s="3">
        <v>43941.26461805556</v>
      </c>
      <c r="B582" s="4" t="str">
        <f>HYPERLINK("https://twitter.com/sergio_fajardo","@sergio_fajardo")</f>
        <v>@sergio_fajardo</v>
      </c>
      <c r="C582" s="5" t="s">
        <v>16</v>
      </c>
      <c r="D582" s="5" t="s">
        <v>604</v>
      </c>
      <c r="E582" s="6" t="str">
        <f>HYPERLINK("https://twitter.com/sergio_fajardo/status/1252037026926473216","1252037026926473216")</f>
        <v>1252037026926473216</v>
      </c>
      <c r="F582" s="7" t="s">
        <v>17</v>
      </c>
      <c r="G582" s="7">
        <v>1533176</v>
      </c>
      <c r="H582" s="7">
        <v>368</v>
      </c>
      <c r="I582" s="7">
        <v>7</v>
      </c>
      <c r="J582" s="7">
        <v>0</v>
      </c>
      <c r="K582" s="7" t="s">
        <v>18</v>
      </c>
      <c r="L582" s="8">
        <v>39891.213356481479</v>
      </c>
      <c r="M582" s="9" t="s">
        <v>19</v>
      </c>
      <c r="N582" s="9" t="s">
        <v>22</v>
      </c>
      <c r="O582" s="6" t="str">
        <f>HYPERLINK("https://pbs.twimg.com/profile_images/988971255679324162/jrqiIYf__normal.jpg","View")</f>
        <v>View</v>
      </c>
      <c r="P582" s="7"/>
    </row>
    <row r="583" spans="1:16">
      <c r="A583" s="3">
        <v>43941.2658912037</v>
      </c>
      <c r="B583" s="4" t="str">
        <f>HYPERLINK("https://twitter.com/sergio_fajardo","@sergio_fajardo")</f>
        <v>@sergio_fajardo</v>
      </c>
      <c r="C583" s="5" t="s">
        <v>16</v>
      </c>
      <c r="D583" s="5" t="s">
        <v>605</v>
      </c>
      <c r="E583" s="6" t="str">
        <f>HYPERLINK("https://twitter.com/sergio_fajardo/status/1252037487050006528","1252037487050006528")</f>
        <v>1252037487050006528</v>
      </c>
      <c r="F583" s="7" t="s">
        <v>17</v>
      </c>
      <c r="G583" s="7">
        <v>1533176</v>
      </c>
      <c r="H583" s="7">
        <v>368</v>
      </c>
      <c r="I583" s="7">
        <v>6</v>
      </c>
      <c r="J583" s="7">
        <v>18</v>
      </c>
      <c r="K583" s="7" t="s">
        <v>18</v>
      </c>
      <c r="L583" s="8">
        <v>39891.213356481479</v>
      </c>
      <c r="M583" s="9" t="s">
        <v>19</v>
      </c>
      <c r="N583" s="9" t="s">
        <v>22</v>
      </c>
      <c r="O583" s="6" t="str">
        <f>HYPERLINK("https://pbs.twimg.com/profile_images/988971255679324162/jrqiIYf__normal.jpg","View")</f>
        <v>View</v>
      </c>
      <c r="P583" s="7"/>
    </row>
    <row r="584" spans="1:16">
      <c r="A584" s="3">
        <v>43941.320023148146</v>
      </c>
      <c r="B584" s="4" t="str">
        <f>HYPERLINK("https://twitter.com/sergio_fajardo","@sergio_fajardo")</f>
        <v>@sergio_fajardo</v>
      </c>
      <c r="C584" s="5" t="s">
        <v>16</v>
      </c>
      <c r="D584" s="5" t="s">
        <v>606</v>
      </c>
      <c r="E584" s="6" t="str">
        <f>HYPERLINK("https://twitter.com/sergio_fajardo/status/1252057103054843904","1252057103054843904")</f>
        <v>1252057103054843904</v>
      </c>
      <c r="F584" s="7" t="s">
        <v>17</v>
      </c>
      <c r="G584" s="7">
        <v>1533223</v>
      </c>
      <c r="H584" s="7">
        <v>368</v>
      </c>
      <c r="I584" s="7">
        <v>710</v>
      </c>
      <c r="J584" s="7">
        <v>0</v>
      </c>
      <c r="K584" s="7" t="s">
        <v>18</v>
      </c>
      <c r="L584" s="8">
        <v>39891.213356481479</v>
      </c>
      <c r="M584" s="9" t="s">
        <v>19</v>
      </c>
      <c r="N584" s="9" t="s">
        <v>22</v>
      </c>
      <c r="O584" s="6" t="str">
        <f>HYPERLINK("https://pbs.twimg.com/profile_images/988971255679324162/jrqiIYf__normal.jpg","View")</f>
        <v>View</v>
      </c>
      <c r="P584" s="7"/>
    </row>
    <row r="585" spans="1:16">
      <c r="A585" s="3">
        <v>43941.891400462962</v>
      </c>
      <c r="B585" s="4" t="str">
        <f>HYPERLINK("https://twitter.com/sergio_fajardo","@sergio_fajardo")</f>
        <v>@sergio_fajardo</v>
      </c>
      <c r="C585" s="5" t="s">
        <v>16</v>
      </c>
      <c r="D585" s="5" t="s">
        <v>607</v>
      </c>
      <c r="E585" s="6" t="str">
        <f>HYPERLINK("https://twitter.com/sergio_fajardo/status/1252264166074863616","1252264166074863616")</f>
        <v>1252264166074863616</v>
      </c>
      <c r="F585" s="7" t="s">
        <v>17</v>
      </c>
      <c r="G585" s="7">
        <v>1533421</v>
      </c>
      <c r="H585" s="7">
        <v>368</v>
      </c>
      <c r="I585" s="7">
        <v>0</v>
      </c>
      <c r="J585" s="7">
        <v>11</v>
      </c>
      <c r="K585" s="7" t="s">
        <v>18</v>
      </c>
      <c r="L585" s="8">
        <v>39891.213356481479</v>
      </c>
      <c r="M585" s="9" t="s">
        <v>19</v>
      </c>
      <c r="N585" s="9" t="s">
        <v>22</v>
      </c>
      <c r="O585" s="6" t="str">
        <f>HYPERLINK("https://pbs.twimg.com/profile_images/988971255679324162/jrqiIYf__normal.jpg","View")</f>
        <v>View</v>
      </c>
      <c r="P585" s="7"/>
    </row>
    <row r="586" spans="1:16">
      <c r="A586" s="3">
        <v>43942.092361111107</v>
      </c>
      <c r="B586" s="4" t="str">
        <f>HYPERLINK("https://twitter.com/sergio_fajardo","@sergio_fajardo")</f>
        <v>@sergio_fajardo</v>
      </c>
      <c r="C586" s="5" t="s">
        <v>16</v>
      </c>
      <c r="D586" s="5" t="s">
        <v>608</v>
      </c>
      <c r="E586" s="6" t="str">
        <f>HYPERLINK("https://twitter.com/sergio_fajardo/status/1252336990726619136","1252336990726619136")</f>
        <v>1252336990726619136</v>
      </c>
      <c r="F586" s="7" t="s">
        <v>17</v>
      </c>
      <c r="G586" s="7">
        <v>1533531</v>
      </c>
      <c r="H586" s="7">
        <v>368</v>
      </c>
      <c r="I586" s="7">
        <v>24</v>
      </c>
      <c r="J586" s="7">
        <v>0</v>
      </c>
      <c r="K586" s="7" t="s">
        <v>18</v>
      </c>
      <c r="L586" s="8">
        <v>39891.213356481479</v>
      </c>
      <c r="M586" s="9" t="s">
        <v>19</v>
      </c>
      <c r="N586" s="9" t="s">
        <v>22</v>
      </c>
      <c r="O586" s="6" t="str">
        <f>HYPERLINK("https://pbs.twimg.com/profile_images/988971255679324162/jrqiIYf__normal.jpg","View")</f>
        <v>View</v>
      </c>
      <c r="P586" s="7"/>
    </row>
    <row r="587" spans="1:16">
      <c r="A587" s="3">
        <v>43942.124513888892</v>
      </c>
      <c r="B587" s="4" t="str">
        <f>HYPERLINK("https://twitter.com/sergio_fajardo","@sergio_fajardo")</f>
        <v>@sergio_fajardo</v>
      </c>
      <c r="C587" s="5" t="s">
        <v>16</v>
      </c>
      <c r="D587" s="5" t="s">
        <v>609</v>
      </c>
      <c r="E587" s="6" t="str">
        <f>HYPERLINK("https://twitter.com/sergio_fajardo/status/1252348640376442885","1252348640376442885")</f>
        <v>1252348640376442885</v>
      </c>
      <c r="F587" s="7" t="s">
        <v>17</v>
      </c>
      <c r="G587" s="7">
        <v>1533543</v>
      </c>
      <c r="H587" s="7">
        <v>368</v>
      </c>
      <c r="I587" s="7">
        <v>13</v>
      </c>
      <c r="J587" s="7">
        <v>0</v>
      </c>
      <c r="K587" s="7" t="s">
        <v>18</v>
      </c>
      <c r="L587" s="8">
        <v>39891.213356481479</v>
      </c>
      <c r="M587" s="9" t="s">
        <v>19</v>
      </c>
      <c r="N587" s="9" t="s">
        <v>22</v>
      </c>
      <c r="O587" s="6" t="str">
        <f>HYPERLINK("https://pbs.twimg.com/profile_images/988971255679324162/jrqiIYf__normal.jpg","View")</f>
        <v>View</v>
      </c>
      <c r="P587" s="7"/>
    </row>
    <row r="588" spans="1:16">
      <c r="A588" s="3">
        <v>43943.680763888886</v>
      </c>
      <c r="B588" s="4" t="str">
        <f>HYPERLINK("https://twitter.com/sergio_fajardo","@sergio_fajardo")</f>
        <v>@sergio_fajardo</v>
      </c>
      <c r="C588" s="5" t="s">
        <v>16</v>
      </c>
      <c r="D588" s="5" t="s">
        <v>610</v>
      </c>
      <c r="E588" s="6" t="str">
        <f>HYPERLINK("https://twitter.com/sergio_fajardo/status/1252912607423586304","1252912607423586304")</f>
        <v>1252912607423586304</v>
      </c>
      <c r="F588" s="7" t="s">
        <v>17</v>
      </c>
      <c r="G588" s="7">
        <v>1534091</v>
      </c>
      <c r="H588" s="7">
        <v>368</v>
      </c>
      <c r="I588" s="7">
        <v>193</v>
      </c>
      <c r="J588" s="7">
        <v>0</v>
      </c>
      <c r="K588" s="7" t="s">
        <v>18</v>
      </c>
      <c r="L588" s="8">
        <v>39891.213356481479</v>
      </c>
      <c r="M588" s="9" t="s">
        <v>19</v>
      </c>
      <c r="N588" s="9" t="s">
        <v>22</v>
      </c>
      <c r="O588" s="6" t="str">
        <f>HYPERLINK("https://pbs.twimg.com/profile_images/988971255679324162/jrqiIYf__normal.jpg","View")</f>
        <v>View</v>
      </c>
      <c r="P588" s="7"/>
    </row>
    <row r="589" spans="1:16">
      <c r="A589" s="3">
        <v>43943.855590277773</v>
      </c>
      <c r="B589" s="4" t="str">
        <f>HYPERLINK("https://twitter.com/sergio_fajardo","@sergio_fajardo")</f>
        <v>@sergio_fajardo</v>
      </c>
      <c r="C589" s="5" t="s">
        <v>16</v>
      </c>
      <c r="D589" s="5" t="s">
        <v>611</v>
      </c>
      <c r="E589" s="6" t="str">
        <f>HYPERLINK("https://twitter.com/sergio_fajardo/status/1252975963811479554","1252975963811479554")</f>
        <v>1252975963811479554</v>
      </c>
      <c r="F589" s="7" t="s">
        <v>17</v>
      </c>
      <c r="G589" s="7">
        <v>1534206</v>
      </c>
      <c r="H589" s="7">
        <v>368</v>
      </c>
      <c r="I589" s="7">
        <v>0</v>
      </c>
      <c r="J589" s="7">
        <v>0</v>
      </c>
      <c r="K589" s="7" t="s">
        <v>18</v>
      </c>
      <c r="L589" s="8">
        <v>39891.213356481479</v>
      </c>
      <c r="M589" s="9" t="s">
        <v>19</v>
      </c>
      <c r="N589" s="9" t="s">
        <v>22</v>
      </c>
      <c r="O589" s="6" t="str">
        <f>HYPERLINK("https://pbs.twimg.com/profile_images/988971255679324162/jrqiIYf__normal.jpg","View")</f>
        <v>View</v>
      </c>
      <c r="P589" s="7"/>
    </row>
    <row r="590" spans="1:16">
      <c r="A590" s="3">
        <v>43943.94740740741</v>
      </c>
      <c r="B590" s="4" t="str">
        <f>HYPERLINK("https://twitter.com/sergio_fajardo","@sergio_fajardo")</f>
        <v>@sergio_fajardo</v>
      </c>
      <c r="C590" s="5" t="s">
        <v>16</v>
      </c>
      <c r="D590" s="5" t="s">
        <v>612</v>
      </c>
      <c r="E590" s="6" t="str">
        <f>HYPERLINK("https://twitter.com/sergio_fajardo/status/1253009236780625922","1253009236780625922")</f>
        <v>1253009236780625922</v>
      </c>
      <c r="F590" s="7" t="s">
        <v>17</v>
      </c>
      <c r="G590" s="7">
        <v>1534242</v>
      </c>
      <c r="H590" s="7">
        <v>368</v>
      </c>
      <c r="I590" s="7">
        <v>6</v>
      </c>
      <c r="J590" s="7">
        <v>13</v>
      </c>
      <c r="K590" s="7" t="s">
        <v>18</v>
      </c>
      <c r="L590" s="8">
        <v>39891.213356481479</v>
      </c>
      <c r="M590" s="9" t="s">
        <v>19</v>
      </c>
      <c r="N590" s="9" t="s">
        <v>22</v>
      </c>
      <c r="O590" s="6" t="str">
        <f>HYPERLINK("https://pbs.twimg.com/profile_images/988971255679324162/jrqiIYf__normal.jpg","View")</f>
        <v>View</v>
      </c>
      <c r="P590" s="7"/>
    </row>
    <row r="591" spans="1:16">
      <c r="A591" s="3">
        <v>43943.970266203702</v>
      </c>
      <c r="B591" s="4" t="str">
        <f>HYPERLINK("https://twitter.com/sergio_fajardo","@sergio_fajardo")</f>
        <v>@sergio_fajardo</v>
      </c>
      <c r="C591" s="5" t="s">
        <v>16</v>
      </c>
      <c r="D591" s="5" t="s">
        <v>613</v>
      </c>
      <c r="E591" s="6" t="str">
        <f>HYPERLINK("https://twitter.com/sergio_fajardo/status/1253017520480686081","1253017520480686081")</f>
        <v>1253017520480686081</v>
      </c>
      <c r="F591" s="7" t="s">
        <v>17</v>
      </c>
      <c r="G591" s="7">
        <v>1534253</v>
      </c>
      <c r="H591" s="7">
        <v>368</v>
      </c>
      <c r="I591" s="7">
        <v>7</v>
      </c>
      <c r="J591" s="7">
        <v>0</v>
      </c>
      <c r="K591" s="7" t="s">
        <v>18</v>
      </c>
      <c r="L591" s="8">
        <v>39891.213356481479</v>
      </c>
      <c r="M591" s="9" t="s">
        <v>19</v>
      </c>
      <c r="N591" s="9" t="s">
        <v>22</v>
      </c>
      <c r="O591" s="6" t="str">
        <f>HYPERLINK("https://pbs.twimg.com/profile_images/988971255679324162/jrqiIYf__normal.jpg","View")</f>
        <v>View</v>
      </c>
      <c r="P591" s="7"/>
    </row>
    <row r="592" spans="1:16">
      <c r="A592" s="3">
        <v>43944.04383101852</v>
      </c>
      <c r="B592" s="4" t="str">
        <f>HYPERLINK("https://twitter.com/sergio_fajardo","@sergio_fajardo")</f>
        <v>@sergio_fajardo</v>
      </c>
      <c r="C592" s="5" t="s">
        <v>16</v>
      </c>
      <c r="D592" s="5" t="s">
        <v>614</v>
      </c>
      <c r="E592" s="6" t="str">
        <f>HYPERLINK("https://twitter.com/sergio_fajardo/status/1253044181515239424","1253044181515239424")</f>
        <v>1253044181515239424</v>
      </c>
      <c r="F592" s="7" t="s">
        <v>17</v>
      </c>
      <c r="G592" s="7">
        <v>1534308</v>
      </c>
      <c r="H592" s="7">
        <v>368</v>
      </c>
      <c r="I592" s="7">
        <v>18</v>
      </c>
      <c r="J592" s="7">
        <v>43</v>
      </c>
      <c r="K592" s="7" t="s">
        <v>18</v>
      </c>
      <c r="L592" s="8">
        <v>39891.213356481479</v>
      </c>
      <c r="M592" s="9" t="s">
        <v>19</v>
      </c>
      <c r="N592" s="9" t="s">
        <v>22</v>
      </c>
      <c r="O592" s="6" t="str">
        <f>HYPERLINK("https://pbs.twimg.com/profile_images/988971255679324162/jrqiIYf__normal.jpg","View")</f>
        <v>View</v>
      </c>
      <c r="P592" s="7"/>
    </row>
    <row r="593" spans="1:16">
      <c r="A593" s="3">
        <v>43944.048587962963</v>
      </c>
      <c r="B593" s="4" t="str">
        <f>HYPERLINK("https://twitter.com/sergio_fajardo","@sergio_fajardo")</f>
        <v>@sergio_fajardo</v>
      </c>
      <c r="C593" s="5" t="s">
        <v>16</v>
      </c>
      <c r="D593" s="5" t="s">
        <v>615</v>
      </c>
      <c r="E593" s="6" t="str">
        <f>HYPERLINK("https://twitter.com/sergio_fajardo/status/1253045903444905984","1253045903444905984")</f>
        <v>1253045903444905984</v>
      </c>
      <c r="F593" s="7" t="s">
        <v>17</v>
      </c>
      <c r="G593" s="7">
        <v>1534308</v>
      </c>
      <c r="H593" s="7">
        <v>368</v>
      </c>
      <c r="I593" s="7">
        <v>243</v>
      </c>
      <c r="J593" s="7">
        <v>0</v>
      </c>
      <c r="K593" s="7" t="s">
        <v>18</v>
      </c>
      <c r="L593" s="8">
        <v>39891.213356481479</v>
      </c>
      <c r="M593" s="9" t="s">
        <v>19</v>
      </c>
      <c r="N593" s="9" t="s">
        <v>22</v>
      </c>
      <c r="O593" s="6" t="str">
        <f>HYPERLINK("https://pbs.twimg.com/profile_images/988971255679324162/jrqiIYf__normal.jpg","View")</f>
        <v>View</v>
      </c>
      <c r="P593" s="7"/>
    </row>
    <row r="594" spans="1:16">
      <c r="A594" s="3">
        <v>43944.141886574071</v>
      </c>
      <c r="B594" s="4" t="str">
        <f>HYPERLINK("https://twitter.com/sergio_fajardo","@sergio_fajardo")</f>
        <v>@sergio_fajardo</v>
      </c>
      <c r="C594" s="5" t="s">
        <v>16</v>
      </c>
      <c r="D594" s="5" t="s">
        <v>616</v>
      </c>
      <c r="E594" s="6" t="str">
        <f>HYPERLINK("https://twitter.com/sergio_fajardo/status/1253079712882180100","1253079712882180100")</f>
        <v>1253079712882180100</v>
      </c>
      <c r="F594" s="7" t="s">
        <v>17</v>
      </c>
      <c r="G594" s="7">
        <v>1534341</v>
      </c>
      <c r="H594" s="7">
        <v>368</v>
      </c>
      <c r="I594" s="7">
        <v>9</v>
      </c>
      <c r="J594" s="7">
        <v>0</v>
      </c>
      <c r="K594" s="7" t="s">
        <v>18</v>
      </c>
      <c r="L594" s="8">
        <v>39891.213356481479</v>
      </c>
      <c r="M594" s="9" t="s">
        <v>19</v>
      </c>
      <c r="N594" s="9" t="s">
        <v>22</v>
      </c>
      <c r="O594" s="6" t="str">
        <f>HYPERLINK("https://pbs.twimg.com/profile_images/988971255679324162/jrqiIYf__normal.jpg","View")</f>
        <v>View</v>
      </c>
      <c r="P594" s="7"/>
    </row>
    <row r="595" spans="1:16">
      <c r="A595" s="3">
        <v>43944.144826388889</v>
      </c>
      <c r="B595" s="4" t="str">
        <f>HYPERLINK("https://twitter.com/sergio_fajardo","@sergio_fajardo")</f>
        <v>@sergio_fajardo</v>
      </c>
      <c r="C595" s="5" t="s">
        <v>16</v>
      </c>
      <c r="D595" s="5" t="s">
        <v>617</v>
      </c>
      <c r="E595" s="6" t="str">
        <f>HYPERLINK("https://twitter.com/sergio_fajardo/status/1253080777811800064","1253080777811800064")</f>
        <v>1253080777811800064</v>
      </c>
      <c r="F595" s="7" t="s">
        <v>17</v>
      </c>
      <c r="G595" s="7">
        <v>1534341</v>
      </c>
      <c r="H595" s="7">
        <v>368</v>
      </c>
      <c r="I595" s="7">
        <v>321</v>
      </c>
      <c r="J595" s="7">
        <v>0</v>
      </c>
      <c r="K595" s="7" t="s">
        <v>18</v>
      </c>
      <c r="L595" s="8">
        <v>39891.213356481479</v>
      </c>
      <c r="M595" s="9" t="s">
        <v>19</v>
      </c>
      <c r="N595" s="9" t="s">
        <v>22</v>
      </c>
      <c r="O595" s="6" t="str">
        <f>HYPERLINK("https://pbs.twimg.com/profile_images/988971255679324162/jrqiIYf__normal.jpg","View")</f>
        <v>View</v>
      </c>
      <c r="P595" s="7"/>
    </row>
    <row r="596" spans="1:16">
      <c r="A596" s="3">
        <v>43944.624259259261</v>
      </c>
      <c r="B596" s="4" t="str">
        <f>HYPERLINK("https://twitter.com/sergio_fajardo","@sergio_fajardo")</f>
        <v>@sergio_fajardo</v>
      </c>
      <c r="C596" s="5" t="s">
        <v>16</v>
      </c>
      <c r="D596" s="5" t="s">
        <v>618</v>
      </c>
      <c r="E596" s="6" t="str">
        <f>HYPERLINK("https://twitter.com/sergio_fajardo/status/1253254520358010883","1253254520358010883")</f>
        <v>1253254520358010883</v>
      </c>
      <c r="F596" s="7" t="s">
        <v>17</v>
      </c>
      <c r="G596" s="7">
        <v>1534485</v>
      </c>
      <c r="H596" s="7">
        <v>368</v>
      </c>
      <c r="I596" s="7">
        <v>0</v>
      </c>
      <c r="J596" s="7">
        <v>0</v>
      </c>
      <c r="K596" s="7" t="s">
        <v>18</v>
      </c>
      <c r="L596" s="8">
        <v>39891.213356481479</v>
      </c>
      <c r="M596" s="9" t="s">
        <v>19</v>
      </c>
      <c r="N596" s="9" t="s">
        <v>22</v>
      </c>
      <c r="O596" s="6" t="str">
        <f>HYPERLINK("https://pbs.twimg.com/profile_images/988971255679324162/jrqiIYf__normal.jpg","View")</f>
        <v>View</v>
      </c>
      <c r="P596" s="7"/>
    </row>
    <row r="597" spans="1:16">
      <c r="A597" s="3">
        <v>43944.800833333335</v>
      </c>
      <c r="B597" s="4" t="str">
        <f>HYPERLINK("https://twitter.com/sergio_fajardo","@sergio_fajardo")</f>
        <v>@sergio_fajardo</v>
      </c>
      <c r="C597" s="5" t="s">
        <v>16</v>
      </c>
      <c r="D597" s="5" t="s">
        <v>619</v>
      </c>
      <c r="E597" s="6" t="str">
        <f>HYPERLINK("https://twitter.com/sergio_fajardo/status/1253318507808403456","1253318507808403456")</f>
        <v>1253318507808403456</v>
      </c>
      <c r="F597" s="7" t="s">
        <v>17</v>
      </c>
      <c r="G597" s="7">
        <v>1534523</v>
      </c>
      <c r="H597" s="7">
        <v>368</v>
      </c>
      <c r="I597" s="7">
        <v>229</v>
      </c>
      <c r="J597" s="7">
        <v>0</v>
      </c>
      <c r="K597" s="7" t="s">
        <v>18</v>
      </c>
      <c r="L597" s="8">
        <v>39891.213356481479</v>
      </c>
      <c r="M597" s="9" t="s">
        <v>19</v>
      </c>
      <c r="N597" s="9" t="s">
        <v>22</v>
      </c>
      <c r="O597" s="6" t="str">
        <f>HYPERLINK("https://pbs.twimg.com/profile_images/988971255679324162/jrqiIYf__normal.jpg","View")</f>
        <v>View</v>
      </c>
      <c r="P597" s="7"/>
    </row>
    <row r="598" spans="1:16">
      <c r="A598" s="3">
        <v>43944.946793981479</v>
      </c>
      <c r="B598" s="4" t="str">
        <f>HYPERLINK("https://twitter.com/sergio_fajardo","@sergio_fajardo")</f>
        <v>@sergio_fajardo</v>
      </c>
      <c r="C598" s="5" t="s">
        <v>16</v>
      </c>
      <c r="D598" s="5" t="s">
        <v>620</v>
      </c>
      <c r="E598" s="6" t="str">
        <f>HYPERLINK("https://twitter.com/sergio_fajardo/status/1253371402515775490","1253371402515775490")</f>
        <v>1253371402515775490</v>
      </c>
      <c r="F598" s="7" t="s">
        <v>17</v>
      </c>
      <c r="G598" s="7">
        <v>1534585</v>
      </c>
      <c r="H598" s="7">
        <v>368</v>
      </c>
      <c r="I598" s="7">
        <v>14</v>
      </c>
      <c r="J598" s="7">
        <v>28</v>
      </c>
      <c r="K598" s="7" t="s">
        <v>18</v>
      </c>
      <c r="L598" s="8">
        <v>39891.213356481479</v>
      </c>
      <c r="M598" s="9" t="s">
        <v>19</v>
      </c>
      <c r="N598" s="9" t="s">
        <v>22</v>
      </c>
      <c r="O598" s="6" t="str">
        <f>HYPERLINK("https://pbs.twimg.com/profile_images/988971255679324162/jrqiIYf__normal.jpg","View")</f>
        <v>View</v>
      </c>
      <c r="P598" s="7"/>
    </row>
    <row r="599" spans="1:16">
      <c r="A599" s="3">
        <v>43944.959016203706</v>
      </c>
      <c r="B599" s="4" t="str">
        <f>HYPERLINK("https://twitter.com/sergio_fajardo","@sergio_fajardo")</f>
        <v>@sergio_fajardo</v>
      </c>
      <c r="C599" s="5" t="s">
        <v>16</v>
      </c>
      <c r="D599" s="5" t="s">
        <v>621</v>
      </c>
      <c r="E599" s="6" t="str">
        <f>HYPERLINK("https://twitter.com/sergio_fajardo/status/1253375832355151873","1253375832355151873")</f>
        <v>1253375832355151873</v>
      </c>
      <c r="F599" s="7" t="s">
        <v>17</v>
      </c>
      <c r="G599" s="7">
        <v>1534585</v>
      </c>
      <c r="H599" s="7">
        <v>368</v>
      </c>
      <c r="I599" s="7">
        <v>3</v>
      </c>
      <c r="J599" s="7">
        <v>7</v>
      </c>
      <c r="K599" s="7" t="s">
        <v>18</v>
      </c>
      <c r="L599" s="8">
        <v>39891.213356481479</v>
      </c>
      <c r="M599" s="9" t="s">
        <v>19</v>
      </c>
      <c r="N599" s="9" t="s">
        <v>22</v>
      </c>
      <c r="O599" s="6" t="str">
        <f>HYPERLINK("https://pbs.twimg.com/profile_images/988971255679324162/jrqiIYf__normal.jpg","View")</f>
        <v>View</v>
      </c>
      <c r="P599" s="7"/>
    </row>
    <row r="600" spans="1:16">
      <c r="A600" s="3">
        <v>43944.959872685184</v>
      </c>
      <c r="B600" s="4" t="str">
        <f>HYPERLINK("https://twitter.com/sergio_fajardo","@sergio_fajardo")</f>
        <v>@sergio_fajardo</v>
      </c>
      <c r="C600" s="5" t="s">
        <v>16</v>
      </c>
      <c r="D600" s="5" t="s">
        <v>622</v>
      </c>
      <c r="E600" s="6" t="str">
        <f>HYPERLINK("https://twitter.com/sergio_fajardo/status/1253376144017166338","1253376144017166338")</f>
        <v>1253376144017166338</v>
      </c>
      <c r="F600" s="7" t="s">
        <v>17</v>
      </c>
      <c r="G600" s="7">
        <v>1534585</v>
      </c>
      <c r="H600" s="7">
        <v>368</v>
      </c>
      <c r="I600" s="7">
        <v>71</v>
      </c>
      <c r="J600" s="7">
        <v>0</v>
      </c>
      <c r="K600" s="7" t="s">
        <v>18</v>
      </c>
      <c r="L600" s="8">
        <v>39891.213356481479</v>
      </c>
      <c r="M600" s="9" t="s">
        <v>19</v>
      </c>
      <c r="N600" s="9" t="s">
        <v>22</v>
      </c>
      <c r="O600" s="6" t="str">
        <f>HYPERLINK("https://pbs.twimg.com/profile_images/988971255679324162/jrqiIYf__normal.jpg","View")</f>
        <v>View</v>
      </c>
      <c r="P600" s="7"/>
    </row>
    <row r="601" spans="1:16">
      <c r="A601" s="3">
        <v>43944.985671296294</v>
      </c>
      <c r="B601" s="4" t="str">
        <f>HYPERLINK("https://twitter.com/sergio_fajardo","@sergio_fajardo")</f>
        <v>@sergio_fajardo</v>
      </c>
      <c r="C601" s="5" t="s">
        <v>16</v>
      </c>
      <c r="D601" s="5" t="s">
        <v>623</v>
      </c>
      <c r="E601" s="6" t="str">
        <f>HYPERLINK("https://twitter.com/sergio_fajardo/status/1253385492009234433","1253385492009234433")</f>
        <v>1253385492009234433</v>
      </c>
      <c r="F601" s="7" t="s">
        <v>17</v>
      </c>
      <c r="G601" s="7">
        <v>1534601</v>
      </c>
      <c r="H601" s="7">
        <v>368</v>
      </c>
      <c r="I601" s="7">
        <v>12</v>
      </c>
      <c r="J601" s="7">
        <v>49</v>
      </c>
      <c r="K601" s="7" t="s">
        <v>18</v>
      </c>
      <c r="L601" s="8">
        <v>39891.213356481479</v>
      </c>
      <c r="M601" s="9" t="s">
        <v>19</v>
      </c>
      <c r="N601" s="9" t="s">
        <v>22</v>
      </c>
      <c r="O601" s="6" t="str">
        <f>HYPERLINK("https://pbs.twimg.com/profile_images/988971255679324162/jrqiIYf__normal.jpg","View")</f>
        <v>View</v>
      </c>
      <c r="P601" s="7"/>
    </row>
    <row r="602" spans="1:16">
      <c r="A602" s="3">
        <v>43944.986018518517</v>
      </c>
      <c r="B602" s="4" t="str">
        <f>HYPERLINK("https://twitter.com/sergio_fajardo","@sergio_fajardo")</f>
        <v>@sergio_fajardo</v>
      </c>
      <c r="C602" s="5" t="s">
        <v>16</v>
      </c>
      <c r="D602" s="5" t="s">
        <v>624</v>
      </c>
      <c r="E602" s="6" t="str">
        <f>HYPERLINK("https://twitter.com/sergio_fajardo/status/1253385617884549120","1253385617884549120")</f>
        <v>1253385617884549120</v>
      </c>
      <c r="F602" s="7" t="s">
        <v>17</v>
      </c>
      <c r="G602" s="7">
        <v>1534601</v>
      </c>
      <c r="H602" s="7">
        <v>368</v>
      </c>
      <c r="I602" s="7">
        <v>23</v>
      </c>
      <c r="J602" s="7">
        <v>0</v>
      </c>
      <c r="K602" s="7" t="s">
        <v>18</v>
      </c>
      <c r="L602" s="8">
        <v>39891.213356481479</v>
      </c>
      <c r="M602" s="9" t="s">
        <v>19</v>
      </c>
      <c r="N602" s="9" t="s">
        <v>22</v>
      </c>
      <c r="O602" s="6" t="str">
        <f>HYPERLINK("https://pbs.twimg.com/profile_images/988971255679324162/jrqiIYf__normal.jpg","View")</f>
        <v>View</v>
      </c>
      <c r="P602" s="7"/>
    </row>
    <row r="603" spans="1:16">
      <c r="A603" s="3">
        <v>43945.210405092592</v>
      </c>
      <c r="B603" s="4" t="str">
        <f>HYPERLINK("https://twitter.com/sergio_fajardo","@sergio_fajardo")</f>
        <v>@sergio_fajardo</v>
      </c>
      <c r="C603" s="5" t="s">
        <v>16</v>
      </c>
      <c r="D603" s="5" t="s">
        <v>625</v>
      </c>
      <c r="E603" s="6" t="str">
        <f>HYPERLINK("https://twitter.com/sergio_fajardo/status/1253466933430751235","1253466933430751235")</f>
        <v>1253466933430751235</v>
      </c>
      <c r="F603" s="7" t="s">
        <v>17</v>
      </c>
      <c r="G603" s="7">
        <v>1534679</v>
      </c>
      <c r="H603" s="7">
        <v>368</v>
      </c>
      <c r="I603" s="7">
        <v>94</v>
      </c>
      <c r="J603" s="7">
        <v>0</v>
      </c>
      <c r="K603" s="7" t="s">
        <v>18</v>
      </c>
      <c r="L603" s="8">
        <v>39891.213356481479</v>
      </c>
      <c r="M603" s="9" t="s">
        <v>19</v>
      </c>
      <c r="N603" s="9" t="s">
        <v>22</v>
      </c>
      <c r="O603" s="6" t="str">
        <f>HYPERLINK("https://pbs.twimg.com/profile_images/988971255679324162/jrqiIYf__normal.jpg","View")</f>
        <v>View</v>
      </c>
      <c r="P603" s="7"/>
    </row>
    <row r="604" spans="1:16">
      <c r="A604" s="3">
        <v>43945.227708333332</v>
      </c>
      <c r="B604" s="4" t="str">
        <f>HYPERLINK("https://twitter.com/sergio_fajardo","@sergio_fajardo")</f>
        <v>@sergio_fajardo</v>
      </c>
      <c r="C604" s="5" t="s">
        <v>16</v>
      </c>
      <c r="D604" s="5" t="s">
        <v>626</v>
      </c>
      <c r="E604" s="6" t="str">
        <f>HYPERLINK("https://twitter.com/sergio_fajardo/status/1253473204074680324","1253473204074680324")</f>
        <v>1253473204074680324</v>
      </c>
      <c r="F604" s="7" t="s">
        <v>17</v>
      </c>
      <c r="G604" s="7">
        <v>1534686</v>
      </c>
      <c r="H604" s="7">
        <v>368</v>
      </c>
      <c r="I604" s="7">
        <v>28</v>
      </c>
      <c r="J604" s="7">
        <v>0</v>
      </c>
      <c r="K604" s="7" t="s">
        <v>18</v>
      </c>
      <c r="L604" s="8">
        <v>39891.213356481479</v>
      </c>
      <c r="M604" s="9" t="s">
        <v>19</v>
      </c>
      <c r="N604" s="9" t="s">
        <v>22</v>
      </c>
      <c r="O604" s="6" t="str">
        <f>HYPERLINK("https://pbs.twimg.com/profile_images/988971255679324162/jrqiIYf__normal.jpg","View")</f>
        <v>View</v>
      </c>
      <c r="P604" s="7"/>
    </row>
    <row r="605" spans="1:16">
      <c r="A605" s="3">
        <v>43945.228032407409</v>
      </c>
      <c r="B605" s="4" t="str">
        <f>HYPERLINK("https://twitter.com/sergio_fajardo","@sergio_fajardo")</f>
        <v>@sergio_fajardo</v>
      </c>
      <c r="C605" s="5" t="s">
        <v>16</v>
      </c>
      <c r="D605" s="5" t="s">
        <v>627</v>
      </c>
      <c r="E605" s="6" t="str">
        <f>HYPERLINK("https://twitter.com/sergio_fajardo/status/1253473321158672384","1253473321158672384")</f>
        <v>1253473321158672384</v>
      </c>
      <c r="F605" s="7" t="s">
        <v>17</v>
      </c>
      <c r="G605" s="7">
        <v>1534686</v>
      </c>
      <c r="H605" s="7">
        <v>368</v>
      </c>
      <c r="I605" s="7">
        <v>10</v>
      </c>
      <c r="J605" s="7">
        <v>0</v>
      </c>
      <c r="K605" s="7" t="s">
        <v>18</v>
      </c>
      <c r="L605" s="8">
        <v>39891.213356481479</v>
      </c>
      <c r="M605" s="9" t="s">
        <v>19</v>
      </c>
      <c r="N605" s="9" t="s">
        <v>22</v>
      </c>
      <c r="O605" s="6" t="str">
        <f>HYPERLINK("https://pbs.twimg.com/profile_images/988971255679324162/jrqiIYf__normal.jpg","View")</f>
        <v>View</v>
      </c>
      <c r="P605" s="7"/>
    </row>
    <row r="606" spans="1:16">
      <c r="A606" s="3">
        <v>43945.725335648152</v>
      </c>
      <c r="B606" s="4" t="str">
        <f>HYPERLINK("https://twitter.com/sergio_fajardo","@sergio_fajardo")</f>
        <v>@sergio_fajardo</v>
      </c>
      <c r="C606" s="5" t="s">
        <v>16</v>
      </c>
      <c r="D606" s="5" t="s">
        <v>628</v>
      </c>
      <c r="E606" s="6" t="str">
        <f>HYPERLINK("https://twitter.com/sergio_fajardo/status/1253653535176175618","1253653535176175618")</f>
        <v>1253653535176175618</v>
      </c>
      <c r="F606" s="7" t="s">
        <v>17</v>
      </c>
      <c r="G606" s="7">
        <v>1534809</v>
      </c>
      <c r="H606" s="7">
        <v>368</v>
      </c>
      <c r="I606" s="7">
        <v>762</v>
      </c>
      <c r="J606" s="7">
        <v>0</v>
      </c>
      <c r="K606" s="7" t="s">
        <v>18</v>
      </c>
      <c r="L606" s="8">
        <v>39891.213356481479</v>
      </c>
      <c r="M606" s="9" t="s">
        <v>19</v>
      </c>
      <c r="N606" s="9" t="s">
        <v>22</v>
      </c>
      <c r="O606" s="6" t="str">
        <f>HYPERLINK("https://pbs.twimg.com/profile_images/988971255679324162/jrqiIYf__normal.jpg","View")</f>
        <v>View</v>
      </c>
      <c r="P606" s="7"/>
    </row>
    <row r="607" spans="1:16">
      <c r="A607" s="3">
        <v>43945.72791666667</v>
      </c>
      <c r="B607" s="4" t="str">
        <f>HYPERLINK("https://twitter.com/sergio_fajardo","@sergio_fajardo")</f>
        <v>@sergio_fajardo</v>
      </c>
      <c r="C607" s="5" t="s">
        <v>16</v>
      </c>
      <c r="D607" s="5" t="s">
        <v>629</v>
      </c>
      <c r="E607" s="6" t="str">
        <f>HYPERLINK("https://twitter.com/sergio_fajardo/status/1253654473043517441","1253654473043517441")</f>
        <v>1253654473043517441</v>
      </c>
      <c r="F607" s="7" t="s">
        <v>17</v>
      </c>
      <c r="G607" s="7">
        <v>1534809</v>
      </c>
      <c r="H607" s="7">
        <v>368</v>
      </c>
      <c r="I607" s="7">
        <v>301</v>
      </c>
      <c r="J607" s="7">
        <v>0</v>
      </c>
      <c r="K607" s="7" t="s">
        <v>18</v>
      </c>
      <c r="L607" s="8">
        <v>39891.213356481479</v>
      </c>
      <c r="M607" s="9" t="s">
        <v>19</v>
      </c>
      <c r="N607" s="9" t="s">
        <v>22</v>
      </c>
      <c r="O607" s="6" t="str">
        <f>HYPERLINK("https://pbs.twimg.com/profile_images/988971255679324162/jrqiIYf__normal.jpg","View")</f>
        <v>View</v>
      </c>
      <c r="P607" s="7"/>
    </row>
    <row r="608" spans="1:16">
      <c r="A608" s="3">
        <v>43945.728032407409</v>
      </c>
      <c r="B608" s="4" t="str">
        <f>HYPERLINK("https://twitter.com/sergio_fajardo","@sergio_fajardo")</f>
        <v>@sergio_fajardo</v>
      </c>
      <c r="C608" s="5" t="s">
        <v>16</v>
      </c>
      <c r="D608" s="5" t="s">
        <v>630</v>
      </c>
      <c r="E608" s="6" t="str">
        <f>HYPERLINK("https://twitter.com/sergio_fajardo/status/1253654514827231237","1253654514827231237")</f>
        <v>1253654514827231237</v>
      </c>
      <c r="F608" s="7" t="s">
        <v>17</v>
      </c>
      <c r="G608" s="7">
        <v>1534809</v>
      </c>
      <c r="H608" s="7">
        <v>368</v>
      </c>
      <c r="I608" s="7">
        <v>641</v>
      </c>
      <c r="J608" s="7">
        <v>0</v>
      </c>
      <c r="K608" s="7" t="s">
        <v>18</v>
      </c>
      <c r="L608" s="8">
        <v>39891.213356481479</v>
      </c>
      <c r="M608" s="9" t="s">
        <v>19</v>
      </c>
      <c r="N608" s="9" t="s">
        <v>22</v>
      </c>
      <c r="O608" s="6" t="str">
        <f>HYPERLINK("https://pbs.twimg.com/profile_images/988971255679324162/jrqiIYf__normal.jpg","View")</f>
        <v>View</v>
      </c>
      <c r="P608" s="7"/>
    </row>
    <row r="609" spans="1:16">
      <c r="A609" s="3">
        <v>43946.033263888894</v>
      </c>
      <c r="B609" s="4" t="str">
        <f>HYPERLINK("https://twitter.com/sergio_fajardo","@sergio_fajardo")</f>
        <v>@sergio_fajardo</v>
      </c>
      <c r="C609" s="5" t="s">
        <v>16</v>
      </c>
      <c r="D609" s="5" t="s">
        <v>631</v>
      </c>
      <c r="E609" s="6" t="str">
        <f>HYPERLINK("https://twitter.com/sergio_fajardo/status/1253765125460430850","1253765125460430850")</f>
        <v>1253765125460430850</v>
      </c>
      <c r="F609" s="7" t="s">
        <v>17</v>
      </c>
      <c r="G609" s="7">
        <v>1534926</v>
      </c>
      <c r="H609" s="7">
        <v>368</v>
      </c>
      <c r="I609" s="7">
        <v>281</v>
      </c>
      <c r="J609" s="7">
        <v>0</v>
      </c>
      <c r="K609" s="7" t="s">
        <v>18</v>
      </c>
      <c r="L609" s="8">
        <v>39891.213356481479</v>
      </c>
      <c r="M609" s="9" t="s">
        <v>19</v>
      </c>
      <c r="N609" s="9" t="s">
        <v>22</v>
      </c>
      <c r="O609" s="6" t="str">
        <f>HYPERLINK("https://pbs.twimg.com/profile_images/988971255679324162/jrqiIYf__normal.jpg","View")</f>
        <v>View</v>
      </c>
      <c r="P609" s="7"/>
    </row>
    <row r="610" spans="1:16">
      <c r="A610" s="3">
        <v>43946.039189814815</v>
      </c>
      <c r="B610" s="4" t="str">
        <f>HYPERLINK("https://twitter.com/sergio_fajardo","@sergio_fajardo")</f>
        <v>@sergio_fajardo</v>
      </c>
      <c r="C610" s="5" t="s">
        <v>16</v>
      </c>
      <c r="D610" s="5" t="s">
        <v>632</v>
      </c>
      <c r="E610" s="6" t="str">
        <f>HYPERLINK("https://twitter.com/sergio_fajardo/status/1253767274323902466","1253767274323902466")</f>
        <v>1253767274323902466</v>
      </c>
      <c r="F610" s="7" t="s">
        <v>17</v>
      </c>
      <c r="G610" s="7">
        <v>1534926</v>
      </c>
      <c r="H610" s="7">
        <v>368</v>
      </c>
      <c r="I610" s="7">
        <v>12</v>
      </c>
      <c r="J610" s="7">
        <v>0</v>
      </c>
      <c r="K610" s="7" t="s">
        <v>18</v>
      </c>
      <c r="L610" s="8">
        <v>39891.213356481479</v>
      </c>
      <c r="M610" s="9" t="s">
        <v>19</v>
      </c>
      <c r="N610" s="9" t="s">
        <v>22</v>
      </c>
      <c r="O610" s="6" t="str">
        <f>HYPERLINK("https://pbs.twimg.com/profile_images/988971255679324162/jrqiIYf__normal.jpg","View")</f>
        <v>View</v>
      </c>
      <c r="P610" s="7"/>
    </row>
    <row r="611" spans="1:16">
      <c r="A611" s="3">
        <v>43946.1953125</v>
      </c>
      <c r="B611" s="4" t="str">
        <f>HYPERLINK("https://twitter.com/sergio_fajardo","@sergio_fajardo")</f>
        <v>@sergio_fajardo</v>
      </c>
      <c r="C611" s="5" t="s">
        <v>16</v>
      </c>
      <c r="D611" s="5" t="s">
        <v>633</v>
      </c>
      <c r="E611" s="6" t="str">
        <f>HYPERLINK("https://twitter.com/sergio_fajardo/status/1253823848342061056","1253823848342061056")</f>
        <v>1253823848342061056</v>
      </c>
      <c r="F611" s="7" t="s">
        <v>17</v>
      </c>
      <c r="G611" s="7">
        <v>1534974</v>
      </c>
      <c r="H611" s="7">
        <v>368</v>
      </c>
      <c r="I611" s="7">
        <v>2</v>
      </c>
      <c r="J611" s="7">
        <v>0</v>
      </c>
      <c r="K611" s="7" t="s">
        <v>18</v>
      </c>
      <c r="L611" s="8">
        <v>39891.213356481479</v>
      </c>
      <c r="M611" s="9" t="s">
        <v>19</v>
      </c>
      <c r="N611" s="9" t="s">
        <v>22</v>
      </c>
      <c r="O611" s="6" t="str">
        <f>HYPERLINK("https://pbs.twimg.com/profile_images/988971255679324162/jrqiIYf__normal.jpg","View")</f>
        <v>View</v>
      </c>
      <c r="P611" s="7"/>
    </row>
    <row r="612" spans="1:16">
      <c r="A612" s="3">
        <v>43946.318344907406</v>
      </c>
      <c r="B612" s="4" t="str">
        <f>HYPERLINK("https://twitter.com/sergio_fajardo","@sergio_fajardo")</f>
        <v>@sergio_fajardo</v>
      </c>
      <c r="C612" s="5" t="s">
        <v>16</v>
      </c>
      <c r="D612" s="5" t="s">
        <v>634</v>
      </c>
      <c r="E612" s="6" t="str">
        <f>HYPERLINK("https://twitter.com/sergio_fajardo/status/1253868437371326465","1253868437371326465")</f>
        <v>1253868437371326465</v>
      </c>
      <c r="F612" s="7" t="s">
        <v>17</v>
      </c>
      <c r="G612" s="7">
        <v>1535026</v>
      </c>
      <c r="H612" s="7">
        <v>368</v>
      </c>
      <c r="I612" s="7">
        <v>61</v>
      </c>
      <c r="J612" s="7">
        <v>0</v>
      </c>
      <c r="K612" s="7" t="s">
        <v>18</v>
      </c>
      <c r="L612" s="8">
        <v>39891.213356481479</v>
      </c>
      <c r="M612" s="9" t="s">
        <v>19</v>
      </c>
      <c r="N612" s="9" t="s">
        <v>22</v>
      </c>
      <c r="O612" s="6" t="str">
        <f>HYPERLINK("https://pbs.twimg.com/profile_images/988971255679324162/jrqiIYf__normal.jpg","View")</f>
        <v>View</v>
      </c>
      <c r="P612" s="7"/>
    </row>
    <row r="613" spans="1:16">
      <c r="A613" s="3">
        <v>43946.365520833337</v>
      </c>
      <c r="B613" s="4" t="str">
        <f>HYPERLINK("https://twitter.com/sergio_fajardo","@sergio_fajardo")</f>
        <v>@sergio_fajardo</v>
      </c>
      <c r="C613" s="5" t="s">
        <v>16</v>
      </c>
      <c r="D613" s="5" t="s">
        <v>635</v>
      </c>
      <c r="E613" s="6" t="str">
        <f>HYPERLINK("https://twitter.com/sergio_fajardo/status/1253885529801793538","1253885529801793538")</f>
        <v>1253885529801793538</v>
      </c>
      <c r="F613" s="7" t="s">
        <v>17</v>
      </c>
      <c r="G613" s="7">
        <v>1535040</v>
      </c>
      <c r="H613" s="7">
        <v>368</v>
      </c>
      <c r="I613" s="7">
        <v>148</v>
      </c>
      <c r="J613" s="7">
        <v>0</v>
      </c>
      <c r="K613" s="7" t="s">
        <v>18</v>
      </c>
      <c r="L613" s="8">
        <v>39891.213356481479</v>
      </c>
      <c r="M613" s="9" t="s">
        <v>19</v>
      </c>
      <c r="N613" s="9" t="s">
        <v>22</v>
      </c>
      <c r="O613" s="6" t="str">
        <f>HYPERLINK("https://pbs.twimg.com/profile_images/988971255679324162/jrqiIYf__normal.jpg","View")</f>
        <v>View</v>
      </c>
      <c r="P613" s="7"/>
    </row>
    <row r="614" spans="1:16">
      <c r="A614" s="3">
        <v>43946.366168981476</v>
      </c>
      <c r="B614" s="4" t="str">
        <f>HYPERLINK("https://twitter.com/sergio_fajardo","@sergio_fajardo")</f>
        <v>@sergio_fajardo</v>
      </c>
      <c r="C614" s="5" t="s">
        <v>16</v>
      </c>
      <c r="D614" s="5" t="s">
        <v>636</v>
      </c>
      <c r="E614" s="6" t="str">
        <f>HYPERLINK("https://twitter.com/sergio_fajardo/status/1253885765693714438","1253885765693714438")</f>
        <v>1253885765693714438</v>
      </c>
      <c r="F614" s="7" t="s">
        <v>17</v>
      </c>
      <c r="G614" s="7">
        <v>1535040</v>
      </c>
      <c r="H614" s="7">
        <v>368</v>
      </c>
      <c r="I614" s="7">
        <v>28</v>
      </c>
      <c r="J614" s="7">
        <v>0</v>
      </c>
      <c r="K614" s="7" t="s">
        <v>18</v>
      </c>
      <c r="L614" s="8">
        <v>39891.213356481479</v>
      </c>
      <c r="M614" s="9" t="s">
        <v>19</v>
      </c>
      <c r="N614" s="9" t="s">
        <v>22</v>
      </c>
      <c r="O614" s="6" t="str">
        <f>HYPERLINK("https://pbs.twimg.com/profile_images/988971255679324162/jrqiIYf__normal.jpg","View")</f>
        <v>View</v>
      </c>
      <c r="P614" s="7"/>
    </row>
    <row r="615" spans="1:16">
      <c r="A615" s="3">
        <v>43946.992835648147</v>
      </c>
      <c r="B615" s="4" t="str">
        <f>HYPERLINK("https://twitter.com/sergio_fajardo","@sergio_fajardo")</f>
        <v>@sergio_fajardo</v>
      </c>
      <c r="C615" s="5" t="s">
        <v>16</v>
      </c>
      <c r="D615" s="5" t="s">
        <v>637</v>
      </c>
      <c r="E615" s="6" t="str">
        <f>HYPERLINK("https://twitter.com/sergio_fajardo/status/1254112864958365697","1254112864958365697")</f>
        <v>1254112864958365697</v>
      </c>
      <c r="F615" s="7" t="s">
        <v>17</v>
      </c>
      <c r="G615" s="7">
        <v>1535191</v>
      </c>
      <c r="H615" s="7">
        <v>368</v>
      </c>
      <c r="I615" s="7">
        <v>326</v>
      </c>
      <c r="J615" s="7">
        <v>0</v>
      </c>
      <c r="K615" s="7" t="s">
        <v>18</v>
      </c>
      <c r="L615" s="8">
        <v>39891.213356481479</v>
      </c>
      <c r="M615" s="9" t="s">
        <v>19</v>
      </c>
      <c r="N615" s="9" t="s">
        <v>22</v>
      </c>
      <c r="O615" s="6" t="str">
        <f>HYPERLINK("https://pbs.twimg.com/profile_images/988971255679324162/jrqiIYf__normal.jpg","View")</f>
        <v>View</v>
      </c>
      <c r="P615" s="7"/>
    </row>
    <row r="616" spans="1:16">
      <c r="A616" s="3">
        <v>43947.041504629626</v>
      </c>
      <c r="B616" s="4" t="str">
        <f>HYPERLINK("https://twitter.com/sergio_fajardo","@sergio_fajardo")</f>
        <v>@sergio_fajardo</v>
      </c>
      <c r="C616" s="5" t="s">
        <v>16</v>
      </c>
      <c r="D616" s="5" t="s">
        <v>638</v>
      </c>
      <c r="E616" s="6" t="str">
        <f>HYPERLINK("https://twitter.com/sergio_fajardo/status/1254130499037081600","1254130499037081600")</f>
        <v>1254130499037081600</v>
      </c>
      <c r="F616" s="7" t="s">
        <v>17</v>
      </c>
      <c r="G616" s="7">
        <v>1535215</v>
      </c>
      <c r="H616" s="7">
        <v>368</v>
      </c>
      <c r="I616" s="7">
        <v>6</v>
      </c>
      <c r="J616" s="7">
        <v>0</v>
      </c>
      <c r="K616" s="7" t="s">
        <v>18</v>
      </c>
      <c r="L616" s="8">
        <v>39891.213356481479</v>
      </c>
      <c r="M616" s="9" t="s">
        <v>19</v>
      </c>
      <c r="N616" s="9" t="s">
        <v>22</v>
      </c>
      <c r="O616" s="6" t="str">
        <f>HYPERLINK("https://pbs.twimg.com/profile_images/988971255679324162/jrqiIYf__normal.jpg","View")</f>
        <v>View</v>
      </c>
      <c r="P616" s="7"/>
    </row>
    <row r="617" spans="1:16">
      <c r="A617" s="3">
        <v>43947.041597222225</v>
      </c>
      <c r="B617" s="4" t="str">
        <f>HYPERLINK("https://twitter.com/sergio_fajardo","@sergio_fajardo")</f>
        <v>@sergio_fajardo</v>
      </c>
      <c r="C617" s="5" t="s">
        <v>16</v>
      </c>
      <c r="D617" s="5" t="s">
        <v>639</v>
      </c>
      <c r="E617" s="6" t="str">
        <f>HYPERLINK("https://twitter.com/sergio_fajardo/status/1254130534856437761","1254130534856437761")</f>
        <v>1254130534856437761</v>
      </c>
      <c r="F617" s="7" t="s">
        <v>17</v>
      </c>
      <c r="G617" s="7">
        <v>1535215</v>
      </c>
      <c r="H617" s="7">
        <v>368</v>
      </c>
      <c r="I617" s="7">
        <v>3</v>
      </c>
      <c r="J617" s="7">
        <v>0</v>
      </c>
      <c r="K617" s="7" t="s">
        <v>18</v>
      </c>
      <c r="L617" s="8">
        <v>39891.213356481479</v>
      </c>
      <c r="M617" s="9" t="s">
        <v>19</v>
      </c>
      <c r="N617" s="9" t="s">
        <v>22</v>
      </c>
      <c r="O617" s="6" t="str">
        <f>HYPERLINK("https://pbs.twimg.com/profile_images/988971255679324162/jrqiIYf__normal.jpg","View")</f>
        <v>View</v>
      </c>
      <c r="P617" s="7"/>
    </row>
    <row r="618" spans="1:16">
      <c r="A618" s="3">
        <v>43947.074189814812</v>
      </c>
      <c r="B618" s="4" t="str">
        <f>HYPERLINK("https://twitter.com/sergio_fajardo","@sergio_fajardo")</f>
        <v>@sergio_fajardo</v>
      </c>
      <c r="C618" s="5" t="s">
        <v>16</v>
      </c>
      <c r="D618" s="5" t="s">
        <v>640</v>
      </c>
      <c r="E618" s="6" t="str">
        <f>HYPERLINK("https://twitter.com/sergio_fajardo/status/1254142346062635009","1254142346062635009")</f>
        <v>1254142346062635009</v>
      </c>
      <c r="F618" s="7" t="s">
        <v>17</v>
      </c>
      <c r="G618" s="7">
        <v>1535235</v>
      </c>
      <c r="H618" s="7">
        <v>368</v>
      </c>
      <c r="I618" s="7">
        <v>13</v>
      </c>
      <c r="J618" s="7">
        <v>0</v>
      </c>
      <c r="K618" s="7" t="s">
        <v>18</v>
      </c>
      <c r="L618" s="8">
        <v>39891.213356481479</v>
      </c>
      <c r="M618" s="9" t="s">
        <v>19</v>
      </c>
      <c r="N618" s="9" t="s">
        <v>22</v>
      </c>
      <c r="O618" s="6" t="str">
        <f>HYPERLINK("https://pbs.twimg.com/profile_images/988971255679324162/jrqiIYf__normal.jpg","View")</f>
        <v>View</v>
      </c>
      <c r="P618" s="7"/>
    </row>
    <row r="619" spans="1:16">
      <c r="A619" s="3">
        <v>43947.089108796295</v>
      </c>
      <c r="B619" s="4" t="str">
        <f>HYPERLINK("https://twitter.com/sergio_fajardo","@sergio_fajardo")</f>
        <v>@sergio_fajardo</v>
      </c>
      <c r="C619" s="5" t="s">
        <v>16</v>
      </c>
      <c r="D619" s="5" t="s">
        <v>641</v>
      </c>
      <c r="E619" s="6" t="str">
        <f>HYPERLINK("https://twitter.com/sergio_fajardo/status/1254147751383875592","1254147751383875592")</f>
        <v>1254147751383875592</v>
      </c>
      <c r="F619" s="7" t="s">
        <v>17</v>
      </c>
      <c r="G619" s="7">
        <v>1535229</v>
      </c>
      <c r="H619" s="7">
        <v>368</v>
      </c>
      <c r="I619" s="7">
        <v>4</v>
      </c>
      <c r="J619" s="7">
        <v>14</v>
      </c>
      <c r="K619" s="7" t="s">
        <v>18</v>
      </c>
      <c r="L619" s="8">
        <v>39891.213356481479</v>
      </c>
      <c r="M619" s="9" t="s">
        <v>19</v>
      </c>
      <c r="N619" s="9" t="s">
        <v>22</v>
      </c>
      <c r="O619" s="6" t="str">
        <f>HYPERLINK("https://pbs.twimg.com/profile_images/988971255679324162/jrqiIYf__normal.jpg","View")</f>
        <v>View</v>
      </c>
      <c r="P619" s="7"/>
    </row>
    <row r="620" spans="1:16">
      <c r="A620" s="3">
        <v>43947.089340277773</v>
      </c>
      <c r="B620" s="4" t="str">
        <f>HYPERLINK("https://twitter.com/sergio_fajardo","@sergio_fajardo")</f>
        <v>@sergio_fajardo</v>
      </c>
      <c r="C620" s="5" t="s">
        <v>16</v>
      </c>
      <c r="D620" s="5" t="s">
        <v>642</v>
      </c>
      <c r="E620" s="6" t="str">
        <f>HYPERLINK("https://twitter.com/sergio_fajardo/status/1254147834871504898","1254147834871504898")</f>
        <v>1254147834871504898</v>
      </c>
      <c r="F620" s="7" t="s">
        <v>20</v>
      </c>
      <c r="G620" s="7">
        <v>1535229</v>
      </c>
      <c r="H620" s="7">
        <v>368</v>
      </c>
      <c r="I620" s="7">
        <v>9</v>
      </c>
      <c r="J620" s="7">
        <v>30</v>
      </c>
      <c r="K620" s="7" t="s">
        <v>18</v>
      </c>
      <c r="L620" s="8">
        <v>39891.213356481479</v>
      </c>
      <c r="M620" s="9" t="s">
        <v>19</v>
      </c>
      <c r="N620" s="9" t="s">
        <v>22</v>
      </c>
      <c r="O620" s="6" t="str">
        <f>HYPERLINK("https://pbs.twimg.com/profile_images/988971255679324162/jrqiIYf__normal.jpg","View")</f>
        <v>View</v>
      </c>
      <c r="P620" s="7"/>
    </row>
    <row r="621" spans="1:16">
      <c r="A621" s="3">
        <v>43947.111458333333</v>
      </c>
      <c r="B621" s="4" t="str">
        <f>HYPERLINK("https://twitter.com/sergio_fajardo","@sergio_fajardo")</f>
        <v>@sergio_fajardo</v>
      </c>
      <c r="C621" s="5" t="s">
        <v>16</v>
      </c>
      <c r="D621" s="5" t="s">
        <v>643</v>
      </c>
      <c r="E621" s="6" t="str">
        <f>HYPERLINK("https://twitter.com/sergio_fajardo/status/1254155852409442307","1254155852409442307")</f>
        <v>1254155852409442307</v>
      </c>
      <c r="F621" s="7" t="s">
        <v>17</v>
      </c>
      <c r="G621" s="7">
        <v>1535237</v>
      </c>
      <c r="H621" s="7">
        <v>368</v>
      </c>
      <c r="I621" s="7">
        <v>8</v>
      </c>
      <c r="J621" s="7">
        <v>0</v>
      </c>
      <c r="K621" s="7" t="s">
        <v>18</v>
      </c>
      <c r="L621" s="8">
        <v>39891.213356481479</v>
      </c>
      <c r="M621" s="9" t="s">
        <v>19</v>
      </c>
      <c r="N621" s="9" t="s">
        <v>22</v>
      </c>
      <c r="O621" s="6" t="str">
        <f>HYPERLINK("https://pbs.twimg.com/profile_images/988971255679324162/jrqiIYf__normal.jpg","View")</f>
        <v>View</v>
      </c>
      <c r="P621" s="7"/>
    </row>
    <row r="622" spans="1:16">
      <c r="A622" s="3">
        <v>43947.111620370371</v>
      </c>
      <c r="B622" s="4" t="str">
        <f>HYPERLINK("https://twitter.com/sergio_fajardo","@sergio_fajardo")</f>
        <v>@sergio_fajardo</v>
      </c>
      <c r="C622" s="5" t="s">
        <v>16</v>
      </c>
      <c r="D622" s="5" t="s">
        <v>644</v>
      </c>
      <c r="E622" s="6" t="str">
        <f>HYPERLINK("https://twitter.com/sergio_fajardo/status/1254155907661004800","1254155907661004800")</f>
        <v>1254155907661004800</v>
      </c>
      <c r="F622" s="7" t="s">
        <v>17</v>
      </c>
      <c r="G622" s="7">
        <v>1535237</v>
      </c>
      <c r="H622" s="7">
        <v>368</v>
      </c>
      <c r="I622" s="7">
        <v>2</v>
      </c>
      <c r="J622" s="7">
        <v>0</v>
      </c>
      <c r="K622" s="7" t="s">
        <v>18</v>
      </c>
      <c r="L622" s="8">
        <v>39891.213356481479</v>
      </c>
      <c r="M622" s="9" t="s">
        <v>19</v>
      </c>
      <c r="N622" s="9" t="s">
        <v>22</v>
      </c>
      <c r="O622" s="6" t="str">
        <f>HYPERLINK("https://pbs.twimg.com/profile_images/988971255679324162/jrqiIYf__normal.jpg","View")</f>
        <v>View</v>
      </c>
      <c r="P622" s="7"/>
    </row>
    <row r="623" spans="1:16">
      <c r="A623" s="3">
        <v>43947.302129629628</v>
      </c>
      <c r="B623" s="4" t="str">
        <f>HYPERLINK("https://twitter.com/sergio_fajardo","@sergio_fajardo")</f>
        <v>@sergio_fajardo</v>
      </c>
      <c r="C623" s="5" t="s">
        <v>16</v>
      </c>
      <c r="D623" s="5" t="s">
        <v>645</v>
      </c>
      <c r="E623" s="6" t="str">
        <f>HYPERLINK("https://twitter.com/sergio_fajardo/status/1254224949105111041","1254224949105111041")</f>
        <v>1254224949105111041</v>
      </c>
      <c r="F623" s="7" t="s">
        <v>23</v>
      </c>
      <c r="G623" s="7">
        <v>1535292</v>
      </c>
      <c r="H623" s="7">
        <v>368</v>
      </c>
      <c r="I623" s="7">
        <v>10</v>
      </c>
      <c r="J623" s="7">
        <v>15</v>
      </c>
      <c r="K623" s="7" t="s">
        <v>18</v>
      </c>
      <c r="L623" s="8">
        <v>39891.213356481479</v>
      </c>
      <c r="M623" s="9" t="s">
        <v>19</v>
      </c>
      <c r="N623" s="9" t="s">
        <v>22</v>
      </c>
      <c r="O623" s="6" t="str">
        <f>HYPERLINK("https://pbs.twimg.com/profile_images/988971255679324162/jrqiIYf__normal.jpg","View")</f>
        <v>View</v>
      </c>
      <c r="P623" s="7"/>
    </row>
    <row r="624" spans="1:16">
      <c r="A624" s="3">
        <v>43948.694733796292</v>
      </c>
      <c r="B624" s="4" t="str">
        <f>HYPERLINK("https://twitter.com/sergio_fajardo","@sergio_fajardo")</f>
        <v>@sergio_fajardo</v>
      </c>
      <c r="C624" s="5" t="s">
        <v>16</v>
      </c>
      <c r="D624" s="5" t="s">
        <v>646</v>
      </c>
      <c r="E624" s="6" t="str">
        <f>HYPERLINK("https://twitter.com/sergio_fajardo/status/1254729612057288705","1254729612057288705")</f>
        <v>1254729612057288705</v>
      </c>
      <c r="F624" s="7" t="s">
        <v>17</v>
      </c>
      <c r="G624" s="7">
        <v>1535680</v>
      </c>
      <c r="H624" s="7">
        <v>368</v>
      </c>
      <c r="I624" s="7">
        <v>8</v>
      </c>
      <c r="J624" s="7">
        <v>0</v>
      </c>
      <c r="K624" s="7" t="s">
        <v>18</v>
      </c>
      <c r="L624" s="8">
        <v>39891.213356481479</v>
      </c>
      <c r="M624" s="9" t="s">
        <v>19</v>
      </c>
      <c r="N624" s="9" t="s">
        <v>22</v>
      </c>
      <c r="O624" s="6" t="str">
        <f>HYPERLINK("https://pbs.twimg.com/profile_images/988971255679324162/jrqiIYf__normal.jpg","View")</f>
        <v>View</v>
      </c>
      <c r="P624" s="7"/>
    </row>
    <row r="625" spans="1:16">
      <c r="A625" s="3">
        <v>43948.704166666663</v>
      </c>
      <c r="B625" s="4" t="str">
        <f>HYPERLINK("https://twitter.com/sergio_fajardo","@sergio_fajardo")</f>
        <v>@sergio_fajardo</v>
      </c>
      <c r="C625" s="5" t="s">
        <v>16</v>
      </c>
      <c r="D625" s="5" t="s">
        <v>647</v>
      </c>
      <c r="E625" s="6" t="str">
        <f>HYPERLINK("https://twitter.com/sergio_fajardo/status/1254733027206463488","1254733027206463488")</f>
        <v>1254733027206463488</v>
      </c>
      <c r="F625" s="7" t="s">
        <v>17</v>
      </c>
      <c r="G625" s="7">
        <v>1535680</v>
      </c>
      <c r="H625" s="7">
        <v>368</v>
      </c>
      <c r="I625" s="7">
        <v>0</v>
      </c>
      <c r="J625" s="7">
        <v>1</v>
      </c>
      <c r="K625" s="7" t="s">
        <v>18</v>
      </c>
      <c r="L625" s="8">
        <v>39891.213356481479</v>
      </c>
      <c r="M625" s="9" t="s">
        <v>19</v>
      </c>
      <c r="N625" s="9" t="s">
        <v>22</v>
      </c>
      <c r="O625" s="6" t="str">
        <f>HYPERLINK("https://pbs.twimg.com/profile_images/988971255679324162/jrqiIYf__normal.jpg","View")</f>
        <v>View</v>
      </c>
      <c r="P625" s="7"/>
    </row>
    <row r="626" spans="1:16">
      <c r="A626" s="3">
        <v>43948.707442129627</v>
      </c>
      <c r="B626" s="4" t="str">
        <f>HYPERLINK("https://twitter.com/sergio_fajardo","@sergio_fajardo")</f>
        <v>@sergio_fajardo</v>
      </c>
      <c r="C626" s="5" t="s">
        <v>16</v>
      </c>
      <c r="D626" s="5" t="s">
        <v>648</v>
      </c>
      <c r="E626" s="6" t="str">
        <f>HYPERLINK("https://twitter.com/sergio_fajardo/status/1254734215226277888","1254734215226277888")</f>
        <v>1254734215226277888</v>
      </c>
      <c r="F626" s="7" t="s">
        <v>17</v>
      </c>
      <c r="G626" s="7">
        <v>1535680</v>
      </c>
      <c r="H626" s="7">
        <v>368</v>
      </c>
      <c r="I626" s="7">
        <v>5</v>
      </c>
      <c r="J626" s="7">
        <v>20</v>
      </c>
      <c r="K626" s="7" t="s">
        <v>18</v>
      </c>
      <c r="L626" s="8">
        <v>39891.213356481479</v>
      </c>
      <c r="M626" s="9" t="s">
        <v>19</v>
      </c>
      <c r="N626" s="9" t="s">
        <v>22</v>
      </c>
      <c r="O626" s="6" t="str">
        <f>HYPERLINK("https://pbs.twimg.com/profile_images/988971255679324162/jrqiIYf__normal.jpg","View")</f>
        <v>View</v>
      </c>
      <c r="P626" s="7"/>
    </row>
    <row r="627" spans="1:16">
      <c r="A627" s="3">
        <v>43948.718472222223</v>
      </c>
      <c r="B627" s="4" t="str">
        <f>HYPERLINK("https://twitter.com/sergio_fajardo","@sergio_fajardo")</f>
        <v>@sergio_fajardo</v>
      </c>
      <c r="C627" s="5" t="s">
        <v>16</v>
      </c>
      <c r="D627" s="5" t="s">
        <v>649</v>
      </c>
      <c r="E627" s="6" t="str">
        <f>HYPERLINK("https://twitter.com/sergio_fajardo/status/1254738214616694784","1254738214616694784")</f>
        <v>1254738214616694784</v>
      </c>
      <c r="F627" s="7" t="s">
        <v>17</v>
      </c>
      <c r="G627" s="7">
        <v>1535686</v>
      </c>
      <c r="H627" s="7">
        <v>368</v>
      </c>
      <c r="I627" s="7">
        <v>338</v>
      </c>
      <c r="J627" s="7">
        <v>0</v>
      </c>
      <c r="K627" s="7" t="s">
        <v>18</v>
      </c>
      <c r="L627" s="8">
        <v>39891.213356481479</v>
      </c>
      <c r="M627" s="9" t="s">
        <v>19</v>
      </c>
      <c r="N627" s="9" t="s">
        <v>22</v>
      </c>
      <c r="O627" s="6" t="str">
        <f>HYPERLINK("https://pbs.twimg.com/profile_images/988971255679324162/jrqiIYf__normal.jpg","View")</f>
        <v>View</v>
      </c>
      <c r="P627" s="7"/>
    </row>
    <row r="628" spans="1:16">
      <c r="A628" s="3">
        <v>43948.834166666667</v>
      </c>
      <c r="B628" s="4" t="str">
        <f>HYPERLINK("https://twitter.com/sergio_fajardo","@sergio_fajardo")</f>
        <v>@sergio_fajardo</v>
      </c>
      <c r="C628" s="5" t="s">
        <v>16</v>
      </c>
      <c r="D628" s="5" t="s">
        <v>650</v>
      </c>
      <c r="E628" s="6" t="str">
        <f>HYPERLINK("https://twitter.com/sergio_fajardo/status/1254780139801473024","1254780139801473024")</f>
        <v>1254780139801473024</v>
      </c>
      <c r="F628" s="7" t="s">
        <v>17</v>
      </c>
      <c r="G628" s="7">
        <v>1535732</v>
      </c>
      <c r="H628" s="7">
        <v>368</v>
      </c>
      <c r="I628" s="7">
        <v>136</v>
      </c>
      <c r="J628" s="7">
        <v>0</v>
      </c>
      <c r="K628" s="7" t="s">
        <v>18</v>
      </c>
      <c r="L628" s="8">
        <v>39891.213356481479</v>
      </c>
      <c r="M628" s="9" t="s">
        <v>19</v>
      </c>
      <c r="N628" s="9" t="s">
        <v>22</v>
      </c>
      <c r="O628" s="6" t="str">
        <f>HYPERLINK("https://pbs.twimg.com/profile_images/988971255679324162/jrqiIYf__normal.jpg","View")</f>
        <v>View</v>
      </c>
      <c r="P628" s="7"/>
    </row>
    <row r="629" spans="1:16">
      <c r="A629" s="3">
        <v>43948.905659722222</v>
      </c>
      <c r="B629" s="4" t="str">
        <f>HYPERLINK("https://twitter.com/sergio_fajardo","@sergio_fajardo")</f>
        <v>@sergio_fajardo</v>
      </c>
      <c r="C629" s="5" t="s">
        <v>16</v>
      </c>
      <c r="D629" s="5" t="s">
        <v>651</v>
      </c>
      <c r="E629" s="6" t="str">
        <f>HYPERLINK("https://twitter.com/sergio_fajardo/status/1254806047694508033","1254806047694508033")</f>
        <v>1254806047694508033</v>
      </c>
      <c r="F629" s="7" t="s">
        <v>17</v>
      </c>
      <c r="G629" s="7">
        <v>1535785</v>
      </c>
      <c r="H629" s="7">
        <v>368</v>
      </c>
      <c r="I629" s="7">
        <v>18</v>
      </c>
      <c r="J629" s="7">
        <v>0</v>
      </c>
      <c r="K629" s="7" t="s">
        <v>18</v>
      </c>
      <c r="L629" s="8">
        <v>39891.213356481479</v>
      </c>
      <c r="M629" s="9" t="s">
        <v>19</v>
      </c>
      <c r="N629" s="9" t="s">
        <v>22</v>
      </c>
      <c r="O629" s="6" t="str">
        <f>HYPERLINK("https://pbs.twimg.com/profile_images/988971255679324162/jrqiIYf__normal.jpg","View")</f>
        <v>View</v>
      </c>
      <c r="P629" s="7"/>
    </row>
    <row r="630" spans="1:16">
      <c r="A630" s="3">
        <v>43948.941331018519</v>
      </c>
      <c r="B630" s="4" t="str">
        <f>HYPERLINK("https://twitter.com/sergio_fajardo","@sergio_fajardo")</f>
        <v>@sergio_fajardo</v>
      </c>
      <c r="C630" s="5" t="s">
        <v>16</v>
      </c>
      <c r="D630" s="5" t="s">
        <v>652</v>
      </c>
      <c r="E630" s="6" t="str">
        <f>HYPERLINK("https://twitter.com/sergio_fajardo/status/1254818975873204224","1254818975873204224")</f>
        <v>1254818975873204224</v>
      </c>
      <c r="F630" s="7" t="s">
        <v>17</v>
      </c>
      <c r="G630" s="7">
        <v>1535790</v>
      </c>
      <c r="H630" s="7">
        <v>368</v>
      </c>
      <c r="I630" s="7">
        <v>49</v>
      </c>
      <c r="J630" s="7">
        <v>354</v>
      </c>
      <c r="K630" s="7" t="s">
        <v>18</v>
      </c>
      <c r="L630" s="8">
        <v>39891.213356481479</v>
      </c>
      <c r="M630" s="9" t="s">
        <v>19</v>
      </c>
      <c r="N630" s="9" t="s">
        <v>22</v>
      </c>
      <c r="O630" s="6" t="str">
        <f>HYPERLINK("https://pbs.twimg.com/profile_images/988971255679324162/jrqiIYf__normal.jpg","View")</f>
        <v>View</v>
      </c>
      <c r="P630" s="7"/>
    </row>
    <row r="631" spans="1:16">
      <c r="A631" s="3">
        <v>43949.127835648149</v>
      </c>
      <c r="B631" s="4" t="str">
        <f>HYPERLINK("https://twitter.com/sergio_fajardo","@sergio_fajardo")</f>
        <v>@sergio_fajardo</v>
      </c>
      <c r="C631" s="5" t="s">
        <v>16</v>
      </c>
      <c r="D631" s="5" t="s">
        <v>653</v>
      </c>
      <c r="E631" s="6" t="str">
        <f>HYPERLINK("https://twitter.com/sergio_fajardo/status/1254886560673259521","1254886560673259521")</f>
        <v>1254886560673259521</v>
      </c>
      <c r="F631" s="7" t="s">
        <v>17</v>
      </c>
      <c r="G631" s="7">
        <v>1535886</v>
      </c>
      <c r="H631" s="7">
        <v>368</v>
      </c>
      <c r="I631" s="7">
        <v>53</v>
      </c>
      <c r="J631" s="7">
        <v>0</v>
      </c>
      <c r="K631" s="7" t="s">
        <v>18</v>
      </c>
      <c r="L631" s="8">
        <v>39891.213356481479</v>
      </c>
      <c r="M631" s="9" t="s">
        <v>19</v>
      </c>
      <c r="N631" s="9" t="s">
        <v>22</v>
      </c>
      <c r="O631" s="6" t="str">
        <f>HYPERLINK("https://pbs.twimg.com/profile_images/988971255679324162/jrqiIYf__normal.jpg","View")</f>
        <v>View</v>
      </c>
      <c r="P631" s="7"/>
    </row>
    <row r="632" spans="1:16">
      <c r="A632" s="3">
        <v>43949.198530092588</v>
      </c>
      <c r="B632" s="4" t="str">
        <f>HYPERLINK("https://twitter.com/sergio_fajardo","@sergio_fajardo")</f>
        <v>@sergio_fajardo</v>
      </c>
      <c r="C632" s="5" t="s">
        <v>16</v>
      </c>
      <c r="D632" s="5" t="s">
        <v>654</v>
      </c>
      <c r="E632" s="6" t="str">
        <f>HYPERLINK("https://twitter.com/sergio_fajardo/status/1254912180924932096","1254912180924932096")</f>
        <v>1254912180924932096</v>
      </c>
      <c r="F632" s="7" t="s">
        <v>17</v>
      </c>
      <c r="G632" s="7">
        <v>1535896</v>
      </c>
      <c r="H632" s="7">
        <v>368</v>
      </c>
      <c r="I632" s="7">
        <v>3</v>
      </c>
      <c r="J632" s="7">
        <v>0</v>
      </c>
      <c r="K632" s="7" t="s">
        <v>18</v>
      </c>
      <c r="L632" s="8">
        <v>39891.213356481479</v>
      </c>
      <c r="M632" s="9" t="s">
        <v>19</v>
      </c>
      <c r="N632" s="9" t="s">
        <v>22</v>
      </c>
      <c r="O632" s="6" t="str">
        <f>HYPERLINK("https://pbs.twimg.com/profile_images/988971255679324162/jrqiIYf__normal.jpg","View")</f>
        <v>View</v>
      </c>
      <c r="P632" s="7"/>
    </row>
    <row r="633" spans="1:16">
      <c r="A633" s="3">
        <v>43949.223506944443</v>
      </c>
      <c r="B633" s="4" t="str">
        <f>HYPERLINK("https://twitter.com/sergio_fajardo","@sergio_fajardo")</f>
        <v>@sergio_fajardo</v>
      </c>
      <c r="C633" s="5" t="s">
        <v>16</v>
      </c>
      <c r="D633" s="5" t="s">
        <v>655</v>
      </c>
      <c r="E633" s="6" t="str">
        <f>HYPERLINK("https://twitter.com/sergio_fajardo/status/1254921232383868930","1254921232383868930")</f>
        <v>1254921232383868930</v>
      </c>
      <c r="F633" s="7" t="s">
        <v>17</v>
      </c>
      <c r="G633" s="7">
        <v>1535899</v>
      </c>
      <c r="H633" s="7">
        <v>368</v>
      </c>
      <c r="I633" s="7">
        <v>10</v>
      </c>
      <c r="J633" s="7">
        <v>0</v>
      </c>
      <c r="K633" s="7" t="s">
        <v>18</v>
      </c>
      <c r="L633" s="8">
        <v>39891.213356481479</v>
      </c>
      <c r="M633" s="9" t="s">
        <v>19</v>
      </c>
      <c r="N633" s="9" t="s">
        <v>22</v>
      </c>
      <c r="O633" s="6" t="str">
        <f>HYPERLINK("https://pbs.twimg.com/profile_images/988971255679324162/jrqiIYf__normal.jpg","View")</f>
        <v>View</v>
      </c>
      <c r="P633" s="7"/>
    </row>
    <row r="634" spans="1:16">
      <c r="A634" s="3">
        <v>43949.226770833338</v>
      </c>
      <c r="B634" s="4" t="str">
        <f>HYPERLINK("https://twitter.com/sergio_fajardo","@sergio_fajardo")</f>
        <v>@sergio_fajardo</v>
      </c>
      <c r="C634" s="5" t="s">
        <v>16</v>
      </c>
      <c r="D634" s="5" t="s">
        <v>656</v>
      </c>
      <c r="E634" s="6" t="str">
        <f>HYPERLINK("https://twitter.com/sergio_fajardo/status/1254922416092073987","1254922416092073987")</f>
        <v>1254922416092073987</v>
      </c>
      <c r="F634" s="7" t="s">
        <v>17</v>
      </c>
      <c r="G634" s="7">
        <v>1535899</v>
      </c>
      <c r="H634" s="7">
        <v>368</v>
      </c>
      <c r="I634" s="7">
        <v>75</v>
      </c>
      <c r="J634" s="7">
        <v>312</v>
      </c>
      <c r="K634" s="7" t="s">
        <v>18</v>
      </c>
      <c r="L634" s="8">
        <v>39891.213356481479</v>
      </c>
      <c r="M634" s="9" t="s">
        <v>19</v>
      </c>
      <c r="N634" s="9" t="s">
        <v>22</v>
      </c>
      <c r="O634" s="6" t="str">
        <f>HYPERLINK("https://pbs.twimg.com/profile_images/988971255679324162/jrqiIYf__normal.jpg","View")</f>
        <v>View</v>
      </c>
      <c r="P634" s="7"/>
    </row>
    <row r="635" spans="1:16">
      <c r="A635" s="3">
        <v>43949.776006944448</v>
      </c>
      <c r="B635" s="4" t="str">
        <f>HYPERLINK("https://twitter.com/sergio_fajardo","@sergio_fajardo")</f>
        <v>@sergio_fajardo</v>
      </c>
      <c r="C635" s="5" t="s">
        <v>16</v>
      </c>
      <c r="D635" s="5" t="s">
        <v>657</v>
      </c>
      <c r="E635" s="6" t="str">
        <f>HYPERLINK("https://twitter.com/sergio_fajardo/status/1255121448500441092","1255121448500441092")</f>
        <v>1255121448500441092</v>
      </c>
      <c r="F635" s="7" t="s">
        <v>23</v>
      </c>
      <c r="G635" s="7">
        <v>1536128</v>
      </c>
      <c r="H635" s="7">
        <v>368</v>
      </c>
      <c r="I635" s="7">
        <v>29</v>
      </c>
      <c r="J635" s="7">
        <v>97</v>
      </c>
      <c r="K635" s="7" t="s">
        <v>18</v>
      </c>
      <c r="L635" s="8">
        <v>39891.213356481479</v>
      </c>
      <c r="M635" s="9" t="s">
        <v>19</v>
      </c>
      <c r="N635" s="9" t="s">
        <v>22</v>
      </c>
      <c r="O635" s="6" t="str">
        <f>HYPERLINK("https://pbs.twimg.com/profile_images/988971255679324162/jrqiIYf__normal.jpg","View")</f>
        <v>View</v>
      </c>
      <c r="P635" s="7"/>
    </row>
    <row r="636" spans="1:16">
      <c r="A636" s="3">
        <v>43949.935312500005</v>
      </c>
      <c r="B636" s="4" t="str">
        <f>HYPERLINK("https://twitter.com/sergio_fajardo","@sergio_fajardo")</f>
        <v>@sergio_fajardo</v>
      </c>
      <c r="C636" s="5" t="s">
        <v>16</v>
      </c>
      <c r="D636" s="5" t="s">
        <v>658</v>
      </c>
      <c r="E636" s="6" t="str">
        <f>HYPERLINK("https://twitter.com/sergio_fajardo/status/1255179178955153409","1255179178955153409")</f>
        <v>1255179178955153409</v>
      </c>
      <c r="F636" s="7" t="s">
        <v>17</v>
      </c>
      <c r="G636" s="7">
        <v>1536289</v>
      </c>
      <c r="H636" s="7">
        <v>368</v>
      </c>
      <c r="I636" s="7">
        <v>11</v>
      </c>
      <c r="J636" s="7">
        <v>0</v>
      </c>
      <c r="K636" s="7" t="s">
        <v>18</v>
      </c>
      <c r="L636" s="8">
        <v>39891.213356481479</v>
      </c>
      <c r="M636" s="9" t="s">
        <v>19</v>
      </c>
      <c r="N636" s="9" t="s">
        <v>22</v>
      </c>
      <c r="O636" s="6" t="str">
        <f>HYPERLINK("https://pbs.twimg.com/profile_images/988971255679324162/jrqiIYf__normal.jpg","View")</f>
        <v>View</v>
      </c>
      <c r="P636" s="7"/>
    </row>
    <row r="637" spans="1:16">
      <c r="A637" s="3">
        <v>43949.945879629631</v>
      </c>
      <c r="B637" s="4" t="str">
        <f>HYPERLINK("https://twitter.com/sergio_fajardo","@sergio_fajardo")</f>
        <v>@sergio_fajardo</v>
      </c>
      <c r="C637" s="5" t="s">
        <v>16</v>
      </c>
      <c r="D637" s="5" t="s">
        <v>659</v>
      </c>
      <c r="E637" s="6" t="str">
        <f>HYPERLINK("https://twitter.com/sergio_fajardo/status/1255183009571131396","1255183009571131396")</f>
        <v>1255183009571131396</v>
      </c>
      <c r="F637" s="7" t="s">
        <v>17</v>
      </c>
      <c r="G637" s="7">
        <v>1536300</v>
      </c>
      <c r="H637" s="7">
        <v>368</v>
      </c>
      <c r="I637" s="7">
        <v>12</v>
      </c>
      <c r="J637" s="7">
        <v>0</v>
      </c>
      <c r="K637" s="7" t="s">
        <v>18</v>
      </c>
      <c r="L637" s="8">
        <v>39891.213356481479</v>
      </c>
      <c r="M637" s="9" t="s">
        <v>19</v>
      </c>
      <c r="N637" s="9" t="s">
        <v>22</v>
      </c>
      <c r="O637" s="6" t="str">
        <f>HYPERLINK("https://pbs.twimg.com/profile_images/988971255679324162/jrqiIYf__normal.jpg","View")</f>
        <v>View</v>
      </c>
      <c r="P637" s="7"/>
    </row>
    <row r="638" spans="1:16">
      <c r="A638" s="3">
        <v>43950.188032407408</v>
      </c>
      <c r="B638" s="4" t="str">
        <f>HYPERLINK("https://twitter.com/sergio_fajardo","@sergio_fajardo")</f>
        <v>@sergio_fajardo</v>
      </c>
      <c r="C638" s="5" t="s">
        <v>16</v>
      </c>
      <c r="D638" s="5" t="s">
        <v>660</v>
      </c>
      <c r="E638" s="6" t="str">
        <f>HYPERLINK("https://twitter.com/sergio_fajardo/status/1255270762396729344","1255270762396729344")</f>
        <v>1255270762396729344</v>
      </c>
      <c r="F638" s="7" t="s">
        <v>17</v>
      </c>
      <c r="G638" s="7">
        <v>1536427</v>
      </c>
      <c r="H638" s="7">
        <v>368</v>
      </c>
      <c r="I638" s="7">
        <v>40</v>
      </c>
      <c r="J638" s="7">
        <v>0</v>
      </c>
      <c r="K638" s="7" t="s">
        <v>18</v>
      </c>
      <c r="L638" s="8">
        <v>39891.213356481479</v>
      </c>
      <c r="M638" s="9" t="s">
        <v>19</v>
      </c>
      <c r="N638" s="9" t="s">
        <v>22</v>
      </c>
      <c r="O638" s="6" t="str">
        <f>HYPERLINK("https://pbs.twimg.com/profile_images/988971255679324162/jrqiIYf__normal.jpg","View")</f>
        <v>View</v>
      </c>
      <c r="P638" s="7"/>
    </row>
    <row r="639" spans="1:16">
      <c r="A639" s="3">
        <v>43950.281828703708</v>
      </c>
      <c r="B639" s="4" t="str">
        <f>HYPERLINK("https://twitter.com/sergio_fajardo","@sergio_fajardo")</f>
        <v>@sergio_fajardo</v>
      </c>
      <c r="C639" s="5" t="s">
        <v>16</v>
      </c>
      <c r="D639" s="5" t="s">
        <v>661</v>
      </c>
      <c r="E639" s="6" t="str">
        <f>HYPERLINK("https://twitter.com/sergio_fajardo/status/1255304752608546816","1255304752608546816")</f>
        <v>1255304752608546816</v>
      </c>
      <c r="F639" s="7" t="s">
        <v>17</v>
      </c>
      <c r="G639" s="7">
        <v>1536451</v>
      </c>
      <c r="H639" s="7">
        <v>368</v>
      </c>
      <c r="I639" s="7">
        <v>6</v>
      </c>
      <c r="J639" s="7">
        <v>0</v>
      </c>
      <c r="K639" s="7" t="s">
        <v>18</v>
      </c>
      <c r="L639" s="8">
        <v>39891.213356481479</v>
      </c>
      <c r="M639" s="9" t="s">
        <v>19</v>
      </c>
      <c r="N639" s="9" t="s">
        <v>22</v>
      </c>
      <c r="O639" s="6" t="str">
        <f>HYPERLINK("https://pbs.twimg.com/profile_images/988971255679324162/jrqiIYf__normal.jpg","View")</f>
        <v>View</v>
      </c>
      <c r="P639" s="7"/>
    </row>
    <row r="640" spans="1:16">
      <c r="A640" s="3">
        <v>43950.840324074074</v>
      </c>
      <c r="B640" s="4" t="str">
        <f>HYPERLINK("https://twitter.com/sergio_fajardo","@sergio_fajardo")</f>
        <v>@sergio_fajardo</v>
      </c>
      <c r="C640" s="5" t="s">
        <v>16</v>
      </c>
      <c r="D640" s="5" t="s">
        <v>662</v>
      </c>
      <c r="E640" s="6" t="str">
        <f>HYPERLINK("https://twitter.com/sergio_fajardo/status/1255507146017517570","1255507146017517570")</f>
        <v>1255507146017517570</v>
      </c>
      <c r="F640" s="7" t="s">
        <v>17</v>
      </c>
      <c r="G640" s="7">
        <v>1536587</v>
      </c>
      <c r="H640" s="7">
        <v>368</v>
      </c>
      <c r="I640" s="7">
        <v>8</v>
      </c>
      <c r="J640" s="7">
        <v>0</v>
      </c>
      <c r="K640" s="7" t="s">
        <v>18</v>
      </c>
      <c r="L640" s="8">
        <v>39891.213356481479</v>
      </c>
      <c r="M640" s="9" t="s">
        <v>19</v>
      </c>
      <c r="N640" s="9" t="s">
        <v>22</v>
      </c>
      <c r="O640" s="6" t="str">
        <f>HYPERLINK("https://pbs.twimg.com/profile_images/988971255679324162/jrqiIYf__normal.jpg","View")</f>
        <v>View</v>
      </c>
      <c r="P640" s="7"/>
    </row>
    <row r="641" spans="1:16">
      <c r="A641" s="3">
        <v>43950.95039351852</v>
      </c>
      <c r="B641" s="4" t="str">
        <f>HYPERLINK("https://twitter.com/sergio_fajardo","@sergio_fajardo")</f>
        <v>@sergio_fajardo</v>
      </c>
      <c r="C641" s="5" t="s">
        <v>16</v>
      </c>
      <c r="D641" s="5" t="s">
        <v>663</v>
      </c>
      <c r="E641" s="6" t="str">
        <f>HYPERLINK("https://twitter.com/sergio_fajardo/status/1255547035924783105","1255547035924783105")</f>
        <v>1255547035924783105</v>
      </c>
      <c r="F641" s="7" t="s">
        <v>17</v>
      </c>
      <c r="G641" s="7">
        <v>1536645</v>
      </c>
      <c r="H641" s="7">
        <v>368</v>
      </c>
      <c r="I641" s="7">
        <v>15</v>
      </c>
      <c r="J641" s="7">
        <v>0</v>
      </c>
      <c r="K641" s="7" t="s">
        <v>18</v>
      </c>
      <c r="L641" s="8">
        <v>39891.213356481479</v>
      </c>
      <c r="M641" s="9" t="s">
        <v>19</v>
      </c>
      <c r="N641" s="9" t="s">
        <v>22</v>
      </c>
      <c r="O641" s="6" t="str">
        <f>HYPERLINK("https://pbs.twimg.com/profile_images/988971255679324162/jrqiIYf__normal.jpg","View")</f>
        <v>View</v>
      </c>
      <c r="P641" s="7"/>
    </row>
    <row r="642" spans="1:16">
      <c r="A642" s="3">
        <v>43950.957662037035</v>
      </c>
      <c r="B642" s="4" t="str">
        <f>HYPERLINK("https://twitter.com/sergio_fajardo","@sergio_fajardo")</f>
        <v>@sergio_fajardo</v>
      </c>
      <c r="C642" s="5" t="s">
        <v>16</v>
      </c>
      <c r="D642" s="5" t="s">
        <v>664</v>
      </c>
      <c r="E642" s="6" t="str">
        <f>HYPERLINK("https://twitter.com/sergio_fajardo/status/1255549667833675778","1255549667833675778")</f>
        <v>1255549667833675778</v>
      </c>
      <c r="F642" s="7" t="s">
        <v>17</v>
      </c>
      <c r="G642" s="7">
        <v>1536645</v>
      </c>
      <c r="H642" s="7">
        <v>368</v>
      </c>
      <c r="I642" s="7">
        <v>19</v>
      </c>
      <c r="J642" s="7">
        <v>0</v>
      </c>
      <c r="K642" s="7" t="s">
        <v>18</v>
      </c>
      <c r="L642" s="8">
        <v>39891.213356481479</v>
      </c>
      <c r="M642" s="9" t="s">
        <v>19</v>
      </c>
      <c r="N642" s="9" t="s">
        <v>22</v>
      </c>
      <c r="O642" s="6" t="str">
        <f>HYPERLINK("https://pbs.twimg.com/profile_images/988971255679324162/jrqiIYf__normal.jpg","View")</f>
        <v>View</v>
      </c>
      <c r="P642" s="7"/>
    </row>
    <row r="643" spans="1:16">
      <c r="A643" s="3">
        <v>43951.090914351851</v>
      </c>
      <c r="B643" s="4" t="str">
        <f>HYPERLINK("https://twitter.com/sergio_fajardo","@sergio_fajardo")</f>
        <v>@sergio_fajardo</v>
      </c>
      <c r="C643" s="5" t="s">
        <v>16</v>
      </c>
      <c r="D643" s="5" t="s">
        <v>665</v>
      </c>
      <c r="E643" s="6" t="str">
        <f>HYPERLINK("https://twitter.com/sergio_fajardo/status/1255597955182198784","1255597955182198784")</f>
        <v>1255597955182198784</v>
      </c>
      <c r="F643" s="7" t="s">
        <v>17</v>
      </c>
      <c r="G643" s="7">
        <v>1536704</v>
      </c>
      <c r="H643" s="7">
        <v>368</v>
      </c>
      <c r="I643" s="7">
        <v>5</v>
      </c>
      <c r="J643" s="7">
        <v>0</v>
      </c>
      <c r="K643" s="7" t="s">
        <v>18</v>
      </c>
      <c r="L643" s="8">
        <v>39891.213356481479</v>
      </c>
      <c r="M643" s="9" t="s">
        <v>19</v>
      </c>
      <c r="N643" s="9" t="s">
        <v>22</v>
      </c>
      <c r="O643" s="6" t="str">
        <f>HYPERLINK("https://pbs.twimg.com/profile_images/988971255679324162/jrqiIYf__normal.jpg","View")</f>
        <v>View</v>
      </c>
      <c r="P643" s="7"/>
    </row>
    <row r="644" spans="1:16">
      <c r="A644" s="3">
        <v>43951.091099537036</v>
      </c>
      <c r="B644" s="4" t="str">
        <f>HYPERLINK("https://twitter.com/sergio_fajardo","@sergio_fajardo")</f>
        <v>@sergio_fajardo</v>
      </c>
      <c r="C644" s="5" t="s">
        <v>16</v>
      </c>
      <c r="D644" s="5" t="s">
        <v>666</v>
      </c>
      <c r="E644" s="6" t="str">
        <f>HYPERLINK("https://twitter.com/sergio_fajardo/status/1255598026183323648","1255598026183323648")</f>
        <v>1255598026183323648</v>
      </c>
      <c r="F644" s="7" t="s">
        <v>17</v>
      </c>
      <c r="G644" s="7">
        <v>1536704</v>
      </c>
      <c r="H644" s="7">
        <v>368</v>
      </c>
      <c r="I644" s="7">
        <v>201</v>
      </c>
      <c r="J644" s="7">
        <v>0</v>
      </c>
      <c r="K644" s="7" t="s">
        <v>18</v>
      </c>
      <c r="L644" s="8">
        <v>39891.213356481479</v>
      </c>
      <c r="M644" s="9" t="s">
        <v>19</v>
      </c>
      <c r="N644" s="9" t="s">
        <v>22</v>
      </c>
      <c r="O644" s="6" t="str">
        <f>HYPERLINK("https://pbs.twimg.com/profile_images/988971255679324162/jrqiIYf__normal.jpg","View")</f>
        <v>View</v>
      </c>
      <c r="P644" s="7"/>
    </row>
    <row r="645" spans="1:16">
      <c r="A645" s="3">
        <v>43951.291967592595</v>
      </c>
      <c r="B645" s="4" t="str">
        <f>HYPERLINK("https://twitter.com/sergio_fajardo","@sergio_fajardo")</f>
        <v>@sergio_fajardo</v>
      </c>
      <c r="C645" s="5" t="s">
        <v>16</v>
      </c>
      <c r="D645" s="5" t="s">
        <v>667</v>
      </c>
      <c r="E645" s="6" t="str">
        <f>HYPERLINK("https://twitter.com/sergio_fajardo/status/1255670815535874048","1255670815535874048")</f>
        <v>1255670815535874048</v>
      </c>
      <c r="F645" s="7" t="s">
        <v>17</v>
      </c>
      <c r="G645" s="7">
        <v>1536806</v>
      </c>
      <c r="H645" s="7">
        <v>368</v>
      </c>
      <c r="I645" s="7">
        <v>198</v>
      </c>
      <c r="J645" s="7">
        <v>0</v>
      </c>
      <c r="K645" s="7" t="s">
        <v>18</v>
      </c>
      <c r="L645" s="8">
        <v>39891.213356481479</v>
      </c>
      <c r="M645" s="9" t="s">
        <v>19</v>
      </c>
      <c r="N645" s="9" t="s">
        <v>22</v>
      </c>
      <c r="O645" s="6" t="str">
        <f>HYPERLINK("https://pbs.twimg.com/profile_images/988971255679324162/jrqiIYf__normal.jpg","View")</f>
        <v>View</v>
      </c>
      <c r="P645" s="7"/>
    </row>
    <row r="646" spans="1:16">
      <c r="A646" s="3">
        <v>43951.29751157407</v>
      </c>
      <c r="B646" s="4" t="str">
        <f>HYPERLINK("https://twitter.com/sergio_fajardo","@sergio_fajardo")</f>
        <v>@sergio_fajardo</v>
      </c>
      <c r="C646" s="5" t="s">
        <v>16</v>
      </c>
      <c r="D646" s="5" t="s">
        <v>668</v>
      </c>
      <c r="E646" s="6" t="str">
        <f>HYPERLINK("https://twitter.com/sergio_fajardo/status/1255672823420522504","1255672823420522504")</f>
        <v>1255672823420522504</v>
      </c>
      <c r="F646" s="7" t="s">
        <v>17</v>
      </c>
      <c r="G646" s="7">
        <v>1536825</v>
      </c>
      <c r="H646" s="7">
        <v>368</v>
      </c>
      <c r="I646" s="7">
        <v>14</v>
      </c>
      <c r="J646" s="7">
        <v>0</v>
      </c>
      <c r="K646" s="7" t="s">
        <v>18</v>
      </c>
      <c r="L646" s="8">
        <v>39891.213356481479</v>
      </c>
      <c r="M646" s="9" t="s">
        <v>19</v>
      </c>
      <c r="N646" s="9" t="s">
        <v>22</v>
      </c>
      <c r="O646" s="6" t="str">
        <f>HYPERLINK("https://pbs.twimg.com/profile_images/988971255679324162/jrqiIYf__normal.jpg","View")</f>
        <v>View</v>
      </c>
      <c r="P646" s="7"/>
    </row>
    <row r="647" spans="1:16">
      <c r="A647" s="3">
        <v>43951.720567129625</v>
      </c>
      <c r="B647" s="4" t="str">
        <f>HYPERLINK("https://twitter.com/sergio_fajardo","@sergio_fajardo")</f>
        <v>@sergio_fajardo</v>
      </c>
      <c r="C647" s="5" t="s">
        <v>16</v>
      </c>
      <c r="D647" s="5" t="s">
        <v>669</v>
      </c>
      <c r="E647" s="6" t="str">
        <f>HYPERLINK("https://twitter.com/sergio_fajardo/status/1255826135356751873","1255826135356751873")</f>
        <v>1255826135356751873</v>
      </c>
      <c r="F647" s="7" t="s">
        <v>17</v>
      </c>
      <c r="G647" s="7">
        <v>1536907</v>
      </c>
      <c r="H647" s="7">
        <v>368</v>
      </c>
      <c r="I647" s="7">
        <v>688</v>
      </c>
      <c r="J647" s="7">
        <v>0</v>
      </c>
      <c r="K647" s="7" t="s">
        <v>18</v>
      </c>
      <c r="L647" s="8">
        <v>39891.213356481479</v>
      </c>
      <c r="M647" s="9" t="s">
        <v>19</v>
      </c>
      <c r="N647" s="9" t="s">
        <v>22</v>
      </c>
      <c r="O647" s="6" t="str">
        <f>HYPERLINK("https://pbs.twimg.com/profile_images/988971255679324162/jrqiIYf__normal.jpg","View")</f>
        <v>View</v>
      </c>
      <c r="P647" s="7"/>
    </row>
    <row r="648" spans="1:16">
      <c r="A648" s="3">
        <v>43951.887650462959</v>
      </c>
      <c r="B648" s="4" t="str">
        <f>HYPERLINK("https://twitter.com/sergio_fajardo","@sergio_fajardo")</f>
        <v>@sergio_fajardo</v>
      </c>
      <c r="C648" s="5" t="s">
        <v>16</v>
      </c>
      <c r="D648" s="5" t="s">
        <v>670</v>
      </c>
      <c r="E648" s="6" t="str">
        <f>HYPERLINK("https://twitter.com/sergio_fajardo/status/1255886685310779398","1255886685310779398")</f>
        <v>1255886685310779398</v>
      </c>
      <c r="F648" s="7" t="s">
        <v>17</v>
      </c>
      <c r="G648" s="7">
        <v>1536957</v>
      </c>
      <c r="H648" s="7">
        <v>368</v>
      </c>
      <c r="I648" s="7">
        <v>7</v>
      </c>
      <c r="J648" s="7">
        <v>38</v>
      </c>
      <c r="K648" s="7" t="s">
        <v>18</v>
      </c>
      <c r="L648" s="8">
        <v>39891.213356481479</v>
      </c>
      <c r="M648" s="9" t="s">
        <v>19</v>
      </c>
      <c r="N648" s="9" t="s">
        <v>22</v>
      </c>
      <c r="O648" s="6" t="str">
        <f>HYPERLINK("https://pbs.twimg.com/profile_images/988971255679324162/jrqiIYf__normal.jpg","View")</f>
        <v>View</v>
      </c>
      <c r="P648" s="7"/>
    </row>
    <row r="649" spans="1:16">
      <c r="A649" s="3">
        <v>43951.8908912037</v>
      </c>
      <c r="B649" s="4" t="str">
        <f>HYPERLINK("https://twitter.com/sergio_fajardo","@sergio_fajardo")</f>
        <v>@sergio_fajardo</v>
      </c>
      <c r="C649" s="5" t="s">
        <v>16</v>
      </c>
      <c r="D649" s="5" t="s">
        <v>671</v>
      </c>
      <c r="E649" s="6" t="str">
        <f>HYPERLINK("https://twitter.com/sergio_fajardo/status/1255887858470191107","1255887858470191107")</f>
        <v>1255887858470191107</v>
      </c>
      <c r="F649" s="7" t="s">
        <v>17</v>
      </c>
      <c r="G649" s="7">
        <v>1536957</v>
      </c>
      <c r="H649" s="7">
        <v>368</v>
      </c>
      <c r="I649" s="7">
        <v>75</v>
      </c>
      <c r="J649" s="7">
        <v>0</v>
      </c>
      <c r="K649" s="7" t="s">
        <v>18</v>
      </c>
      <c r="L649" s="8">
        <v>39891.213356481479</v>
      </c>
      <c r="M649" s="9" t="s">
        <v>19</v>
      </c>
      <c r="N649" s="9" t="s">
        <v>22</v>
      </c>
      <c r="O649" s="6" t="str">
        <f>HYPERLINK("https://pbs.twimg.com/profile_images/988971255679324162/jrqiIYf__normal.jpg","View")</f>
        <v>View</v>
      </c>
      <c r="P649" s="7"/>
    </row>
    <row r="650" spans="1:16">
      <c r="A650" s="3">
        <v>43951.893831018519</v>
      </c>
      <c r="B650" s="4" t="str">
        <f>HYPERLINK("https://twitter.com/sergio_fajardo","@sergio_fajardo")</f>
        <v>@sergio_fajardo</v>
      </c>
      <c r="C650" s="5" t="s">
        <v>16</v>
      </c>
      <c r="D650" s="5" t="s">
        <v>672</v>
      </c>
      <c r="E650" s="6" t="str">
        <f>HYPERLINK("https://twitter.com/sergio_fajardo/status/1255888924033105922","1255888924033105922")</f>
        <v>1255888924033105922</v>
      </c>
      <c r="F650" s="7" t="s">
        <v>17</v>
      </c>
      <c r="G650" s="7">
        <v>1536957</v>
      </c>
      <c r="H650" s="7">
        <v>368</v>
      </c>
      <c r="I650" s="7">
        <v>9</v>
      </c>
      <c r="J650" s="7">
        <v>0</v>
      </c>
      <c r="K650" s="7" t="s">
        <v>18</v>
      </c>
      <c r="L650" s="8">
        <v>39891.213356481479</v>
      </c>
      <c r="M650" s="9" t="s">
        <v>19</v>
      </c>
      <c r="N650" s="9" t="s">
        <v>22</v>
      </c>
      <c r="O650" s="6" t="str">
        <f>HYPERLINK("https://pbs.twimg.com/profile_images/988971255679324162/jrqiIYf__normal.jpg","View")</f>
        <v>View</v>
      </c>
      <c r="P650" s="7"/>
    </row>
    <row r="651" spans="1:16">
      <c r="A651" s="3">
        <v>43951.897268518514</v>
      </c>
      <c r="B651" s="4" t="str">
        <f>HYPERLINK("https://twitter.com/sergio_fajardo","@sergio_fajardo")</f>
        <v>@sergio_fajardo</v>
      </c>
      <c r="C651" s="5" t="s">
        <v>16</v>
      </c>
      <c r="D651" s="5" t="s">
        <v>673</v>
      </c>
      <c r="E651" s="6" t="str">
        <f>HYPERLINK("https://twitter.com/sergio_fajardo/status/1255890170211164162","1255890170211164162")</f>
        <v>1255890170211164162</v>
      </c>
      <c r="F651" s="7" t="s">
        <v>17</v>
      </c>
      <c r="G651" s="7">
        <v>1536957</v>
      </c>
      <c r="H651" s="7">
        <v>368</v>
      </c>
      <c r="I651" s="7">
        <v>0</v>
      </c>
      <c r="J651" s="7">
        <v>0</v>
      </c>
      <c r="K651" s="7" t="s">
        <v>18</v>
      </c>
      <c r="L651" s="8">
        <v>39891.213356481479</v>
      </c>
      <c r="M651" s="9" t="s">
        <v>19</v>
      </c>
      <c r="N651" s="9" t="s">
        <v>22</v>
      </c>
      <c r="O651" s="6" t="str">
        <f>HYPERLINK("https://pbs.twimg.com/profile_images/988971255679324162/jrqiIYf__normal.jpg","View")</f>
        <v>View</v>
      </c>
      <c r="P651" s="7"/>
    </row>
    <row r="652" spans="1:16">
      <c r="A652" s="3">
        <v>43951.898009259261</v>
      </c>
      <c r="B652" s="4" t="str">
        <f>HYPERLINK("https://twitter.com/sergio_fajardo","@sergio_fajardo")</f>
        <v>@sergio_fajardo</v>
      </c>
      <c r="C652" s="5" t="s">
        <v>16</v>
      </c>
      <c r="D652" s="5" t="s">
        <v>674</v>
      </c>
      <c r="E652" s="6" t="str">
        <f>HYPERLINK("https://twitter.com/sergio_fajardo/status/1255890436419395584","1255890436419395584")</f>
        <v>1255890436419395584</v>
      </c>
      <c r="F652" s="7" t="s">
        <v>17</v>
      </c>
      <c r="G652" s="7">
        <v>1536960</v>
      </c>
      <c r="H652" s="7">
        <v>368</v>
      </c>
      <c r="I652" s="7">
        <v>332</v>
      </c>
      <c r="J652" s="7">
        <v>0</v>
      </c>
      <c r="K652" s="7" t="s">
        <v>18</v>
      </c>
      <c r="L652" s="8">
        <v>39891.213356481479</v>
      </c>
      <c r="M652" s="9" t="s">
        <v>19</v>
      </c>
      <c r="N652" s="9" t="s">
        <v>22</v>
      </c>
      <c r="O652" s="6" t="str">
        <f>HYPERLINK("https://pbs.twimg.com/profile_images/988971255679324162/jrqiIYf__normal.jpg","View")</f>
        <v>View</v>
      </c>
      <c r="P652" s="7"/>
    </row>
    <row r="653" spans="1:16">
      <c r="A653" s="3">
        <v>43951.898854166662</v>
      </c>
      <c r="B653" s="4" t="str">
        <f>HYPERLINK("https://twitter.com/sergio_fajardo","@sergio_fajardo")</f>
        <v>@sergio_fajardo</v>
      </c>
      <c r="C653" s="5" t="s">
        <v>16</v>
      </c>
      <c r="D653" s="5" t="s">
        <v>675</v>
      </c>
      <c r="E653" s="6" t="str">
        <f>HYPERLINK("https://twitter.com/sergio_fajardo/status/1255890746474987520","1255890746474987520")</f>
        <v>1255890746474987520</v>
      </c>
      <c r="F653" s="7" t="s">
        <v>17</v>
      </c>
      <c r="G653" s="7">
        <v>1536960</v>
      </c>
      <c r="H653" s="7">
        <v>368</v>
      </c>
      <c r="I653" s="7">
        <v>1535</v>
      </c>
      <c r="J653" s="7">
        <v>0</v>
      </c>
      <c r="K653" s="7" t="s">
        <v>18</v>
      </c>
      <c r="L653" s="8">
        <v>39891.213356481479</v>
      </c>
      <c r="M653" s="9" t="s">
        <v>19</v>
      </c>
      <c r="N653" s="9" t="s">
        <v>22</v>
      </c>
      <c r="O653" s="6" t="str">
        <f>HYPERLINK("https://pbs.twimg.com/profile_images/988971255679324162/jrqiIYf__normal.jpg","View")</f>
        <v>View</v>
      </c>
      <c r="P653" s="7"/>
    </row>
    <row r="654" spans="1:16">
      <c r="A654" s="3">
        <v>43951.900335648148</v>
      </c>
      <c r="B654" s="4" t="str">
        <f>HYPERLINK("https://twitter.com/sergio_fajardo","@sergio_fajardo")</f>
        <v>@sergio_fajardo</v>
      </c>
      <c r="C654" s="5" t="s">
        <v>16</v>
      </c>
      <c r="D654" s="5" t="s">
        <v>676</v>
      </c>
      <c r="E654" s="6" t="str">
        <f>HYPERLINK("https://twitter.com/sergio_fajardo/status/1255891281387102216","1255891281387102216")</f>
        <v>1255891281387102216</v>
      </c>
      <c r="F654" s="7" t="s">
        <v>17</v>
      </c>
      <c r="G654" s="7">
        <v>1536960</v>
      </c>
      <c r="H654" s="7">
        <v>368</v>
      </c>
      <c r="I654" s="7">
        <v>19</v>
      </c>
      <c r="J654" s="7">
        <v>0</v>
      </c>
      <c r="K654" s="7" t="s">
        <v>18</v>
      </c>
      <c r="L654" s="8">
        <v>39891.213356481479</v>
      </c>
      <c r="M654" s="9" t="s">
        <v>19</v>
      </c>
      <c r="N654" s="9" t="s">
        <v>22</v>
      </c>
      <c r="O654" s="6" t="str">
        <f>HYPERLINK("https://pbs.twimg.com/profile_images/988971255679324162/jrqiIYf__normal.jpg","View")</f>
        <v>View</v>
      </c>
      <c r="P654" s="7"/>
    </row>
    <row r="655" spans="1:16">
      <c r="A655" s="3">
        <v>43951.97991898148</v>
      </c>
      <c r="B655" s="4" t="str">
        <f>HYPERLINK("https://twitter.com/sergio_fajardo","@sergio_fajardo")</f>
        <v>@sergio_fajardo</v>
      </c>
      <c r="C655" s="5" t="s">
        <v>16</v>
      </c>
      <c r="D655" s="5" t="s">
        <v>677</v>
      </c>
      <c r="E655" s="6" t="str">
        <f>HYPERLINK("https://twitter.com/sergio_fajardo/status/1255920120511246337","1255920120511246337")</f>
        <v>1255920120511246337</v>
      </c>
      <c r="F655" s="7" t="s">
        <v>17</v>
      </c>
      <c r="G655" s="7">
        <v>1536972</v>
      </c>
      <c r="H655" s="7">
        <v>368</v>
      </c>
      <c r="I655" s="7">
        <v>10</v>
      </c>
      <c r="J655" s="7">
        <v>0</v>
      </c>
      <c r="K655" s="7" t="s">
        <v>18</v>
      </c>
      <c r="L655" s="8">
        <v>39891.213356481479</v>
      </c>
      <c r="M655" s="9" t="s">
        <v>19</v>
      </c>
      <c r="N655" s="9" t="s">
        <v>22</v>
      </c>
      <c r="O655" s="6" t="str">
        <f>HYPERLINK("https://pbs.twimg.com/profile_images/988971255679324162/jrqiIYf__normal.jpg","View")</f>
        <v>View</v>
      </c>
      <c r="P655" s="7"/>
    </row>
    <row r="656" spans="1:16">
      <c r="A656" s="3">
        <v>43952.093449074076</v>
      </c>
      <c r="B656" s="4" t="str">
        <f>HYPERLINK("https://twitter.com/sergio_fajardo","@sergio_fajardo")</f>
        <v>@sergio_fajardo</v>
      </c>
      <c r="C656" s="5" t="s">
        <v>16</v>
      </c>
      <c r="D656" s="5" t="s">
        <v>678</v>
      </c>
      <c r="E656" s="6" t="str">
        <f>HYPERLINK("https://twitter.com/sergio_fajardo/status/1255961262892224513","1255961262892224513")</f>
        <v>1255961262892224513</v>
      </c>
      <c r="F656" s="7" t="s">
        <v>17</v>
      </c>
      <c r="G656" s="7">
        <v>1537021</v>
      </c>
      <c r="H656" s="7">
        <v>368</v>
      </c>
      <c r="I656" s="7">
        <v>6</v>
      </c>
      <c r="J656" s="7">
        <v>32</v>
      </c>
      <c r="K656" s="7" t="s">
        <v>18</v>
      </c>
      <c r="L656" s="8">
        <v>39891.213356481479</v>
      </c>
      <c r="M656" s="9" t="s">
        <v>19</v>
      </c>
      <c r="N656" s="9" t="s">
        <v>22</v>
      </c>
      <c r="O656" s="6" t="str">
        <f>HYPERLINK("https://pbs.twimg.com/profile_images/988971255679324162/jrqiIYf__normal.jpg","View")</f>
        <v>View</v>
      </c>
      <c r="P656" s="7"/>
    </row>
    <row r="657" spans="1:16">
      <c r="A657" s="3">
        <v>43952.102604166663</v>
      </c>
      <c r="B657" s="4" t="str">
        <f>HYPERLINK("https://twitter.com/sergio_fajardo","@sergio_fajardo")</f>
        <v>@sergio_fajardo</v>
      </c>
      <c r="C657" s="5" t="s">
        <v>16</v>
      </c>
      <c r="D657" s="5" t="s">
        <v>679</v>
      </c>
      <c r="E657" s="6" t="str">
        <f>HYPERLINK("https://twitter.com/sergio_fajardo/status/1255964579798147073","1255964579798147073")</f>
        <v>1255964579798147073</v>
      </c>
      <c r="F657" s="7" t="s">
        <v>17</v>
      </c>
      <c r="G657" s="7">
        <v>1537021</v>
      </c>
      <c r="H657" s="7">
        <v>368</v>
      </c>
      <c r="I657" s="7">
        <v>4</v>
      </c>
      <c r="J657" s="7">
        <v>4</v>
      </c>
      <c r="K657" s="7" t="s">
        <v>18</v>
      </c>
      <c r="L657" s="8">
        <v>39891.213356481479</v>
      </c>
      <c r="M657" s="9" t="s">
        <v>19</v>
      </c>
      <c r="N657" s="9" t="s">
        <v>22</v>
      </c>
      <c r="O657" s="6" t="str">
        <f>HYPERLINK("https://pbs.twimg.com/profile_images/988971255679324162/jrqiIYf__normal.jpg","View")</f>
        <v>View</v>
      </c>
      <c r="P657" s="7"/>
    </row>
    <row r="658" spans="1:16">
      <c r="A658" s="3">
        <v>43952.134722222225</v>
      </c>
      <c r="B658" s="4" t="str">
        <f>HYPERLINK("https://twitter.com/sergio_fajardo","@sergio_fajardo")</f>
        <v>@sergio_fajardo</v>
      </c>
      <c r="C658" s="5" t="s">
        <v>16</v>
      </c>
      <c r="D658" s="5" t="s">
        <v>680</v>
      </c>
      <c r="E658" s="6" t="str">
        <f>HYPERLINK("https://twitter.com/sergio_fajardo/status/1255976220417757185","1255976220417757185")</f>
        <v>1255976220417757185</v>
      </c>
      <c r="F658" s="7" t="s">
        <v>17</v>
      </c>
      <c r="G658" s="7">
        <v>1537032</v>
      </c>
      <c r="H658" s="7">
        <v>368</v>
      </c>
      <c r="I658" s="7">
        <v>107</v>
      </c>
      <c r="J658" s="7">
        <v>0</v>
      </c>
      <c r="K658" s="7" t="s">
        <v>18</v>
      </c>
      <c r="L658" s="8">
        <v>39891.213356481479</v>
      </c>
      <c r="M658" s="9" t="s">
        <v>19</v>
      </c>
      <c r="N658" s="9" t="s">
        <v>22</v>
      </c>
      <c r="O658" s="6" t="str">
        <f>HYPERLINK("https://pbs.twimg.com/profile_images/988971255679324162/jrqiIYf__normal.jpg","View")</f>
        <v>View</v>
      </c>
      <c r="P658" s="7"/>
    </row>
    <row r="659" spans="1:16">
      <c r="A659" s="3">
        <v>43952.139976851853</v>
      </c>
      <c r="B659" s="4" t="str">
        <f>HYPERLINK("https://twitter.com/sergio_fajardo","@sergio_fajardo")</f>
        <v>@sergio_fajardo</v>
      </c>
      <c r="C659" s="5" t="s">
        <v>16</v>
      </c>
      <c r="D659" s="5" t="s">
        <v>681</v>
      </c>
      <c r="E659" s="6" t="str">
        <f>HYPERLINK("https://twitter.com/sergio_fajardo/status/1255978125026119683","1255978125026119683")</f>
        <v>1255978125026119683</v>
      </c>
      <c r="F659" s="7" t="s">
        <v>17</v>
      </c>
      <c r="G659" s="7">
        <v>1537032</v>
      </c>
      <c r="H659" s="7">
        <v>368</v>
      </c>
      <c r="I659" s="7">
        <v>182</v>
      </c>
      <c r="J659" s="7">
        <v>0</v>
      </c>
      <c r="K659" s="7" t="s">
        <v>18</v>
      </c>
      <c r="L659" s="8">
        <v>39891.213356481479</v>
      </c>
      <c r="M659" s="9" t="s">
        <v>19</v>
      </c>
      <c r="N659" s="9" t="s">
        <v>22</v>
      </c>
      <c r="O659" s="6" t="str">
        <f>HYPERLINK("https://pbs.twimg.com/profile_images/988971255679324162/jrqiIYf__normal.jpg","View")</f>
        <v>View</v>
      </c>
      <c r="P659" s="7"/>
    </row>
    <row r="660" spans="1:16">
      <c r="A660" s="3">
        <v>43952.140046296292</v>
      </c>
      <c r="B660" s="4" t="str">
        <f>HYPERLINK("https://twitter.com/sergio_fajardo","@sergio_fajardo")</f>
        <v>@sergio_fajardo</v>
      </c>
      <c r="C660" s="5" t="s">
        <v>16</v>
      </c>
      <c r="D660" s="5" t="s">
        <v>682</v>
      </c>
      <c r="E660" s="6" t="str">
        <f>HYPERLINK("https://twitter.com/sergio_fajardo/status/1255978148975476737","1255978148975476737")</f>
        <v>1255978148975476737</v>
      </c>
      <c r="F660" s="7" t="s">
        <v>17</v>
      </c>
      <c r="G660" s="7">
        <v>1537032</v>
      </c>
      <c r="H660" s="7">
        <v>368</v>
      </c>
      <c r="I660" s="7">
        <v>282</v>
      </c>
      <c r="J660" s="7">
        <v>0</v>
      </c>
      <c r="K660" s="7" t="s">
        <v>18</v>
      </c>
      <c r="L660" s="8">
        <v>39891.213356481479</v>
      </c>
      <c r="M660" s="9" t="s">
        <v>19</v>
      </c>
      <c r="N660" s="9" t="s">
        <v>22</v>
      </c>
      <c r="O660" s="6" t="str">
        <f>HYPERLINK("https://pbs.twimg.com/profile_images/988971255679324162/jrqiIYf__normal.jpg","View")</f>
        <v>View</v>
      </c>
      <c r="P660" s="7"/>
    </row>
    <row r="661" spans="1:16">
      <c r="A661" s="3">
        <v>43952.33494212963</v>
      </c>
      <c r="B661" s="4" t="str">
        <f>HYPERLINK("https://twitter.com/sergio_fajardo","@sergio_fajardo")</f>
        <v>@sergio_fajardo</v>
      </c>
      <c r="C661" s="5" t="s">
        <v>16</v>
      </c>
      <c r="D661" s="5" t="s">
        <v>683</v>
      </c>
      <c r="E661" s="6" t="str">
        <f>HYPERLINK("https://twitter.com/sergio_fajardo/status/1256048776248246277","1256048776248246277")</f>
        <v>1256048776248246277</v>
      </c>
      <c r="F661" s="7" t="s">
        <v>17</v>
      </c>
      <c r="G661" s="7">
        <v>1537099</v>
      </c>
      <c r="H661" s="7">
        <v>368</v>
      </c>
      <c r="I661" s="7">
        <v>40</v>
      </c>
      <c r="J661" s="7">
        <v>0</v>
      </c>
      <c r="K661" s="7" t="s">
        <v>18</v>
      </c>
      <c r="L661" s="8">
        <v>39891.213356481479</v>
      </c>
      <c r="M661" s="9" t="s">
        <v>19</v>
      </c>
      <c r="N661" s="9" t="s">
        <v>22</v>
      </c>
      <c r="O661" s="6" t="str">
        <f>HYPERLINK("https://pbs.twimg.com/profile_images/988971255679324162/jrqiIYf__normal.jpg","View")</f>
        <v>View</v>
      </c>
      <c r="P661" s="7"/>
    </row>
    <row r="662" spans="1:16">
      <c r="A662" s="3">
        <v>43952.714548611111</v>
      </c>
      <c r="B662" s="4" t="str">
        <f>HYPERLINK("https://twitter.com/sergio_fajardo","@sergio_fajardo")</f>
        <v>@sergio_fajardo</v>
      </c>
      <c r="C662" s="5" t="s">
        <v>16</v>
      </c>
      <c r="D662" s="5" t="s">
        <v>684</v>
      </c>
      <c r="E662" s="6" t="str">
        <f>HYPERLINK("https://twitter.com/sergio_fajardo/status/1256186344155611136","1256186344155611136")</f>
        <v>1256186344155611136</v>
      </c>
      <c r="F662" s="7" t="s">
        <v>17</v>
      </c>
      <c r="G662" s="7">
        <v>1537161</v>
      </c>
      <c r="H662" s="7">
        <v>368</v>
      </c>
      <c r="I662" s="7">
        <v>244</v>
      </c>
      <c r="J662" s="7">
        <v>0</v>
      </c>
      <c r="K662" s="7" t="s">
        <v>18</v>
      </c>
      <c r="L662" s="8">
        <v>39891.213356481479</v>
      </c>
      <c r="M662" s="9" t="s">
        <v>19</v>
      </c>
      <c r="N662" s="9" t="s">
        <v>22</v>
      </c>
      <c r="O662" s="6" t="str">
        <f>HYPERLINK("https://pbs.twimg.com/profile_images/988971255679324162/jrqiIYf__normal.jpg","View")</f>
        <v>View</v>
      </c>
      <c r="P662" s="7"/>
    </row>
    <row r="663" spans="1:16">
      <c r="A663" s="3">
        <v>43952.719004629631</v>
      </c>
      <c r="B663" s="4" t="str">
        <f>HYPERLINK("https://twitter.com/sergio_fajardo","@sergio_fajardo")</f>
        <v>@sergio_fajardo</v>
      </c>
      <c r="C663" s="5" t="s">
        <v>16</v>
      </c>
      <c r="D663" s="5" t="s">
        <v>685</v>
      </c>
      <c r="E663" s="6" t="str">
        <f>HYPERLINK("https://twitter.com/sergio_fajardo/status/1256187956697726978","1256187956697726978")</f>
        <v>1256187956697726978</v>
      </c>
      <c r="F663" s="7" t="s">
        <v>17</v>
      </c>
      <c r="G663" s="7">
        <v>1537161</v>
      </c>
      <c r="H663" s="7">
        <v>368</v>
      </c>
      <c r="I663" s="7">
        <v>4</v>
      </c>
      <c r="J663" s="7">
        <v>0</v>
      </c>
      <c r="K663" s="7" t="s">
        <v>18</v>
      </c>
      <c r="L663" s="8">
        <v>39891.213356481479</v>
      </c>
      <c r="M663" s="9" t="s">
        <v>19</v>
      </c>
      <c r="N663" s="9" t="s">
        <v>22</v>
      </c>
      <c r="O663" s="6" t="str">
        <f>HYPERLINK("https://pbs.twimg.com/profile_images/988971255679324162/jrqiIYf__normal.jpg","View")</f>
        <v>View</v>
      </c>
      <c r="P663" s="7"/>
    </row>
    <row r="664" spans="1:16">
      <c r="A664" s="3">
        <v>43952.7265625</v>
      </c>
      <c r="B664" s="4" t="str">
        <f>HYPERLINK("https://twitter.com/sergio_fajardo","@sergio_fajardo")</f>
        <v>@sergio_fajardo</v>
      </c>
      <c r="C664" s="5" t="s">
        <v>16</v>
      </c>
      <c r="D664" s="5" t="s">
        <v>686</v>
      </c>
      <c r="E664" s="6" t="str">
        <f>HYPERLINK("https://twitter.com/sergio_fajardo/status/1256190697411149825","1256190697411149825")</f>
        <v>1256190697411149825</v>
      </c>
      <c r="F664" s="7" t="s">
        <v>17</v>
      </c>
      <c r="G664" s="7">
        <v>1537161</v>
      </c>
      <c r="H664" s="7">
        <v>368</v>
      </c>
      <c r="I664" s="7">
        <v>0</v>
      </c>
      <c r="J664" s="7">
        <v>2</v>
      </c>
      <c r="K664" s="7" t="s">
        <v>18</v>
      </c>
      <c r="L664" s="8">
        <v>39891.213356481479</v>
      </c>
      <c r="M664" s="9" t="s">
        <v>19</v>
      </c>
      <c r="N664" s="9" t="s">
        <v>22</v>
      </c>
      <c r="O664" s="6" t="str">
        <f>HYPERLINK("https://pbs.twimg.com/profile_images/988971255679324162/jrqiIYf__normal.jpg","View")</f>
        <v>View</v>
      </c>
      <c r="P664" s="7"/>
    </row>
    <row r="665" spans="1:16">
      <c r="A665" s="3">
        <v>43952.735821759255</v>
      </c>
      <c r="B665" s="4" t="str">
        <f>HYPERLINK("https://twitter.com/sergio_fajardo","@sergio_fajardo")</f>
        <v>@sergio_fajardo</v>
      </c>
      <c r="C665" s="5" t="s">
        <v>16</v>
      </c>
      <c r="D665" s="5" t="s">
        <v>687</v>
      </c>
      <c r="E665" s="6" t="str">
        <f>HYPERLINK("https://twitter.com/sergio_fajardo/status/1256194050321002496","1256194050321002496")</f>
        <v>1256194050321002496</v>
      </c>
      <c r="F665" s="7" t="s">
        <v>17</v>
      </c>
      <c r="G665" s="7">
        <v>1537163</v>
      </c>
      <c r="H665" s="7">
        <v>368</v>
      </c>
      <c r="I665" s="7">
        <v>12</v>
      </c>
      <c r="J665" s="7">
        <v>18</v>
      </c>
      <c r="K665" s="7" t="s">
        <v>18</v>
      </c>
      <c r="L665" s="8">
        <v>39891.213356481479</v>
      </c>
      <c r="M665" s="9" t="s">
        <v>19</v>
      </c>
      <c r="N665" s="9" t="s">
        <v>22</v>
      </c>
      <c r="O665" s="6" t="str">
        <f>HYPERLINK("https://pbs.twimg.com/profile_images/988971255679324162/jrqiIYf__normal.jpg","View")</f>
        <v>View</v>
      </c>
      <c r="P665" s="7"/>
    </row>
    <row r="666" spans="1:16">
      <c r="A666" s="3">
        <v>43952.863738425927</v>
      </c>
      <c r="B666" s="4" t="str">
        <f>HYPERLINK("https://twitter.com/sergio_fajardo","@sergio_fajardo")</f>
        <v>@sergio_fajardo</v>
      </c>
      <c r="C666" s="5" t="s">
        <v>16</v>
      </c>
      <c r="D666" s="5" t="s">
        <v>688</v>
      </c>
      <c r="E666" s="6" t="str">
        <f>HYPERLINK("https://twitter.com/sergio_fajardo/status/1256240406884425728","1256240406884425728")</f>
        <v>1256240406884425728</v>
      </c>
      <c r="F666" s="7" t="s">
        <v>17</v>
      </c>
      <c r="G666" s="7">
        <v>1537229</v>
      </c>
      <c r="H666" s="7">
        <v>368</v>
      </c>
      <c r="I666" s="7">
        <v>4</v>
      </c>
      <c r="J666" s="7">
        <v>0</v>
      </c>
      <c r="K666" s="7" t="s">
        <v>18</v>
      </c>
      <c r="L666" s="8">
        <v>39891.213356481479</v>
      </c>
      <c r="M666" s="9" t="s">
        <v>19</v>
      </c>
      <c r="N666" s="9" t="s">
        <v>22</v>
      </c>
      <c r="O666" s="6" t="str">
        <f>HYPERLINK("https://pbs.twimg.com/profile_images/988971255679324162/jrqiIYf__normal.jpg","View")</f>
        <v>View</v>
      </c>
      <c r="P666" s="7"/>
    </row>
    <row r="667" spans="1:16">
      <c r="A667" s="3">
        <v>43953.123032407406</v>
      </c>
      <c r="B667" s="4" t="str">
        <f>HYPERLINK("https://twitter.com/sergio_fajardo","@sergio_fajardo")</f>
        <v>@sergio_fajardo</v>
      </c>
      <c r="C667" s="5" t="s">
        <v>16</v>
      </c>
      <c r="D667" s="5" t="s">
        <v>689</v>
      </c>
      <c r="E667" s="6" t="str">
        <f>HYPERLINK("https://twitter.com/sergio_fajardo/status/1256334371872665601","1256334371872665601")</f>
        <v>1256334371872665601</v>
      </c>
      <c r="F667" s="7" t="s">
        <v>23</v>
      </c>
      <c r="G667" s="7">
        <v>1537323</v>
      </c>
      <c r="H667" s="7">
        <v>368</v>
      </c>
      <c r="I667" s="7">
        <v>1</v>
      </c>
      <c r="J667" s="7">
        <v>2</v>
      </c>
      <c r="K667" s="7" t="s">
        <v>18</v>
      </c>
      <c r="L667" s="8">
        <v>39891.213356481479</v>
      </c>
      <c r="M667" s="9" t="s">
        <v>19</v>
      </c>
      <c r="N667" s="9" t="s">
        <v>22</v>
      </c>
      <c r="O667" s="6" t="str">
        <f>HYPERLINK("https://pbs.twimg.com/profile_images/988971255679324162/jrqiIYf__normal.jpg","View")</f>
        <v>View</v>
      </c>
      <c r="P667" s="7"/>
    </row>
    <row r="668" spans="1:16">
      <c r="A668" s="3">
        <v>43953.230949074074</v>
      </c>
      <c r="B668" s="4" t="str">
        <f>HYPERLINK("https://twitter.com/sergio_fajardo","@sergio_fajardo")</f>
        <v>@sergio_fajardo</v>
      </c>
      <c r="C668" s="5" t="s">
        <v>16</v>
      </c>
      <c r="D668" s="5" t="s">
        <v>690</v>
      </c>
      <c r="E668" s="6" t="str">
        <f>HYPERLINK("https://twitter.com/sergio_fajardo/status/1256373480326602752","1256373480326602752")</f>
        <v>1256373480326602752</v>
      </c>
      <c r="F668" s="7" t="s">
        <v>17</v>
      </c>
      <c r="G668" s="7">
        <v>1537358</v>
      </c>
      <c r="H668" s="7">
        <v>368</v>
      </c>
      <c r="I668" s="7">
        <v>77</v>
      </c>
      <c r="J668" s="7">
        <v>0</v>
      </c>
      <c r="K668" s="7" t="s">
        <v>18</v>
      </c>
      <c r="L668" s="8">
        <v>39891.213356481479</v>
      </c>
      <c r="M668" s="9" t="s">
        <v>19</v>
      </c>
      <c r="N668" s="9" t="s">
        <v>22</v>
      </c>
      <c r="O668" s="6" t="str">
        <f>HYPERLINK("https://pbs.twimg.com/profile_images/988971255679324162/jrqiIYf__normal.jpg","View")</f>
        <v>View</v>
      </c>
      <c r="P668" s="7"/>
    </row>
    <row r="669" spans="1:16">
      <c r="A669" s="3">
        <v>43953.288356481484</v>
      </c>
      <c r="B669" s="4" t="str">
        <f>HYPERLINK("https://twitter.com/sergio_fajardo","@sergio_fajardo")</f>
        <v>@sergio_fajardo</v>
      </c>
      <c r="C669" s="5" t="s">
        <v>16</v>
      </c>
      <c r="D669" s="5" t="s">
        <v>691</v>
      </c>
      <c r="E669" s="6" t="str">
        <f>HYPERLINK("https://twitter.com/sergio_fajardo/status/1256394282396717056","1256394282396717056")</f>
        <v>1256394282396717056</v>
      </c>
      <c r="F669" s="7" t="s">
        <v>17</v>
      </c>
      <c r="G669" s="7">
        <v>1537385</v>
      </c>
      <c r="H669" s="7">
        <v>368</v>
      </c>
      <c r="I669" s="7">
        <v>23</v>
      </c>
      <c r="J669" s="7">
        <v>0</v>
      </c>
      <c r="K669" s="7" t="s">
        <v>18</v>
      </c>
      <c r="L669" s="8">
        <v>39891.213356481479</v>
      </c>
      <c r="M669" s="9" t="s">
        <v>19</v>
      </c>
      <c r="N669" s="9" t="s">
        <v>22</v>
      </c>
      <c r="O669" s="6" t="str">
        <f>HYPERLINK("https://pbs.twimg.com/profile_images/988971255679324162/jrqiIYf__normal.jpg","View")</f>
        <v>View</v>
      </c>
      <c r="P669" s="7"/>
    </row>
    <row r="670" spans="1:16">
      <c r="A670" s="3">
        <v>43953.288888888885</v>
      </c>
      <c r="B670" s="4" t="str">
        <f>HYPERLINK("https://twitter.com/sergio_fajardo","@sergio_fajardo")</f>
        <v>@sergio_fajardo</v>
      </c>
      <c r="C670" s="5" t="s">
        <v>16</v>
      </c>
      <c r="D670" s="5" t="s">
        <v>692</v>
      </c>
      <c r="E670" s="6" t="str">
        <f>HYPERLINK("https://twitter.com/sergio_fajardo/status/1256394474491699201","1256394474491699201")</f>
        <v>1256394474491699201</v>
      </c>
      <c r="F670" s="7" t="s">
        <v>17</v>
      </c>
      <c r="G670" s="7">
        <v>1537385</v>
      </c>
      <c r="H670" s="7">
        <v>368</v>
      </c>
      <c r="I670" s="7">
        <v>137</v>
      </c>
      <c r="J670" s="7">
        <v>0</v>
      </c>
      <c r="K670" s="7" t="s">
        <v>18</v>
      </c>
      <c r="L670" s="8">
        <v>39891.213356481479</v>
      </c>
      <c r="M670" s="9" t="s">
        <v>19</v>
      </c>
      <c r="N670" s="9" t="s">
        <v>22</v>
      </c>
      <c r="O670" s="6" t="str">
        <f>HYPERLINK("https://pbs.twimg.com/profile_images/988971255679324162/jrqiIYf__normal.jpg","View")</f>
        <v>View</v>
      </c>
      <c r="P670" s="7"/>
    </row>
    <row r="671" spans="1:16">
      <c r="A671" s="3">
        <v>43953.29069444444</v>
      </c>
      <c r="B671" s="4" t="str">
        <f>HYPERLINK("https://twitter.com/sergio_fajardo","@sergio_fajardo")</f>
        <v>@sergio_fajardo</v>
      </c>
      <c r="C671" s="5" t="s">
        <v>16</v>
      </c>
      <c r="D671" s="5" t="s">
        <v>693</v>
      </c>
      <c r="E671" s="6" t="str">
        <f>HYPERLINK("https://twitter.com/sergio_fajardo/status/1256395131265126400","1256395131265126400")</f>
        <v>1256395131265126400</v>
      </c>
      <c r="F671" s="7" t="s">
        <v>17</v>
      </c>
      <c r="G671" s="7">
        <v>1537385</v>
      </c>
      <c r="H671" s="7">
        <v>368</v>
      </c>
      <c r="I671" s="7">
        <v>305</v>
      </c>
      <c r="J671" s="7">
        <v>0</v>
      </c>
      <c r="K671" s="7" t="s">
        <v>18</v>
      </c>
      <c r="L671" s="8">
        <v>39891.213356481479</v>
      </c>
      <c r="M671" s="9" t="s">
        <v>19</v>
      </c>
      <c r="N671" s="9" t="s">
        <v>22</v>
      </c>
      <c r="O671" s="6" t="str">
        <f>HYPERLINK("https://pbs.twimg.com/profile_images/988971255679324162/jrqiIYf__normal.jpg","View")</f>
        <v>View</v>
      </c>
      <c r="P671" s="7"/>
    </row>
    <row r="672" spans="1:16">
      <c r="A672" s="3">
        <v>43953.763287037036</v>
      </c>
      <c r="B672" s="4" t="str">
        <f>HYPERLINK("https://twitter.com/sergio_fajardo","@sergio_fajardo")</f>
        <v>@sergio_fajardo</v>
      </c>
      <c r="C672" s="5" t="s">
        <v>16</v>
      </c>
      <c r="D672" s="5" t="s">
        <v>694</v>
      </c>
      <c r="E672" s="6" t="str">
        <f>HYPERLINK("https://twitter.com/sergio_fajardo/status/1256566391014150144","1256566391014150144")</f>
        <v>1256566391014150144</v>
      </c>
      <c r="F672" s="7" t="s">
        <v>17</v>
      </c>
      <c r="G672" s="7">
        <v>1537457</v>
      </c>
      <c r="H672" s="7">
        <v>368</v>
      </c>
      <c r="I672" s="7">
        <v>190</v>
      </c>
      <c r="J672" s="7">
        <v>0</v>
      </c>
      <c r="K672" s="7" t="s">
        <v>18</v>
      </c>
      <c r="L672" s="8">
        <v>39891.213356481479</v>
      </c>
      <c r="M672" s="9" t="s">
        <v>19</v>
      </c>
      <c r="N672" s="9" t="s">
        <v>22</v>
      </c>
      <c r="O672" s="6" t="str">
        <f>HYPERLINK("https://pbs.twimg.com/profile_images/988971255679324162/jrqiIYf__normal.jpg","View")</f>
        <v>View</v>
      </c>
      <c r="P672" s="7"/>
    </row>
    <row r="673" spans="1:16">
      <c r="A673" s="3">
        <v>43953.887777777782</v>
      </c>
      <c r="B673" s="4" t="str">
        <f>HYPERLINK("https://twitter.com/sergio_fajardo","@sergio_fajardo")</f>
        <v>@sergio_fajardo</v>
      </c>
      <c r="C673" s="5" t="s">
        <v>16</v>
      </c>
      <c r="D673" s="5" t="s">
        <v>695</v>
      </c>
      <c r="E673" s="6" t="str">
        <f>HYPERLINK("https://twitter.com/sergio_fajardo/status/1256611505702875137","1256611505702875137")</f>
        <v>1256611505702875137</v>
      </c>
      <c r="F673" s="7" t="s">
        <v>17</v>
      </c>
      <c r="G673" s="7">
        <v>1537494</v>
      </c>
      <c r="H673" s="7">
        <v>368</v>
      </c>
      <c r="I673" s="7">
        <v>89</v>
      </c>
      <c r="J673" s="7">
        <v>0</v>
      </c>
      <c r="K673" s="7" t="s">
        <v>18</v>
      </c>
      <c r="L673" s="8">
        <v>39891.213356481479</v>
      </c>
      <c r="M673" s="9" t="s">
        <v>19</v>
      </c>
      <c r="N673" s="9" t="s">
        <v>22</v>
      </c>
      <c r="O673" s="6" t="str">
        <f>HYPERLINK("https://pbs.twimg.com/profile_images/988971255679324162/jrqiIYf__normal.jpg","View")</f>
        <v>View</v>
      </c>
      <c r="P673" s="7"/>
    </row>
    <row r="674" spans="1:16">
      <c r="A674" s="3">
        <v>43953.992777777778</v>
      </c>
      <c r="B674" s="4" t="str">
        <f>HYPERLINK("https://twitter.com/sergio_fajardo","@sergio_fajardo")</f>
        <v>@sergio_fajardo</v>
      </c>
      <c r="C674" s="5" t="s">
        <v>16</v>
      </c>
      <c r="D674" s="5" t="s">
        <v>696</v>
      </c>
      <c r="E674" s="6" t="str">
        <f>HYPERLINK("https://twitter.com/sergio_fajardo/status/1256649558718898180","1256649558718898180")</f>
        <v>1256649558718898180</v>
      </c>
      <c r="F674" s="7" t="s">
        <v>17</v>
      </c>
      <c r="G674" s="7">
        <v>1537536</v>
      </c>
      <c r="H674" s="7">
        <v>368</v>
      </c>
      <c r="I674" s="7">
        <v>0</v>
      </c>
      <c r="J674" s="7">
        <v>16</v>
      </c>
      <c r="K674" s="7" t="s">
        <v>18</v>
      </c>
      <c r="L674" s="8">
        <v>39891.213356481479</v>
      </c>
      <c r="M674" s="9" t="s">
        <v>19</v>
      </c>
      <c r="N674" s="9" t="s">
        <v>22</v>
      </c>
      <c r="O674" s="6" t="str">
        <f>HYPERLINK("https://pbs.twimg.com/profile_images/988971255679324162/jrqiIYf__normal.jpg","View")</f>
        <v>View</v>
      </c>
      <c r="P674" s="7"/>
    </row>
    <row r="675" spans="1:16">
      <c r="A675" s="3">
        <v>43954.009583333333</v>
      </c>
      <c r="B675" s="4" t="str">
        <f>HYPERLINK("https://twitter.com/sergio_fajardo","@sergio_fajardo")</f>
        <v>@sergio_fajardo</v>
      </c>
      <c r="C675" s="5" t="s">
        <v>16</v>
      </c>
      <c r="D675" s="5" t="s">
        <v>697</v>
      </c>
      <c r="E675" s="6" t="str">
        <f>HYPERLINK("https://twitter.com/sergio_fajardo/status/1256655647992578048","1256655647992578048")</f>
        <v>1256655647992578048</v>
      </c>
      <c r="F675" s="7" t="s">
        <v>17</v>
      </c>
      <c r="G675" s="7">
        <v>1537541</v>
      </c>
      <c r="H675" s="7">
        <v>368</v>
      </c>
      <c r="I675" s="7">
        <v>0</v>
      </c>
      <c r="J675" s="7">
        <v>3</v>
      </c>
      <c r="K675" s="7" t="s">
        <v>18</v>
      </c>
      <c r="L675" s="8">
        <v>39891.213356481479</v>
      </c>
      <c r="M675" s="9" t="s">
        <v>19</v>
      </c>
      <c r="N675" s="9" t="s">
        <v>22</v>
      </c>
      <c r="O675" s="6" t="str">
        <f>HYPERLINK("https://pbs.twimg.com/profile_images/988971255679324162/jrqiIYf__normal.jpg","View")</f>
        <v>View</v>
      </c>
      <c r="P675" s="7"/>
    </row>
    <row r="676" spans="1:16">
      <c r="A676" s="3">
        <v>43954.022881944446</v>
      </c>
      <c r="B676" s="4" t="str">
        <f>HYPERLINK("https://twitter.com/sergio_fajardo","@sergio_fajardo")</f>
        <v>@sergio_fajardo</v>
      </c>
      <c r="C676" s="5" t="s">
        <v>16</v>
      </c>
      <c r="D676" s="5" t="s">
        <v>698</v>
      </c>
      <c r="E676" s="6" t="str">
        <f>HYPERLINK("https://twitter.com/sergio_fajardo/status/1256660465318612994","1256660465318612994")</f>
        <v>1256660465318612994</v>
      </c>
      <c r="F676" s="7" t="s">
        <v>17</v>
      </c>
      <c r="G676" s="7">
        <v>1537541</v>
      </c>
      <c r="H676" s="7">
        <v>368</v>
      </c>
      <c r="I676" s="7">
        <v>183</v>
      </c>
      <c r="J676" s="7">
        <v>0</v>
      </c>
      <c r="K676" s="7" t="s">
        <v>18</v>
      </c>
      <c r="L676" s="8">
        <v>39891.213356481479</v>
      </c>
      <c r="M676" s="9" t="s">
        <v>19</v>
      </c>
      <c r="N676" s="9" t="s">
        <v>22</v>
      </c>
      <c r="O676" s="6" t="str">
        <f>HYPERLINK("https://pbs.twimg.com/profile_images/988971255679324162/jrqiIYf__normal.jpg","View")</f>
        <v>View</v>
      </c>
      <c r="P676" s="7"/>
    </row>
    <row r="677" spans="1:16">
      <c r="A677" s="3">
        <v>43954.038356481484</v>
      </c>
      <c r="B677" s="4" t="str">
        <f>HYPERLINK("https://twitter.com/sergio_fajardo","@sergio_fajardo")</f>
        <v>@sergio_fajardo</v>
      </c>
      <c r="C677" s="5" t="s">
        <v>16</v>
      </c>
      <c r="D677" s="5" t="s">
        <v>699</v>
      </c>
      <c r="E677" s="6" t="str">
        <f>HYPERLINK("https://twitter.com/sergio_fajardo/status/1256666076273934338","1256666076273934338")</f>
        <v>1256666076273934338</v>
      </c>
      <c r="F677" s="7" t="s">
        <v>17</v>
      </c>
      <c r="G677" s="7">
        <v>1537555</v>
      </c>
      <c r="H677" s="7">
        <v>368</v>
      </c>
      <c r="I677" s="7">
        <v>160</v>
      </c>
      <c r="J677" s="7">
        <v>0</v>
      </c>
      <c r="K677" s="7" t="s">
        <v>18</v>
      </c>
      <c r="L677" s="8">
        <v>39891.213356481479</v>
      </c>
      <c r="M677" s="9" t="s">
        <v>19</v>
      </c>
      <c r="N677" s="9" t="s">
        <v>22</v>
      </c>
      <c r="O677" s="6" t="str">
        <f>HYPERLINK("https://pbs.twimg.com/profile_images/988971255679324162/jrqiIYf__normal.jpg","View")</f>
        <v>View</v>
      </c>
      <c r="P677" s="7"/>
    </row>
    <row r="678" spans="1:16">
      <c r="A678" s="3">
        <v>43954.063414351855</v>
      </c>
      <c r="B678" s="4" t="str">
        <f>HYPERLINK("https://twitter.com/sergio_fajardo","@sergio_fajardo")</f>
        <v>@sergio_fajardo</v>
      </c>
      <c r="C678" s="5" t="s">
        <v>16</v>
      </c>
      <c r="D678" s="5" t="s">
        <v>700</v>
      </c>
      <c r="E678" s="6" t="str">
        <f>HYPERLINK("https://twitter.com/sergio_fajardo/status/1256675154870009868","1256675154870009868")</f>
        <v>1256675154870009868</v>
      </c>
      <c r="F678" s="7" t="s">
        <v>17</v>
      </c>
      <c r="G678" s="7">
        <v>1537561</v>
      </c>
      <c r="H678" s="7">
        <v>368</v>
      </c>
      <c r="I678" s="7">
        <v>30</v>
      </c>
      <c r="J678" s="7">
        <v>0</v>
      </c>
      <c r="K678" s="7" t="s">
        <v>18</v>
      </c>
      <c r="L678" s="8">
        <v>39891.213356481479</v>
      </c>
      <c r="M678" s="9" t="s">
        <v>19</v>
      </c>
      <c r="N678" s="9" t="s">
        <v>22</v>
      </c>
      <c r="O678" s="6" t="str">
        <f>HYPERLINK("https://pbs.twimg.com/profile_images/988971255679324162/jrqiIYf__normal.jpg","View")</f>
        <v>View</v>
      </c>
      <c r="P678" s="7"/>
    </row>
    <row r="679" spans="1:16">
      <c r="A679" s="3">
        <v>43954.14607638889</v>
      </c>
      <c r="B679" s="4" t="str">
        <f>HYPERLINK("https://twitter.com/sergio_fajardo","@sergio_fajardo")</f>
        <v>@sergio_fajardo</v>
      </c>
      <c r="C679" s="5" t="s">
        <v>16</v>
      </c>
      <c r="D679" s="5" t="s">
        <v>701</v>
      </c>
      <c r="E679" s="6" t="str">
        <f>HYPERLINK("https://twitter.com/sergio_fajardo/status/1256705112371875840","1256705112371875840")</f>
        <v>1256705112371875840</v>
      </c>
      <c r="F679" s="7" t="s">
        <v>17</v>
      </c>
      <c r="G679" s="7">
        <v>1537579</v>
      </c>
      <c r="H679" s="7">
        <v>368</v>
      </c>
      <c r="I679" s="7">
        <v>21</v>
      </c>
      <c r="J679" s="7">
        <v>0</v>
      </c>
      <c r="K679" s="7" t="s">
        <v>18</v>
      </c>
      <c r="L679" s="8">
        <v>39891.213356481479</v>
      </c>
      <c r="M679" s="9" t="s">
        <v>19</v>
      </c>
      <c r="N679" s="9" t="s">
        <v>22</v>
      </c>
      <c r="O679" s="6" t="str">
        <f>HYPERLINK("https://pbs.twimg.com/profile_images/988971255679324162/jrqiIYf__normal.jpg","View")</f>
        <v>View</v>
      </c>
      <c r="P679" s="7"/>
    </row>
    <row r="680" spans="1:16">
      <c r="A680" s="3">
        <v>43954.147349537037</v>
      </c>
      <c r="B680" s="4" t="str">
        <f>HYPERLINK("https://twitter.com/sergio_fajardo","@sergio_fajardo")</f>
        <v>@sergio_fajardo</v>
      </c>
      <c r="C680" s="5" t="s">
        <v>16</v>
      </c>
      <c r="D680" s="5" t="s">
        <v>702</v>
      </c>
      <c r="E680" s="6" t="str">
        <f>HYPERLINK("https://twitter.com/sergio_fajardo/status/1256705572981936130","1256705572981936130")</f>
        <v>1256705572981936130</v>
      </c>
      <c r="F680" s="7" t="s">
        <v>17</v>
      </c>
      <c r="G680" s="7">
        <v>1537579</v>
      </c>
      <c r="H680" s="7">
        <v>368</v>
      </c>
      <c r="I680" s="7">
        <v>1</v>
      </c>
      <c r="J680" s="7">
        <v>0</v>
      </c>
      <c r="K680" s="7" t="s">
        <v>18</v>
      </c>
      <c r="L680" s="8">
        <v>39891.213356481479</v>
      </c>
      <c r="M680" s="9" t="s">
        <v>19</v>
      </c>
      <c r="N680" s="9" t="s">
        <v>22</v>
      </c>
      <c r="O680" s="6" t="str">
        <f>HYPERLINK("https://pbs.twimg.com/profile_images/988971255679324162/jrqiIYf__normal.jpg","View")</f>
        <v>View</v>
      </c>
      <c r="P680" s="7"/>
    </row>
    <row r="681" spans="1:16">
      <c r="A681" s="3">
        <v>43954.732199074075</v>
      </c>
      <c r="B681" s="4" t="str">
        <f>HYPERLINK("https://twitter.com/sergio_fajardo","@sergio_fajardo")</f>
        <v>@sergio_fajardo</v>
      </c>
      <c r="C681" s="5" t="s">
        <v>16</v>
      </c>
      <c r="D681" s="5" t="s">
        <v>703</v>
      </c>
      <c r="E681" s="6" t="str">
        <f>HYPERLINK("https://twitter.com/sergio_fajardo/status/1256917513868369922","1256917513868369922")</f>
        <v>1256917513868369922</v>
      </c>
      <c r="F681" s="7" t="s">
        <v>17</v>
      </c>
      <c r="G681" s="7">
        <v>1537701</v>
      </c>
      <c r="H681" s="7">
        <v>368</v>
      </c>
      <c r="I681" s="7">
        <v>1338</v>
      </c>
      <c r="J681" s="7">
        <v>0</v>
      </c>
      <c r="K681" s="7" t="s">
        <v>18</v>
      </c>
      <c r="L681" s="8">
        <v>39891.213356481479</v>
      </c>
      <c r="M681" s="9" t="s">
        <v>19</v>
      </c>
      <c r="N681" s="9" t="s">
        <v>22</v>
      </c>
      <c r="O681" s="6" t="str">
        <f>HYPERLINK("https://pbs.twimg.com/profile_images/988971255679324162/jrqiIYf__normal.jpg","View")</f>
        <v>View</v>
      </c>
      <c r="P681" s="7"/>
    </row>
    <row r="682" spans="1:16">
      <c r="A682" s="3">
        <v>43954.908379629633</v>
      </c>
      <c r="B682" s="4" t="str">
        <f>HYPERLINK("https://twitter.com/sergio_fajardo","@sergio_fajardo")</f>
        <v>@sergio_fajardo</v>
      </c>
      <c r="C682" s="5" t="s">
        <v>16</v>
      </c>
      <c r="D682" s="5" t="s">
        <v>704</v>
      </c>
      <c r="E682" s="6" t="str">
        <f>HYPERLINK("https://twitter.com/sergio_fajardo/status/1256981361174482947","1256981361174482947")</f>
        <v>1256981361174482947</v>
      </c>
      <c r="F682" s="7" t="s">
        <v>17</v>
      </c>
      <c r="G682" s="7">
        <v>1537768</v>
      </c>
      <c r="H682" s="7">
        <v>368</v>
      </c>
      <c r="I682" s="7">
        <v>578</v>
      </c>
      <c r="J682" s="7">
        <v>0</v>
      </c>
      <c r="K682" s="7" t="s">
        <v>18</v>
      </c>
      <c r="L682" s="8">
        <v>39891.213356481479</v>
      </c>
      <c r="M682" s="9" t="s">
        <v>19</v>
      </c>
      <c r="N682" s="9" t="s">
        <v>22</v>
      </c>
      <c r="O682" s="6" t="str">
        <f>HYPERLINK("https://pbs.twimg.com/profile_images/988971255679324162/jrqiIYf__normal.jpg","View")</f>
        <v>View</v>
      </c>
      <c r="P682" s="7"/>
    </row>
    <row r="683" spans="1:16">
      <c r="A683" s="3">
        <v>43955.103958333333</v>
      </c>
      <c r="B683" s="4" t="str">
        <f>HYPERLINK("https://twitter.com/sergio_fajardo","@sergio_fajardo")</f>
        <v>@sergio_fajardo</v>
      </c>
      <c r="C683" s="5" t="s">
        <v>16</v>
      </c>
      <c r="D683" s="5" t="s">
        <v>705</v>
      </c>
      <c r="E683" s="6" t="str">
        <f>HYPERLINK("https://twitter.com/sergio_fajardo/status/1257052234136924162","1257052234136924162")</f>
        <v>1257052234136924162</v>
      </c>
      <c r="F683" s="7" t="s">
        <v>17</v>
      </c>
      <c r="G683" s="7">
        <v>1537831</v>
      </c>
      <c r="H683" s="7">
        <v>368</v>
      </c>
      <c r="I683" s="7">
        <v>355</v>
      </c>
      <c r="J683" s="7">
        <v>0</v>
      </c>
      <c r="K683" s="7" t="s">
        <v>18</v>
      </c>
      <c r="L683" s="8">
        <v>39891.213356481479</v>
      </c>
      <c r="M683" s="9" t="s">
        <v>19</v>
      </c>
      <c r="N683" s="9" t="s">
        <v>22</v>
      </c>
      <c r="O683" s="6" t="str">
        <f>HYPERLINK("https://pbs.twimg.com/profile_images/988971255679324162/jrqiIYf__normal.jpg","View")</f>
        <v>View</v>
      </c>
      <c r="P683" s="7"/>
    </row>
    <row r="684" spans="1:16">
      <c r="A684" s="3">
        <v>43955.106967592597</v>
      </c>
      <c r="B684" s="4" t="str">
        <f>HYPERLINK("https://twitter.com/sergio_fajardo","@sergio_fajardo")</f>
        <v>@sergio_fajardo</v>
      </c>
      <c r="C684" s="5" t="s">
        <v>16</v>
      </c>
      <c r="D684" s="5" t="s">
        <v>706</v>
      </c>
      <c r="E684" s="6" t="str">
        <f>HYPERLINK("https://twitter.com/sergio_fajardo/status/1257053328099414018","1257053328099414018")</f>
        <v>1257053328099414018</v>
      </c>
      <c r="F684" s="7" t="s">
        <v>17</v>
      </c>
      <c r="G684" s="7">
        <v>1537832</v>
      </c>
      <c r="H684" s="7">
        <v>368</v>
      </c>
      <c r="I684" s="7">
        <v>2377</v>
      </c>
      <c r="J684" s="7">
        <v>0</v>
      </c>
      <c r="K684" s="7" t="s">
        <v>18</v>
      </c>
      <c r="L684" s="8">
        <v>39891.213356481479</v>
      </c>
      <c r="M684" s="9" t="s">
        <v>19</v>
      </c>
      <c r="N684" s="9" t="s">
        <v>22</v>
      </c>
      <c r="O684" s="6" t="str">
        <f>HYPERLINK("https://pbs.twimg.com/profile_images/988971255679324162/jrqiIYf__normal.jpg","View")</f>
        <v>View</v>
      </c>
      <c r="P684" s="7"/>
    </row>
    <row r="685" spans="1:16">
      <c r="A685" s="3">
        <v>43955.311203703706</v>
      </c>
      <c r="B685" s="4" t="str">
        <f>HYPERLINK("https://twitter.com/sergio_fajardo","@sergio_fajardo")</f>
        <v>@sergio_fajardo</v>
      </c>
      <c r="C685" s="5" t="s">
        <v>16</v>
      </c>
      <c r="D685" s="5" t="s">
        <v>707</v>
      </c>
      <c r="E685" s="6" t="str">
        <f>HYPERLINK("https://twitter.com/sergio_fajardo/status/1257127339395293184","1257127339395293184")</f>
        <v>1257127339395293184</v>
      </c>
      <c r="F685" s="7" t="s">
        <v>17</v>
      </c>
      <c r="G685" s="7">
        <v>1537920</v>
      </c>
      <c r="H685" s="7">
        <v>368</v>
      </c>
      <c r="I685" s="7">
        <v>6</v>
      </c>
      <c r="J685" s="7">
        <v>43</v>
      </c>
      <c r="K685" s="7" t="s">
        <v>18</v>
      </c>
      <c r="L685" s="8">
        <v>39891.213356481479</v>
      </c>
      <c r="M685" s="9" t="s">
        <v>19</v>
      </c>
      <c r="N685" s="9" t="s">
        <v>22</v>
      </c>
      <c r="O685" s="6" t="str">
        <f>HYPERLINK("https://pbs.twimg.com/profile_images/988971255679324162/jrqiIYf__normal.jpg","View")</f>
        <v>View</v>
      </c>
      <c r="P685" s="7"/>
    </row>
    <row r="686" spans="1:16">
      <c r="A686" s="3">
        <v>43955.435312500005</v>
      </c>
      <c r="B686" s="4" t="str">
        <f>HYPERLINK("https://twitter.com/sergio_fajardo","@sergio_fajardo")</f>
        <v>@sergio_fajardo</v>
      </c>
      <c r="C686" s="5" t="s">
        <v>16</v>
      </c>
      <c r="D686" s="5" t="s">
        <v>708</v>
      </c>
      <c r="E686" s="6" t="str">
        <f>HYPERLINK("https://twitter.com/sergio_fajardo/status/1257172316145975296","1257172316145975296")</f>
        <v>1257172316145975296</v>
      </c>
      <c r="F686" s="7" t="s">
        <v>17</v>
      </c>
      <c r="G686" s="7">
        <v>1537980</v>
      </c>
      <c r="H686" s="7">
        <v>368</v>
      </c>
      <c r="I686" s="7">
        <v>13</v>
      </c>
      <c r="J686" s="7">
        <v>0</v>
      </c>
      <c r="K686" s="7" t="s">
        <v>18</v>
      </c>
      <c r="L686" s="8">
        <v>39891.213356481479</v>
      </c>
      <c r="M686" s="9" t="s">
        <v>19</v>
      </c>
      <c r="N686" s="9" t="s">
        <v>22</v>
      </c>
      <c r="O686" s="6" t="str">
        <f>HYPERLINK("https://pbs.twimg.com/profile_images/988971255679324162/jrqiIYf__normal.jpg","View")</f>
        <v>View</v>
      </c>
      <c r="P686" s="7"/>
    </row>
    <row r="687" spans="1:16">
      <c r="A687" s="3">
        <v>43956.291886574079</v>
      </c>
      <c r="B687" s="4" t="str">
        <f>HYPERLINK("https://twitter.com/sergio_fajardo","@sergio_fajardo")</f>
        <v>@sergio_fajardo</v>
      </c>
      <c r="C687" s="5" t="s">
        <v>16</v>
      </c>
      <c r="D687" s="5" t="s">
        <v>709</v>
      </c>
      <c r="E687" s="6" t="str">
        <f>HYPERLINK("https://twitter.com/sergio_fajardo/status/1257482725717618689","1257482725717618689")</f>
        <v>1257482725717618689</v>
      </c>
      <c r="F687" s="7" t="s">
        <v>23</v>
      </c>
      <c r="G687" s="7">
        <v>1538257</v>
      </c>
      <c r="H687" s="7">
        <v>367</v>
      </c>
      <c r="I687" s="7">
        <v>2</v>
      </c>
      <c r="J687" s="7">
        <v>0</v>
      </c>
      <c r="K687" s="7" t="s">
        <v>18</v>
      </c>
      <c r="L687" s="8">
        <v>39891.213356481479</v>
      </c>
      <c r="M687" s="9" t="s">
        <v>19</v>
      </c>
      <c r="N687" s="9" t="s">
        <v>22</v>
      </c>
      <c r="O687" s="6" t="str">
        <f>HYPERLINK("https://pbs.twimg.com/profile_images/988971255679324162/jrqiIYf__normal.jpg","View")</f>
        <v>View</v>
      </c>
      <c r="P687" s="7"/>
    </row>
    <row r="688" spans="1:16">
      <c r="A688" s="3">
        <v>43956.292534722219</v>
      </c>
      <c r="B688" s="4" t="str">
        <f>HYPERLINK("https://twitter.com/sergio_fajardo","@sergio_fajardo")</f>
        <v>@sergio_fajardo</v>
      </c>
      <c r="C688" s="5" t="s">
        <v>16</v>
      </c>
      <c r="D688" s="5" t="s">
        <v>710</v>
      </c>
      <c r="E688" s="6" t="str">
        <f>HYPERLINK("https://twitter.com/sergio_fajardo/status/1257482960888045576","1257482960888045576")</f>
        <v>1257482960888045576</v>
      </c>
      <c r="F688" s="7" t="s">
        <v>23</v>
      </c>
      <c r="G688" s="7">
        <v>1538257</v>
      </c>
      <c r="H688" s="7">
        <v>367</v>
      </c>
      <c r="I688" s="7">
        <v>6</v>
      </c>
      <c r="J688" s="7">
        <v>0</v>
      </c>
      <c r="K688" s="7" t="s">
        <v>18</v>
      </c>
      <c r="L688" s="8">
        <v>39891.213356481479</v>
      </c>
      <c r="M688" s="9" t="s">
        <v>19</v>
      </c>
      <c r="N688" s="9" t="s">
        <v>22</v>
      </c>
      <c r="O688" s="6" t="str">
        <f>HYPERLINK("https://pbs.twimg.com/profile_images/988971255679324162/jrqiIYf__normal.jpg","View")</f>
        <v>View</v>
      </c>
      <c r="P688" s="7"/>
    </row>
    <row r="689" spans="1:16">
      <c r="A689" s="3">
        <v>43956.293229166666</v>
      </c>
      <c r="B689" s="4" t="str">
        <f>HYPERLINK("https://twitter.com/sergio_fajardo","@sergio_fajardo")</f>
        <v>@sergio_fajardo</v>
      </c>
      <c r="C689" s="5" t="s">
        <v>16</v>
      </c>
      <c r="D689" s="5" t="s">
        <v>711</v>
      </c>
      <c r="E689" s="6" t="str">
        <f>HYPERLINK("https://twitter.com/sergio_fajardo/status/1257483214186319874","1257483214186319874")</f>
        <v>1257483214186319874</v>
      </c>
      <c r="F689" s="7" t="s">
        <v>23</v>
      </c>
      <c r="G689" s="7">
        <v>1538268</v>
      </c>
      <c r="H689" s="7">
        <v>367</v>
      </c>
      <c r="I689" s="7">
        <v>13</v>
      </c>
      <c r="J689" s="7">
        <v>0</v>
      </c>
      <c r="K689" s="7" t="s">
        <v>18</v>
      </c>
      <c r="L689" s="8">
        <v>39891.213356481479</v>
      </c>
      <c r="M689" s="9" t="s">
        <v>19</v>
      </c>
      <c r="N689" s="9" t="s">
        <v>22</v>
      </c>
      <c r="O689" s="6" t="str">
        <f>HYPERLINK("https://pbs.twimg.com/profile_images/988971255679324162/jrqiIYf__normal.jpg","View")</f>
        <v>View</v>
      </c>
      <c r="P689" s="7"/>
    </row>
    <row r="690" spans="1:16">
      <c r="A690" s="3">
        <v>43956.293912037036</v>
      </c>
      <c r="B690" s="4" t="str">
        <f>HYPERLINK("https://twitter.com/sergio_fajardo","@sergio_fajardo")</f>
        <v>@sergio_fajardo</v>
      </c>
      <c r="C690" s="5" t="s">
        <v>16</v>
      </c>
      <c r="D690" s="5" t="s">
        <v>712</v>
      </c>
      <c r="E690" s="6" t="str">
        <f>HYPERLINK("https://twitter.com/sergio_fajardo/status/1257483460404445187","1257483460404445187")</f>
        <v>1257483460404445187</v>
      </c>
      <c r="F690" s="7" t="s">
        <v>23</v>
      </c>
      <c r="G690" s="7">
        <v>1538268</v>
      </c>
      <c r="H690" s="7">
        <v>367</v>
      </c>
      <c r="I690" s="7">
        <v>8</v>
      </c>
      <c r="J690" s="7">
        <v>0</v>
      </c>
      <c r="K690" s="7" t="s">
        <v>18</v>
      </c>
      <c r="L690" s="8">
        <v>39891.213356481479</v>
      </c>
      <c r="M690" s="9" t="s">
        <v>19</v>
      </c>
      <c r="N690" s="9" t="s">
        <v>22</v>
      </c>
      <c r="O690" s="6" t="str">
        <f>HYPERLINK("https://pbs.twimg.com/profile_images/988971255679324162/jrqiIYf__normal.jpg","View")</f>
        <v>View</v>
      </c>
      <c r="P690" s="7"/>
    </row>
    <row r="691" spans="1:16">
      <c r="A691" s="3">
        <v>43956.300486111111</v>
      </c>
      <c r="B691" s="4" t="str">
        <f>HYPERLINK("https://twitter.com/sergio_fajardo","@sergio_fajardo")</f>
        <v>@sergio_fajardo</v>
      </c>
      <c r="C691" s="5" t="s">
        <v>16</v>
      </c>
      <c r="D691" s="5" t="s">
        <v>713</v>
      </c>
      <c r="E691" s="6" t="str">
        <f>HYPERLINK("https://twitter.com/sergio_fajardo/status/1257485841443717121","1257485841443717121")</f>
        <v>1257485841443717121</v>
      </c>
      <c r="F691" s="7" t="s">
        <v>23</v>
      </c>
      <c r="G691" s="7">
        <v>1538268</v>
      </c>
      <c r="H691" s="7">
        <v>367</v>
      </c>
      <c r="I691" s="7">
        <v>7</v>
      </c>
      <c r="J691" s="7">
        <v>0</v>
      </c>
      <c r="K691" s="7" t="s">
        <v>18</v>
      </c>
      <c r="L691" s="8">
        <v>39891.213356481479</v>
      </c>
      <c r="M691" s="9" t="s">
        <v>19</v>
      </c>
      <c r="N691" s="9" t="s">
        <v>22</v>
      </c>
      <c r="O691" s="6" t="str">
        <f>HYPERLINK("https://pbs.twimg.com/profile_images/988971255679324162/jrqiIYf__normal.jpg","View")</f>
        <v>View</v>
      </c>
      <c r="P691" s="7"/>
    </row>
    <row r="692" spans="1:16">
      <c r="A692" s="3">
        <v>43957.012638888889</v>
      </c>
      <c r="B692" s="4" t="str">
        <f>HYPERLINK("https://twitter.com/sergio_fajardo","@sergio_fajardo")</f>
        <v>@sergio_fajardo</v>
      </c>
      <c r="C692" s="5" t="s">
        <v>16</v>
      </c>
      <c r="D692" s="5" t="s">
        <v>714</v>
      </c>
      <c r="E692" s="6" t="str">
        <f>HYPERLINK("https://twitter.com/sergio_fajardo/status/1257743918877347840","1257743918877347840")</f>
        <v>1257743918877347840</v>
      </c>
      <c r="F692" s="7" t="s">
        <v>17</v>
      </c>
      <c r="G692" s="7">
        <v>1538427</v>
      </c>
      <c r="H692" s="7">
        <v>367</v>
      </c>
      <c r="I692" s="7">
        <v>21</v>
      </c>
      <c r="J692" s="7">
        <v>0</v>
      </c>
      <c r="K692" s="7" t="s">
        <v>18</v>
      </c>
      <c r="L692" s="8">
        <v>39891.213356481479</v>
      </c>
      <c r="M692" s="9" t="s">
        <v>19</v>
      </c>
      <c r="N692" s="9" t="s">
        <v>22</v>
      </c>
      <c r="O692" s="6" t="str">
        <f>HYPERLINK("https://pbs.twimg.com/profile_images/988971255679324162/jrqiIYf__normal.jpg","View")</f>
        <v>View</v>
      </c>
      <c r="P692" s="7"/>
    </row>
    <row r="693" spans="1:16">
      <c r="A693" s="3">
        <v>43957.01290509259</v>
      </c>
      <c r="B693" s="4" t="str">
        <f>HYPERLINK("https://twitter.com/sergio_fajardo","@sergio_fajardo")</f>
        <v>@sergio_fajardo</v>
      </c>
      <c r="C693" s="5" t="s">
        <v>16</v>
      </c>
      <c r="D693" s="5" t="s">
        <v>715</v>
      </c>
      <c r="E693" s="6" t="str">
        <f>HYPERLINK("https://twitter.com/sergio_fajardo/status/1257744015757369346","1257744015757369346")</f>
        <v>1257744015757369346</v>
      </c>
      <c r="F693" s="7" t="s">
        <v>17</v>
      </c>
      <c r="G693" s="7">
        <v>1538427</v>
      </c>
      <c r="H693" s="7">
        <v>367</v>
      </c>
      <c r="I693" s="7">
        <v>16</v>
      </c>
      <c r="J693" s="7">
        <v>0</v>
      </c>
      <c r="K693" s="7" t="s">
        <v>18</v>
      </c>
      <c r="L693" s="8">
        <v>39891.213356481479</v>
      </c>
      <c r="M693" s="9" t="s">
        <v>19</v>
      </c>
      <c r="N693" s="9" t="s">
        <v>22</v>
      </c>
      <c r="O693" s="6" t="str">
        <f>HYPERLINK("https://pbs.twimg.com/profile_images/988971255679324162/jrqiIYf__normal.jpg","View")</f>
        <v>View</v>
      </c>
      <c r="P693" s="7"/>
    </row>
    <row r="694" spans="1:16">
      <c r="A694" s="3">
        <v>43957.078229166669</v>
      </c>
      <c r="B694" s="4" t="str">
        <f>HYPERLINK("https://twitter.com/sergio_fajardo","@sergio_fajardo")</f>
        <v>@sergio_fajardo</v>
      </c>
      <c r="C694" s="5" t="s">
        <v>16</v>
      </c>
      <c r="D694" s="5" t="s">
        <v>716</v>
      </c>
      <c r="E694" s="6" t="str">
        <f>HYPERLINK("https://twitter.com/sergio_fajardo/status/1257767686274072581","1257767686274072581")</f>
        <v>1257767686274072581</v>
      </c>
      <c r="F694" s="7" t="s">
        <v>17</v>
      </c>
      <c r="G694" s="7">
        <v>1538443</v>
      </c>
      <c r="H694" s="7">
        <v>367</v>
      </c>
      <c r="I694" s="7">
        <v>33</v>
      </c>
      <c r="J694" s="7">
        <v>0</v>
      </c>
      <c r="K694" s="7" t="s">
        <v>18</v>
      </c>
      <c r="L694" s="8">
        <v>39891.213356481479</v>
      </c>
      <c r="M694" s="9" t="s">
        <v>19</v>
      </c>
      <c r="N694" s="9" t="s">
        <v>22</v>
      </c>
      <c r="O694" s="6" t="str">
        <f>HYPERLINK("https://pbs.twimg.com/profile_images/988971255679324162/jrqiIYf__normal.jpg","View")</f>
        <v>View</v>
      </c>
      <c r="P694" s="7"/>
    </row>
    <row r="695" spans="1:16">
      <c r="A695" s="3">
        <v>43957.086608796293</v>
      </c>
      <c r="B695" s="4" t="str">
        <f>HYPERLINK("https://twitter.com/sergio_fajardo","@sergio_fajardo")</f>
        <v>@sergio_fajardo</v>
      </c>
      <c r="C695" s="5" t="s">
        <v>16</v>
      </c>
      <c r="D695" s="5" t="s">
        <v>717</v>
      </c>
      <c r="E695" s="6" t="str">
        <f>HYPERLINK("https://twitter.com/sergio_fajardo/status/1257770723092901888","1257770723092901888")</f>
        <v>1257770723092901888</v>
      </c>
      <c r="F695" s="7" t="s">
        <v>17</v>
      </c>
      <c r="G695" s="7">
        <v>1538452</v>
      </c>
      <c r="H695" s="7">
        <v>367</v>
      </c>
      <c r="I695" s="7">
        <v>50</v>
      </c>
      <c r="J695" s="7">
        <v>0</v>
      </c>
      <c r="K695" s="7" t="s">
        <v>18</v>
      </c>
      <c r="L695" s="8">
        <v>39891.213356481479</v>
      </c>
      <c r="M695" s="9" t="s">
        <v>19</v>
      </c>
      <c r="N695" s="9" t="s">
        <v>22</v>
      </c>
      <c r="O695" s="6" t="str">
        <f>HYPERLINK("https://pbs.twimg.com/profile_images/988971255679324162/jrqiIYf__normal.jpg","View")</f>
        <v>View</v>
      </c>
      <c r="P695" s="7"/>
    </row>
    <row r="696" spans="1:16">
      <c r="A696" s="3">
        <v>43957.088437500002</v>
      </c>
      <c r="B696" s="4" t="str">
        <f>HYPERLINK("https://twitter.com/sergio_fajardo","@sergio_fajardo")</f>
        <v>@sergio_fajardo</v>
      </c>
      <c r="C696" s="5" t="s">
        <v>16</v>
      </c>
      <c r="D696" s="5" t="s">
        <v>718</v>
      </c>
      <c r="E696" s="6" t="str">
        <f>HYPERLINK("https://twitter.com/sergio_fajardo/status/1257771385587265542","1257771385587265542")</f>
        <v>1257771385587265542</v>
      </c>
      <c r="F696" s="7" t="s">
        <v>17</v>
      </c>
      <c r="G696" s="7">
        <v>1538452</v>
      </c>
      <c r="H696" s="7">
        <v>367</v>
      </c>
      <c r="I696" s="7">
        <v>176</v>
      </c>
      <c r="J696" s="7">
        <v>0</v>
      </c>
      <c r="K696" s="7" t="s">
        <v>18</v>
      </c>
      <c r="L696" s="8">
        <v>39891.213356481479</v>
      </c>
      <c r="M696" s="9" t="s">
        <v>19</v>
      </c>
      <c r="N696" s="9" t="s">
        <v>22</v>
      </c>
      <c r="O696" s="6" t="str">
        <f>HYPERLINK("https://pbs.twimg.com/profile_images/988971255679324162/jrqiIYf__normal.jpg","View")</f>
        <v>View</v>
      </c>
      <c r="P696" s="7"/>
    </row>
    <row r="697" spans="1:16">
      <c r="A697" s="3">
        <v>43957.088518518518</v>
      </c>
      <c r="B697" s="4" t="str">
        <f>HYPERLINK("https://twitter.com/sergio_fajardo","@sergio_fajardo")</f>
        <v>@sergio_fajardo</v>
      </c>
      <c r="C697" s="5" t="s">
        <v>16</v>
      </c>
      <c r="D697" s="5" t="s">
        <v>719</v>
      </c>
      <c r="E697" s="6" t="str">
        <f>HYPERLINK("https://twitter.com/sergio_fajardo/status/1257771415677386760","1257771415677386760")</f>
        <v>1257771415677386760</v>
      </c>
      <c r="F697" s="7" t="s">
        <v>17</v>
      </c>
      <c r="G697" s="7">
        <v>1538452</v>
      </c>
      <c r="H697" s="7">
        <v>367</v>
      </c>
      <c r="I697" s="7">
        <v>240</v>
      </c>
      <c r="J697" s="7">
        <v>0</v>
      </c>
      <c r="K697" s="7" t="s">
        <v>18</v>
      </c>
      <c r="L697" s="8">
        <v>39891.213356481479</v>
      </c>
      <c r="M697" s="9" t="s">
        <v>19</v>
      </c>
      <c r="N697" s="9" t="s">
        <v>22</v>
      </c>
      <c r="O697" s="6" t="str">
        <f>HYPERLINK("https://pbs.twimg.com/profile_images/988971255679324162/jrqiIYf__normal.jpg","View")</f>
        <v>View</v>
      </c>
      <c r="P697" s="7"/>
    </row>
    <row r="698" spans="1:16">
      <c r="A698" s="3">
        <v>43957.099641203706</v>
      </c>
      <c r="B698" s="4" t="str">
        <f>HYPERLINK("https://twitter.com/sergio_fajardo","@sergio_fajardo")</f>
        <v>@sergio_fajardo</v>
      </c>
      <c r="C698" s="5" t="s">
        <v>16</v>
      </c>
      <c r="D698" s="5" t="s">
        <v>720</v>
      </c>
      <c r="E698" s="6" t="str">
        <f>HYPERLINK("https://twitter.com/sergio_fajardo/status/1257775447183679489","1257775447183679489")</f>
        <v>1257775447183679489</v>
      </c>
      <c r="F698" s="7" t="s">
        <v>17</v>
      </c>
      <c r="G698" s="7">
        <v>1538452</v>
      </c>
      <c r="H698" s="7">
        <v>367</v>
      </c>
      <c r="I698" s="7">
        <v>27</v>
      </c>
      <c r="J698" s="7">
        <v>249</v>
      </c>
      <c r="K698" s="7" t="s">
        <v>18</v>
      </c>
      <c r="L698" s="8">
        <v>39891.213356481479</v>
      </c>
      <c r="M698" s="9" t="s">
        <v>19</v>
      </c>
      <c r="N698" s="9" t="s">
        <v>22</v>
      </c>
      <c r="O698" s="6" t="str">
        <f>HYPERLINK("https://pbs.twimg.com/profile_images/988971255679324162/jrqiIYf__normal.jpg","View")</f>
        <v>View</v>
      </c>
      <c r="P698" s="7"/>
    </row>
    <row r="699" spans="1:16">
      <c r="A699" s="3">
        <v>43957.132893518516</v>
      </c>
      <c r="B699" s="4" t="str">
        <f>HYPERLINK("https://twitter.com/sergio_fajardo","@sergio_fajardo")</f>
        <v>@sergio_fajardo</v>
      </c>
      <c r="C699" s="5" t="s">
        <v>16</v>
      </c>
      <c r="D699" s="5" t="s">
        <v>721</v>
      </c>
      <c r="E699" s="6" t="str">
        <f>HYPERLINK("https://twitter.com/sergio_fajardo/status/1257787496324386817","1257787496324386817")</f>
        <v>1257787496324386817</v>
      </c>
      <c r="F699" s="7" t="s">
        <v>17</v>
      </c>
      <c r="G699" s="7">
        <v>1538475</v>
      </c>
      <c r="H699" s="7">
        <v>366</v>
      </c>
      <c r="I699" s="7">
        <v>525</v>
      </c>
      <c r="J699" s="7">
        <v>0</v>
      </c>
      <c r="K699" s="7" t="s">
        <v>18</v>
      </c>
      <c r="L699" s="8">
        <v>39891.213356481479</v>
      </c>
      <c r="M699" s="9" t="s">
        <v>19</v>
      </c>
      <c r="N699" s="9" t="s">
        <v>22</v>
      </c>
      <c r="O699" s="6" t="str">
        <f>HYPERLINK("https://pbs.twimg.com/profile_images/988971255679324162/jrqiIYf__normal.jpg","View")</f>
        <v>View</v>
      </c>
      <c r="P699" s="7"/>
    </row>
    <row r="700" spans="1:16">
      <c r="A700" s="3">
        <v>43957.220011574071</v>
      </c>
      <c r="B700" s="4" t="str">
        <f>HYPERLINK("https://twitter.com/sergio_fajardo","@sergio_fajardo")</f>
        <v>@sergio_fajardo</v>
      </c>
      <c r="C700" s="5" t="s">
        <v>16</v>
      </c>
      <c r="D700" s="5" t="s">
        <v>722</v>
      </c>
      <c r="E700" s="6" t="str">
        <f>HYPERLINK("https://twitter.com/sergio_fajardo/status/1257819069455228928","1257819069455228928")</f>
        <v>1257819069455228928</v>
      </c>
      <c r="F700" s="7" t="s">
        <v>17</v>
      </c>
      <c r="G700" s="7">
        <v>1538511</v>
      </c>
      <c r="H700" s="7">
        <v>366</v>
      </c>
      <c r="I700" s="7">
        <v>2</v>
      </c>
      <c r="J700" s="7">
        <v>0</v>
      </c>
      <c r="K700" s="7" t="s">
        <v>18</v>
      </c>
      <c r="L700" s="8">
        <v>39891.213356481479</v>
      </c>
      <c r="M700" s="9" t="s">
        <v>19</v>
      </c>
      <c r="N700" s="9" t="s">
        <v>22</v>
      </c>
      <c r="O700" s="6" t="str">
        <f>HYPERLINK("https://pbs.twimg.com/profile_images/988971255679324162/jrqiIYf__normal.jpg","View")</f>
        <v>View</v>
      </c>
      <c r="P700" s="7"/>
    </row>
    <row r="701" spans="1:16">
      <c r="A701" s="3">
        <v>43957.225347222222</v>
      </c>
      <c r="B701" s="4" t="str">
        <f>HYPERLINK("https://twitter.com/sergio_fajardo","@sergio_fajardo")</f>
        <v>@sergio_fajardo</v>
      </c>
      <c r="C701" s="5" t="s">
        <v>16</v>
      </c>
      <c r="D701" s="5" t="s">
        <v>723</v>
      </c>
      <c r="E701" s="6" t="str">
        <f>HYPERLINK("https://twitter.com/sergio_fajardo/status/1257821001666174980","1257821001666174980")</f>
        <v>1257821001666174980</v>
      </c>
      <c r="F701" s="7" t="s">
        <v>17</v>
      </c>
      <c r="G701" s="7">
        <v>1538511</v>
      </c>
      <c r="H701" s="7">
        <v>366</v>
      </c>
      <c r="I701" s="7">
        <v>18</v>
      </c>
      <c r="J701" s="7">
        <v>0</v>
      </c>
      <c r="K701" s="7" t="s">
        <v>18</v>
      </c>
      <c r="L701" s="8">
        <v>39891.213356481479</v>
      </c>
      <c r="M701" s="9" t="s">
        <v>19</v>
      </c>
      <c r="N701" s="9" t="s">
        <v>22</v>
      </c>
      <c r="O701" s="6" t="str">
        <f>HYPERLINK("https://pbs.twimg.com/profile_images/988971255679324162/jrqiIYf__normal.jpg","View")</f>
        <v>View</v>
      </c>
      <c r="P701" s="7"/>
    </row>
    <row r="702" spans="1:16">
      <c r="A702" s="3">
        <v>43957.297905092593</v>
      </c>
      <c r="B702" s="4" t="str">
        <f>HYPERLINK("https://twitter.com/sergio_fajardo","@sergio_fajardo")</f>
        <v>@sergio_fajardo</v>
      </c>
      <c r="C702" s="5" t="s">
        <v>16</v>
      </c>
      <c r="D702" s="5" t="s">
        <v>724</v>
      </c>
      <c r="E702" s="6" t="str">
        <f>HYPERLINK("https://twitter.com/sergio_fajardo/status/1257847295586062336","1257847295586062336")</f>
        <v>1257847295586062336</v>
      </c>
      <c r="F702" s="7" t="s">
        <v>17</v>
      </c>
      <c r="G702" s="7">
        <v>1538567</v>
      </c>
      <c r="H702" s="7">
        <v>366</v>
      </c>
      <c r="I702" s="7">
        <v>12</v>
      </c>
      <c r="J702" s="7">
        <v>0</v>
      </c>
      <c r="K702" s="7" t="s">
        <v>18</v>
      </c>
      <c r="L702" s="8">
        <v>39891.213356481479</v>
      </c>
      <c r="M702" s="9" t="s">
        <v>19</v>
      </c>
      <c r="N702" s="9" t="s">
        <v>22</v>
      </c>
      <c r="O702" s="6" t="str">
        <f>HYPERLINK("https://pbs.twimg.com/profile_images/988971255679324162/jrqiIYf__normal.jpg","View")</f>
        <v>View</v>
      </c>
      <c r="P702" s="7"/>
    </row>
    <row r="703" spans="1:16">
      <c r="A703" s="3">
        <v>43957.300844907411</v>
      </c>
      <c r="B703" s="4" t="str">
        <f>HYPERLINK("https://twitter.com/sergio_fajardo","@sergio_fajardo")</f>
        <v>@sergio_fajardo</v>
      </c>
      <c r="C703" s="5" t="s">
        <v>16</v>
      </c>
      <c r="D703" s="5" t="s">
        <v>725</v>
      </c>
      <c r="E703" s="6" t="str">
        <f>HYPERLINK("https://twitter.com/sergio_fajardo/status/1257848360284884992","1257848360284884992")</f>
        <v>1257848360284884992</v>
      </c>
      <c r="F703" s="7" t="s">
        <v>17</v>
      </c>
      <c r="G703" s="7">
        <v>1538567</v>
      </c>
      <c r="H703" s="7">
        <v>366</v>
      </c>
      <c r="I703" s="7">
        <v>22</v>
      </c>
      <c r="J703" s="7">
        <v>0</v>
      </c>
      <c r="K703" s="7" t="s">
        <v>18</v>
      </c>
      <c r="L703" s="8">
        <v>39891.213356481479</v>
      </c>
      <c r="M703" s="9" t="s">
        <v>19</v>
      </c>
      <c r="N703" s="9" t="s">
        <v>22</v>
      </c>
      <c r="O703" s="6" t="str">
        <f>HYPERLINK("https://pbs.twimg.com/profile_images/988971255679324162/jrqiIYf__normal.jpg","View")</f>
        <v>View</v>
      </c>
      <c r="P703" s="7"/>
    </row>
    <row r="704" spans="1:16">
      <c r="A704" s="3">
        <v>43957.314050925925</v>
      </c>
      <c r="B704" s="4" t="str">
        <f>HYPERLINK("https://twitter.com/sergio_fajardo","@sergio_fajardo")</f>
        <v>@sergio_fajardo</v>
      </c>
      <c r="C704" s="5" t="s">
        <v>16</v>
      </c>
      <c r="D704" s="5" t="s">
        <v>726</v>
      </c>
      <c r="E704" s="6" t="str">
        <f>HYPERLINK("https://twitter.com/sergio_fajardo/status/1257853145939574786","1257853145939574786")</f>
        <v>1257853145939574786</v>
      </c>
      <c r="F704" s="7" t="s">
        <v>17</v>
      </c>
      <c r="G704" s="7">
        <v>1538567</v>
      </c>
      <c r="H704" s="7">
        <v>366</v>
      </c>
      <c r="I704" s="7">
        <v>0</v>
      </c>
      <c r="J704" s="7">
        <v>0</v>
      </c>
      <c r="K704" s="7" t="s">
        <v>18</v>
      </c>
      <c r="L704" s="8">
        <v>39891.213356481479</v>
      </c>
      <c r="M704" s="9" t="s">
        <v>19</v>
      </c>
      <c r="N704" s="9" t="s">
        <v>22</v>
      </c>
      <c r="O704" s="6" t="str">
        <f>HYPERLINK("https://pbs.twimg.com/profile_images/988971255679324162/jrqiIYf__normal.jpg","View")</f>
        <v>View</v>
      </c>
      <c r="P704" s="7"/>
    </row>
    <row r="705" spans="1:16">
      <c r="A705" s="3">
        <v>43960.064641203702</v>
      </c>
      <c r="B705" s="4" t="str">
        <f>HYPERLINK("https://twitter.com/sergio_fajardo","@sergio_fajardo")</f>
        <v>@sergio_fajardo</v>
      </c>
      <c r="C705" s="5" t="s">
        <v>16</v>
      </c>
      <c r="D705" s="5" t="s">
        <v>727</v>
      </c>
      <c r="E705" s="6" t="str">
        <f>HYPERLINK("https://twitter.com/sergio_fajardo/status/1258849925561008130","1258849925561008130")</f>
        <v>1258849925561008130</v>
      </c>
      <c r="F705" s="7" t="s">
        <v>17</v>
      </c>
      <c r="G705" s="7">
        <v>1539244</v>
      </c>
      <c r="H705" s="7">
        <v>366</v>
      </c>
      <c r="I705" s="7">
        <v>12</v>
      </c>
      <c r="J705" s="7">
        <v>0</v>
      </c>
      <c r="K705" s="7" t="s">
        <v>18</v>
      </c>
      <c r="L705" s="8">
        <v>39891.213356481479</v>
      </c>
      <c r="M705" s="9" t="s">
        <v>19</v>
      </c>
      <c r="N705" s="9" t="s">
        <v>22</v>
      </c>
      <c r="O705" s="6" t="str">
        <f>HYPERLINK("https://pbs.twimg.com/profile_images/988971255679324162/jrqiIYf__normal.jpg","View")</f>
        <v>View</v>
      </c>
      <c r="P705" s="7"/>
    </row>
    <row r="706" spans="1:16">
      <c r="A706" s="3">
        <v>43960.294432870374</v>
      </c>
      <c r="B706" s="4" t="str">
        <f>HYPERLINK("https://twitter.com/sergio_fajardo","@sergio_fajardo")</f>
        <v>@sergio_fajardo</v>
      </c>
      <c r="C706" s="5" t="s">
        <v>16</v>
      </c>
      <c r="D706" s="5" t="s">
        <v>728</v>
      </c>
      <c r="E706" s="6" t="str">
        <f>HYPERLINK("https://twitter.com/sergio_fajardo/status/1258933198748291072","1258933198748291072")</f>
        <v>1258933198748291072</v>
      </c>
      <c r="F706" s="7" t="s">
        <v>17</v>
      </c>
      <c r="G706" s="7">
        <v>1539311</v>
      </c>
      <c r="H706" s="7">
        <v>366</v>
      </c>
      <c r="I706" s="7">
        <v>4</v>
      </c>
      <c r="J706" s="7">
        <v>0</v>
      </c>
      <c r="K706" s="7" t="s">
        <v>18</v>
      </c>
      <c r="L706" s="8">
        <v>39891.213356481479</v>
      </c>
      <c r="M706" s="9" t="s">
        <v>19</v>
      </c>
      <c r="N706" s="9" t="s">
        <v>22</v>
      </c>
      <c r="O706" s="6" t="str">
        <f>HYPERLINK("https://pbs.twimg.com/profile_images/988971255679324162/jrqiIYf__normal.jpg","View")</f>
        <v>View</v>
      </c>
      <c r="P706" s="7"/>
    </row>
    <row r="707" spans="1:16">
      <c r="A707" s="3">
        <v>43960.721018518518</v>
      </c>
      <c r="B707" s="4" t="str">
        <f>HYPERLINK("https://twitter.com/sergio_fajardo","@sergio_fajardo")</f>
        <v>@sergio_fajardo</v>
      </c>
      <c r="C707" s="5" t="s">
        <v>16</v>
      </c>
      <c r="D707" s="5" t="s">
        <v>729</v>
      </c>
      <c r="E707" s="6" t="str">
        <f>HYPERLINK("https://twitter.com/sergio_fajardo/status/1259087791297880067","1259087791297880067")</f>
        <v>1259087791297880067</v>
      </c>
      <c r="F707" s="7" t="s">
        <v>17</v>
      </c>
      <c r="G707" s="7">
        <v>1539369</v>
      </c>
      <c r="H707" s="7">
        <v>366</v>
      </c>
      <c r="I707" s="7">
        <v>427</v>
      </c>
      <c r="J707" s="7">
        <v>0</v>
      </c>
      <c r="K707" s="7" t="s">
        <v>18</v>
      </c>
      <c r="L707" s="8">
        <v>39891.213356481479</v>
      </c>
      <c r="M707" s="9" t="s">
        <v>19</v>
      </c>
      <c r="N707" s="9" t="s">
        <v>22</v>
      </c>
      <c r="O707" s="6" t="str">
        <f>HYPERLINK("https://pbs.twimg.com/profile_images/988971255679324162/jrqiIYf__normal.jpg","View")</f>
        <v>View</v>
      </c>
      <c r="P707" s="7"/>
    </row>
    <row r="708" spans="1:16">
      <c r="A708" s="3">
        <v>43960.72152777778</v>
      </c>
      <c r="B708" s="4" t="str">
        <f>HYPERLINK("https://twitter.com/sergio_fajardo","@sergio_fajardo")</f>
        <v>@sergio_fajardo</v>
      </c>
      <c r="C708" s="5" t="s">
        <v>16</v>
      </c>
      <c r="D708" s="5" t="s">
        <v>730</v>
      </c>
      <c r="E708" s="6" t="str">
        <f>HYPERLINK("https://twitter.com/sergio_fajardo/status/1259087973141921792","1259087973141921792")</f>
        <v>1259087973141921792</v>
      </c>
      <c r="F708" s="7" t="s">
        <v>17</v>
      </c>
      <c r="G708" s="7">
        <v>1539369</v>
      </c>
      <c r="H708" s="7">
        <v>366</v>
      </c>
      <c r="I708" s="7">
        <v>320</v>
      </c>
      <c r="J708" s="7">
        <v>0</v>
      </c>
      <c r="K708" s="7" t="s">
        <v>18</v>
      </c>
      <c r="L708" s="8">
        <v>39891.213356481479</v>
      </c>
      <c r="M708" s="9" t="s">
        <v>19</v>
      </c>
      <c r="N708" s="9" t="s">
        <v>22</v>
      </c>
      <c r="O708" s="6" t="str">
        <f>HYPERLINK("https://pbs.twimg.com/profile_images/988971255679324162/jrqiIYf__normal.jpg","View")</f>
        <v>View</v>
      </c>
      <c r="P708" s="7"/>
    </row>
    <row r="709" spans="1:16">
      <c r="A709" s="3">
        <v>43961.075520833328</v>
      </c>
      <c r="B709" s="4" t="str">
        <f>HYPERLINK("https://twitter.com/sergio_fajardo","@sergio_fajardo")</f>
        <v>@sergio_fajardo</v>
      </c>
      <c r="C709" s="5" t="s">
        <v>16</v>
      </c>
      <c r="D709" s="5" t="s">
        <v>731</v>
      </c>
      <c r="E709" s="6" t="str">
        <f>HYPERLINK("https://twitter.com/sergio_fajardo/status/1259216256231751682","1259216256231751682")</f>
        <v>1259216256231751682</v>
      </c>
      <c r="F709" s="7" t="s">
        <v>17</v>
      </c>
      <c r="G709" s="7">
        <v>1539440</v>
      </c>
      <c r="H709" s="7">
        <v>366</v>
      </c>
      <c r="I709" s="7">
        <v>630</v>
      </c>
      <c r="J709" s="7">
        <v>0</v>
      </c>
      <c r="K709" s="7" t="s">
        <v>18</v>
      </c>
      <c r="L709" s="8">
        <v>39891.213356481479</v>
      </c>
      <c r="M709" s="9" t="s">
        <v>19</v>
      </c>
      <c r="N709" s="9" t="s">
        <v>22</v>
      </c>
      <c r="O709" s="6" t="str">
        <f>HYPERLINK("https://pbs.twimg.com/profile_images/988971255679324162/jrqiIYf__normal.jpg","View")</f>
        <v>View</v>
      </c>
      <c r="P709" s="7"/>
    </row>
    <row r="710" spans="1:16">
      <c r="A710" s="3">
        <v>43961.159444444449</v>
      </c>
      <c r="B710" s="4" t="str">
        <f>HYPERLINK("https://twitter.com/sergio_fajardo","@sergio_fajardo")</f>
        <v>@sergio_fajardo</v>
      </c>
      <c r="C710" s="5" t="s">
        <v>16</v>
      </c>
      <c r="D710" s="5" t="s">
        <v>732</v>
      </c>
      <c r="E710" s="6" t="str">
        <f>HYPERLINK("https://twitter.com/sergio_fajardo/status/1259246671940198405","1259246671940198405")</f>
        <v>1259246671940198405</v>
      </c>
      <c r="F710" s="7" t="s">
        <v>23</v>
      </c>
      <c r="G710" s="7">
        <v>1539460</v>
      </c>
      <c r="H710" s="7">
        <v>366</v>
      </c>
      <c r="I710" s="7">
        <v>1</v>
      </c>
      <c r="J710" s="7">
        <v>8</v>
      </c>
      <c r="K710" s="7" t="s">
        <v>18</v>
      </c>
      <c r="L710" s="8">
        <v>39891.213356481479</v>
      </c>
      <c r="M710" s="9" t="s">
        <v>19</v>
      </c>
      <c r="N710" s="9" t="s">
        <v>22</v>
      </c>
      <c r="O710" s="6" t="str">
        <f>HYPERLINK("https://pbs.twimg.com/profile_images/988971255679324162/jrqiIYf__normal.jpg","View")</f>
        <v>View</v>
      </c>
      <c r="P710" s="7"/>
    </row>
    <row r="711" spans="1:16">
      <c r="A711" s="3">
        <v>43961.159861111111</v>
      </c>
      <c r="B711" s="4" t="str">
        <f>HYPERLINK("https://twitter.com/sergio_fajardo","@sergio_fajardo")</f>
        <v>@sergio_fajardo</v>
      </c>
      <c r="C711" s="5" t="s">
        <v>16</v>
      </c>
      <c r="D711" s="5" t="s">
        <v>733</v>
      </c>
      <c r="E711" s="6" t="str">
        <f>HYPERLINK("https://twitter.com/sergio_fajardo/status/1259246820175286274","1259246820175286274")</f>
        <v>1259246820175286274</v>
      </c>
      <c r="F711" s="7" t="s">
        <v>23</v>
      </c>
      <c r="G711" s="7">
        <v>1539460</v>
      </c>
      <c r="H711" s="7">
        <v>366</v>
      </c>
      <c r="I711" s="7">
        <v>14</v>
      </c>
      <c r="J711" s="7">
        <v>0</v>
      </c>
      <c r="K711" s="7" t="s">
        <v>18</v>
      </c>
      <c r="L711" s="8">
        <v>39891.213356481479</v>
      </c>
      <c r="M711" s="9" t="s">
        <v>19</v>
      </c>
      <c r="N711" s="9" t="s">
        <v>22</v>
      </c>
      <c r="O711" s="6" t="str">
        <f>HYPERLINK("https://pbs.twimg.com/profile_images/988971255679324162/jrqiIYf__normal.jpg","View")</f>
        <v>View</v>
      </c>
      <c r="P711" s="7"/>
    </row>
    <row r="712" spans="1:16">
      <c r="A712" s="3">
        <v>43961.159953703704</v>
      </c>
      <c r="B712" s="4" t="str">
        <f>HYPERLINK("https://twitter.com/sergio_fajardo","@sergio_fajardo")</f>
        <v>@sergio_fajardo</v>
      </c>
      <c r="C712" s="5" t="s">
        <v>16</v>
      </c>
      <c r="D712" s="5" t="s">
        <v>734</v>
      </c>
      <c r="E712" s="6" t="str">
        <f>HYPERLINK("https://twitter.com/sergio_fajardo/status/1259246856485376000","1259246856485376000")</f>
        <v>1259246856485376000</v>
      </c>
      <c r="F712" s="7" t="s">
        <v>23</v>
      </c>
      <c r="G712" s="7">
        <v>1539460</v>
      </c>
      <c r="H712" s="7">
        <v>366</v>
      </c>
      <c r="I712" s="7">
        <v>15</v>
      </c>
      <c r="J712" s="7">
        <v>0</v>
      </c>
      <c r="K712" s="7" t="s">
        <v>18</v>
      </c>
      <c r="L712" s="8">
        <v>39891.213356481479</v>
      </c>
      <c r="M712" s="9" t="s">
        <v>19</v>
      </c>
      <c r="N712" s="9" t="s">
        <v>22</v>
      </c>
      <c r="O712" s="6" t="str">
        <f>HYPERLINK("https://pbs.twimg.com/profile_images/988971255679324162/jrqiIYf__normal.jpg","View")</f>
        <v>View</v>
      </c>
      <c r="P712" s="7"/>
    </row>
    <row r="713" spans="1:16">
      <c r="A713" s="3">
        <v>43962.015648148154</v>
      </c>
      <c r="B713" s="4" t="str">
        <f>HYPERLINK("https://twitter.com/sergio_fajardo","@sergio_fajardo")</f>
        <v>@sergio_fajardo</v>
      </c>
      <c r="C713" s="5" t="s">
        <v>16</v>
      </c>
      <c r="D713" s="5" t="s">
        <v>735</v>
      </c>
      <c r="E713" s="6" t="str">
        <f>HYPERLINK("https://twitter.com/sergio_fajardo/status/1259556949999435777","1259556949999435777")</f>
        <v>1259556949999435777</v>
      </c>
      <c r="F713" s="7" t="s">
        <v>17</v>
      </c>
      <c r="G713" s="7">
        <v>1539549</v>
      </c>
      <c r="H713" s="7">
        <v>366</v>
      </c>
      <c r="I713" s="7">
        <v>3</v>
      </c>
      <c r="J713" s="7">
        <v>5</v>
      </c>
      <c r="K713" s="7" t="s">
        <v>18</v>
      </c>
      <c r="L713" s="8">
        <v>39891.213356481479</v>
      </c>
      <c r="M713" s="9" t="s">
        <v>19</v>
      </c>
      <c r="N713" s="9" t="s">
        <v>22</v>
      </c>
      <c r="O713" s="6" t="str">
        <f>HYPERLINK("https://pbs.twimg.com/profile_images/988971255679324162/jrqiIYf__normal.jpg","View")</f>
        <v>View</v>
      </c>
      <c r="P713" s="7"/>
    </row>
    <row r="714" spans="1:16">
      <c r="A714" s="3">
        <v>43962.108194444445</v>
      </c>
      <c r="B714" s="4" t="str">
        <f>HYPERLINK("https://twitter.com/sergio_fajardo","@sergio_fajardo")</f>
        <v>@sergio_fajardo</v>
      </c>
      <c r="C714" s="5" t="s">
        <v>16</v>
      </c>
      <c r="D714" s="5" t="s">
        <v>736</v>
      </c>
      <c r="E714" s="6" t="str">
        <f>HYPERLINK("https://twitter.com/sergio_fajardo/status/1259590486865719298","1259590486865719298")</f>
        <v>1259590486865719298</v>
      </c>
      <c r="F714" s="7" t="s">
        <v>17</v>
      </c>
      <c r="G714" s="7">
        <v>1539560</v>
      </c>
      <c r="H714" s="7">
        <v>366</v>
      </c>
      <c r="I714" s="7">
        <v>5</v>
      </c>
      <c r="J714" s="7">
        <v>0</v>
      </c>
      <c r="K714" s="7" t="s">
        <v>18</v>
      </c>
      <c r="L714" s="8">
        <v>39891.213356481479</v>
      </c>
      <c r="M714" s="9" t="s">
        <v>19</v>
      </c>
      <c r="N714" s="9" t="s">
        <v>22</v>
      </c>
      <c r="O714" s="6" t="str">
        <f>HYPERLINK("https://pbs.twimg.com/profile_images/988971255679324162/jrqiIYf__normal.jpg","View")</f>
        <v>View</v>
      </c>
      <c r="P714" s="7"/>
    </row>
    <row r="715" spans="1:16">
      <c r="A715" s="3">
        <v>43962.108287037037</v>
      </c>
      <c r="B715" s="4" t="str">
        <f>HYPERLINK("https://twitter.com/sergio_fajardo","@sergio_fajardo")</f>
        <v>@sergio_fajardo</v>
      </c>
      <c r="C715" s="5" t="s">
        <v>16</v>
      </c>
      <c r="D715" s="5" t="s">
        <v>737</v>
      </c>
      <c r="E715" s="6" t="str">
        <f>HYPERLINK("https://twitter.com/sergio_fajardo/status/1259590519996526592","1259590519996526592")</f>
        <v>1259590519996526592</v>
      </c>
      <c r="F715" s="7" t="s">
        <v>17</v>
      </c>
      <c r="G715" s="7">
        <v>1539560</v>
      </c>
      <c r="H715" s="7">
        <v>366</v>
      </c>
      <c r="I715" s="7">
        <v>10</v>
      </c>
      <c r="J715" s="7">
        <v>0</v>
      </c>
      <c r="K715" s="7" t="s">
        <v>18</v>
      </c>
      <c r="L715" s="8">
        <v>39891.213356481479</v>
      </c>
      <c r="M715" s="9" t="s">
        <v>19</v>
      </c>
      <c r="N715" s="9" t="s">
        <v>22</v>
      </c>
      <c r="O715" s="6" t="str">
        <f>HYPERLINK("https://pbs.twimg.com/profile_images/988971255679324162/jrqiIYf__normal.jpg","View")</f>
        <v>View</v>
      </c>
      <c r="P715" s="7"/>
    </row>
    <row r="716" spans="1:16">
      <c r="A716" s="3">
        <v>43962.136296296296</v>
      </c>
      <c r="B716" s="4" t="str">
        <f>HYPERLINK("https://twitter.com/sergio_fajardo","@sergio_fajardo")</f>
        <v>@sergio_fajardo</v>
      </c>
      <c r="C716" s="5" t="s">
        <v>16</v>
      </c>
      <c r="D716" s="5" t="s">
        <v>738</v>
      </c>
      <c r="E716" s="6" t="str">
        <f>HYPERLINK("https://twitter.com/sergio_fajardo/status/1259600668601593856","1259600668601593856")</f>
        <v>1259600668601593856</v>
      </c>
      <c r="F716" s="7" t="s">
        <v>17</v>
      </c>
      <c r="G716" s="7">
        <v>1539565</v>
      </c>
      <c r="H716" s="7">
        <v>366</v>
      </c>
      <c r="I716" s="7">
        <v>201</v>
      </c>
      <c r="J716" s="7">
        <v>0</v>
      </c>
      <c r="K716" s="7" t="s">
        <v>18</v>
      </c>
      <c r="L716" s="8">
        <v>39891.213356481479</v>
      </c>
      <c r="M716" s="9" t="s">
        <v>19</v>
      </c>
      <c r="N716" s="9" t="s">
        <v>22</v>
      </c>
      <c r="O716" s="6" t="str">
        <f>HYPERLINK("https://pbs.twimg.com/profile_images/988971255679324162/jrqiIYf__normal.jpg","View")</f>
        <v>View</v>
      </c>
      <c r="P716" s="7"/>
    </row>
    <row r="717" spans="1:16">
      <c r="A717" s="3">
        <v>43962.136840277773</v>
      </c>
      <c r="B717" s="4" t="str">
        <f>HYPERLINK("https://twitter.com/sergio_fajardo","@sergio_fajardo")</f>
        <v>@sergio_fajardo</v>
      </c>
      <c r="C717" s="5" t="s">
        <v>16</v>
      </c>
      <c r="D717" s="5" t="s">
        <v>739</v>
      </c>
      <c r="E717" s="6" t="str">
        <f>HYPERLINK("https://twitter.com/sergio_fajardo/status/1259600867201822726","1259600867201822726")</f>
        <v>1259600867201822726</v>
      </c>
      <c r="F717" s="7" t="s">
        <v>17</v>
      </c>
      <c r="G717" s="7">
        <v>1539565</v>
      </c>
      <c r="H717" s="7">
        <v>366</v>
      </c>
      <c r="I717" s="7">
        <v>6</v>
      </c>
      <c r="J717" s="7">
        <v>0</v>
      </c>
      <c r="K717" s="7" t="s">
        <v>18</v>
      </c>
      <c r="L717" s="8">
        <v>39891.213356481479</v>
      </c>
      <c r="M717" s="9" t="s">
        <v>19</v>
      </c>
      <c r="N717" s="9" t="s">
        <v>22</v>
      </c>
      <c r="O717" s="6" t="str">
        <f>HYPERLINK("https://pbs.twimg.com/profile_images/988971255679324162/jrqiIYf__normal.jpg","View")</f>
        <v>View</v>
      </c>
      <c r="P717" s="7"/>
    </row>
    <row r="718" spans="1:16">
      <c r="A718" s="3">
        <v>43962.137037037042</v>
      </c>
      <c r="B718" s="4" t="str">
        <f>HYPERLINK("https://twitter.com/sergio_fajardo","@sergio_fajardo")</f>
        <v>@sergio_fajardo</v>
      </c>
      <c r="C718" s="5" t="s">
        <v>16</v>
      </c>
      <c r="D718" s="5" t="s">
        <v>740</v>
      </c>
      <c r="E718" s="6" t="str">
        <f>HYPERLINK("https://twitter.com/sergio_fajardo/status/1259600939650088960","1259600939650088960")</f>
        <v>1259600939650088960</v>
      </c>
      <c r="F718" s="7" t="s">
        <v>17</v>
      </c>
      <c r="G718" s="7">
        <v>1539565</v>
      </c>
      <c r="H718" s="7">
        <v>366</v>
      </c>
      <c r="I718" s="7">
        <v>1702</v>
      </c>
      <c r="J718" s="7">
        <v>0</v>
      </c>
      <c r="K718" s="7" t="s">
        <v>18</v>
      </c>
      <c r="L718" s="8">
        <v>39891.213356481479</v>
      </c>
      <c r="M718" s="9" t="s">
        <v>19</v>
      </c>
      <c r="N718" s="9" t="s">
        <v>22</v>
      </c>
      <c r="O718" s="6" t="str">
        <f>HYPERLINK("https://pbs.twimg.com/profile_images/988971255679324162/jrqiIYf__normal.jpg","View")</f>
        <v>View</v>
      </c>
      <c r="P718" s="7"/>
    </row>
    <row r="719" spans="1:16">
      <c r="A719" s="3">
        <v>43962.157094907408</v>
      </c>
      <c r="B719" s="4" t="str">
        <f>HYPERLINK("https://twitter.com/sergio_fajardo","@sergio_fajardo")</f>
        <v>@sergio_fajardo</v>
      </c>
      <c r="C719" s="5" t="s">
        <v>16</v>
      </c>
      <c r="D719" s="5" t="s">
        <v>741</v>
      </c>
      <c r="E719" s="6" t="str">
        <f>HYPERLINK("https://twitter.com/sergio_fajardo/status/1259608207066116096","1259608207066116096")</f>
        <v>1259608207066116096</v>
      </c>
      <c r="F719" s="7" t="s">
        <v>17</v>
      </c>
      <c r="G719" s="7">
        <v>1539563</v>
      </c>
      <c r="H719" s="7">
        <v>366</v>
      </c>
      <c r="I719" s="7">
        <v>2203</v>
      </c>
      <c r="J719" s="7">
        <v>0</v>
      </c>
      <c r="K719" s="7" t="s">
        <v>18</v>
      </c>
      <c r="L719" s="8">
        <v>39891.213356481479</v>
      </c>
      <c r="M719" s="9" t="s">
        <v>19</v>
      </c>
      <c r="N719" s="9" t="s">
        <v>22</v>
      </c>
      <c r="O719" s="6" t="str">
        <f>HYPERLINK("https://pbs.twimg.com/profile_images/988971255679324162/jrqiIYf__normal.jpg","View")</f>
        <v>View</v>
      </c>
      <c r="P719" s="7"/>
    </row>
    <row r="720" spans="1:16">
      <c r="A720" s="3">
        <v>43962.270196759258</v>
      </c>
      <c r="B720" s="4" t="str">
        <f>HYPERLINK("https://twitter.com/sergio_fajardo","@sergio_fajardo")</f>
        <v>@sergio_fajardo</v>
      </c>
      <c r="C720" s="5" t="s">
        <v>16</v>
      </c>
      <c r="D720" s="5" t="s">
        <v>742</v>
      </c>
      <c r="E720" s="6" t="str">
        <f>HYPERLINK("https://twitter.com/sergio_fajardo/status/1259649194383548428","1259649194383548428")</f>
        <v>1259649194383548428</v>
      </c>
      <c r="F720" s="7" t="s">
        <v>17</v>
      </c>
      <c r="G720" s="7">
        <v>1539569</v>
      </c>
      <c r="H720" s="7">
        <v>366</v>
      </c>
      <c r="I720" s="7">
        <v>65</v>
      </c>
      <c r="J720" s="7">
        <v>0</v>
      </c>
      <c r="K720" s="7" t="s">
        <v>18</v>
      </c>
      <c r="L720" s="8">
        <v>39891.213356481479</v>
      </c>
      <c r="M720" s="9" t="s">
        <v>19</v>
      </c>
      <c r="N720" s="9" t="s">
        <v>22</v>
      </c>
      <c r="O720" s="6" t="str">
        <f>HYPERLINK("https://pbs.twimg.com/profile_images/988971255679324162/jrqiIYf__normal.jpg","View")</f>
        <v>View</v>
      </c>
      <c r="P720" s="7"/>
    </row>
    <row r="721" spans="1:16">
      <c r="A721" s="3">
        <v>43963.28087962963</v>
      </c>
      <c r="B721" s="4" t="str">
        <f>HYPERLINK("https://twitter.com/sergio_fajardo","@sergio_fajardo")</f>
        <v>@sergio_fajardo</v>
      </c>
      <c r="C721" s="5" t="s">
        <v>16</v>
      </c>
      <c r="D721" s="5" t="s">
        <v>743</v>
      </c>
      <c r="E721" s="6" t="str">
        <f>HYPERLINK("https://twitter.com/sergio_fajardo/status/1260015450961797121","1260015450961797121")</f>
        <v>1260015450961797121</v>
      </c>
      <c r="F721" s="7" t="s">
        <v>17</v>
      </c>
      <c r="G721" s="7">
        <v>1539803</v>
      </c>
      <c r="H721" s="7">
        <v>366</v>
      </c>
      <c r="I721" s="7">
        <v>113</v>
      </c>
      <c r="J721" s="7">
        <v>0</v>
      </c>
      <c r="K721" s="7" t="s">
        <v>18</v>
      </c>
      <c r="L721" s="8">
        <v>39891.213356481479</v>
      </c>
      <c r="M721" s="9" t="s">
        <v>19</v>
      </c>
      <c r="N721" s="9" t="s">
        <v>22</v>
      </c>
      <c r="O721" s="6" t="str">
        <f>HYPERLINK("https://pbs.twimg.com/profile_images/988971255679324162/jrqiIYf__normal.jpg","View")</f>
        <v>View</v>
      </c>
      <c r="P721" s="7"/>
    </row>
    <row r="722" spans="1:16">
      <c r="A722" s="3">
        <v>43963.753564814819</v>
      </c>
      <c r="B722" s="4" t="str">
        <f>HYPERLINK("https://twitter.com/sergio_fajardo","@sergio_fajardo")</f>
        <v>@sergio_fajardo</v>
      </c>
      <c r="C722" s="5" t="s">
        <v>16</v>
      </c>
      <c r="D722" s="5" t="s">
        <v>744</v>
      </c>
      <c r="E722" s="6" t="str">
        <f>HYPERLINK("https://twitter.com/sergio_fajardo/status/1260186747385925632","1260186747385925632")</f>
        <v>1260186747385925632</v>
      </c>
      <c r="F722" s="7" t="s">
        <v>17</v>
      </c>
      <c r="G722" s="7">
        <v>1539833</v>
      </c>
      <c r="H722" s="7">
        <v>366</v>
      </c>
      <c r="I722" s="7">
        <v>150</v>
      </c>
      <c r="J722" s="7">
        <v>0</v>
      </c>
      <c r="K722" s="7" t="s">
        <v>18</v>
      </c>
      <c r="L722" s="8">
        <v>39891.213356481479</v>
      </c>
      <c r="M722" s="9" t="s">
        <v>19</v>
      </c>
      <c r="N722" s="9" t="s">
        <v>22</v>
      </c>
      <c r="O722" s="6" t="str">
        <f>HYPERLINK("https://pbs.twimg.com/profile_images/988971255679324162/jrqiIYf__normal.jpg","View")</f>
        <v>View</v>
      </c>
      <c r="P722" s="7"/>
    </row>
    <row r="723" spans="1:16">
      <c r="A723" s="3">
        <v>43963.899537037039</v>
      </c>
      <c r="B723" s="4" t="str">
        <f>HYPERLINK("https://twitter.com/sergio_fajardo","@sergio_fajardo")</f>
        <v>@sergio_fajardo</v>
      </c>
      <c r="C723" s="5" t="s">
        <v>16</v>
      </c>
      <c r="D723" s="5" t="s">
        <v>745</v>
      </c>
      <c r="E723" s="6" t="str">
        <f>HYPERLINK("https://twitter.com/sergio_fajardo/status/1260239645369151489","1260239645369151489")</f>
        <v>1260239645369151489</v>
      </c>
      <c r="F723" s="7" t="s">
        <v>17</v>
      </c>
      <c r="G723" s="7">
        <v>1539878</v>
      </c>
      <c r="H723" s="7">
        <v>366</v>
      </c>
      <c r="I723" s="7">
        <v>17</v>
      </c>
      <c r="J723" s="7">
        <v>89</v>
      </c>
      <c r="K723" s="7" t="s">
        <v>18</v>
      </c>
      <c r="L723" s="8">
        <v>39891.213356481479</v>
      </c>
      <c r="M723" s="9" t="s">
        <v>19</v>
      </c>
      <c r="N723" s="9" t="s">
        <v>22</v>
      </c>
      <c r="O723" s="6" t="str">
        <f>HYPERLINK("https://pbs.twimg.com/profile_images/988971255679324162/jrqiIYf__normal.jpg","View")</f>
        <v>View</v>
      </c>
      <c r="P723" s="7"/>
    </row>
    <row r="724" spans="1:16">
      <c r="A724" s="3">
        <v>43964.06895833333</v>
      </c>
      <c r="B724" s="4" t="str">
        <f>HYPERLINK("https://twitter.com/sergio_fajardo","@sergio_fajardo")</f>
        <v>@sergio_fajardo</v>
      </c>
      <c r="C724" s="5" t="s">
        <v>16</v>
      </c>
      <c r="D724" s="5" t="s">
        <v>746</v>
      </c>
      <c r="E724" s="6" t="str">
        <f>HYPERLINK("https://twitter.com/sergio_fajardo/status/1260301041867862020","1260301041867862020")</f>
        <v>1260301041867862020</v>
      </c>
      <c r="F724" s="7" t="s">
        <v>17</v>
      </c>
      <c r="G724" s="7">
        <v>1539932</v>
      </c>
      <c r="H724" s="7">
        <v>366</v>
      </c>
      <c r="I724" s="7">
        <v>8</v>
      </c>
      <c r="J724" s="7">
        <v>27</v>
      </c>
      <c r="K724" s="7" t="s">
        <v>18</v>
      </c>
      <c r="L724" s="8">
        <v>39891.213356481479</v>
      </c>
      <c r="M724" s="9" t="s">
        <v>19</v>
      </c>
      <c r="N724" s="9" t="s">
        <v>22</v>
      </c>
      <c r="O724" s="6" t="str">
        <f>HYPERLINK("https://pbs.twimg.com/profile_images/988971255679324162/jrqiIYf__normal.jpg","View")</f>
        <v>View</v>
      </c>
      <c r="P724" s="7"/>
    </row>
    <row r="725" spans="1:16">
      <c r="A725" s="3">
        <v>43964.080451388887</v>
      </c>
      <c r="B725" s="4" t="str">
        <f>HYPERLINK("https://twitter.com/sergio_fajardo","@sergio_fajardo")</f>
        <v>@sergio_fajardo</v>
      </c>
      <c r="C725" s="5" t="s">
        <v>16</v>
      </c>
      <c r="D725" s="5" t="s">
        <v>747</v>
      </c>
      <c r="E725" s="6" t="str">
        <f>HYPERLINK("https://twitter.com/sergio_fajardo/status/1260305208988651526","1260305208988651526")</f>
        <v>1260305208988651526</v>
      </c>
      <c r="F725" s="7" t="s">
        <v>17</v>
      </c>
      <c r="G725" s="7">
        <v>1539932</v>
      </c>
      <c r="H725" s="7">
        <v>366</v>
      </c>
      <c r="I725" s="7">
        <v>602</v>
      </c>
      <c r="J725" s="7">
        <v>0</v>
      </c>
      <c r="K725" s="7" t="s">
        <v>18</v>
      </c>
      <c r="L725" s="8">
        <v>39891.213356481479</v>
      </c>
      <c r="M725" s="9" t="s">
        <v>19</v>
      </c>
      <c r="N725" s="9" t="s">
        <v>22</v>
      </c>
      <c r="O725" s="6" t="str">
        <f>HYPERLINK("https://pbs.twimg.com/profile_images/988971255679324162/jrqiIYf__normal.jpg","View")</f>
        <v>View</v>
      </c>
      <c r="P725" s="7"/>
    </row>
    <row r="726" spans="1:16">
      <c r="A726" s="3">
        <v>43964.233240740738</v>
      </c>
      <c r="B726" s="4" t="str">
        <f>HYPERLINK("https://twitter.com/sergio_fajardo","@sergio_fajardo")</f>
        <v>@sergio_fajardo</v>
      </c>
      <c r="C726" s="5" t="s">
        <v>16</v>
      </c>
      <c r="D726" s="5" t="s">
        <v>748</v>
      </c>
      <c r="E726" s="6" t="str">
        <f>HYPERLINK("https://twitter.com/sergio_fajardo/status/1260360575638548480","1260360575638548480")</f>
        <v>1260360575638548480</v>
      </c>
      <c r="F726" s="7" t="s">
        <v>17</v>
      </c>
      <c r="G726" s="7">
        <v>1539956</v>
      </c>
      <c r="H726" s="7">
        <v>366</v>
      </c>
      <c r="I726" s="7">
        <v>27</v>
      </c>
      <c r="J726" s="7">
        <v>0</v>
      </c>
      <c r="K726" s="7" t="s">
        <v>18</v>
      </c>
      <c r="L726" s="8">
        <v>39891.213356481479</v>
      </c>
      <c r="M726" s="9" t="s">
        <v>19</v>
      </c>
      <c r="N726" s="9" t="s">
        <v>22</v>
      </c>
      <c r="O726" s="6" t="str">
        <f>HYPERLINK("https://pbs.twimg.com/profile_images/988971255679324162/jrqiIYf__normal.jpg","View")</f>
        <v>View</v>
      </c>
      <c r="P726" s="7"/>
    </row>
    <row r="727" spans="1:16">
      <c r="A727" s="3">
        <v>43964.233935185184</v>
      </c>
      <c r="B727" s="4" t="str">
        <f>HYPERLINK("https://twitter.com/sergio_fajardo","@sergio_fajardo")</f>
        <v>@sergio_fajardo</v>
      </c>
      <c r="C727" s="5" t="s">
        <v>16</v>
      </c>
      <c r="D727" s="5" t="s">
        <v>749</v>
      </c>
      <c r="E727" s="6" t="str">
        <f>HYPERLINK("https://twitter.com/sergio_fajardo/status/1260360826785075201","1260360826785075201")</f>
        <v>1260360826785075201</v>
      </c>
      <c r="F727" s="7" t="s">
        <v>17</v>
      </c>
      <c r="G727" s="7">
        <v>1539956</v>
      </c>
      <c r="H727" s="7">
        <v>366</v>
      </c>
      <c r="I727" s="7">
        <v>157</v>
      </c>
      <c r="J727" s="7">
        <v>0</v>
      </c>
      <c r="K727" s="7" t="s">
        <v>18</v>
      </c>
      <c r="L727" s="8">
        <v>39891.213356481479</v>
      </c>
      <c r="M727" s="9" t="s">
        <v>19</v>
      </c>
      <c r="N727" s="9" t="s">
        <v>22</v>
      </c>
      <c r="O727" s="6" t="str">
        <f>HYPERLINK("https://pbs.twimg.com/profile_images/988971255679324162/jrqiIYf__normal.jpg","View")</f>
        <v>View</v>
      </c>
      <c r="P727" s="7"/>
    </row>
    <row r="728" spans="1:16">
      <c r="A728" s="3">
        <v>43964.352418981478</v>
      </c>
      <c r="B728" s="4" t="str">
        <f>HYPERLINK("https://twitter.com/sergio_fajardo","@sergio_fajardo")</f>
        <v>@sergio_fajardo</v>
      </c>
      <c r="C728" s="5" t="s">
        <v>16</v>
      </c>
      <c r="D728" s="5" t="s">
        <v>750</v>
      </c>
      <c r="E728" s="6" t="str">
        <f>HYPERLINK("https://twitter.com/sergio_fajardo/status/1260403763812225024","1260403763812225024")</f>
        <v>1260403763812225024</v>
      </c>
      <c r="F728" s="7" t="s">
        <v>17</v>
      </c>
      <c r="G728" s="7">
        <v>1539917</v>
      </c>
      <c r="H728" s="7">
        <v>366</v>
      </c>
      <c r="I728" s="7">
        <v>1</v>
      </c>
      <c r="J728" s="7">
        <v>18</v>
      </c>
      <c r="K728" s="7" t="s">
        <v>18</v>
      </c>
      <c r="L728" s="8">
        <v>39891.213356481479</v>
      </c>
      <c r="M728" s="9" t="s">
        <v>19</v>
      </c>
      <c r="N728" s="9" t="s">
        <v>22</v>
      </c>
      <c r="O728" s="6" t="str">
        <f>HYPERLINK("https://pbs.twimg.com/profile_images/988971255679324162/jrqiIYf__normal.jpg","View")</f>
        <v>View</v>
      </c>
      <c r="P728" s="7"/>
    </row>
    <row r="729" spans="1:16">
      <c r="A729" s="3">
        <v>43964.960196759261</v>
      </c>
      <c r="B729" s="4" t="str">
        <f>HYPERLINK("https://twitter.com/sergio_fajardo","@sergio_fajardo")</f>
        <v>@sergio_fajardo</v>
      </c>
      <c r="C729" s="5" t="s">
        <v>16</v>
      </c>
      <c r="D729" s="5" t="s">
        <v>751</v>
      </c>
      <c r="E729" s="6" t="str">
        <f>HYPERLINK("https://twitter.com/sergio_fajardo/status/1260624014818639874","1260624014818639874")</f>
        <v>1260624014818639874</v>
      </c>
      <c r="F729" s="7" t="s">
        <v>17</v>
      </c>
      <c r="G729" s="7">
        <v>1540003</v>
      </c>
      <c r="H729" s="7">
        <v>366</v>
      </c>
      <c r="I729" s="7">
        <v>79</v>
      </c>
      <c r="J729" s="7">
        <v>0</v>
      </c>
      <c r="K729" s="7" t="s">
        <v>18</v>
      </c>
      <c r="L729" s="8">
        <v>39891.213356481479</v>
      </c>
      <c r="M729" s="9" t="s">
        <v>19</v>
      </c>
      <c r="N729" s="9" t="s">
        <v>22</v>
      </c>
      <c r="O729" s="6" t="str">
        <f>HYPERLINK("https://pbs.twimg.com/profile_images/988971255679324162/jrqiIYf__normal.jpg","View")</f>
        <v>View</v>
      </c>
      <c r="P729" s="7"/>
    </row>
    <row r="730" spans="1:16">
      <c r="A730" s="3">
        <v>43965.041249999995</v>
      </c>
      <c r="B730" s="4" t="str">
        <f>HYPERLINK("https://twitter.com/sergio_fajardo","@sergio_fajardo")</f>
        <v>@sergio_fajardo</v>
      </c>
      <c r="C730" s="5" t="s">
        <v>16</v>
      </c>
      <c r="D730" s="5" t="s">
        <v>752</v>
      </c>
      <c r="E730" s="6" t="str">
        <f>HYPERLINK("https://twitter.com/sergio_fajardo/status/1260653390532509696","1260653390532509696")</f>
        <v>1260653390532509696</v>
      </c>
      <c r="F730" s="7" t="s">
        <v>17</v>
      </c>
      <c r="G730" s="7">
        <v>1540014</v>
      </c>
      <c r="H730" s="7">
        <v>366</v>
      </c>
      <c r="I730" s="7">
        <v>1</v>
      </c>
      <c r="J730" s="7">
        <v>0</v>
      </c>
      <c r="K730" s="7" t="s">
        <v>18</v>
      </c>
      <c r="L730" s="8">
        <v>39891.213356481479</v>
      </c>
      <c r="M730" s="9" t="s">
        <v>19</v>
      </c>
      <c r="N730" s="9" t="s">
        <v>22</v>
      </c>
      <c r="O730" s="6" t="str">
        <f>HYPERLINK("https://pbs.twimg.com/profile_images/988971255679324162/jrqiIYf__normal.jpg","View")</f>
        <v>View</v>
      </c>
      <c r="P730" s="7"/>
    </row>
    <row r="731" spans="1:16">
      <c r="A731" s="3">
        <v>43965.086388888885</v>
      </c>
      <c r="B731" s="4" t="str">
        <f>HYPERLINK("https://twitter.com/sergio_fajardo","@sergio_fajardo")</f>
        <v>@sergio_fajardo</v>
      </c>
      <c r="C731" s="5" t="s">
        <v>16</v>
      </c>
      <c r="D731" s="5" t="s">
        <v>753</v>
      </c>
      <c r="E731" s="6" t="str">
        <f>HYPERLINK("https://twitter.com/sergio_fajardo/status/1260669747559006209","1260669747559006209")</f>
        <v>1260669747559006209</v>
      </c>
      <c r="F731" s="7" t="s">
        <v>17</v>
      </c>
      <c r="G731" s="7">
        <v>1540029</v>
      </c>
      <c r="H731" s="7">
        <v>366</v>
      </c>
      <c r="I731" s="7">
        <v>6</v>
      </c>
      <c r="J731" s="7">
        <v>25</v>
      </c>
      <c r="K731" s="7" t="s">
        <v>18</v>
      </c>
      <c r="L731" s="8">
        <v>39891.213356481479</v>
      </c>
      <c r="M731" s="9" t="s">
        <v>19</v>
      </c>
      <c r="N731" s="9" t="s">
        <v>22</v>
      </c>
      <c r="O731" s="6" t="str">
        <f>HYPERLINK("https://pbs.twimg.com/profile_images/988971255679324162/jrqiIYf__normal.jpg","View")</f>
        <v>View</v>
      </c>
      <c r="P731" s="7"/>
    </row>
    <row r="732" spans="1:16">
      <c r="A732" s="3">
        <v>43965.092893518522</v>
      </c>
      <c r="B732" s="4" t="str">
        <f>HYPERLINK("https://twitter.com/sergio_fajardo","@sergio_fajardo")</f>
        <v>@sergio_fajardo</v>
      </c>
      <c r="C732" s="5" t="s">
        <v>16</v>
      </c>
      <c r="D732" s="5" t="s">
        <v>754</v>
      </c>
      <c r="E732" s="6" t="str">
        <f>HYPERLINK("https://twitter.com/sergio_fajardo/status/1260672105596751887","1260672105596751887")</f>
        <v>1260672105596751887</v>
      </c>
      <c r="F732" s="7" t="s">
        <v>17</v>
      </c>
      <c r="G732" s="7">
        <v>1540029</v>
      </c>
      <c r="H732" s="7">
        <v>366</v>
      </c>
      <c r="I732" s="7">
        <v>5</v>
      </c>
      <c r="J732" s="7">
        <v>0</v>
      </c>
      <c r="K732" s="7" t="s">
        <v>18</v>
      </c>
      <c r="L732" s="8">
        <v>39891.213356481479</v>
      </c>
      <c r="M732" s="9" t="s">
        <v>19</v>
      </c>
      <c r="N732" s="9" t="s">
        <v>22</v>
      </c>
      <c r="O732" s="6" t="str">
        <f>HYPERLINK("https://pbs.twimg.com/profile_images/988971255679324162/jrqiIYf__normal.jpg","View")</f>
        <v>View</v>
      </c>
      <c r="P732" s="7"/>
    </row>
    <row r="733" spans="1:16">
      <c r="A733" s="3">
        <v>43965.855798611112</v>
      </c>
      <c r="B733" s="4" t="str">
        <f>HYPERLINK("https://twitter.com/sergio_fajardo","@sergio_fajardo")</f>
        <v>@sergio_fajardo</v>
      </c>
      <c r="C733" s="5" t="s">
        <v>16</v>
      </c>
      <c r="D733" s="5" t="s">
        <v>755</v>
      </c>
      <c r="E733" s="6" t="str">
        <f>HYPERLINK("https://twitter.com/sergio_fajardo/status/1260948572914307074","1260948572914307074")</f>
        <v>1260948572914307074</v>
      </c>
      <c r="F733" s="7" t="s">
        <v>17</v>
      </c>
      <c r="G733" s="7">
        <v>1540125</v>
      </c>
      <c r="H733" s="7">
        <v>366</v>
      </c>
      <c r="I733" s="7">
        <v>340</v>
      </c>
      <c r="J733" s="7">
        <v>0</v>
      </c>
      <c r="K733" s="7" t="s">
        <v>18</v>
      </c>
      <c r="L733" s="8">
        <v>39891.213356481479</v>
      </c>
      <c r="M733" s="9" t="s">
        <v>19</v>
      </c>
      <c r="N733" s="9" t="s">
        <v>22</v>
      </c>
      <c r="O733" s="6" t="str">
        <f>HYPERLINK("https://pbs.twimg.com/profile_images/988971255679324162/jrqiIYf__normal.jpg","View")</f>
        <v>View</v>
      </c>
      <c r="P733" s="7"/>
    </row>
    <row r="734" spans="1:16">
      <c r="A734" s="3">
        <v>43966.179560185185</v>
      </c>
      <c r="B734" s="4" t="str">
        <f>HYPERLINK("https://twitter.com/sergio_fajardo","@sergio_fajardo")</f>
        <v>@sergio_fajardo</v>
      </c>
      <c r="C734" s="5" t="s">
        <v>16</v>
      </c>
      <c r="D734" s="5" t="s">
        <v>756</v>
      </c>
      <c r="E734" s="6" t="str">
        <f>HYPERLINK("https://twitter.com/sergio_fajardo/status/1261065899492225029","1261065899492225029")</f>
        <v>1261065899492225029</v>
      </c>
      <c r="F734" s="7" t="s">
        <v>17</v>
      </c>
      <c r="G734" s="7">
        <v>1540162</v>
      </c>
      <c r="H734" s="7">
        <v>366</v>
      </c>
      <c r="I734" s="7">
        <v>9</v>
      </c>
      <c r="J734" s="7">
        <v>29</v>
      </c>
      <c r="K734" s="7" t="s">
        <v>18</v>
      </c>
      <c r="L734" s="8">
        <v>39891.213356481479</v>
      </c>
      <c r="M734" s="9" t="s">
        <v>19</v>
      </c>
      <c r="N734" s="9" t="s">
        <v>22</v>
      </c>
      <c r="O734" s="6" t="str">
        <f>HYPERLINK("https://pbs.twimg.com/profile_images/988971255679324162/jrqiIYf__normal.jpg","View")</f>
        <v>View</v>
      </c>
      <c r="P734" s="7"/>
    </row>
    <row r="735" spans="1:16">
      <c r="A735" s="3">
        <v>43966.695231481484</v>
      </c>
      <c r="B735" s="4" t="str">
        <f>HYPERLINK("https://twitter.com/sergio_fajardo","@sergio_fajardo")</f>
        <v>@sergio_fajardo</v>
      </c>
      <c r="C735" s="5" t="s">
        <v>16</v>
      </c>
      <c r="D735" s="5" t="s">
        <v>757</v>
      </c>
      <c r="E735" s="6" t="str">
        <f>HYPERLINK("https://twitter.com/sergio_fajardo/status/1261252771799543808","1261252771799543808")</f>
        <v>1261252771799543808</v>
      </c>
      <c r="F735" s="7" t="s">
        <v>17</v>
      </c>
      <c r="G735" s="7">
        <v>1540184</v>
      </c>
      <c r="H735" s="7">
        <v>366</v>
      </c>
      <c r="I735" s="7">
        <v>2</v>
      </c>
      <c r="J735" s="7">
        <v>0</v>
      </c>
      <c r="K735" s="7" t="s">
        <v>18</v>
      </c>
      <c r="L735" s="8">
        <v>39891.213356481479</v>
      </c>
      <c r="M735" s="9" t="s">
        <v>19</v>
      </c>
      <c r="N735" s="9" t="s">
        <v>22</v>
      </c>
      <c r="O735" s="6" t="str">
        <f>HYPERLINK("https://pbs.twimg.com/profile_images/988971255679324162/jrqiIYf__normal.jpg","View")</f>
        <v>View</v>
      </c>
      <c r="P735" s="7"/>
    </row>
    <row r="736" spans="1:16">
      <c r="A736" s="3">
        <v>43966.695370370369</v>
      </c>
      <c r="B736" s="4" t="str">
        <f>HYPERLINK("https://twitter.com/sergio_fajardo","@sergio_fajardo")</f>
        <v>@sergio_fajardo</v>
      </c>
      <c r="C736" s="5" t="s">
        <v>16</v>
      </c>
      <c r="D736" s="5" t="s">
        <v>758</v>
      </c>
      <c r="E736" s="6" t="str">
        <f>HYPERLINK("https://twitter.com/sergio_fajardo/status/1261252823716704256","1261252823716704256")</f>
        <v>1261252823716704256</v>
      </c>
      <c r="F736" s="7" t="s">
        <v>17</v>
      </c>
      <c r="G736" s="7">
        <v>1540184</v>
      </c>
      <c r="H736" s="7">
        <v>366</v>
      </c>
      <c r="I736" s="7">
        <v>3</v>
      </c>
      <c r="J736" s="7">
        <v>0</v>
      </c>
      <c r="K736" s="7" t="s">
        <v>18</v>
      </c>
      <c r="L736" s="8">
        <v>39891.213356481479</v>
      </c>
      <c r="M736" s="9" t="s">
        <v>19</v>
      </c>
      <c r="N736" s="9" t="s">
        <v>22</v>
      </c>
      <c r="O736" s="6" t="str">
        <f>HYPERLINK("https://pbs.twimg.com/profile_images/988971255679324162/jrqiIYf__normal.jpg","View")</f>
        <v>View</v>
      </c>
      <c r="P736" s="7"/>
    </row>
    <row r="737" spans="1:16">
      <c r="A737" s="3">
        <v>43966.710682870369</v>
      </c>
      <c r="B737" s="4" t="str">
        <f>HYPERLINK("https://twitter.com/sergio_fajardo","@sergio_fajardo")</f>
        <v>@sergio_fajardo</v>
      </c>
      <c r="C737" s="5" t="s">
        <v>16</v>
      </c>
      <c r="D737" s="5" t="s">
        <v>759</v>
      </c>
      <c r="E737" s="6" t="str">
        <f>HYPERLINK("https://twitter.com/sergio_fajardo/status/1261258372009123843","1261258372009123843")</f>
        <v>1261258372009123843</v>
      </c>
      <c r="F737" s="7" t="s">
        <v>17</v>
      </c>
      <c r="G737" s="7">
        <v>1540187</v>
      </c>
      <c r="H737" s="7">
        <v>366</v>
      </c>
      <c r="I737" s="7">
        <v>141</v>
      </c>
      <c r="J737" s="7">
        <v>0</v>
      </c>
      <c r="K737" s="7" t="s">
        <v>18</v>
      </c>
      <c r="L737" s="8">
        <v>39891.213356481479</v>
      </c>
      <c r="M737" s="9" t="s">
        <v>19</v>
      </c>
      <c r="N737" s="9" t="s">
        <v>22</v>
      </c>
      <c r="O737" s="6" t="str">
        <f>HYPERLINK("https://pbs.twimg.com/profile_images/988971255679324162/jrqiIYf__normal.jpg","View")</f>
        <v>View</v>
      </c>
      <c r="P737" s="7"/>
    </row>
    <row r="738" spans="1:16">
      <c r="A738" s="3">
        <v>43966.731030092589</v>
      </c>
      <c r="B738" s="4" t="str">
        <f>HYPERLINK("https://twitter.com/sergio_fajardo","@sergio_fajardo")</f>
        <v>@sergio_fajardo</v>
      </c>
      <c r="C738" s="5" t="s">
        <v>16</v>
      </c>
      <c r="D738" s="5" t="s">
        <v>760</v>
      </c>
      <c r="E738" s="6" t="str">
        <f>HYPERLINK("https://twitter.com/sergio_fajardo/status/1261265746501537792","1261265746501537792")</f>
        <v>1261265746501537792</v>
      </c>
      <c r="F738" s="7" t="s">
        <v>23</v>
      </c>
      <c r="G738" s="7">
        <v>1540189</v>
      </c>
      <c r="H738" s="7">
        <v>366</v>
      </c>
      <c r="I738" s="7">
        <v>26</v>
      </c>
      <c r="J738" s="7">
        <v>102</v>
      </c>
      <c r="K738" s="7" t="s">
        <v>18</v>
      </c>
      <c r="L738" s="8">
        <v>39891.213356481479</v>
      </c>
      <c r="M738" s="9" t="s">
        <v>19</v>
      </c>
      <c r="N738" s="9" t="s">
        <v>22</v>
      </c>
      <c r="O738" s="6" t="str">
        <f>HYPERLINK("https://pbs.twimg.com/profile_images/988971255679324162/jrqiIYf__normal.jpg","View")</f>
        <v>View</v>
      </c>
      <c r="P738" s="7"/>
    </row>
    <row r="739" spans="1:16">
      <c r="A739" s="3">
        <v>43966.815081018518</v>
      </c>
      <c r="B739" s="4" t="str">
        <f>HYPERLINK("https://twitter.com/sergio_fajardo","@sergio_fajardo")</f>
        <v>@sergio_fajardo</v>
      </c>
      <c r="C739" s="5" t="s">
        <v>16</v>
      </c>
      <c r="D739" s="5" t="s">
        <v>761</v>
      </c>
      <c r="E739" s="6" t="str">
        <f>HYPERLINK("https://twitter.com/sergio_fajardo/status/1261296204920557570","1261296204920557570")</f>
        <v>1261296204920557570</v>
      </c>
      <c r="F739" s="7" t="s">
        <v>17</v>
      </c>
      <c r="G739" s="7">
        <v>1540187</v>
      </c>
      <c r="H739" s="7">
        <v>366</v>
      </c>
      <c r="I739" s="7">
        <v>18</v>
      </c>
      <c r="J739" s="7">
        <v>0</v>
      </c>
      <c r="K739" s="7" t="s">
        <v>18</v>
      </c>
      <c r="L739" s="8">
        <v>39891.213356481479</v>
      </c>
      <c r="M739" s="9" t="s">
        <v>19</v>
      </c>
      <c r="N739" s="9" t="s">
        <v>22</v>
      </c>
      <c r="O739" s="6" t="str">
        <f>HYPERLINK("https://pbs.twimg.com/profile_images/988971255679324162/jrqiIYf__normal.jpg","View")</f>
        <v>View</v>
      </c>
      <c r="P739" s="7"/>
    </row>
    <row r="740" spans="1:16">
      <c r="A740" s="3">
        <v>43966.815960648149</v>
      </c>
      <c r="B740" s="4" t="str">
        <f>HYPERLINK("https://twitter.com/sergio_fajardo","@sergio_fajardo")</f>
        <v>@sergio_fajardo</v>
      </c>
      <c r="C740" s="5" t="s">
        <v>16</v>
      </c>
      <c r="D740" s="5" t="s">
        <v>762</v>
      </c>
      <c r="E740" s="6" t="str">
        <f>HYPERLINK("https://twitter.com/sergio_fajardo/status/1261296521410158592","1261296521410158592")</f>
        <v>1261296521410158592</v>
      </c>
      <c r="F740" s="7" t="s">
        <v>17</v>
      </c>
      <c r="G740" s="7">
        <v>1540187</v>
      </c>
      <c r="H740" s="7">
        <v>366</v>
      </c>
      <c r="I740" s="7">
        <v>180</v>
      </c>
      <c r="J740" s="7">
        <v>0</v>
      </c>
      <c r="K740" s="7" t="s">
        <v>18</v>
      </c>
      <c r="L740" s="8">
        <v>39891.213356481479</v>
      </c>
      <c r="M740" s="9" t="s">
        <v>19</v>
      </c>
      <c r="N740" s="9" t="s">
        <v>22</v>
      </c>
      <c r="O740" s="6" t="str">
        <f>HYPERLINK("https://pbs.twimg.com/profile_images/988971255679324162/jrqiIYf__normal.jpg","View")</f>
        <v>View</v>
      </c>
      <c r="P740" s="7"/>
    </row>
    <row r="741" spans="1:16">
      <c r="A741" s="3">
        <v>43966.81653935185</v>
      </c>
      <c r="B741" s="4" t="str">
        <f>HYPERLINK("https://twitter.com/sergio_fajardo","@sergio_fajardo")</f>
        <v>@sergio_fajardo</v>
      </c>
      <c r="C741" s="5" t="s">
        <v>16</v>
      </c>
      <c r="D741" s="5" t="s">
        <v>763</v>
      </c>
      <c r="E741" s="6" t="str">
        <f>HYPERLINK("https://twitter.com/sergio_fajardo/status/1261296731557429249","1261296731557429249")</f>
        <v>1261296731557429249</v>
      </c>
      <c r="F741" s="7" t="s">
        <v>17</v>
      </c>
      <c r="G741" s="7">
        <v>1540187</v>
      </c>
      <c r="H741" s="7">
        <v>366</v>
      </c>
      <c r="I741" s="7">
        <v>12</v>
      </c>
      <c r="J741" s="7">
        <v>0</v>
      </c>
      <c r="K741" s="7" t="s">
        <v>18</v>
      </c>
      <c r="L741" s="8">
        <v>39891.213356481479</v>
      </c>
      <c r="M741" s="9" t="s">
        <v>19</v>
      </c>
      <c r="N741" s="9" t="s">
        <v>22</v>
      </c>
      <c r="O741" s="6" t="str">
        <f>HYPERLINK("https://pbs.twimg.com/profile_images/988971255679324162/jrqiIYf__normal.jpg","View")</f>
        <v>View</v>
      </c>
      <c r="P741" s="7"/>
    </row>
    <row r="742" spans="1:16">
      <c r="A742" s="3">
        <v>43966.904212962967</v>
      </c>
      <c r="B742" s="4" t="str">
        <f>HYPERLINK("https://twitter.com/sergio_fajardo","@sergio_fajardo")</f>
        <v>@sergio_fajardo</v>
      </c>
      <c r="C742" s="5" t="s">
        <v>16</v>
      </c>
      <c r="D742" s="5" t="s">
        <v>764</v>
      </c>
      <c r="E742" s="6" t="str">
        <f>HYPERLINK("https://twitter.com/sergio_fajardo/status/1261328503271809024","1261328503271809024")</f>
        <v>1261328503271809024</v>
      </c>
      <c r="F742" s="7" t="s">
        <v>17</v>
      </c>
      <c r="G742" s="7">
        <v>1540207</v>
      </c>
      <c r="H742" s="7">
        <v>366</v>
      </c>
      <c r="I742" s="7">
        <v>18</v>
      </c>
      <c r="J742" s="7">
        <v>49</v>
      </c>
      <c r="K742" s="7" t="s">
        <v>18</v>
      </c>
      <c r="L742" s="8">
        <v>39891.213356481479</v>
      </c>
      <c r="M742" s="9" t="s">
        <v>19</v>
      </c>
      <c r="N742" s="9" t="s">
        <v>22</v>
      </c>
      <c r="O742" s="6" t="str">
        <f>HYPERLINK("https://pbs.twimg.com/profile_images/988971255679324162/jrqiIYf__normal.jpg","View")</f>
        <v>View</v>
      </c>
      <c r="P742" s="7"/>
    </row>
    <row r="743" spans="1:16">
      <c r="A743" s="3">
        <v>43966.904768518521</v>
      </c>
      <c r="B743" s="4" t="str">
        <f>HYPERLINK("https://twitter.com/sergio_fajardo","@sergio_fajardo")</f>
        <v>@sergio_fajardo</v>
      </c>
      <c r="C743" s="5" t="s">
        <v>16</v>
      </c>
      <c r="D743" s="5" t="s">
        <v>765</v>
      </c>
      <c r="E743" s="6" t="str">
        <f>HYPERLINK("https://twitter.com/sergio_fajardo/status/1261328705441464321","1261328705441464321")</f>
        <v>1261328705441464321</v>
      </c>
      <c r="F743" s="7" t="s">
        <v>17</v>
      </c>
      <c r="G743" s="7">
        <v>1540207</v>
      </c>
      <c r="H743" s="7">
        <v>366</v>
      </c>
      <c r="I743" s="7">
        <v>3</v>
      </c>
      <c r="J743" s="7">
        <v>0</v>
      </c>
      <c r="K743" s="7" t="s">
        <v>18</v>
      </c>
      <c r="L743" s="8">
        <v>39891.213356481479</v>
      </c>
      <c r="M743" s="9" t="s">
        <v>19</v>
      </c>
      <c r="N743" s="9" t="s">
        <v>22</v>
      </c>
      <c r="O743" s="6" t="str">
        <f>HYPERLINK("https://pbs.twimg.com/profile_images/988971255679324162/jrqiIYf__normal.jpg","View")</f>
        <v>View</v>
      </c>
      <c r="P743" s="7"/>
    </row>
    <row r="744" spans="1:16">
      <c r="A744" s="3">
        <v>43966.947766203702</v>
      </c>
      <c r="B744" s="4" t="str">
        <f>HYPERLINK("https://twitter.com/sergio_fajardo","@sergio_fajardo")</f>
        <v>@sergio_fajardo</v>
      </c>
      <c r="C744" s="5" t="s">
        <v>16</v>
      </c>
      <c r="D744" s="5" t="s">
        <v>766</v>
      </c>
      <c r="E744" s="6" t="str">
        <f>HYPERLINK("https://twitter.com/sergio_fajardo/status/1261344288627179524","1261344288627179524")</f>
        <v>1261344288627179524</v>
      </c>
      <c r="F744" s="7" t="s">
        <v>17</v>
      </c>
      <c r="G744" s="7">
        <v>1540207</v>
      </c>
      <c r="H744" s="7">
        <v>366</v>
      </c>
      <c r="I744" s="7">
        <v>19</v>
      </c>
      <c r="J744" s="7">
        <v>0</v>
      </c>
      <c r="K744" s="7" t="s">
        <v>18</v>
      </c>
      <c r="L744" s="8">
        <v>39891.213356481479</v>
      </c>
      <c r="M744" s="9" t="s">
        <v>19</v>
      </c>
      <c r="N744" s="9" t="s">
        <v>22</v>
      </c>
      <c r="O744" s="6" t="str">
        <f>HYPERLINK("https://pbs.twimg.com/profile_images/988971255679324162/jrqiIYf__normal.jpg","View")</f>
        <v>View</v>
      </c>
      <c r="P744" s="7"/>
    </row>
    <row r="745" spans="1:16">
      <c r="A745" s="3">
        <v>43966.947905092587</v>
      </c>
      <c r="B745" s="4" t="str">
        <f>HYPERLINK("https://twitter.com/sergio_fajardo","@sergio_fajardo")</f>
        <v>@sergio_fajardo</v>
      </c>
      <c r="C745" s="5" t="s">
        <v>16</v>
      </c>
      <c r="D745" s="5" t="s">
        <v>767</v>
      </c>
      <c r="E745" s="6" t="str">
        <f>HYPERLINK("https://twitter.com/sergio_fajardo/status/1261344339512320000","1261344339512320000")</f>
        <v>1261344339512320000</v>
      </c>
      <c r="F745" s="7" t="s">
        <v>17</v>
      </c>
      <c r="G745" s="7">
        <v>1540207</v>
      </c>
      <c r="H745" s="7">
        <v>366</v>
      </c>
      <c r="I745" s="7">
        <v>28</v>
      </c>
      <c r="J745" s="7">
        <v>0</v>
      </c>
      <c r="K745" s="7" t="s">
        <v>18</v>
      </c>
      <c r="L745" s="8">
        <v>39891.213356481479</v>
      </c>
      <c r="M745" s="9" t="s">
        <v>19</v>
      </c>
      <c r="N745" s="9" t="s">
        <v>22</v>
      </c>
      <c r="O745" s="6" t="str">
        <f>HYPERLINK("https://pbs.twimg.com/profile_images/988971255679324162/jrqiIYf__normal.jpg","View")</f>
        <v>View</v>
      </c>
      <c r="P745" s="7"/>
    </row>
    <row r="746" spans="1:16">
      <c r="A746" s="3">
        <v>43967.005648148144</v>
      </c>
      <c r="B746" s="4" t="str">
        <f>HYPERLINK("https://twitter.com/sergio_fajardo","@sergio_fajardo")</f>
        <v>@sergio_fajardo</v>
      </c>
      <c r="C746" s="5" t="s">
        <v>16</v>
      </c>
      <c r="D746" s="5" t="s">
        <v>768</v>
      </c>
      <c r="E746" s="6" t="str">
        <f>HYPERLINK("https://twitter.com/sergio_fajardo/status/1261365265155018754","1261365265155018754")</f>
        <v>1261365265155018754</v>
      </c>
      <c r="F746" s="7" t="s">
        <v>17</v>
      </c>
      <c r="G746" s="7">
        <v>1540223</v>
      </c>
      <c r="H746" s="7">
        <v>366</v>
      </c>
      <c r="I746" s="7">
        <v>8</v>
      </c>
      <c r="J746" s="7">
        <v>0</v>
      </c>
      <c r="K746" s="7" t="s">
        <v>18</v>
      </c>
      <c r="L746" s="8">
        <v>39891.213356481479</v>
      </c>
      <c r="M746" s="9" t="s">
        <v>19</v>
      </c>
      <c r="N746" s="9" t="s">
        <v>22</v>
      </c>
      <c r="O746" s="6" t="str">
        <f>HYPERLINK("https://pbs.twimg.com/profile_images/988971255679324162/jrqiIYf__normal.jpg","View")</f>
        <v>View</v>
      </c>
      <c r="P746" s="7"/>
    </row>
    <row r="747" spans="1:16">
      <c r="A747" s="3">
        <v>43967.007627314815</v>
      </c>
      <c r="B747" s="4" t="str">
        <f>HYPERLINK("https://twitter.com/sergio_fajardo","@sergio_fajardo")</f>
        <v>@sergio_fajardo</v>
      </c>
      <c r="C747" s="5" t="s">
        <v>16</v>
      </c>
      <c r="D747" s="5" t="s">
        <v>769</v>
      </c>
      <c r="E747" s="6" t="str">
        <f>HYPERLINK("https://twitter.com/sergio_fajardo/status/1261365982062194688","1261365982062194688")</f>
        <v>1261365982062194688</v>
      </c>
      <c r="F747" s="7" t="s">
        <v>17</v>
      </c>
      <c r="G747" s="7">
        <v>1540223</v>
      </c>
      <c r="H747" s="7">
        <v>366</v>
      </c>
      <c r="I747" s="7">
        <v>1278</v>
      </c>
      <c r="J747" s="7">
        <v>0</v>
      </c>
      <c r="K747" s="7" t="s">
        <v>18</v>
      </c>
      <c r="L747" s="8">
        <v>39891.213356481479</v>
      </c>
      <c r="M747" s="9" t="s">
        <v>19</v>
      </c>
      <c r="N747" s="9" t="s">
        <v>22</v>
      </c>
      <c r="O747" s="6" t="str">
        <f>HYPERLINK("https://pbs.twimg.com/profile_images/988971255679324162/jrqiIYf__normal.jpg","View")</f>
        <v>View</v>
      </c>
      <c r="P747" s="7"/>
    </row>
    <row r="748" spans="1:16">
      <c r="A748" s="3">
        <v>43967.007974537039</v>
      </c>
      <c r="B748" s="4" t="str">
        <f>HYPERLINK("https://twitter.com/sergio_fajardo","@sergio_fajardo")</f>
        <v>@sergio_fajardo</v>
      </c>
      <c r="C748" s="5" t="s">
        <v>16</v>
      </c>
      <c r="D748" s="5" t="s">
        <v>770</v>
      </c>
      <c r="E748" s="6" t="str">
        <f>HYPERLINK("https://twitter.com/sergio_fajardo/status/1261366106117160960","1261366106117160960")</f>
        <v>1261366106117160960</v>
      </c>
      <c r="F748" s="7" t="s">
        <v>17</v>
      </c>
      <c r="G748" s="7">
        <v>1540223</v>
      </c>
      <c r="H748" s="7">
        <v>366</v>
      </c>
      <c r="I748" s="7">
        <v>26</v>
      </c>
      <c r="J748" s="7">
        <v>0</v>
      </c>
      <c r="K748" s="7" t="s">
        <v>18</v>
      </c>
      <c r="L748" s="8">
        <v>39891.213356481479</v>
      </c>
      <c r="M748" s="9" t="s">
        <v>19</v>
      </c>
      <c r="N748" s="9" t="s">
        <v>22</v>
      </c>
      <c r="O748" s="6" t="str">
        <f>HYPERLINK("https://pbs.twimg.com/profile_images/988971255679324162/jrqiIYf__normal.jpg","View")</f>
        <v>View</v>
      </c>
      <c r="P748" s="7"/>
    </row>
    <row r="749" spans="1:16">
      <c r="A749" s="3">
        <v>43967.092858796299</v>
      </c>
      <c r="B749" s="4" t="str">
        <f>HYPERLINK("https://twitter.com/sergio_fajardo","@sergio_fajardo")</f>
        <v>@sergio_fajardo</v>
      </c>
      <c r="C749" s="5" t="s">
        <v>16</v>
      </c>
      <c r="D749" s="5" t="s">
        <v>771</v>
      </c>
      <c r="E749" s="6" t="str">
        <f>HYPERLINK("https://twitter.com/sergio_fajardo/status/1261396868719947778","1261396868719947778")</f>
        <v>1261396868719947778</v>
      </c>
      <c r="F749" s="7" t="s">
        <v>17</v>
      </c>
      <c r="G749" s="7">
        <v>1540238</v>
      </c>
      <c r="H749" s="7">
        <v>366</v>
      </c>
      <c r="I749" s="7">
        <v>2</v>
      </c>
      <c r="J749" s="7">
        <v>0</v>
      </c>
      <c r="K749" s="7" t="s">
        <v>18</v>
      </c>
      <c r="L749" s="8">
        <v>39891.213356481479</v>
      </c>
      <c r="M749" s="9" t="s">
        <v>19</v>
      </c>
      <c r="N749" s="9" t="s">
        <v>22</v>
      </c>
      <c r="O749" s="6" t="str">
        <f>HYPERLINK("https://pbs.twimg.com/profile_images/988971255679324162/jrqiIYf__normal.jpg","View")</f>
        <v>View</v>
      </c>
      <c r="P749" s="7"/>
    </row>
    <row r="750" spans="1:16">
      <c r="A750" s="3">
        <v>43967.092928240745</v>
      </c>
      <c r="B750" s="4" t="str">
        <f>HYPERLINK("https://twitter.com/sergio_fajardo","@sergio_fajardo")</f>
        <v>@sergio_fajardo</v>
      </c>
      <c r="C750" s="5" t="s">
        <v>16</v>
      </c>
      <c r="D750" s="5" t="s">
        <v>772</v>
      </c>
      <c r="E750" s="6" t="str">
        <f>HYPERLINK("https://twitter.com/sergio_fajardo/status/1261396892316954624","1261396892316954624")</f>
        <v>1261396892316954624</v>
      </c>
      <c r="F750" s="7" t="s">
        <v>17</v>
      </c>
      <c r="G750" s="7">
        <v>1540238</v>
      </c>
      <c r="H750" s="7">
        <v>366</v>
      </c>
      <c r="I750" s="7">
        <v>115</v>
      </c>
      <c r="J750" s="7">
        <v>0</v>
      </c>
      <c r="K750" s="7" t="s">
        <v>18</v>
      </c>
      <c r="L750" s="8">
        <v>39891.213356481479</v>
      </c>
      <c r="M750" s="9" t="s">
        <v>19</v>
      </c>
      <c r="N750" s="9" t="s">
        <v>22</v>
      </c>
      <c r="O750" s="6" t="str">
        <f>HYPERLINK("https://pbs.twimg.com/profile_images/988971255679324162/jrqiIYf__normal.jpg","View")</f>
        <v>View</v>
      </c>
      <c r="P750" s="7"/>
    </row>
    <row r="751" spans="1:16">
      <c r="A751" s="3">
        <v>43967.094606481478</v>
      </c>
      <c r="B751" s="4" t="str">
        <f>HYPERLINK("https://twitter.com/sergio_fajardo","@sergio_fajardo")</f>
        <v>@sergio_fajardo</v>
      </c>
      <c r="C751" s="5" t="s">
        <v>16</v>
      </c>
      <c r="D751" s="5" t="s">
        <v>773</v>
      </c>
      <c r="E751" s="6" t="str">
        <f>HYPERLINK("https://twitter.com/sergio_fajardo/status/1261397502491648000","1261397502491648000")</f>
        <v>1261397502491648000</v>
      </c>
      <c r="F751" s="7" t="s">
        <v>17</v>
      </c>
      <c r="G751" s="7">
        <v>1540238</v>
      </c>
      <c r="H751" s="7">
        <v>366</v>
      </c>
      <c r="I751" s="7">
        <v>2</v>
      </c>
      <c r="J751" s="7">
        <v>0</v>
      </c>
      <c r="K751" s="7" t="s">
        <v>18</v>
      </c>
      <c r="L751" s="8">
        <v>39891.213356481479</v>
      </c>
      <c r="M751" s="9" t="s">
        <v>19</v>
      </c>
      <c r="N751" s="9" t="s">
        <v>22</v>
      </c>
      <c r="O751" s="6" t="str">
        <f>HYPERLINK("https://pbs.twimg.com/profile_images/988971255679324162/jrqiIYf__normal.jpg","View")</f>
        <v>View</v>
      </c>
      <c r="P751" s="7"/>
    </row>
    <row r="752" spans="1:16">
      <c r="A752" s="3">
        <v>43967.1247337963</v>
      </c>
      <c r="B752" s="4" t="str">
        <f>HYPERLINK("https://twitter.com/sergio_fajardo","@sergio_fajardo")</f>
        <v>@sergio_fajardo</v>
      </c>
      <c r="C752" s="5" t="s">
        <v>16</v>
      </c>
      <c r="D752" s="5" t="s">
        <v>774</v>
      </c>
      <c r="E752" s="6" t="str">
        <f>HYPERLINK("https://twitter.com/sergio_fajardo/status/1261408417740193793","1261408417740193793")</f>
        <v>1261408417740193793</v>
      </c>
      <c r="F752" s="7" t="s">
        <v>23</v>
      </c>
      <c r="G752" s="7">
        <v>1540231</v>
      </c>
      <c r="H752" s="7">
        <v>366</v>
      </c>
      <c r="I752" s="7">
        <v>1</v>
      </c>
      <c r="J752" s="7">
        <v>1</v>
      </c>
      <c r="K752" s="7" t="s">
        <v>18</v>
      </c>
      <c r="L752" s="8">
        <v>39891.213356481479</v>
      </c>
      <c r="M752" s="9" t="s">
        <v>19</v>
      </c>
      <c r="N752" s="9" t="s">
        <v>22</v>
      </c>
      <c r="O752" s="6" t="str">
        <f>HYPERLINK("https://pbs.twimg.com/profile_images/988971255679324162/jrqiIYf__normal.jpg","View")</f>
        <v>View</v>
      </c>
      <c r="P752" s="7"/>
    </row>
    <row r="753" spans="1:16">
      <c r="A753" s="3">
        <v>43967.211782407408</v>
      </c>
      <c r="B753" s="4" t="str">
        <f>HYPERLINK("https://twitter.com/sergio_fajardo","@sergio_fajardo")</f>
        <v>@sergio_fajardo</v>
      </c>
      <c r="C753" s="5" t="s">
        <v>16</v>
      </c>
      <c r="D753" s="5" t="s">
        <v>775</v>
      </c>
      <c r="E753" s="6" t="str">
        <f>HYPERLINK("https://twitter.com/sergio_fajardo/status/1261439962110734336","1261439962110734336")</f>
        <v>1261439962110734336</v>
      </c>
      <c r="F753" s="7" t="s">
        <v>23</v>
      </c>
      <c r="G753" s="7">
        <v>1540239</v>
      </c>
      <c r="H753" s="7">
        <v>366</v>
      </c>
      <c r="I753" s="7">
        <v>24</v>
      </c>
      <c r="J753" s="7">
        <v>205</v>
      </c>
      <c r="K753" s="7" t="s">
        <v>18</v>
      </c>
      <c r="L753" s="8">
        <v>39891.213356481479</v>
      </c>
      <c r="M753" s="9" t="s">
        <v>19</v>
      </c>
      <c r="N753" s="9" t="s">
        <v>22</v>
      </c>
      <c r="O753" s="6" t="str">
        <f>HYPERLINK("https://pbs.twimg.com/profile_images/988971255679324162/jrqiIYf__normal.jpg","View")</f>
        <v>View</v>
      </c>
      <c r="P753" s="7"/>
    </row>
    <row r="754" spans="1:16">
      <c r="A754" s="3">
        <v>43967.227800925924</v>
      </c>
      <c r="B754" s="4" t="str">
        <f>HYPERLINK("https://twitter.com/sergio_fajardo","@sergio_fajardo")</f>
        <v>@sergio_fajardo</v>
      </c>
      <c r="C754" s="5" t="s">
        <v>16</v>
      </c>
      <c r="D754" s="5" t="s">
        <v>776</v>
      </c>
      <c r="E754" s="6" t="str">
        <f>HYPERLINK("https://twitter.com/sergio_fajardo/status/1261445769816498177","1261445769816498177")</f>
        <v>1261445769816498177</v>
      </c>
      <c r="F754" s="7" t="s">
        <v>17</v>
      </c>
      <c r="G754" s="7">
        <v>1540239</v>
      </c>
      <c r="H754" s="7">
        <v>366</v>
      </c>
      <c r="I754" s="7">
        <v>2</v>
      </c>
      <c r="J754" s="7">
        <v>0</v>
      </c>
      <c r="K754" s="7" t="s">
        <v>18</v>
      </c>
      <c r="L754" s="8">
        <v>39891.213356481479</v>
      </c>
      <c r="M754" s="9" t="s">
        <v>19</v>
      </c>
      <c r="N754" s="9" t="s">
        <v>22</v>
      </c>
      <c r="O754" s="6" t="str">
        <f>HYPERLINK("https://pbs.twimg.com/profile_images/988971255679324162/jrqiIYf__normal.jpg","View")</f>
        <v>View</v>
      </c>
      <c r="P754" s="7"/>
    </row>
    <row r="755" spans="1:16">
      <c r="A755" s="3">
        <v>43967.346967592588</v>
      </c>
      <c r="B755" s="4" t="str">
        <f>HYPERLINK("https://twitter.com/sergio_fajardo","@sergio_fajardo")</f>
        <v>@sergio_fajardo</v>
      </c>
      <c r="C755" s="5" t="s">
        <v>16</v>
      </c>
      <c r="D755" s="5" t="s">
        <v>777</v>
      </c>
      <c r="E755" s="6" t="str">
        <f>HYPERLINK("https://twitter.com/sergio_fajardo/status/1261488952713924609","1261488952713924609")</f>
        <v>1261488952713924609</v>
      </c>
      <c r="F755" s="7" t="s">
        <v>17</v>
      </c>
      <c r="G755" s="7">
        <v>1540242</v>
      </c>
      <c r="H755" s="7">
        <v>366</v>
      </c>
      <c r="I755" s="7">
        <v>6</v>
      </c>
      <c r="J755" s="7">
        <v>0</v>
      </c>
      <c r="K755" s="7" t="s">
        <v>18</v>
      </c>
      <c r="L755" s="8">
        <v>39891.213356481479</v>
      </c>
      <c r="M755" s="9" t="s">
        <v>19</v>
      </c>
      <c r="N755" s="9" t="s">
        <v>22</v>
      </c>
      <c r="O755" s="6" t="str">
        <f>HYPERLINK("https://pbs.twimg.com/profile_images/988971255679324162/jrqiIYf__normal.jpg","View")</f>
        <v>View</v>
      </c>
      <c r="P755" s="7"/>
    </row>
    <row r="756" spans="1:16">
      <c r="A756" s="3">
        <v>43968.003703703704</v>
      </c>
      <c r="B756" s="4" t="str">
        <f>HYPERLINK("https://twitter.com/sergio_fajardo","@sergio_fajardo")</f>
        <v>@sergio_fajardo</v>
      </c>
      <c r="C756" s="5" t="s">
        <v>16</v>
      </c>
      <c r="D756" s="5" t="s">
        <v>778</v>
      </c>
      <c r="E756" s="6" t="str">
        <f>HYPERLINK("https://twitter.com/sergio_fajardo/status/1261726948734259200","1261726948734259200")</f>
        <v>1261726948734259200</v>
      </c>
      <c r="F756" s="7" t="s">
        <v>17</v>
      </c>
      <c r="G756" s="7">
        <v>1540281</v>
      </c>
      <c r="H756" s="7">
        <v>366</v>
      </c>
      <c r="I756" s="7">
        <v>128</v>
      </c>
      <c r="J756" s="7">
        <v>0</v>
      </c>
      <c r="K756" s="7" t="s">
        <v>18</v>
      </c>
      <c r="L756" s="8">
        <v>39891.213356481479</v>
      </c>
      <c r="M756" s="9" t="s">
        <v>19</v>
      </c>
      <c r="N756" s="9" t="s">
        <v>22</v>
      </c>
      <c r="O756" s="6" t="str">
        <f>HYPERLINK("https://pbs.twimg.com/profile_images/988971255679324162/jrqiIYf__normal.jpg","View")</f>
        <v>View</v>
      </c>
      <c r="P756" s="7"/>
    </row>
    <row r="757" spans="1:16">
      <c r="A757" s="3">
        <v>43968.079722222217</v>
      </c>
      <c r="B757" s="4" t="str">
        <f>HYPERLINK("https://twitter.com/sergio_fajardo","@sergio_fajardo")</f>
        <v>@sergio_fajardo</v>
      </c>
      <c r="C757" s="5" t="s">
        <v>16</v>
      </c>
      <c r="D757" s="5" t="s">
        <v>779</v>
      </c>
      <c r="E757" s="6" t="str">
        <f>HYPERLINK("https://twitter.com/sergio_fajardo/status/1261754496109228039","1261754496109228039")</f>
        <v>1261754496109228039</v>
      </c>
      <c r="F757" s="7" t="s">
        <v>17</v>
      </c>
      <c r="G757" s="7">
        <v>1540282</v>
      </c>
      <c r="H757" s="7">
        <v>366</v>
      </c>
      <c r="I757" s="7">
        <v>3</v>
      </c>
      <c r="J757" s="7">
        <v>23</v>
      </c>
      <c r="K757" s="7" t="s">
        <v>18</v>
      </c>
      <c r="L757" s="8">
        <v>39891.213356481479</v>
      </c>
      <c r="M757" s="9" t="s">
        <v>19</v>
      </c>
      <c r="N757" s="9" t="s">
        <v>22</v>
      </c>
      <c r="O757" s="6" t="str">
        <f>HYPERLINK("https://pbs.twimg.com/profile_images/988971255679324162/jrqiIYf__normal.jpg","View")</f>
        <v>View</v>
      </c>
      <c r="P757" s="7"/>
    </row>
    <row r="758" spans="1:16">
      <c r="A758" s="3">
        <v>43968.172592592593</v>
      </c>
      <c r="B758" s="4" t="str">
        <f>HYPERLINK("https://twitter.com/sergio_fajardo","@sergio_fajardo")</f>
        <v>@sergio_fajardo</v>
      </c>
      <c r="C758" s="5" t="s">
        <v>16</v>
      </c>
      <c r="D758" s="5" t="s">
        <v>780</v>
      </c>
      <c r="E758" s="6" t="str">
        <f>HYPERLINK("https://twitter.com/sergio_fajardo/status/1261788150575386624","1261788150575386624")</f>
        <v>1261788150575386624</v>
      </c>
      <c r="F758" s="7" t="s">
        <v>17</v>
      </c>
      <c r="G758" s="7">
        <v>1540279</v>
      </c>
      <c r="H758" s="7">
        <v>366</v>
      </c>
      <c r="I758" s="7">
        <v>4</v>
      </c>
      <c r="J758" s="7">
        <v>0</v>
      </c>
      <c r="K758" s="7" t="s">
        <v>18</v>
      </c>
      <c r="L758" s="8">
        <v>39891.213356481479</v>
      </c>
      <c r="M758" s="9" t="s">
        <v>19</v>
      </c>
      <c r="N758" s="9" t="s">
        <v>22</v>
      </c>
      <c r="O758" s="6" t="str">
        <f>HYPERLINK("https://pbs.twimg.com/profile_images/988971255679324162/jrqiIYf__normal.jpg","View")</f>
        <v>View</v>
      </c>
      <c r="P758" s="7"/>
    </row>
    <row r="759" spans="1:16">
      <c r="A759" s="3">
        <v>43968.17596064815</v>
      </c>
      <c r="B759" s="4" t="str">
        <f>HYPERLINK("https://twitter.com/sergio_fajardo","@sergio_fajardo")</f>
        <v>@sergio_fajardo</v>
      </c>
      <c r="C759" s="5" t="s">
        <v>16</v>
      </c>
      <c r="D759" s="5" t="s">
        <v>781</v>
      </c>
      <c r="E759" s="6" t="str">
        <f>HYPERLINK("https://twitter.com/sergio_fajardo/status/1261789369909854208","1261789369909854208")</f>
        <v>1261789369909854208</v>
      </c>
      <c r="F759" s="7" t="s">
        <v>17</v>
      </c>
      <c r="G759" s="7">
        <v>1540279</v>
      </c>
      <c r="H759" s="7">
        <v>366</v>
      </c>
      <c r="I759" s="7">
        <v>65</v>
      </c>
      <c r="J759" s="7">
        <v>0</v>
      </c>
      <c r="K759" s="7" t="s">
        <v>18</v>
      </c>
      <c r="L759" s="8">
        <v>39891.213356481479</v>
      </c>
      <c r="M759" s="9" t="s">
        <v>19</v>
      </c>
      <c r="N759" s="9" t="s">
        <v>22</v>
      </c>
      <c r="O759" s="6" t="str">
        <f>HYPERLINK("https://pbs.twimg.com/profile_images/988971255679324162/jrqiIYf__normal.jpg","View")</f>
        <v>View</v>
      </c>
      <c r="P759" s="7"/>
    </row>
    <row r="760" spans="1:16">
      <c r="A760" s="3">
        <v>43968.246597222227</v>
      </c>
      <c r="B760" s="4" t="str">
        <f>HYPERLINK("https://twitter.com/sergio_fajardo","@sergio_fajardo")</f>
        <v>@sergio_fajardo</v>
      </c>
      <c r="C760" s="5" t="s">
        <v>16</v>
      </c>
      <c r="D760" s="5" t="s">
        <v>782</v>
      </c>
      <c r="E760" s="6" t="str">
        <f>HYPERLINK("https://twitter.com/sergio_fajardo/status/1261814970377031682","1261814970377031682")</f>
        <v>1261814970377031682</v>
      </c>
      <c r="F760" s="7" t="s">
        <v>17</v>
      </c>
      <c r="G760" s="7">
        <v>1540284</v>
      </c>
      <c r="H760" s="7">
        <v>366</v>
      </c>
      <c r="I760" s="7">
        <v>4</v>
      </c>
      <c r="J760" s="7">
        <v>0</v>
      </c>
      <c r="K760" s="7" t="s">
        <v>18</v>
      </c>
      <c r="L760" s="8">
        <v>39891.213356481479</v>
      </c>
      <c r="M760" s="9" t="s">
        <v>19</v>
      </c>
      <c r="N760" s="9" t="s">
        <v>22</v>
      </c>
      <c r="O760" s="6" t="str">
        <f>HYPERLINK("https://pbs.twimg.com/profile_images/988971255679324162/jrqiIYf__normal.jpg","View")</f>
        <v>View</v>
      </c>
      <c r="P760" s="7"/>
    </row>
    <row r="761" spans="1:16">
      <c r="A761" s="3">
        <v>43969.276249999995</v>
      </c>
      <c r="B761" s="4" t="str">
        <f>HYPERLINK("https://twitter.com/sergio_fajardo","@sergio_fajardo")</f>
        <v>@sergio_fajardo</v>
      </c>
      <c r="C761" s="5" t="s">
        <v>16</v>
      </c>
      <c r="D761" s="5" t="s">
        <v>783</v>
      </c>
      <c r="E761" s="6" t="str">
        <f>HYPERLINK("https://twitter.com/sergio_fajardo/status/1262188103571308544","1262188103571308544")</f>
        <v>1262188103571308544</v>
      </c>
      <c r="F761" s="7" t="s">
        <v>17</v>
      </c>
      <c r="G761" s="7">
        <v>1540306</v>
      </c>
      <c r="H761" s="7">
        <v>366</v>
      </c>
      <c r="I761" s="7">
        <v>4</v>
      </c>
      <c r="J761" s="7">
        <v>0</v>
      </c>
      <c r="K761" s="7" t="s">
        <v>18</v>
      </c>
      <c r="L761" s="8">
        <v>39891.213356481479</v>
      </c>
      <c r="M761" s="9" t="s">
        <v>19</v>
      </c>
      <c r="N761" s="9" t="s">
        <v>22</v>
      </c>
      <c r="O761" s="6" t="str">
        <f>HYPERLINK("https://pbs.twimg.com/profile_images/988971255679324162/jrqiIYf__normal.jpg","View")</f>
        <v>View</v>
      </c>
      <c r="P761" s="7"/>
    </row>
    <row r="762" spans="1:16">
      <c r="A762" s="3">
        <v>43969.276388888888</v>
      </c>
      <c r="B762" s="4" t="str">
        <f>HYPERLINK("https://twitter.com/sergio_fajardo","@sergio_fajardo")</f>
        <v>@sergio_fajardo</v>
      </c>
      <c r="C762" s="5" t="s">
        <v>16</v>
      </c>
      <c r="D762" s="5" t="s">
        <v>784</v>
      </c>
      <c r="E762" s="6" t="str">
        <f>HYPERLINK("https://twitter.com/sergio_fajardo/status/1262188150643982339","1262188150643982339")</f>
        <v>1262188150643982339</v>
      </c>
      <c r="F762" s="7" t="s">
        <v>17</v>
      </c>
      <c r="G762" s="7">
        <v>1540306</v>
      </c>
      <c r="H762" s="7">
        <v>366</v>
      </c>
      <c r="I762" s="7">
        <v>5</v>
      </c>
      <c r="J762" s="7">
        <v>0</v>
      </c>
      <c r="K762" s="7" t="s">
        <v>18</v>
      </c>
      <c r="L762" s="8">
        <v>39891.213356481479</v>
      </c>
      <c r="M762" s="9" t="s">
        <v>19</v>
      </c>
      <c r="N762" s="9" t="s">
        <v>22</v>
      </c>
      <c r="O762" s="6" t="str">
        <f>HYPERLINK("https://pbs.twimg.com/profile_images/988971255679324162/jrqiIYf__normal.jpg","View")</f>
        <v>View</v>
      </c>
      <c r="P762" s="7"/>
    </row>
    <row r="763" spans="1:16">
      <c r="A763" s="3">
        <v>43969.276504629626</v>
      </c>
      <c r="B763" s="4" t="str">
        <f>HYPERLINK("https://twitter.com/sergio_fajardo","@sergio_fajardo")</f>
        <v>@sergio_fajardo</v>
      </c>
      <c r="C763" s="5" t="s">
        <v>16</v>
      </c>
      <c r="D763" s="5" t="s">
        <v>785</v>
      </c>
      <c r="E763" s="6" t="str">
        <f>HYPERLINK("https://twitter.com/sergio_fajardo/status/1262188193513984001","1262188193513984001")</f>
        <v>1262188193513984001</v>
      </c>
      <c r="F763" s="7" t="s">
        <v>17</v>
      </c>
      <c r="G763" s="7">
        <v>1540306</v>
      </c>
      <c r="H763" s="7">
        <v>366</v>
      </c>
      <c r="I763" s="7">
        <v>247</v>
      </c>
      <c r="J763" s="7">
        <v>0</v>
      </c>
      <c r="K763" s="7" t="s">
        <v>18</v>
      </c>
      <c r="L763" s="8">
        <v>39891.213356481479</v>
      </c>
      <c r="M763" s="9" t="s">
        <v>19</v>
      </c>
      <c r="N763" s="9" t="s">
        <v>22</v>
      </c>
      <c r="O763" s="6" t="str">
        <f>HYPERLINK("https://pbs.twimg.com/profile_images/988971255679324162/jrqiIYf__normal.jpg","View")</f>
        <v>View</v>
      </c>
      <c r="P763" s="7"/>
    </row>
    <row r="764" spans="1:16">
      <c r="A764" s="3">
        <v>43969.312453703707</v>
      </c>
      <c r="B764" s="4" t="str">
        <f>HYPERLINK("https://twitter.com/sergio_fajardo","@sergio_fajardo")</f>
        <v>@sergio_fajardo</v>
      </c>
      <c r="C764" s="5" t="s">
        <v>16</v>
      </c>
      <c r="D764" s="5" t="s">
        <v>786</v>
      </c>
      <c r="E764" s="6" t="str">
        <f>HYPERLINK("https://twitter.com/sergio_fajardo/status/1262201220191657986","1262201220191657986")</f>
        <v>1262201220191657986</v>
      </c>
      <c r="F764" s="7" t="s">
        <v>17</v>
      </c>
      <c r="G764" s="7">
        <v>1540312</v>
      </c>
      <c r="H764" s="7">
        <v>366</v>
      </c>
      <c r="I764" s="7">
        <v>119</v>
      </c>
      <c r="J764" s="7">
        <v>0</v>
      </c>
      <c r="K764" s="7" t="s">
        <v>18</v>
      </c>
      <c r="L764" s="8">
        <v>39891.213356481479</v>
      </c>
      <c r="M764" s="9" t="s">
        <v>19</v>
      </c>
      <c r="N764" s="9" t="s">
        <v>22</v>
      </c>
      <c r="O764" s="6" t="str">
        <f>HYPERLINK("https://pbs.twimg.com/profile_images/988971255679324162/jrqiIYf__normal.jpg","View")</f>
        <v>View</v>
      </c>
      <c r="P764" s="7"/>
    </row>
    <row r="765" spans="1:16">
      <c r="A765" s="3">
        <v>43969.338495370372</v>
      </c>
      <c r="B765" s="4" t="str">
        <f>HYPERLINK("https://twitter.com/sergio_fajardo","@sergio_fajardo")</f>
        <v>@sergio_fajardo</v>
      </c>
      <c r="C765" s="5" t="s">
        <v>16</v>
      </c>
      <c r="D765" s="5" t="s">
        <v>787</v>
      </c>
      <c r="E765" s="6" t="str">
        <f>HYPERLINK("https://twitter.com/sergio_fajardo/status/1262210660353671168","1262210660353671168")</f>
        <v>1262210660353671168</v>
      </c>
      <c r="F765" s="7" t="s">
        <v>17</v>
      </c>
      <c r="G765" s="7">
        <v>1540313</v>
      </c>
      <c r="H765" s="7">
        <v>366</v>
      </c>
      <c r="I765" s="7">
        <v>9</v>
      </c>
      <c r="J765" s="7">
        <v>29</v>
      </c>
      <c r="K765" s="7" t="s">
        <v>18</v>
      </c>
      <c r="L765" s="8">
        <v>39891.213356481479</v>
      </c>
      <c r="M765" s="9" t="s">
        <v>19</v>
      </c>
      <c r="N765" s="9" t="s">
        <v>22</v>
      </c>
      <c r="O765" s="6" t="str">
        <f>HYPERLINK("https://pbs.twimg.com/profile_images/988971255679324162/jrqiIYf__normal.jpg","View")</f>
        <v>View</v>
      </c>
      <c r="P765" s="7"/>
    </row>
    <row r="766" spans="1:16">
      <c r="A766" s="3">
        <v>43969.788981481484</v>
      </c>
      <c r="B766" s="4" t="str">
        <f>HYPERLINK("https://twitter.com/sergio_fajardo","@sergio_fajardo")</f>
        <v>@sergio_fajardo</v>
      </c>
      <c r="C766" s="5" t="s">
        <v>16</v>
      </c>
      <c r="D766" s="5" t="s">
        <v>788</v>
      </c>
      <c r="E766" s="6" t="str">
        <f>HYPERLINK("https://twitter.com/sergio_fajardo/status/1262373909497884672","1262373909497884672")</f>
        <v>1262373909497884672</v>
      </c>
      <c r="F766" s="7" t="s">
        <v>17</v>
      </c>
      <c r="G766" s="7">
        <v>1540325</v>
      </c>
      <c r="H766" s="7">
        <v>366</v>
      </c>
      <c r="I766" s="7">
        <v>4</v>
      </c>
      <c r="J766" s="7">
        <v>0</v>
      </c>
      <c r="K766" s="7" t="s">
        <v>18</v>
      </c>
      <c r="L766" s="8">
        <v>39891.213356481479</v>
      </c>
      <c r="M766" s="9" t="s">
        <v>19</v>
      </c>
      <c r="N766" s="9" t="s">
        <v>22</v>
      </c>
      <c r="O766" s="6" t="str">
        <f>HYPERLINK("https://pbs.twimg.com/profile_images/988971255679324162/jrqiIYf__normal.jpg","View")</f>
        <v>View</v>
      </c>
      <c r="P766" s="7"/>
    </row>
    <row r="767" spans="1:16">
      <c r="A767" s="3">
        <v>43969.789259259254</v>
      </c>
      <c r="B767" s="4" t="str">
        <f>HYPERLINK("https://twitter.com/sergio_fajardo","@sergio_fajardo")</f>
        <v>@sergio_fajardo</v>
      </c>
      <c r="C767" s="5" t="s">
        <v>16</v>
      </c>
      <c r="D767" s="5" t="s">
        <v>789</v>
      </c>
      <c r="E767" s="6" t="str">
        <f>HYPERLINK("https://twitter.com/sergio_fajardo/status/1262374009032900609","1262374009032900609")</f>
        <v>1262374009032900609</v>
      </c>
      <c r="F767" s="7" t="s">
        <v>17</v>
      </c>
      <c r="G767" s="7">
        <v>1540325</v>
      </c>
      <c r="H767" s="7">
        <v>366</v>
      </c>
      <c r="I767" s="7">
        <v>38</v>
      </c>
      <c r="J767" s="7">
        <v>0</v>
      </c>
      <c r="K767" s="7" t="s">
        <v>18</v>
      </c>
      <c r="L767" s="8">
        <v>39891.213356481479</v>
      </c>
      <c r="M767" s="9" t="s">
        <v>19</v>
      </c>
      <c r="N767" s="9" t="s">
        <v>22</v>
      </c>
      <c r="O767" s="6" t="str">
        <f>HYPERLINK("https://pbs.twimg.com/profile_images/988971255679324162/jrqiIYf__normal.jpg","View")</f>
        <v>View</v>
      </c>
      <c r="P767" s="7"/>
    </row>
    <row r="768" spans="1:16">
      <c r="A768" s="3">
        <v>43969.789606481485</v>
      </c>
      <c r="B768" s="4" t="str">
        <f>HYPERLINK("https://twitter.com/sergio_fajardo","@sergio_fajardo")</f>
        <v>@sergio_fajardo</v>
      </c>
      <c r="C768" s="5" t="s">
        <v>16</v>
      </c>
      <c r="D768" s="5" t="s">
        <v>790</v>
      </c>
      <c r="E768" s="6" t="str">
        <f>HYPERLINK("https://twitter.com/sergio_fajardo/status/1262374135839297536","1262374135839297536")</f>
        <v>1262374135839297536</v>
      </c>
      <c r="F768" s="7" t="s">
        <v>17</v>
      </c>
      <c r="G768" s="7">
        <v>1540325</v>
      </c>
      <c r="H768" s="7">
        <v>366</v>
      </c>
      <c r="I768" s="7">
        <v>1</v>
      </c>
      <c r="J768" s="7">
        <v>0</v>
      </c>
      <c r="K768" s="7" t="s">
        <v>18</v>
      </c>
      <c r="L768" s="8">
        <v>39891.213356481479</v>
      </c>
      <c r="M768" s="9" t="s">
        <v>19</v>
      </c>
      <c r="N768" s="9" t="s">
        <v>22</v>
      </c>
      <c r="O768" s="6" t="str">
        <f>HYPERLINK("https://pbs.twimg.com/profile_images/988971255679324162/jrqiIYf__normal.jpg","View")</f>
        <v>View</v>
      </c>
      <c r="P768" s="7"/>
    </row>
    <row r="769" spans="1:16">
      <c r="A769" s="3">
        <v>43969.790127314816</v>
      </c>
      <c r="B769" s="4" t="str">
        <f>HYPERLINK("https://twitter.com/sergio_fajardo","@sergio_fajardo")</f>
        <v>@sergio_fajardo</v>
      </c>
      <c r="C769" s="5" t="s">
        <v>16</v>
      </c>
      <c r="D769" s="5" t="s">
        <v>791</v>
      </c>
      <c r="E769" s="6" t="str">
        <f>HYPERLINK("https://twitter.com/sergio_fajardo/status/1262374326109642760","1262374326109642760")</f>
        <v>1262374326109642760</v>
      </c>
      <c r="F769" s="7" t="s">
        <v>17</v>
      </c>
      <c r="G769" s="7">
        <v>1540325</v>
      </c>
      <c r="H769" s="7">
        <v>366</v>
      </c>
      <c r="I769" s="7">
        <v>121</v>
      </c>
      <c r="J769" s="7">
        <v>0</v>
      </c>
      <c r="K769" s="7" t="s">
        <v>18</v>
      </c>
      <c r="L769" s="8">
        <v>39891.213356481479</v>
      </c>
      <c r="M769" s="9" t="s">
        <v>19</v>
      </c>
      <c r="N769" s="9" t="s">
        <v>22</v>
      </c>
      <c r="O769" s="6" t="str">
        <f>HYPERLINK("https://pbs.twimg.com/profile_images/988971255679324162/jrqiIYf__normal.jpg","View")</f>
        <v>View</v>
      </c>
      <c r="P769" s="7"/>
    </row>
    <row r="770" spans="1:16">
      <c r="A770" s="3">
        <v>43969.790243055555</v>
      </c>
      <c r="B770" s="4" t="str">
        <f>HYPERLINK("https://twitter.com/sergio_fajardo","@sergio_fajardo")</f>
        <v>@sergio_fajardo</v>
      </c>
      <c r="C770" s="5" t="s">
        <v>16</v>
      </c>
      <c r="D770" s="5" t="s">
        <v>792</v>
      </c>
      <c r="E770" s="6" t="str">
        <f>HYPERLINK("https://twitter.com/sergio_fajardo/status/1262374367482306560","1262374367482306560")</f>
        <v>1262374367482306560</v>
      </c>
      <c r="F770" s="7" t="s">
        <v>17</v>
      </c>
      <c r="G770" s="7">
        <v>1540325</v>
      </c>
      <c r="H770" s="7">
        <v>366</v>
      </c>
      <c r="I770" s="7">
        <v>2</v>
      </c>
      <c r="J770" s="7">
        <v>0</v>
      </c>
      <c r="K770" s="7" t="s">
        <v>18</v>
      </c>
      <c r="L770" s="8">
        <v>39891.213356481479</v>
      </c>
      <c r="M770" s="9" t="s">
        <v>19</v>
      </c>
      <c r="N770" s="9" t="s">
        <v>22</v>
      </c>
      <c r="O770" s="6" t="str">
        <f>HYPERLINK("https://pbs.twimg.com/profile_images/988971255679324162/jrqiIYf__normal.jpg","View")</f>
        <v>View</v>
      </c>
      <c r="P770" s="7"/>
    </row>
    <row r="771" spans="1:16">
      <c r="A771" s="3">
        <v>43970.097083333334</v>
      </c>
      <c r="B771" s="4" t="str">
        <f>HYPERLINK("https://twitter.com/sergio_fajardo","@sergio_fajardo")</f>
        <v>@sergio_fajardo</v>
      </c>
      <c r="C771" s="5" t="s">
        <v>16</v>
      </c>
      <c r="D771" s="5" t="s">
        <v>793</v>
      </c>
      <c r="E771" s="6" t="str">
        <f>HYPERLINK("https://twitter.com/sergio_fajardo/status/1262485563191541761","1262485563191541761")</f>
        <v>1262485563191541761</v>
      </c>
      <c r="F771" s="7" t="s">
        <v>17</v>
      </c>
      <c r="G771" s="7">
        <v>1540380</v>
      </c>
      <c r="H771" s="7">
        <v>366</v>
      </c>
      <c r="I771" s="7">
        <v>5</v>
      </c>
      <c r="J771" s="7">
        <v>22</v>
      </c>
      <c r="K771" s="7" t="s">
        <v>18</v>
      </c>
      <c r="L771" s="8">
        <v>39891.213356481479</v>
      </c>
      <c r="M771" s="9" t="s">
        <v>19</v>
      </c>
      <c r="N771" s="9" t="s">
        <v>22</v>
      </c>
      <c r="O771" s="6" t="str">
        <f>HYPERLINK("https://pbs.twimg.com/profile_images/988971255679324162/jrqiIYf__normal.jpg","View")</f>
        <v>View</v>
      </c>
      <c r="P771" s="7"/>
    </row>
    <row r="772" spans="1:16">
      <c r="A772" s="3">
        <v>43970.786099537036</v>
      </c>
      <c r="B772" s="4" t="str">
        <f>HYPERLINK("https://twitter.com/sergio_fajardo","@sergio_fajardo")</f>
        <v>@sergio_fajardo</v>
      </c>
      <c r="C772" s="5" t="s">
        <v>16</v>
      </c>
      <c r="D772" s="5" t="s">
        <v>794</v>
      </c>
      <c r="E772" s="6" t="str">
        <f>HYPERLINK("https://twitter.com/sergio_fajardo/status/1262735255078752256","1262735255078752256")</f>
        <v>1262735255078752256</v>
      </c>
      <c r="F772" s="7" t="s">
        <v>17</v>
      </c>
      <c r="G772" s="7">
        <v>1540404</v>
      </c>
      <c r="H772" s="7">
        <v>367</v>
      </c>
      <c r="I772" s="7">
        <v>7</v>
      </c>
      <c r="J772" s="7">
        <v>17</v>
      </c>
      <c r="K772" s="7" t="s">
        <v>18</v>
      </c>
      <c r="L772" s="8">
        <v>39891.213356481479</v>
      </c>
      <c r="M772" s="9" t="s">
        <v>19</v>
      </c>
      <c r="N772" s="9" t="s">
        <v>22</v>
      </c>
      <c r="O772" s="6" t="str">
        <f>HYPERLINK("https://pbs.twimg.com/profile_images/988971255679324162/jrqiIYf__normal.jpg","View")</f>
        <v>View</v>
      </c>
      <c r="P772" s="7"/>
    </row>
    <row r="773" spans="1:16">
      <c r="A773" s="3">
        <v>43970.794652777782</v>
      </c>
      <c r="B773" s="4" t="str">
        <f>HYPERLINK("https://twitter.com/sergio_fajardo","@sergio_fajardo")</f>
        <v>@sergio_fajardo</v>
      </c>
      <c r="C773" s="5" t="s">
        <v>16</v>
      </c>
      <c r="D773" s="5" t="s">
        <v>795</v>
      </c>
      <c r="E773" s="6" t="str">
        <f>HYPERLINK("https://twitter.com/sergio_fajardo/status/1262738352987500546","1262738352987500546")</f>
        <v>1262738352987500546</v>
      </c>
      <c r="F773" s="7" t="s">
        <v>17</v>
      </c>
      <c r="G773" s="7">
        <v>1540406</v>
      </c>
      <c r="H773" s="7">
        <v>367</v>
      </c>
      <c r="I773" s="7">
        <v>8</v>
      </c>
      <c r="J773" s="7">
        <v>44</v>
      </c>
      <c r="K773" s="7" t="s">
        <v>18</v>
      </c>
      <c r="L773" s="8">
        <v>39891.213356481479</v>
      </c>
      <c r="M773" s="9" t="s">
        <v>19</v>
      </c>
      <c r="N773" s="9" t="s">
        <v>22</v>
      </c>
      <c r="O773" s="6" t="str">
        <f>HYPERLINK("https://pbs.twimg.com/profile_images/988971255679324162/jrqiIYf__normal.jpg","View")</f>
        <v>View</v>
      </c>
      <c r="P773" s="7"/>
    </row>
    <row r="774" spans="1:16">
      <c r="A774" s="3">
        <v>43970.857905092591</v>
      </c>
      <c r="B774" s="4" t="str">
        <f>HYPERLINK("https://twitter.com/sergio_fajardo","@sergio_fajardo")</f>
        <v>@sergio_fajardo</v>
      </c>
      <c r="C774" s="5" t="s">
        <v>16</v>
      </c>
      <c r="D774" s="5" t="s">
        <v>796</v>
      </c>
      <c r="E774" s="6" t="str">
        <f>HYPERLINK("https://twitter.com/sergio_fajardo/status/1262761274334740480","1262761274334740480")</f>
        <v>1262761274334740480</v>
      </c>
      <c r="F774" s="7" t="s">
        <v>17</v>
      </c>
      <c r="G774" s="7">
        <v>1540396</v>
      </c>
      <c r="H774" s="7">
        <v>367</v>
      </c>
      <c r="I774" s="7">
        <v>34</v>
      </c>
      <c r="J774" s="7">
        <v>150</v>
      </c>
      <c r="K774" s="7" t="s">
        <v>18</v>
      </c>
      <c r="L774" s="8">
        <v>39891.213356481479</v>
      </c>
      <c r="M774" s="9" t="s">
        <v>19</v>
      </c>
      <c r="N774" s="9" t="s">
        <v>22</v>
      </c>
      <c r="O774" s="6" t="str">
        <f>HYPERLINK("https://pbs.twimg.com/profile_images/988971255679324162/jrqiIYf__normal.jpg","View")</f>
        <v>View</v>
      </c>
      <c r="P774" s="7"/>
    </row>
    <row r="775" spans="1:16">
      <c r="A775" s="3">
        <v>43971.261087962965</v>
      </c>
      <c r="B775" s="4" t="str">
        <f>HYPERLINK("https://twitter.com/sergio_fajardo","@sergio_fajardo")</f>
        <v>@sergio_fajardo</v>
      </c>
      <c r="C775" s="5" t="s">
        <v>16</v>
      </c>
      <c r="D775" s="5" t="s">
        <v>797</v>
      </c>
      <c r="E775" s="6" t="str">
        <f>HYPERLINK("https://twitter.com/sergio_fajardo/status/1262907383363362818","1262907383363362818")</f>
        <v>1262907383363362818</v>
      </c>
      <c r="F775" s="7" t="s">
        <v>17</v>
      </c>
      <c r="G775" s="7">
        <v>1540424</v>
      </c>
      <c r="H775" s="7">
        <v>367</v>
      </c>
      <c r="I775" s="7">
        <v>1</v>
      </c>
      <c r="J775" s="7">
        <v>0</v>
      </c>
      <c r="K775" s="7" t="s">
        <v>18</v>
      </c>
      <c r="L775" s="8">
        <v>39891.213356481479</v>
      </c>
      <c r="M775" s="9" t="s">
        <v>19</v>
      </c>
      <c r="N775" s="9" t="s">
        <v>22</v>
      </c>
      <c r="O775" s="6" t="str">
        <f>HYPERLINK("https://pbs.twimg.com/profile_images/988971255679324162/jrqiIYf__normal.jpg","View")</f>
        <v>View</v>
      </c>
      <c r="P775" s="7"/>
    </row>
    <row r="776" spans="1:16">
      <c r="A776" s="3">
        <v>43971.755937499998</v>
      </c>
      <c r="B776" s="4" t="str">
        <f>HYPERLINK("https://twitter.com/sergio_fajardo","@sergio_fajardo")</f>
        <v>@sergio_fajardo</v>
      </c>
      <c r="C776" s="5" t="s">
        <v>16</v>
      </c>
      <c r="D776" s="5" t="s">
        <v>798</v>
      </c>
      <c r="E776" s="6" t="str">
        <f>HYPERLINK("https://twitter.com/sergio_fajardo/status/1263086710977638401","1263086710977638401")</f>
        <v>1263086710977638401</v>
      </c>
      <c r="F776" s="7" t="s">
        <v>17</v>
      </c>
      <c r="G776" s="7">
        <v>1540459</v>
      </c>
      <c r="H776" s="7">
        <v>367</v>
      </c>
      <c r="I776" s="7">
        <v>5</v>
      </c>
      <c r="J776" s="7">
        <v>20</v>
      </c>
      <c r="K776" s="7" t="s">
        <v>18</v>
      </c>
      <c r="L776" s="8">
        <v>39891.213356481479</v>
      </c>
      <c r="M776" s="9" t="s">
        <v>19</v>
      </c>
      <c r="N776" s="9" t="s">
        <v>22</v>
      </c>
      <c r="O776" s="6" t="str">
        <f>HYPERLINK("https://pbs.twimg.com/profile_images/988971255679324162/jrqiIYf__normal.jpg","View")</f>
        <v>View</v>
      </c>
      <c r="P776" s="7"/>
    </row>
    <row r="777" spans="1:16">
      <c r="A777" s="3">
        <v>43971.765370370369</v>
      </c>
      <c r="B777" s="4" t="str">
        <f>HYPERLINK("https://twitter.com/sergio_fajardo","@sergio_fajardo")</f>
        <v>@sergio_fajardo</v>
      </c>
      <c r="C777" s="5" t="s">
        <v>16</v>
      </c>
      <c r="D777" s="5" t="s">
        <v>799</v>
      </c>
      <c r="E777" s="6" t="str">
        <f>HYPERLINK("https://twitter.com/sergio_fajardo/status/1263090128823758848","1263090128823758848")</f>
        <v>1263090128823758848</v>
      </c>
      <c r="F777" s="7" t="s">
        <v>17</v>
      </c>
      <c r="G777" s="7">
        <v>1540459</v>
      </c>
      <c r="H777" s="7">
        <v>367</v>
      </c>
      <c r="I777" s="7">
        <v>1366</v>
      </c>
      <c r="J777" s="7">
        <v>0</v>
      </c>
      <c r="K777" s="7" t="s">
        <v>18</v>
      </c>
      <c r="L777" s="8">
        <v>39891.213356481479</v>
      </c>
      <c r="M777" s="9" t="s">
        <v>19</v>
      </c>
      <c r="N777" s="9" t="s">
        <v>22</v>
      </c>
      <c r="O777" s="6" t="str">
        <f>HYPERLINK("https://pbs.twimg.com/profile_images/988971255679324162/jrqiIYf__normal.jpg","View")</f>
        <v>View</v>
      </c>
      <c r="P777" s="7"/>
    </row>
    <row r="778" spans="1:16">
      <c r="A778" s="3">
        <v>43971.911898148144</v>
      </c>
      <c r="B778" s="4" t="str">
        <f>HYPERLINK("https://twitter.com/sergio_fajardo","@sergio_fajardo")</f>
        <v>@sergio_fajardo</v>
      </c>
      <c r="C778" s="5" t="s">
        <v>16</v>
      </c>
      <c r="D778" s="5" t="s">
        <v>800</v>
      </c>
      <c r="E778" s="6" t="str">
        <f>HYPERLINK("https://twitter.com/sergio_fajardo/status/1263143228100018177","1263143228100018177")</f>
        <v>1263143228100018177</v>
      </c>
      <c r="F778" s="7" t="s">
        <v>23</v>
      </c>
      <c r="G778" s="7">
        <v>1540482</v>
      </c>
      <c r="H778" s="7">
        <v>367</v>
      </c>
      <c r="I778" s="7">
        <v>14</v>
      </c>
      <c r="J778" s="7">
        <v>38</v>
      </c>
      <c r="K778" s="7" t="s">
        <v>18</v>
      </c>
      <c r="L778" s="8">
        <v>39891.213356481479</v>
      </c>
      <c r="M778" s="9" t="s">
        <v>19</v>
      </c>
      <c r="N778" s="9" t="s">
        <v>22</v>
      </c>
      <c r="O778" s="6" t="str">
        <f>HYPERLINK("https://pbs.twimg.com/profile_images/988971255679324162/jrqiIYf__normal.jpg","View")</f>
        <v>View</v>
      </c>
      <c r="P778" s="7"/>
    </row>
    <row r="779" spans="1:16">
      <c r="A779" s="3">
        <v>43971.924641203703</v>
      </c>
      <c r="B779" s="4" t="str">
        <f>HYPERLINK("https://twitter.com/sergio_fajardo","@sergio_fajardo")</f>
        <v>@sergio_fajardo</v>
      </c>
      <c r="C779" s="5" t="s">
        <v>16</v>
      </c>
      <c r="D779" s="5" t="s">
        <v>801</v>
      </c>
      <c r="E779" s="6" t="str">
        <f>HYPERLINK("https://twitter.com/sergio_fajardo/status/1263147848775892992","1263147848775892992")</f>
        <v>1263147848775892992</v>
      </c>
      <c r="F779" s="7" t="s">
        <v>17</v>
      </c>
      <c r="G779" s="7">
        <v>1540486</v>
      </c>
      <c r="H779" s="7">
        <v>367</v>
      </c>
      <c r="I779" s="7">
        <v>68</v>
      </c>
      <c r="J779" s="7">
        <v>0</v>
      </c>
      <c r="K779" s="7" t="s">
        <v>18</v>
      </c>
      <c r="L779" s="8">
        <v>39891.213356481479</v>
      </c>
      <c r="M779" s="9" t="s">
        <v>19</v>
      </c>
      <c r="N779" s="9" t="s">
        <v>22</v>
      </c>
      <c r="O779" s="6" t="str">
        <f>HYPERLINK("https://pbs.twimg.com/profile_images/988971255679324162/jrqiIYf__normal.jpg","View")</f>
        <v>View</v>
      </c>
      <c r="P779" s="7"/>
    </row>
    <row r="780" spans="1:16">
      <c r="A780" s="3">
        <v>43972.0075</v>
      </c>
      <c r="B780" s="4" t="str">
        <f>HYPERLINK("https://twitter.com/sergio_fajardo","@sergio_fajardo")</f>
        <v>@sergio_fajardo</v>
      </c>
      <c r="C780" s="5" t="s">
        <v>16</v>
      </c>
      <c r="D780" s="4" t="s">
        <v>802</v>
      </c>
      <c r="E780" s="6" t="str">
        <f>HYPERLINK("https://twitter.com/sergio_fajardo/status/1263177875617910787","1263177875617910787")</f>
        <v>1263177875617910787</v>
      </c>
      <c r="F780" s="7" t="s">
        <v>17</v>
      </c>
      <c r="G780" s="7">
        <v>1540502</v>
      </c>
      <c r="H780" s="7">
        <v>367</v>
      </c>
      <c r="I780" s="7">
        <v>0</v>
      </c>
      <c r="J780" s="7">
        <v>7</v>
      </c>
      <c r="K780" s="7" t="s">
        <v>18</v>
      </c>
      <c r="L780" s="8">
        <v>39891.213356481479</v>
      </c>
      <c r="M780" s="9" t="s">
        <v>19</v>
      </c>
      <c r="N780" s="9" t="s">
        <v>22</v>
      </c>
      <c r="O780" s="6" t="str">
        <f>HYPERLINK("https://pbs.twimg.com/profile_images/988971255679324162/jrqiIYf__normal.jpg","View")</f>
        <v>View</v>
      </c>
      <c r="P780" s="7"/>
    </row>
    <row r="781" spans="1:16">
      <c r="A781" s="3">
        <v>43972.147638888884</v>
      </c>
      <c r="B781" s="4" t="str">
        <f>HYPERLINK("https://twitter.com/sergio_fajardo","@sergio_fajardo")</f>
        <v>@sergio_fajardo</v>
      </c>
      <c r="C781" s="5" t="s">
        <v>16</v>
      </c>
      <c r="D781" s="5" t="s">
        <v>803</v>
      </c>
      <c r="E781" s="6" t="str">
        <f>HYPERLINK("https://twitter.com/sergio_fajardo/status/1263228660586369029","1263228660586369029")</f>
        <v>1263228660586369029</v>
      </c>
      <c r="F781" s="7" t="s">
        <v>23</v>
      </c>
      <c r="G781" s="7">
        <v>1540531</v>
      </c>
      <c r="H781" s="7">
        <v>367</v>
      </c>
      <c r="I781" s="7">
        <v>5</v>
      </c>
      <c r="J781" s="7">
        <v>19</v>
      </c>
      <c r="K781" s="7" t="s">
        <v>18</v>
      </c>
      <c r="L781" s="8">
        <v>39891.213356481479</v>
      </c>
      <c r="M781" s="9" t="s">
        <v>19</v>
      </c>
      <c r="N781" s="9" t="s">
        <v>22</v>
      </c>
      <c r="O781" s="6" t="str">
        <f>HYPERLINK("https://pbs.twimg.com/profile_images/988971255679324162/jrqiIYf__normal.jpg","View")</f>
        <v>View</v>
      </c>
      <c r="P781" s="7"/>
    </row>
    <row r="782" spans="1:16">
      <c r="A782" s="3">
        <v>43972.15420138889</v>
      </c>
      <c r="B782" s="4" t="str">
        <f>HYPERLINK("https://twitter.com/sergio_fajardo","@sergio_fajardo")</f>
        <v>@sergio_fajardo</v>
      </c>
      <c r="C782" s="5" t="s">
        <v>16</v>
      </c>
      <c r="D782" s="5" t="s">
        <v>804</v>
      </c>
      <c r="E782" s="6" t="str">
        <f>HYPERLINK("https://twitter.com/sergio_fajardo/status/1263231037561344001","1263231037561344001")</f>
        <v>1263231037561344001</v>
      </c>
      <c r="F782" s="7" t="s">
        <v>23</v>
      </c>
      <c r="G782" s="7">
        <v>1540531</v>
      </c>
      <c r="H782" s="7">
        <v>367</v>
      </c>
      <c r="I782" s="7">
        <v>0</v>
      </c>
      <c r="J782" s="7">
        <v>2</v>
      </c>
      <c r="K782" s="7" t="s">
        <v>18</v>
      </c>
      <c r="L782" s="8">
        <v>39891.213356481479</v>
      </c>
      <c r="M782" s="9" t="s">
        <v>19</v>
      </c>
      <c r="N782" s="9" t="s">
        <v>22</v>
      </c>
      <c r="O782" s="6" t="str">
        <f>HYPERLINK("https://pbs.twimg.com/profile_images/988971255679324162/jrqiIYf__normal.jpg","View")</f>
        <v>View</v>
      </c>
      <c r="P782" s="7"/>
    </row>
    <row r="783" spans="1:16">
      <c r="A783" s="3">
        <v>43972.259085648147</v>
      </c>
      <c r="B783" s="4" t="str">
        <f>HYPERLINK("https://twitter.com/sergio_fajardo","@sergio_fajardo")</f>
        <v>@sergio_fajardo</v>
      </c>
      <c r="C783" s="5" t="s">
        <v>16</v>
      </c>
      <c r="D783" s="5" t="s">
        <v>805</v>
      </c>
      <c r="E783" s="6" t="str">
        <f>HYPERLINK("https://twitter.com/sergio_fajardo/status/1263269046470037505","1263269046470037505")</f>
        <v>1263269046470037505</v>
      </c>
      <c r="F783" s="7" t="s">
        <v>17</v>
      </c>
      <c r="G783" s="7">
        <v>1540549</v>
      </c>
      <c r="H783" s="7">
        <v>367</v>
      </c>
      <c r="I783" s="7">
        <v>449</v>
      </c>
      <c r="J783" s="7">
        <v>0</v>
      </c>
      <c r="K783" s="7" t="s">
        <v>18</v>
      </c>
      <c r="L783" s="8">
        <v>39891.213356481479</v>
      </c>
      <c r="M783" s="9" t="s">
        <v>19</v>
      </c>
      <c r="N783" s="9" t="s">
        <v>22</v>
      </c>
      <c r="O783" s="6" t="str">
        <f>HYPERLINK("https://pbs.twimg.com/profile_images/988971255679324162/jrqiIYf__normal.jpg","View")</f>
        <v>View</v>
      </c>
      <c r="P783" s="7"/>
    </row>
    <row r="784" spans="1:16">
      <c r="A784" s="3">
        <v>43972.259664351848</v>
      </c>
      <c r="B784" s="4" t="str">
        <f>HYPERLINK("https://twitter.com/sergio_fajardo","@sergio_fajardo")</f>
        <v>@sergio_fajardo</v>
      </c>
      <c r="C784" s="5" t="s">
        <v>16</v>
      </c>
      <c r="D784" s="5" t="s">
        <v>806</v>
      </c>
      <c r="E784" s="6" t="str">
        <f>HYPERLINK("https://twitter.com/sergio_fajardo/status/1263269254691987456","1263269254691987456")</f>
        <v>1263269254691987456</v>
      </c>
      <c r="F784" s="7" t="s">
        <v>17</v>
      </c>
      <c r="G784" s="7">
        <v>1540549</v>
      </c>
      <c r="H784" s="7">
        <v>367</v>
      </c>
      <c r="I784" s="7">
        <v>33</v>
      </c>
      <c r="J784" s="7">
        <v>0</v>
      </c>
      <c r="K784" s="7" t="s">
        <v>18</v>
      </c>
      <c r="L784" s="8">
        <v>39891.213356481479</v>
      </c>
      <c r="M784" s="9" t="s">
        <v>19</v>
      </c>
      <c r="N784" s="9" t="s">
        <v>22</v>
      </c>
      <c r="O784" s="6" t="str">
        <f>HYPERLINK("https://pbs.twimg.com/profile_images/988971255679324162/jrqiIYf__normal.jpg","View")</f>
        <v>View</v>
      </c>
      <c r="P784" s="7"/>
    </row>
    <row r="785" spans="1:16">
      <c r="A785" s="3">
        <v>43972.675046296295</v>
      </c>
      <c r="B785" s="4" t="str">
        <f>HYPERLINK("https://twitter.com/sergio_fajardo","@sergio_fajardo")</f>
        <v>@sergio_fajardo</v>
      </c>
      <c r="C785" s="5" t="s">
        <v>16</v>
      </c>
      <c r="D785" s="5" t="s">
        <v>807</v>
      </c>
      <c r="E785" s="6" t="str">
        <f>HYPERLINK("https://twitter.com/sergio_fajardo/status/1263419784462569472","1263419784462569472")</f>
        <v>1263419784462569472</v>
      </c>
      <c r="F785" s="7" t="s">
        <v>17</v>
      </c>
      <c r="G785" s="7">
        <v>1540562</v>
      </c>
      <c r="H785" s="7">
        <v>367</v>
      </c>
      <c r="I785" s="7">
        <v>1121</v>
      </c>
      <c r="J785" s="7">
        <v>0</v>
      </c>
      <c r="K785" s="7" t="s">
        <v>18</v>
      </c>
      <c r="L785" s="8">
        <v>39891.213356481479</v>
      </c>
      <c r="M785" s="9" t="s">
        <v>19</v>
      </c>
      <c r="N785" s="9" t="s">
        <v>22</v>
      </c>
      <c r="O785" s="6" t="str">
        <f>HYPERLINK("https://pbs.twimg.com/profile_images/988971255679324162/jrqiIYf__normal.jpg","View")</f>
        <v>View</v>
      </c>
      <c r="P785" s="7"/>
    </row>
    <row r="786" spans="1:16">
      <c r="A786" s="3">
        <v>43972.835798611108</v>
      </c>
      <c r="B786" s="4" t="str">
        <f>HYPERLINK("https://twitter.com/sergio_fajardo","@sergio_fajardo")</f>
        <v>@sergio_fajardo</v>
      </c>
      <c r="C786" s="5" t="s">
        <v>16</v>
      </c>
      <c r="D786" s="5" t="s">
        <v>808</v>
      </c>
      <c r="E786" s="6" t="str">
        <f>HYPERLINK("https://twitter.com/sergio_fajardo/status/1263478039813464064","1263478039813464064")</f>
        <v>1263478039813464064</v>
      </c>
      <c r="F786" s="7" t="s">
        <v>17</v>
      </c>
      <c r="G786" s="7">
        <v>1540580</v>
      </c>
      <c r="H786" s="7">
        <v>367</v>
      </c>
      <c r="I786" s="7">
        <v>5</v>
      </c>
      <c r="J786" s="7">
        <v>0</v>
      </c>
      <c r="K786" s="7" t="s">
        <v>18</v>
      </c>
      <c r="L786" s="8">
        <v>39891.213356481479</v>
      </c>
      <c r="M786" s="9" t="s">
        <v>19</v>
      </c>
      <c r="N786" s="9" t="s">
        <v>22</v>
      </c>
      <c r="O786" s="6" t="str">
        <f>HYPERLINK("https://pbs.twimg.com/profile_images/988971255679324162/jrqiIYf__normal.jpg","View")</f>
        <v>View</v>
      </c>
      <c r="P786" s="7"/>
    </row>
    <row r="787" spans="1:16">
      <c r="A787" s="3">
        <v>43972.907199074078</v>
      </c>
      <c r="B787" s="4" t="str">
        <f>HYPERLINK("https://twitter.com/sergio_fajardo","@sergio_fajardo")</f>
        <v>@sergio_fajardo</v>
      </c>
      <c r="C787" s="5" t="s">
        <v>16</v>
      </c>
      <c r="D787" s="4" t="s">
        <v>809</v>
      </c>
      <c r="E787" s="6" t="str">
        <f>HYPERLINK("https://twitter.com/sergio_fajardo/status/1263503915598954497","1263503915598954497")</f>
        <v>1263503915598954497</v>
      </c>
      <c r="F787" s="7" t="s">
        <v>17</v>
      </c>
      <c r="G787" s="7">
        <v>1540591</v>
      </c>
      <c r="H787" s="7">
        <v>367</v>
      </c>
      <c r="I787" s="7">
        <v>0</v>
      </c>
      <c r="J787" s="7">
        <v>21</v>
      </c>
      <c r="K787" s="7" t="s">
        <v>18</v>
      </c>
      <c r="L787" s="8">
        <v>39891.213356481479</v>
      </c>
      <c r="M787" s="9" t="s">
        <v>19</v>
      </c>
      <c r="N787" s="9" t="s">
        <v>22</v>
      </c>
      <c r="O787" s="6" t="str">
        <f>HYPERLINK("https://pbs.twimg.com/profile_images/988971255679324162/jrqiIYf__normal.jpg","View")</f>
        <v>View</v>
      </c>
      <c r="P787" s="7"/>
    </row>
    <row r="788" spans="1:16">
      <c r="A788" s="3">
        <v>43973.004143518519</v>
      </c>
      <c r="B788" s="4" t="str">
        <f>HYPERLINK("https://twitter.com/sergio_fajardo","@sergio_fajardo")</f>
        <v>@sergio_fajardo</v>
      </c>
      <c r="C788" s="5" t="s">
        <v>16</v>
      </c>
      <c r="D788" s="5" t="s">
        <v>810</v>
      </c>
      <c r="E788" s="6" t="str">
        <f>HYPERLINK("https://twitter.com/sergio_fajardo/status/1263539043788378113","1263539043788378113")</f>
        <v>1263539043788378113</v>
      </c>
      <c r="F788" s="7" t="s">
        <v>17</v>
      </c>
      <c r="G788" s="7">
        <v>1540616</v>
      </c>
      <c r="H788" s="7">
        <v>367</v>
      </c>
      <c r="I788" s="7">
        <v>34</v>
      </c>
      <c r="J788" s="7">
        <v>0</v>
      </c>
      <c r="K788" s="7" t="s">
        <v>18</v>
      </c>
      <c r="L788" s="8">
        <v>39891.213356481479</v>
      </c>
      <c r="M788" s="9" t="s">
        <v>19</v>
      </c>
      <c r="N788" s="9" t="s">
        <v>22</v>
      </c>
      <c r="O788" s="6" t="str">
        <f>HYPERLINK("https://pbs.twimg.com/profile_images/988971255679324162/jrqiIYf__normal.jpg","View")</f>
        <v>View</v>
      </c>
      <c r="P788" s="7"/>
    </row>
    <row r="789" spans="1:16">
      <c r="A789" s="3">
        <v>43973.182326388887</v>
      </c>
      <c r="B789" s="4" t="str">
        <f>HYPERLINK("https://twitter.com/sergio_fajardo","@sergio_fajardo")</f>
        <v>@sergio_fajardo</v>
      </c>
      <c r="C789" s="5" t="s">
        <v>16</v>
      </c>
      <c r="D789" s="5" t="s">
        <v>811</v>
      </c>
      <c r="E789" s="6" t="str">
        <f>HYPERLINK("https://twitter.com/sergio_fajardo/status/1263603618684514304","1263603618684514304")</f>
        <v>1263603618684514304</v>
      </c>
      <c r="F789" s="7" t="s">
        <v>17</v>
      </c>
      <c r="G789" s="7">
        <v>1540618</v>
      </c>
      <c r="H789" s="7">
        <v>367</v>
      </c>
      <c r="I789" s="7">
        <v>0</v>
      </c>
      <c r="J789" s="7">
        <v>12</v>
      </c>
      <c r="K789" s="7" t="s">
        <v>18</v>
      </c>
      <c r="L789" s="8">
        <v>39891.213356481479</v>
      </c>
      <c r="M789" s="9" t="s">
        <v>19</v>
      </c>
      <c r="N789" s="9" t="s">
        <v>22</v>
      </c>
      <c r="O789" s="6" t="str">
        <f>HYPERLINK("https://pbs.twimg.com/profile_images/988971255679324162/jrqiIYf__normal.jpg","View")</f>
        <v>View</v>
      </c>
      <c r="P789" s="7"/>
    </row>
    <row r="790" spans="1:16">
      <c r="A790" s="3">
        <v>43973.189687499995</v>
      </c>
      <c r="B790" s="4" t="str">
        <f>HYPERLINK("https://twitter.com/sergio_fajardo","@sergio_fajardo")</f>
        <v>@sergio_fajardo</v>
      </c>
      <c r="C790" s="5" t="s">
        <v>16</v>
      </c>
      <c r="D790" s="5" t="s">
        <v>812</v>
      </c>
      <c r="E790" s="6" t="str">
        <f>HYPERLINK("https://twitter.com/sergio_fajardo/status/1263606283690741761","1263606283690741761")</f>
        <v>1263606283690741761</v>
      </c>
      <c r="F790" s="7" t="s">
        <v>17</v>
      </c>
      <c r="G790" s="7">
        <v>1540618</v>
      </c>
      <c r="H790" s="7">
        <v>367</v>
      </c>
      <c r="I790" s="7">
        <v>0</v>
      </c>
      <c r="J790" s="7">
        <v>0</v>
      </c>
      <c r="K790" s="7" t="s">
        <v>18</v>
      </c>
      <c r="L790" s="8">
        <v>39891.213356481479</v>
      </c>
      <c r="M790" s="9" t="s">
        <v>19</v>
      </c>
      <c r="N790" s="9" t="s">
        <v>22</v>
      </c>
      <c r="O790" s="6" t="str">
        <f>HYPERLINK("https://pbs.twimg.com/profile_images/988971255679324162/jrqiIYf__normal.jpg","View")</f>
        <v>View</v>
      </c>
      <c r="P790" s="7"/>
    </row>
    <row r="791" spans="1:16">
      <c r="A791" s="3">
        <v>43973.325104166666</v>
      </c>
      <c r="B791" s="4" t="str">
        <f>HYPERLINK("https://twitter.com/sergio_fajardo","@sergio_fajardo")</f>
        <v>@sergio_fajardo</v>
      </c>
      <c r="C791" s="5" t="s">
        <v>16</v>
      </c>
      <c r="D791" s="5" t="s">
        <v>813</v>
      </c>
      <c r="E791" s="6" t="str">
        <f>HYPERLINK("https://twitter.com/sergio_fajardo/status/1263655357240524802","1263655357240524802")</f>
        <v>1263655357240524802</v>
      </c>
      <c r="F791" s="7" t="s">
        <v>17</v>
      </c>
      <c r="G791" s="7">
        <v>1540644</v>
      </c>
      <c r="H791" s="7">
        <v>367</v>
      </c>
      <c r="I791" s="7">
        <v>11</v>
      </c>
      <c r="J791" s="7">
        <v>44</v>
      </c>
      <c r="K791" s="7" t="s">
        <v>18</v>
      </c>
      <c r="L791" s="8">
        <v>39891.213356481479</v>
      </c>
      <c r="M791" s="9" t="s">
        <v>19</v>
      </c>
      <c r="N791" s="9" t="s">
        <v>22</v>
      </c>
      <c r="O791" s="6" t="str">
        <f>HYPERLINK("https://pbs.twimg.com/profile_images/988971255679324162/jrqiIYf__normal.jpg","View")</f>
        <v>View</v>
      </c>
      <c r="P791" s="7"/>
    </row>
    <row r="792" spans="1:16">
      <c r="A792" s="3">
        <v>43974.231435185182</v>
      </c>
      <c r="B792" s="4" t="str">
        <f>HYPERLINK("https://twitter.com/sergio_fajardo","@sergio_fajardo")</f>
        <v>@sergio_fajardo</v>
      </c>
      <c r="C792" s="5" t="s">
        <v>16</v>
      </c>
      <c r="D792" s="5" t="s">
        <v>814</v>
      </c>
      <c r="E792" s="6" t="str">
        <f>HYPERLINK("https://twitter.com/sergio_fajardo/status/1263983802386440193","1263983802386440193")</f>
        <v>1263983802386440193</v>
      </c>
      <c r="F792" s="7" t="s">
        <v>17</v>
      </c>
      <c r="G792" s="7">
        <v>1540745</v>
      </c>
      <c r="H792" s="7">
        <v>367</v>
      </c>
      <c r="I792" s="7">
        <v>10</v>
      </c>
      <c r="J792" s="7">
        <v>0</v>
      </c>
      <c r="K792" s="7" t="s">
        <v>18</v>
      </c>
      <c r="L792" s="8">
        <v>39891.213356481479</v>
      </c>
      <c r="M792" s="9" t="s">
        <v>19</v>
      </c>
      <c r="N792" s="9" t="s">
        <v>22</v>
      </c>
      <c r="O792" s="6" t="str">
        <f>HYPERLINK("https://pbs.twimg.com/profile_images/988971255679324162/jrqiIYf__normal.jpg","View")</f>
        <v>View</v>
      </c>
      <c r="P792" s="7"/>
    </row>
    <row r="793" spans="1:16">
      <c r="A793" s="3">
        <v>43975.877881944441</v>
      </c>
      <c r="B793" s="4" t="str">
        <f>HYPERLINK("https://twitter.com/sergio_fajardo","@sergio_fajardo")</f>
        <v>@sergio_fajardo</v>
      </c>
      <c r="C793" s="5" t="s">
        <v>16</v>
      </c>
      <c r="D793" s="5" t="s">
        <v>815</v>
      </c>
      <c r="E793" s="6" t="str">
        <f>HYPERLINK("https://twitter.com/sergio_fajardo/status/1264580452414881792","1264580452414881792")</f>
        <v>1264580452414881792</v>
      </c>
      <c r="F793" s="7" t="s">
        <v>17</v>
      </c>
      <c r="G793" s="7">
        <v>1540985</v>
      </c>
      <c r="H793" s="7">
        <v>367</v>
      </c>
      <c r="I793" s="7">
        <v>1</v>
      </c>
      <c r="J793" s="7">
        <v>0</v>
      </c>
      <c r="K793" s="7" t="s">
        <v>18</v>
      </c>
      <c r="L793" s="8">
        <v>39891.213356481479</v>
      </c>
      <c r="M793" s="9" t="s">
        <v>19</v>
      </c>
      <c r="N793" s="9" t="s">
        <v>22</v>
      </c>
      <c r="O793" s="6" t="str">
        <f>HYPERLINK("https://pbs.twimg.com/profile_images/988971255679324162/jrqiIYf__normal.jpg","View")</f>
        <v>View</v>
      </c>
      <c r="P793" s="7"/>
    </row>
    <row r="794" spans="1:16">
      <c r="A794" s="3">
        <v>43976.296180555553</v>
      </c>
      <c r="B794" s="4" t="str">
        <f>HYPERLINK("https://twitter.com/sergio_fajardo","@sergio_fajardo")</f>
        <v>@sergio_fajardo</v>
      </c>
      <c r="C794" s="5" t="s">
        <v>16</v>
      </c>
      <c r="D794" s="5" t="s">
        <v>816</v>
      </c>
      <c r="E794" s="6" t="str">
        <f>HYPERLINK("https://twitter.com/sergio_fajardo/status/1264732040018173957","1264732040018173957")</f>
        <v>1264732040018173957</v>
      </c>
      <c r="F794" s="7" t="s">
        <v>17</v>
      </c>
      <c r="G794" s="7">
        <v>1541049</v>
      </c>
      <c r="H794" s="7">
        <v>367</v>
      </c>
      <c r="I794" s="7">
        <v>679</v>
      </c>
      <c r="J794" s="7">
        <v>0</v>
      </c>
      <c r="K794" s="7" t="s">
        <v>18</v>
      </c>
      <c r="L794" s="8">
        <v>39891.213356481479</v>
      </c>
      <c r="M794" s="9" t="s">
        <v>19</v>
      </c>
      <c r="N794" s="9" t="s">
        <v>22</v>
      </c>
      <c r="O794" s="6" t="str">
        <f>HYPERLINK("https://pbs.twimg.com/profile_images/988971255679324162/jrqiIYf__normal.jpg","View")</f>
        <v>View</v>
      </c>
      <c r="P794" s="7"/>
    </row>
    <row r="795" spans="1:16">
      <c r="A795" s="3">
        <v>43976.791307870371</v>
      </c>
      <c r="B795" s="4" t="str">
        <f>HYPERLINK("https://twitter.com/sergio_fajardo","@sergio_fajardo")</f>
        <v>@sergio_fajardo</v>
      </c>
      <c r="C795" s="5" t="s">
        <v>16</v>
      </c>
      <c r="D795" s="5" t="s">
        <v>817</v>
      </c>
      <c r="E795" s="6" t="str">
        <f>HYPERLINK("https://twitter.com/sergio_fajardo/status/1264911468094525441","1264911468094525441")</f>
        <v>1264911468094525441</v>
      </c>
      <c r="F795" s="7" t="s">
        <v>17</v>
      </c>
      <c r="G795" s="7">
        <v>1541061</v>
      </c>
      <c r="H795" s="7">
        <v>367</v>
      </c>
      <c r="I795" s="7">
        <v>1</v>
      </c>
      <c r="J795" s="7">
        <v>10</v>
      </c>
      <c r="K795" s="7" t="s">
        <v>18</v>
      </c>
      <c r="L795" s="8">
        <v>39891.213356481479</v>
      </c>
      <c r="M795" s="9" t="s">
        <v>19</v>
      </c>
      <c r="N795" s="9" t="s">
        <v>22</v>
      </c>
      <c r="O795" s="6" t="str">
        <f>HYPERLINK("https://pbs.twimg.com/profile_images/988971255679324162/jrqiIYf__normal.jpg","View")</f>
        <v>View</v>
      </c>
      <c r="P795" s="7"/>
    </row>
    <row r="796" spans="1:16">
      <c r="A796" s="3">
        <v>43976.885428240741</v>
      </c>
      <c r="B796" s="4" t="str">
        <f>HYPERLINK("https://twitter.com/sergio_fajardo","@sergio_fajardo")</f>
        <v>@sergio_fajardo</v>
      </c>
      <c r="C796" s="5" t="s">
        <v>16</v>
      </c>
      <c r="D796" s="5" t="s">
        <v>818</v>
      </c>
      <c r="E796" s="6" t="str">
        <f>HYPERLINK("https://twitter.com/sergio_fajardo/status/1264945577932062723","1264945577932062723")</f>
        <v>1264945577932062723</v>
      </c>
      <c r="F796" s="7" t="s">
        <v>17</v>
      </c>
      <c r="G796" s="7">
        <v>1541079</v>
      </c>
      <c r="H796" s="7">
        <v>367</v>
      </c>
      <c r="I796" s="7">
        <v>33</v>
      </c>
      <c r="J796" s="7">
        <v>0</v>
      </c>
      <c r="K796" s="7" t="s">
        <v>18</v>
      </c>
      <c r="L796" s="8">
        <v>39891.213356481479</v>
      </c>
      <c r="M796" s="9" t="s">
        <v>19</v>
      </c>
      <c r="N796" s="9" t="s">
        <v>22</v>
      </c>
      <c r="O796" s="6" t="str">
        <f>HYPERLINK("https://pbs.twimg.com/profile_images/988971255679324162/jrqiIYf__normal.jpg","View")</f>
        <v>View</v>
      </c>
      <c r="P796" s="7"/>
    </row>
    <row r="797" spans="1:16">
      <c r="A797" s="3">
        <v>43976.909004629633</v>
      </c>
      <c r="B797" s="4" t="str">
        <f>HYPERLINK("https://twitter.com/sergio_fajardo","@sergio_fajardo")</f>
        <v>@sergio_fajardo</v>
      </c>
      <c r="C797" s="5" t="s">
        <v>16</v>
      </c>
      <c r="D797" s="5" t="s">
        <v>819</v>
      </c>
      <c r="E797" s="6" t="str">
        <f>HYPERLINK("https://twitter.com/sergio_fajardo/status/1264954120282267656","1264954120282267656")</f>
        <v>1264954120282267656</v>
      </c>
      <c r="F797" s="7" t="s">
        <v>17</v>
      </c>
      <c r="G797" s="7">
        <v>1541079</v>
      </c>
      <c r="H797" s="7">
        <v>367</v>
      </c>
      <c r="I797" s="7">
        <v>5</v>
      </c>
      <c r="J797" s="7">
        <v>14</v>
      </c>
      <c r="K797" s="7" t="s">
        <v>18</v>
      </c>
      <c r="L797" s="8">
        <v>39891.213356481479</v>
      </c>
      <c r="M797" s="9" t="s">
        <v>19</v>
      </c>
      <c r="N797" s="9" t="s">
        <v>22</v>
      </c>
      <c r="O797" s="6" t="str">
        <f>HYPERLINK("https://pbs.twimg.com/profile_images/988971255679324162/jrqiIYf__normal.jpg","View")</f>
        <v>View</v>
      </c>
      <c r="P797" s="7"/>
    </row>
    <row r="798" spans="1:16">
      <c r="A798" s="3">
        <v>43976.909953703704</v>
      </c>
      <c r="B798" s="4" t="str">
        <f>HYPERLINK("https://twitter.com/sergio_fajardo","@sergio_fajardo")</f>
        <v>@sergio_fajardo</v>
      </c>
      <c r="C798" s="5" t="s">
        <v>16</v>
      </c>
      <c r="D798" s="5" t="s">
        <v>820</v>
      </c>
      <c r="E798" s="6" t="str">
        <f>HYPERLINK("https://twitter.com/sergio_fajardo/status/1264954462684303367","1264954462684303367")</f>
        <v>1264954462684303367</v>
      </c>
      <c r="F798" s="7" t="s">
        <v>17</v>
      </c>
      <c r="G798" s="7">
        <v>1541079</v>
      </c>
      <c r="H798" s="7">
        <v>367</v>
      </c>
      <c r="I798" s="7">
        <v>1</v>
      </c>
      <c r="J798" s="7">
        <v>8</v>
      </c>
      <c r="K798" s="7" t="s">
        <v>18</v>
      </c>
      <c r="L798" s="8">
        <v>39891.213356481479</v>
      </c>
      <c r="M798" s="9" t="s">
        <v>19</v>
      </c>
      <c r="N798" s="9" t="s">
        <v>22</v>
      </c>
      <c r="O798" s="6" t="str">
        <f>HYPERLINK("https://pbs.twimg.com/profile_images/988971255679324162/jrqiIYf__normal.jpg","View")</f>
        <v>View</v>
      </c>
      <c r="P798" s="7"/>
    </row>
    <row r="799" spans="1:16">
      <c r="A799" s="3">
        <v>43976.968402777777</v>
      </c>
      <c r="B799" s="4" t="str">
        <f>HYPERLINK("https://twitter.com/sergio_fajardo","@sergio_fajardo")</f>
        <v>@sergio_fajardo</v>
      </c>
      <c r="C799" s="5" t="s">
        <v>16</v>
      </c>
      <c r="D799" s="5" t="s">
        <v>821</v>
      </c>
      <c r="E799" s="6" t="str">
        <f>HYPERLINK("https://twitter.com/sergio_fajardo/status/1264975645781692417","1264975645781692417")</f>
        <v>1264975645781692417</v>
      </c>
      <c r="F799" s="7" t="s">
        <v>17</v>
      </c>
      <c r="G799" s="7">
        <v>1541075</v>
      </c>
      <c r="H799" s="7">
        <v>367</v>
      </c>
      <c r="I799" s="7">
        <v>138</v>
      </c>
      <c r="J799" s="7">
        <v>0</v>
      </c>
      <c r="K799" s="7" t="s">
        <v>18</v>
      </c>
      <c r="L799" s="8">
        <v>39891.213356481479</v>
      </c>
      <c r="M799" s="9" t="s">
        <v>19</v>
      </c>
      <c r="N799" s="9" t="s">
        <v>22</v>
      </c>
      <c r="O799" s="6" t="str">
        <f>HYPERLINK("https://pbs.twimg.com/profile_images/988971255679324162/jrqiIYf__normal.jpg","View")</f>
        <v>View</v>
      </c>
      <c r="P799" s="7"/>
    </row>
    <row r="800" spans="1:16">
      <c r="A800" s="3">
        <v>43976.96975694444</v>
      </c>
      <c r="B800" s="4" t="str">
        <f>HYPERLINK("https://twitter.com/sergio_fajardo","@sergio_fajardo")</f>
        <v>@sergio_fajardo</v>
      </c>
      <c r="C800" s="5" t="s">
        <v>16</v>
      </c>
      <c r="D800" s="5" t="s">
        <v>822</v>
      </c>
      <c r="E800" s="6" t="str">
        <f>HYPERLINK("https://twitter.com/sergio_fajardo/status/1264976137052205067","1264976137052205067")</f>
        <v>1264976137052205067</v>
      </c>
      <c r="F800" s="7" t="s">
        <v>17</v>
      </c>
      <c r="G800" s="7">
        <v>1541075</v>
      </c>
      <c r="H800" s="7">
        <v>367</v>
      </c>
      <c r="I800" s="7">
        <v>2553</v>
      </c>
      <c r="J800" s="7">
        <v>0</v>
      </c>
      <c r="K800" s="7" t="s">
        <v>18</v>
      </c>
      <c r="L800" s="8">
        <v>39891.213356481479</v>
      </c>
      <c r="M800" s="9" t="s">
        <v>19</v>
      </c>
      <c r="N800" s="9" t="s">
        <v>22</v>
      </c>
      <c r="O800" s="6" t="str">
        <f>HYPERLINK("https://pbs.twimg.com/profile_images/988971255679324162/jrqiIYf__normal.jpg","View")</f>
        <v>View</v>
      </c>
      <c r="P800" s="7"/>
    </row>
    <row r="801" spans="1:16">
      <c r="A801" s="3">
        <v>43977.224224537036</v>
      </c>
      <c r="B801" s="4" t="str">
        <f>HYPERLINK("https://twitter.com/sergio_fajardo","@sergio_fajardo")</f>
        <v>@sergio_fajardo</v>
      </c>
      <c r="C801" s="5" t="s">
        <v>16</v>
      </c>
      <c r="D801" s="5" t="s">
        <v>823</v>
      </c>
      <c r="E801" s="6" t="str">
        <f>HYPERLINK("https://twitter.com/sergio_fajardo/status/1265068352952774661","1265068352952774661")</f>
        <v>1265068352952774661</v>
      </c>
      <c r="F801" s="7" t="s">
        <v>17</v>
      </c>
      <c r="G801" s="7">
        <v>1541104</v>
      </c>
      <c r="H801" s="7">
        <v>367</v>
      </c>
      <c r="I801" s="7">
        <v>39</v>
      </c>
      <c r="J801" s="7">
        <v>136</v>
      </c>
      <c r="K801" s="7" t="s">
        <v>18</v>
      </c>
      <c r="L801" s="8">
        <v>39891.213356481479</v>
      </c>
      <c r="M801" s="9" t="s">
        <v>19</v>
      </c>
      <c r="N801" s="9" t="s">
        <v>22</v>
      </c>
      <c r="O801" s="6" t="str">
        <f>HYPERLINK("https://pbs.twimg.com/profile_images/988971255679324162/jrqiIYf__normal.jpg","View")</f>
        <v>View</v>
      </c>
      <c r="P801" s="7"/>
    </row>
    <row r="802" spans="1:16">
      <c r="A802" s="3">
        <v>43977.225011574075</v>
      </c>
      <c r="B802" s="4" t="str">
        <f>HYPERLINK("https://twitter.com/sergio_fajardo","@sergio_fajardo")</f>
        <v>@sergio_fajardo</v>
      </c>
      <c r="C802" s="5" t="s">
        <v>16</v>
      </c>
      <c r="D802" s="5" t="s">
        <v>824</v>
      </c>
      <c r="E802" s="6" t="str">
        <f>HYPERLINK("https://twitter.com/sergio_fajardo/status/1265068635657318401","1265068635657318401")</f>
        <v>1265068635657318401</v>
      </c>
      <c r="F802" s="7" t="s">
        <v>17</v>
      </c>
      <c r="G802" s="7">
        <v>1541104</v>
      </c>
      <c r="H802" s="7">
        <v>367</v>
      </c>
      <c r="I802" s="7">
        <v>4</v>
      </c>
      <c r="J802" s="7">
        <v>0</v>
      </c>
      <c r="K802" s="7" t="s">
        <v>18</v>
      </c>
      <c r="L802" s="8">
        <v>39891.213356481479</v>
      </c>
      <c r="M802" s="9" t="s">
        <v>19</v>
      </c>
      <c r="N802" s="9" t="s">
        <v>22</v>
      </c>
      <c r="O802" s="6" t="str">
        <f>HYPERLINK("https://pbs.twimg.com/profile_images/988971255679324162/jrqiIYf__normal.jpg","View")</f>
        <v>View</v>
      </c>
      <c r="P802" s="7"/>
    </row>
    <row r="803" spans="1:16">
      <c r="A803" s="3">
        <v>43977.311608796299</v>
      </c>
      <c r="B803" s="4" t="str">
        <f>HYPERLINK("https://twitter.com/sergio_fajardo","@sergio_fajardo")</f>
        <v>@sergio_fajardo</v>
      </c>
      <c r="C803" s="5" t="s">
        <v>16</v>
      </c>
      <c r="D803" s="5" t="s">
        <v>825</v>
      </c>
      <c r="E803" s="6" t="str">
        <f>HYPERLINK("https://twitter.com/sergio_fajardo/status/1265100017418874880","1265100017418874880")</f>
        <v>1265100017418874880</v>
      </c>
      <c r="F803" s="7" t="s">
        <v>17</v>
      </c>
      <c r="G803" s="7">
        <v>1541128</v>
      </c>
      <c r="H803" s="7">
        <v>367</v>
      </c>
      <c r="I803" s="7">
        <v>2</v>
      </c>
      <c r="J803" s="7">
        <v>0</v>
      </c>
      <c r="K803" s="7" t="s">
        <v>18</v>
      </c>
      <c r="L803" s="8">
        <v>39891.213356481479</v>
      </c>
      <c r="M803" s="9" t="s">
        <v>19</v>
      </c>
      <c r="N803" s="9" t="s">
        <v>22</v>
      </c>
      <c r="O803" s="6" t="str">
        <f>HYPERLINK("https://pbs.twimg.com/profile_images/988971255679324162/jrqiIYf__normal.jpg","View")</f>
        <v>View</v>
      </c>
      <c r="P803" s="7"/>
    </row>
    <row r="804" spans="1:16">
      <c r="A804" s="3">
        <v>43977.690092592587</v>
      </c>
      <c r="B804" s="4" t="str">
        <f>HYPERLINK("https://twitter.com/sergio_fajardo","@sergio_fajardo")</f>
        <v>@sergio_fajardo</v>
      </c>
      <c r="C804" s="5" t="s">
        <v>16</v>
      </c>
      <c r="D804" s="5" t="s">
        <v>826</v>
      </c>
      <c r="E804" s="6" t="str">
        <f>HYPERLINK("https://twitter.com/sergio_fajardo/status/1265237177400725504","1265237177400725504")</f>
        <v>1265237177400725504</v>
      </c>
      <c r="F804" s="7" t="s">
        <v>17</v>
      </c>
      <c r="G804" s="7">
        <v>1541146</v>
      </c>
      <c r="H804" s="7">
        <v>367</v>
      </c>
      <c r="I804" s="7">
        <v>224</v>
      </c>
      <c r="J804" s="7">
        <v>0</v>
      </c>
      <c r="K804" s="7" t="s">
        <v>18</v>
      </c>
      <c r="L804" s="8">
        <v>39891.213356481479</v>
      </c>
      <c r="M804" s="9" t="s">
        <v>19</v>
      </c>
      <c r="N804" s="9" t="s">
        <v>22</v>
      </c>
      <c r="O804" s="6" t="str">
        <f>HYPERLINK("https://pbs.twimg.com/profile_images/988971255679324162/jrqiIYf__normal.jpg","View")</f>
        <v>View</v>
      </c>
      <c r="P804" s="7"/>
    </row>
    <row r="805" spans="1:16">
      <c r="A805" s="3">
        <v>43977.705196759256</v>
      </c>
      <c r="B805" s="4" t="str">
        <f>HYPERLINK("https://twitter.com/sergio_fajardo","@sergio_fajardo")</f>
        <v>@sergio_fajardo</v>
      </c>
      <c r="C805" s="5" t="s">
        <v>16</v>
      </c>
      <c r="D805" s="5" t="s">
        <v>827</v>
      </c>
      <c r="E805" s="6" t="str">
        <f>HYPERLINK("https://twitter.com/sergio_fajardo/status/1265242648195010560","1265242648195010560")</f>
        <v>1265242648195010560</v>
      </c>
      <c r="F805" s="7" t="s">
        <v>17</v>
      </c>
      <c r="G805" s="7">
        <v>1541146</v>
      </c>
      <c r="H805" s="7">
        <v>367</v>
      </c>
      <c r="I805" s="7">
        <v>2</v>
      </c>
      <c r="J805" s="7">
        <v>60</v>
      </c>
      <c r="K805" s="7" t="s">
        <v>18</v>
      </c>
      <c r="L805" s="8">
        <v>39891.213356481479</v>
      </c>
      <c r="M805" s="9" t="s">
        <v>19</v>
      </c>
      <c r="N805" s="9" t="s">
        <v>22</v>
      </c>
      <c r="O805" s="6" t="str">
        <f>HYPERLINK("https://pbs.twimg.com/profile_images/988971255679324162/jrqiIYf__normal.jpg","View")</f>
        <v>View</v>
      </c>
      <c r="P805" s="7"/>
    </row>
    <row r="806" spans="1:16">
      <c r="A806" s="3">
        <v>43977.705659722225</v>
      </c>
      <c r="B806" s="4" t="str">
        <f>HYPERLINK("https://twitter.com/sergio_fajardo","@sergio_fajardo")</f>
        <v>@sergio_fajardo</v>
      </c>
      <c r="C806" s="5" t="s">
        <v>16</v>
      </c>
      <c r="D806" s="5" t="s">
        <v>828</v>
      </c>
      <c r="E806" s="6" t="str">
        <f>HYPERLINK("https://twitter.com/sergio_fajardo/status/1265242816692748290","1265242816692748290")</f>
        <v>1265242816692748290</v>
      </c>
      <c r="F806" s="7" t="s">
        <v>17</v>
      </c>
      <c r="G806" s="7">
        <v>1541146</v>
      </c>
      <c r="H806" s="7">
        <v>367</v>
      </c>
      <c r="I806" s="7">
        <v>42</v>
      </c>
      <c r="J806" s="7">
        <v>0</v>
      </c>
      <c r="K806" s="7" t="s">
        <v>18</v>
      </c>
      <c r="L806" s="8">
        <v>39891.213356481479</v>
      </c>
      <c r="M806" s="9" t="s">
        <v>19</v>
      </c>
      <c r="N806" s="9" t="s">
        <v>22</v>
      </c>
      <c r="O806" s="6" t="str">
        <f>HYPERLINK("https://pbs.twimg.com/profile_images/988971255679324162/jrqiIYf__normal.jpg","View")</f>
        <v>View</v>
      </c>
      <c r="P806" s="7"/>
    </row>
    <row r="807" spans="1:16">
      <c r="A807" s="3">
        <v>43977.769270833334</v>
      </c>
      <c r="B807" s="4" t="str">
        <f>HYPERLINK("https://twitter.com/sergio_fajardo","@sergio_fajardo")</f>
        <v>@sergio_fajardo</v>
      </c>
      <c r="C807" s="5" t="s">
        <v>16</v>
      </c>
      <c r="D807" s="5" t="s">
        <v>829</v>
      </c>
      <c r="E807" s="6" t="str">
        <f>HYPERLINK("https://twitter.com/sergio_fajardo/status/1265265868541493248","1265265868541493248")</f>
        <v>1265265868541493248</v>
      </c>
      <c r="F807" s="7" t="s">
        <v>17</v>
      </c>
      <c r="G807" s="7">
        <v>1541154</v>
      </c>
      <c r="H807" s="7">
        <v>367</v>
      </c>
      <c r="I807" s="7">
        <v>8</v>
      </c>
      <c r="J807" s="7">
        <v>0</v>
      </c>
      <c r="K807" s="7" t="s">
        <v>18</v>
      </c>
      <c r="L807" s="8">
        <v>39891.213356481479</v>
      </c>
      <c r="M807" s="9" t="s">
        <v>19</v>
      </c>
      <c r="N807" s="9" t="s">
        <v>22</v>
      </c>
      <c r="O807" s="6" t="str">
        <f>HYPERLINK("https://pbs.twimg.com/profile_images/988971255679324162/jrqiIYf__normal.jpg","View")</f>
        <v>View</v>
      </c>
      <c r="P807" s="7"/>
    </row>
    <row r="808" spans="1:16">
      <c r="A808" s="3">
        <v>43978.702037037037</v>
      </c>
      <c r="B808" s="4" t="str">
        <f>HYPERLINK("https://twitter.com/sergio_fajardo","@sergio_fajardo")</f>
        <v>@sergio_fajardo</v>
      </c>
      <c r="C808" s="5" t="s">
        <v>16</v>
      </c>
      <c r="D808" s="5" t="s">
        <v>830</v>
      </c>
      <c r="E808" s="6" t="str">
        <f>HYPERLINK("https://twitter.com/sergio_fajardo/status/1265603893406437376","1265603893406437376")</f>
        <v>1265603893406437376</v>
      </c>
      <c r="F808" s="7" t="s">
        <v>17</v>
      </c>
      <c r="G808" s="7">
        <v>1541262</v>
      </c>
      <c r="H808" s="7">
        <v>367</v>
      </c>
      <c r="I808" s="7">
        <v>2</v>
      </c>
      <c r="J808" s="7">
        <v>11</v>
      </c>
      <c r="K808" s="7" t="s">
        <v>18</v>
      </c>
      <c r="L808" s="8">
        <v>39891.213356481479</v>
      </c>
      <c r="M808" s="9" t="s">
        <v>19</v>
      </c>
      <c r="N808" s="9" t="s">
        <v>22</v>
      </c>
      <c r="O808" s="6" t="str">
        <f>HYPERLINK("https://pbs.twimg.com/profile_images/988971255679324162/jrqiIYf__normal.jpg","View")</f>
        <v>View</v>
      </c>
      <c r="P808" s="7"/>
    </row>
    <row r="809" spans="1:16">
      <c r="A809" s="3">
        <v>43978.702777777777</v>
      </c>
      <c r="B809" s="4" t="str">
        <f>HYPERLINK("https://twitter.com/sergio_fajardo","@sergio_fajardo")</f>
        <v>@sergio_fajardo</v>
      </c>
      <c r="C809" s="5" t="s">
        <v>16</v>
      </c>
      <c r="D809" s="5" t="s">
        <v>831</v>
      </c>
      <c r="E809" s="6" t="str">
        <f>HYPERLINK("https://twitter.com/sergio_fajardo/status/1265604161695031297","1265604161695031297")</f>
        <v>1265604161695031297</v>
      </c>
      <c r="F809" s="7" t="s">
        <v>17</v>
      </c>
      <c r="G809" s="7">
        <v>1541262</v>
      </c>
      <c r="H809" s="7">
        <v>367</v>
      </c>
      <c r="I809" s="7">
        <v>1289</v>
      </c>
      <c r="J809" s="7">
        <v>0</v>
      </c>
      <c r="K809" s="7" t="s">
        <v>18</v>
      </c>
      <c r="L809" s="8">
        <v>39891.213356481479</v>
      </c>
      <c r="M809" s="9" t="s">
        <v>19</v>
      </c>
      <c r="N809" s="9" t="s">
        <v>22</v>
      </c>
      <c r="O809" s="6" t="str">
        <f>HYPERLINK("https://pbs.twimg.com/profile_images/988971255679324162/jrqiIYf__normal.jpg","View")</f>
        <v>View</v>
      </c>
      <c r="P809" s="7"/>
    </row>
    <row r="810" spans="1:16">
      <c r="A810" s="3">
        <v>43978.830925925926</v>
      </c>
      <c r="B810" s="4" t="str">
        <f>HYPERLINK("https://twitter.com/sergio_fajardo","@sergio_fajardo")</f>
        <v>@sergio_fajardo</v>
      </c>
      <c r="C810" s="5" t="s">
        <v>16</v>
      </c>
      <c r="D810" s="5" t="s">
        <v>832</v>
      </c>
      <c r="E810" s="6" t="str">
        <f>HYPERLINK("https://twitter.com/sergio_fajardo/status/1265650599632277505","1265650599632277505")</f>
        <v>1265650599632277505</v>
      </c>
      <c r="F810" s="7" t="s">
        <v>17</v>
      </c>
      <c r="G810" s="7">
        <v>1541287</v>
      </c>
      <c r="H810" s="7">
        <v>367</v>
      </c>
      <c r="I810" s="7">
        <v>29</v>
      </c>
      <c r="J810" s="7">
        <v>0</v>
      </c>
      <c r="K810" s="7" t="s">
        <v>18</v>
      </c>
      <c r="L810" s="8">
        <v>39891.213356481479</v>
      </c>
      <c r="M810" s="9" t="s">
        <v>19</v>
      </c>
      <c r="N810" s="9" t="s">
        <v>22</v>
      </c>
      <c r="O810" s="6" t="str">
        <f>HYPERLINK("https://pbs.twimg.com/profile_images/988971255679324162/jrqiIYf__normal.jpg","View")</f>
        <v>View</v>
      </c>
      <c r="P810" s="7"/>
    </row>
    <row r="811" spans="1:16">
      <c r="A811" s="3">
        <v>43978.980231481481</v>
      </c>
      <c r="B811" s="4" t="str">
        <f>HYPERLINK("https://twitter.com/sergio_fajardo","@sergio_fajardo")</f>
        <v>@sergio_fajardo</v>
      </c>
      <c r="C811" s="5" t="s">
        <v>16</v>
      </c>
      <c r="D811" s="5" t="s">
        <v>833</v>
      </c>
      <c r="E811" s="6" t="str">
        <f>HYPERLINK("https://twitter.com/sergio_fajardo/status/1265704707110158336","1265704707110158336")</f>
        <v>1265704707110158336</v>
      </c>
      <c r="F811" s="7" t="s">
        <v>17</v>
      </c>
      <c r="G811" s="7">
        <v>1541312</v>
      </c>
      <c r="H811" s="7">
        <v>367</v>
      </c>
      <c r="I811" s="7">
        <v>11</v>
      </c>
      <c r="J811" s="7">
        <v>0</v>
      </c>
      <c r="K811" s="7" t="s">
        <v>18</v>
      </c>
      <c r="L811" s="8">
        <v>39891.213356481479</v>
      </c>
      <c r="M811" s="9" t="s">
        <v>19</v>
      </c>
      <c r="N811" s="9" t="s">
        <v>22</v>
      </c>
      <c r="O811" s="6" t="str">
        <f>HYPERLINK("https://pbs.twimg.com/profile_images/988971255679324162/jrqiIYf__normal.jpg","View")</f>
        <v>View</v>
      </c>
      <c r="P811" s="7"/>
    </row>
    <row r="812" spans="1:16">
      <c r="A812" s="3">
        <v>43978.98951388889</v>
      </c>
      <c r="B812" s="4" t="str">
        <f>HYPERLINK("https://twitter.com/sergio_fajardo","@sergio_fajardo")</f>
        <v>@sergio_fajardo</v>
      </c>
      <c r="C812" s="5" t="s">
        <v>16</v>
      </c>
      <c r="D812" s="5" t="s">
        <v>834</v>
      </c>
      <c r="E812" s="6" t="str">
        <f>HYPERLINK("https://twitter.com/sergio_fajardo/status/1265708071701090304","1265708071701090304")</f>
        <v>1265708071701090304</v>
      </c>
      <c r="F812" s="7" t="s">
        <v>17</v>
      </c>
      <c r="G812" s="7">
        <v>1541318</v>
      </c>
      <c r="H812" s="7">
        <v>367</v>
      </c>
      <c r="I812" s="7">
        <v>310</v>
      </c>
      <c r="J812" s="7">
        <v>0</v>
      </c>
      <c r="K812" s="7" t="s">
        <v>18</v>
      </c>
      <c r="L812" s="8">
        <v>39891.213356481479</v>
      </c>
      <c r="M812" s="9" t="s">
        <v>19</v>
      </c>
      <c r="N812" s="9" t="s">
        <v>22</v>
      </c>
      <c r="O812" s="6" t="str">
        <f>HYPERLINK("https://pbs.twimg.com/profile_images/988971255679324162/jrqiIYf__normal.jpg","View")</f>
        <v>View</v>
      </c>
      <c r="P812" s="7"/>
    </row>
    <row r="813" spans="1:16">
      <c r="A813" s="3">
        <v>43979.037592592591</v>
      </c>
      <c r="B813" s="4" t="str">
        <f>HYPERLINK("https://twitter.com/sergio_fajardo","@sergio_fajardo")</f>
        <v>@sergio_fajardo</v>
      </c>
      <c r="C813" s="5" t="s">
        <v>16</v>
      </c>
      <c r="D813" s="5" t="s">
        <v>835</v>
      </c>
      <c r="E813" s="6" t="str">
        <f>HYPERLINK("https://twitter.com/sergio_fajardo/status/1265725493158035458","1265725493158035458")</f>
        <v>1265725493158035458</v>
      </c>
      <c r="F813" s="7" t="s">
        <v>17</v>
      </c>
      <c r="G813" s="7">
        <v>1541320</v>
      </c>
      <c r="H813" s="7">
        <v>367</v>
      </c>
      <c r="I813" s="7">
        <v>6</v>
      </c>
      <c r="J813" s="7">
        <v>0</v>
      </c>
      <c r="K813" s="7" t="s">
        <v>18</v>
      </c>
      <c r="L813" s="8">
        <v>39891.213356481479</v>
      </c>
      <c r="M813" s="9" t="s">
        <v>19</v>
      </c>
      <c r="N813" s="9" t="s">
        <v>22</v>
      </c>
      <c r="O813" s="6" t="str">
        <f>HYPERLINK("https://pbs.twimg.com/profile_images/988971255679324162/jrqiIYf__normal.jpg","View")</f>
        <v>View</v>
      </c>
      <c r="P813" s="7"/>
    </row>
    <row r="814" spans="1:16">
      <c r="A814" s="3">
        <v>43979.096168981487</v>
      </c>
      <c r="B814" s="4" t="str">
        <f>HYPERLINK("https://twitter.com/sergio_fajardo","@sergio_fajardo")</f>
        <v>@sergio_fajardo</v>
      </c>
      <c r="C814" s="5" t="s">
        <v>16</v>
      </c>
      <c r="D814" s="5" t="s">
        <v>836</v>
      </c>
      <c r="E814" s="6" t="str">
        <f>HYPERLINK("https://twitter.com/sergio_fajardo/status/1265746720404770816","1265746720404770816")</f>
        <v>1265746720404770816</v>
      </c>
      <c r="F814" s="7" t="s">
        <v>17</v>
      </c>
      <c r="G814" s="7">
        <v>1541327</v>
      </c>
      <c r="H814" s="7">
        <v>367</v>
      </c>
      <c r="I814" s="7">
        <v>5</v>
      </c>
      <c r="J814" s="7">
        <v>0</v>
      </c>
      <c r="K814" s="7" t="s">
        <v>18</v>
      </c>
      <c r="L814" s="8">
        <v>39891.213356481479</v>
      </c>
      <c r="M814" s="9" t="s">
        <v>19</v>
      </c>
      <c r="N814" s="9" t="s">
        <v>22</v>
      </c>
      <c r="O814" s="6" t="str">
        <f>HYPERLINK("https://pbs.twimg.com/profile_images/988971255679324162/jrqiIYf__normal.jpg","View")</f>
        <v>View</v>
      </c>
      <c r="P814" s="7"/>
    </row>
    <row r="815" spans="1:16">
      <c r="A815" s="3">
        <v>43979.09674768518</v>
      </c>
      <c r="B815" s="4" t="str">
        <f>HYPERLINK("https://twitter.com/sergio_fajardo","@sergio_fajardo")</f>
        <v>@sergio_fajardo</v>
      </c>
      <c r="C815" s="5" t="s">
        <v>16</v>
      </c>
      <c r="D815" s="5" t="s">
        <v>837</v>
      </c>
      <c r="E815" s="6" t="str">
        <f>HYPERLINK("https://twitter.com/sergio_fajardo/status/1265746932745621509","1265746932745621509")</f>
        <v>1265746932745621509</v>
      </c>
      <c r="F815" s="7" t="s">
        <v>17</v>
      </c>
      <c r="G815" s="7">
        <v>1541327</v>
      </c>
      <c r="H815" s="7">
        <v>367</v>
      </c>
      <c r="I815" s="7">
        <v>3</v>
      </c>
      <c r="J815" s="7">
        <v>0</v>
      </c>
      <c r="K815" s="7" t="s">
        <v>18</v>
      </c>
      <c r="L815" s="8">
        <v>39891.213356481479</v>
      </c>
      <c r="M815" s="9" t="s">
        <v>19</v>
      </c>
      <c r="N815" s="9" t="s">
        <v>22</v>
      </c>
      <c r="O815" s="6" t="str">
        <f>HYPERLINK("https://pbs.twimg.com/profile_images/988971255679324162/jrqiIYf__normal.jpg","View")</f>
        <v>View</v>
      </c>
      <c r="P815" s="7"/>
    </row>
    <row r="816" spans="1:16">
      <c r="A816" s="3">
        <v>43979.098263888889</v>
      </c>
      <c r="B816" s="4" t="str">
        <f>HYPERLINK("https://twitter.com/sergio_fajardo","@sergio_fajardo")</f>
        <v>@sergio_fajardo</v>
      </c>
      <c r="C816" s="5" t="s">
        <v>16</v>
      </c>
      <c r="D816" s="5" t="s">
        <v>838</v>
      </c>
      <c r="E816" s="6" t="str">
        <f>HYPERLINK("https://twitter.com/sergio_fajardo/status/1265747482522406918","1265747482522406918")</f>
        <v>1265747482522406918</v>
      </c>
      <c r="F816" s="7" t="s">
        <v>17</v>
      </c>
      <c r="G816" s="7">
        <v>1541327</v>
      </c>
      <c r="H816" s="7">
        <v>367</v>
      </c>
      <c r="I816" s="7">
        <v>5</v>
      </c>
      <c r="J816" s="7">
        <v>0</v>
      </c>
      <c r="K816" s="7" t="s">
        <v>18</v>
      </c>
      <c r="L816" s="8">
        <v>39891.213356481479</v>
      </c>
      <c r="M816" s="9" t="s">
        <v>19</v>
      </c>
      <c r="N816" s="9" t="s">
        <v>22</v>
      </c>
      <c r="O816" s="6" t="str">
        <f>HYPERLINK("https://pbs.twimg.com/profile_images/988971255679324162/jrqiIYf__normal.jpg","View")</f>
        <v>View</v>
      </c>
      <c r="P816" s="7"/>
    </row>
    <row r="817" spans="1:16">
      <c r="A817" s="3">
        <v>43979.140034722222</v>
      </c>
      <c r="B817" s="4" t="str">
        <f>HYPERLINK("https://twitter.com/sergio_fajardo","@sergio_fajardo")</f>
        <v>@sergio_fajardo</v>
      </c>
      <c r="C817" s="5" t="s">
        <v>16</v>
      </c>
      <c r="D817" s="5" t="s">
        <v>839</v>
      </c>
      <c r="E817" s="6" t="str">
        <f>HYPERLINK("https://twitter.com/sergio_fajardo/status/1265762619656372228","1265762619656372228")</f>
        <v>1265762619656372228</v>
      </c>
      <c r="F817" s="7" t="s">
        <v>17</v>
      </c>
      <c r="G817" s="7">
        <v>1541321</v>
      </c>
      <c r="H817" s="7">
        <v>367</v>
      </c>
      <c r="I817" s="7">
        <v>5</v>
      </c>
      <c r="J817" s="7">
        <v>20</v>
      </c>
      <c r="K817" s="7" t="s">
        <v>18</v>
      </c>
      <c r="L817" s="8">
        <v>39891.213356481479</v>
      </c>
      <c r="M817" s="9" t="s">
        <v>19</v>
      </c>
      <c r="N817" s="9" t="s">
        <v>22</v>
      </c>
      <c r="O817" s="6" t="str">
        <f>HYPERLINK("https://pbs.twimg.com/profile_images/988971255679324162/jrqiIYf__normal.jpg","View")</f>
        <v>View</v>
      </c>
      <c r="P817" s="7"/>
    </row>
    <row r="818" spans="1:16">
      <c r="A818" s="3">
        <v>43979.146296296298</v>
      </c>
      <c r="B818" s="4" t="str">
        <f>HYPERLINK("https://twitter.com/sergio_fajardo","@sergio_fajardo")</f>
        <v>@sergio_fajardo</v>
      </c>
      <c r="C818" s="5" t="s">
        <v>16</v>
      </c>
      <c r="D818" s="5" t="s">
        <v>840</v>
      </c>
      <c r="E818" s="6" t="str">
        <f>HYPERLINK("https://twitter.com/sergio_fajardo/status/1265764888628146178","1265764888628146178")</f>
        <v>1265764888628146178</v>
      </c>
      <c r="F818" s="7" t="s">
        <v>17</v>
      </c>
      <c r="G818" s="7">
        <v>1541321</v>
      </c>
      <c r="H818" s="7">
        <v>367</v>
      </c>
      <c r="I818" s="7">
        <v>1</v>
      </c>
      <c r="J818" s="7">
        <v>0</v>
      </c>
      <c r="K818" s="7" t="s">
        <v>18</v>
      </c>
      <c r="L818" s="8">
        <v>39891.213356481479</v>
      </c>
      <c r="M818" s="9" t="s">
        <v>19</v>
      </c>
      <c r="N818" s="9" t="s">
        <v>22</v>
      </c>
      <c r="O818" s="6" t="str">
        <f>HYPERLINK("https://pbs.twimg.com/profile_images/988971255679324162/jrqiIYf__normal.jpg","View")</f>
        <v>View</v>
      </c>
      <c r="P818" s="7"/>
    </row>
    <row r="819" spans="1:16">
      <c r="A819" s="3">
        <v>43979.146365740744</v>
      </c>
      <c r="B819" s="4" t="str">
        <f>HYPERLINK("https://twitter.com/sergio_fajardo","@sergio_fajardo")</f>
        <v>@sergio_fajardo</v>
      </c>
      <c r="C819" s="5" t="s">
        <v>16</v>
      </c>
      <c r="D819" s="5" t="s">
        <v>841</v>
      </c>
      <c r="E819" s="6" t="str">
        <f>HYPERLINK("https://twitter.com/sergio_fajardo/status/1265764911231176706","1265764911231176706")</f>
        <v>1265764911231176706</v>
      </c>
      <c r="F819" s="7" t="s">
        <v>17</v>
      </c>
      <c r="G819" s="7">
        <v>1541321</v>
      </c>
      <c r="H819" s="7">
        <v>367</v>
      </c>
      <c r="I819" s="7">
        <v>9</v>
      </c>
      <c r="J819" s="7">
        <v>0</v>
      </c>
      <c r="K819" s="7" t="s">
        <v>18</v>
      </c>
      <c r="L819" s="8">
        <v>39891.213356481479</v>
      </c>
      <c r="M819" s="9" t="s">
        <v>19</v>
      </c>
      <c r="N819" s="9" t="s">
        <v>22</v>
      </c>
      <c r="O819" s="6" t="str">
        <f>HYPERLINK("https://pbs.twimg.com/profile_images/988971255679324162/jrqiIYf__normal.jpg","View")</f>
        <v>View</v>
      </c>
      <c r="P819" s="7"/>
    </row>
    <row r="820" spans="1:16">
      <c r="A820" s="3">
        <v>43979.157581018517</v>
      </c>
      <c r="B820" s="4" t="str">
        <f>HYPERLINK("https://twitter.com/sergio_fajardo","@sergio_fajardo")</f>
        <v>@sergio_fajardo</v>
      </c>
      <c r="C820" s="5" t="s">
        <v>16</v>
      </c>
      <c r="D820" s="5" t="s">
        <v>842</v>
      </c>
      <c r="E820" s="6" t="str">
        <f>HYPERLINK("https://twitter.com/sergio_fajardo/status/1265768975243370504","1265768975243370504")</f>
        <v>1265768975243370504</v>
      </c>
      <c r="F820" s="7" t="s">
        <v>23</v>
      </c>
      <c r="G820" s="7">
        <v>1541310</v>
      </c>
      <c r="H820" s="7">
        <v>367</v>
      </c>
      <c r="I820" s="7">
        <v>2</v>
      </c>
      <c r="J820" s="7">
        <v>5</v>
      </c>
      <c r="K820" s="7" t="s">
        <v>18</v>
      </c>
      <c r="L820" s="8">
        <v>39891.213356481479</v>
      </c>
      <c r="M820" s="9" t="s">
        <v>19</v>
      </c>
      <c r="N820" s="9" t="s">
        <v>22</v>
      </c>
      <c r="O820" s="6" t="str">
        <f>HYPERLINK("https://pbs.twimg.com/profile_images/988971255679324162/jrqiIYf__normal.jpg","View")</f>
        <v>View</v>
      </c>
      <c r="P820" s="7"/>
    </row>
    <row r="821" spans="1:16">
      <c r="A821" s="3">
        <v>43979.232222222221</v>
      </c>
      <c r="B821" s="4" t="str">
        <f>HYPERLINK("https://twitter.com/sergio_fajardo","@sergio_fajardo")</f>
        <v>@sergio_fajardo</v>
      </c>
      <c r="C821" s="5" t="s">
        <v>16</v>
      </c>
      <c r="D821" s="5" t="s">
        <v>843</v>
      </c>
      <c r="E821" s="6" t="str">
        <f>HYPERLINK("https://twitter.com/sergio_fajardo/status/1265796024150491141","1265796024150491141")</f>
        <v>1265796024150491141</v>
      </c>
      <c r="F821" s="7" t="s">
        <v>17</v>
      </c>
      <c r="G821" s="7">
        <v>1541316</v>
      </c>
      <c r="H821" s="7">
        <v>367</v>
      </c>
      <c r="I821" s="7">
        <v>4</v>
      </c>
      <c r="J821" s="7">
        <v>22</v>
      </c>
      <c r="K821" s="7" t="s">
        <v>18</v>
      </c>
      <c r="L821" s="8">
        <v>39891.213356481479</v>
      </c>
      <c r="M821" s="9" t="s">
        <v>19</v>
      </c>
      <c r="N821" s="9" t="s">
        <v>22</v>
      </c>
      <c r="O821" s="6" t="str">
        <f>HYPERLINK("https://pbs.twimg.com/profile_images/988971255679324162/jrqiIYf__normal.jpg","View")</f>
        <v>View</v>
      </c>
      <c r="P821" s="7"/>
    </row>
    <row r="822" spans="1:16">
      <c r="A822" s="3">
        <v>43979.341608796298</v>
      </c>
      <c r="B822" s="4" t="str">
        <f>HYPERLINK("https://twitter.com/sergio_fajardo","@sergio_fajardo")</f>
        <v>@sergio_fajardo</v>
      </c>
      <c r="C822" s="5" t="s">
        <v>16</v>
      </c>
      <c r="D822" s="5" t="s">
        <v>844</v>
      </c>
      <c r="E822" s="6" t="str">
        <f>HYPERLINK("https://twitter.com/sergio_fajardo/status/1265835667050946561","1265835667050946561")</f>
        <v>1265835667050946561</v>
      </c>
      <c r="F822" s="7" t="s">
        <v>17</v>
      </c>
      <c r="G822" s="7">
        <v>1541328</v>
      </c>
      <c r="H822" s="7">
        <v>367</v>
      </c>
      <c r="I822" s="7">
        <v>12</v>
      </c>
      <c r="J822" s="7">
        <v>0</v>
      </c>
      <c r="K822" s="7" t="s">
        <v>18</v>
      </c>
      <c r="L822" s="8">
        <v>39891.213356481479</v>
      </c>
      <c r="M822" s="9" t="s">
        <v>19</v>
      </c>
      <c r="N822" s="9" t="s">
        <v>22</v>
      </c>
      <c r="O822" s="6" t="str">
        <f>HYPERLINK("https://pbs.twimg.com/profile_images/988971255679324162/jrqiIYf__normal.jpg","View")</f>
        <v>View</v>
      </c>
      <c r="P822" s="7"/>
    </row>
    <row r="823" spans="1:16">
      <c r="A823" s="3">
        <v>43979.382361111115</v>
      </c>
      <c r="B823" s="4" t="str">
        <f>HYPERLINK("https://twitter.com/sergio_fajardo","@sergio_fajardo")</f>
        <v>@sergio_fajardo</v>
      </c>
      <c r="C823" s="5" t="s">
        <v>16</v>
      </c>
      <c r="D823" s="5" t="s">
        <v>845</v>
      </c>
      <c r="E823" s="6" t="str">
        <f>HYPERLINK("https://twitter.com/sergio_fajardo/status/1265850436101328896","1265850436101328896")</f>
        <v>1265850436101328896</v>
      </c>
      <c r="F823" s="7" t="s">
        <v>17</v>
      </c>
      <c r="G823" s="7">
        <v>1541323</v>
      </c>
      <c r="H823" s="7">
        <v>367</v>
      </c>
      <c r="I823" s="7">
        <v>28</v>
      </c>
      <c r="J823" s="7">
        <v>0</v>
      </c>
      <c r="K823" s="7" t="s">
        <v>18</v>
      </c>
      <c r="L823" s="8">
        <v>39891.213356481479</v>
      </c>
      <c r="M823" s="9" t="s">
        <v>19</v>
      </c>
      <c r="N823" s="9" t="s">
        <v>22</v>
      </c>
      <c r="O823" s="6" t="str">
        <f>HYPERLINK("https://pbs.twimg.com/profile_images/988971255679324162/jrqiIYf__normal.jpg","View")</f>
        <v>View</v>
      </c>
      <c r="P823" s="7"/>
    </row>
    <row r="824" spans="1:16">
      <c r="A824" s="3">
        <v>43979.384456018517</v>
      </c>
      <c r="B824" s="4" t="str">
        <f>HYPERLINK("https://twitter.com/sergio_fajardo","@sergio_fajardo")</f>
        <v>@sergio_fajardo</v>
      </c>
      <c r="C824" s="5" t="s">
        <v>16</v>
      </c>
      <c r="D824" s="5" t="s">
        <v>846</v>
      </c>
      <c r="E824" s="6" t="str">
        <f>HYPERLINK("https://twitter.com/sergio_fajardo/status/1265851192195846148","1265851192195846148")</f>
        <v>1265851192195846148</v>
      </c>
      <c r="F824" s="7" t="s">
        <v>17</v>
      </c>
      <c r="G824" s="7">
        <v>1541323</v>
      </c>
      <c r="H824" s="7">
        <v>367</v>
      </c>
      <c r="I824" s="7">
        <v>89</v>
      </c>
      <c r="J824" s="7">
        <v>0</v>
      </c>
      <c r="K824" s="7" t="s">
        <v>18</v>
      </c>
      <c r="L824" s="8">
        <v>39891.213356481479</v>
      </c>
      <c r="M824" s="9" t="s">
        <v>19</v>
      </c>
      <c r="N824" s="9" t="s">
        <v>22</v>
      </c>
      <c r="O824" s="6" t="str">
        <f>HYPERLINK("https://pbs.twimg.com/profile_images/988971255679324162/jrqiIYf__normal.jpg","View")</f>
        <v>View</v>
      </c>
      <c r="P824" s="7"/>
    </row>
    <row r="825" spans="1:16">
      <c r="A825" s="3">
        <v>43979.384560185186</v>
      </c>
      <c r="B825" s="4" t="str">
        <f>HYPERLINK("https://twitter.com/sergio_fajardo","@sergio_fajardo")</f>
        <v>@sergio_fajardo</v>
      </c>
      <c r="C825" s="5" t="s">
        <v>16</v>
      </c>
      <c r="D825" s="5" t="s">
        <v>847</v>
      </c>
      <c r="E825" s="6" t="str">
        <f>HYPERLINK("https://twitter.com/sergio_fajardo/status/1265851230494097413","1265851230494097413")</f>
        <v>1265851230494097413</v>
      </c>
      <c r="F825" s="7" t="s">
        <v>17</v>
      </c>
      <c r="G825" s="7">
        <v>1541323</v>
      </c>
      <c r="H825" s="7">
        <v>367</v>
      </c>
      <c r="I825" s="7">
        <v>7</v>
      </c>
      <c r="J825" s="7">
        <v>0</v>
      </c>
      <c r="K825" s="7" t="s">
        <v>18</v>
      </c>
      <c r="L825" s="8">
        <v>39891.213356481479</v>
      </c>
      <c r="M825" s="9" t="s">
        <v>19</v>
      </c>
      <c r="N825" s="9" t="s">
        <v>22</v>
      </c>
      <c r="O825" s="6" t="str">
        <f>HYPERLINK("https://pbs.twimg.com/profile_images/988971255679324162/jrqiIYf__normal.jpg","View")</f>
        <v>View</v>
      </c>
      <c r="P825" s="7"/>
    </row>
    <row r="826" spans="1:16">
      <c r="A826" s="3">
        <v>43979.385162037041</v>
      </c>
      <c r="B826" s="4" t="str">
        <f>HYPERLINK("https://twitter.com/sergio_fajardo","@sergio_fajardo")</f>
        <v>@sergio_fajardo</v>
      </c>
      <c r="C826" s="5" t="s">
        <v>16</v>
      </c>
      <c r="D826" s="5" t="s">
        <v>848</v>
      </c>
      <c r="E826" s="6" t="str">
        <f>HYPERLINK("https://twitter.com/sergio_fajardo/status/1265851447519969281","1265851447519969281")</f>
        <v>1265851447519969281</v>
      </c>
      <c r="F826" s="7" t="s">
        <v>17</v>
      </c>
      <c r="G826" s="7">
        <v>1541323</v>
      </c>
      <c r="H826" s="7">
        <v>367</v>
      </c>
      <c r="I826" s="7">
        <v>33</v>
      </c>
      <c r="J826" s="7">
        <v>0</v>
      </c>
      <c r="K826" s="7" t="s">
        <v>18</v>
      </c>
      <c r="L826" s="8">
        <v>39891.213356481479</v>
      </c>
      <c r="M826" s="9" t="s">
        <v>19</v>
      </c>
      <c r="N826" s="9" t="s">
        <v>22</v>
      </c>
      <c r="O826" s="6" t="str">
        <f>HYPERLINK("https://pbs.twimg.com/profile_images/988971255679324162/jrqiIYf__normal.jpg","View")</f>
        <v>View</v>
      </c>
      <c r="P826" s="7"/>
    </row>
    <row r="827" spans="1:16">
      <c r="A827" s="3">
        <v>43979.385324074072</v>
      </c>
      <c r="B827" s="4" t="str">
        <f>HYPERLINK("https://twitter.com/sergio_fajardo","@sergio_fajardo")</f>
        <v>@sergio_fajardo</v>
      </c>
      <c r="C827" s="5" t="s">
        <v>16</v>
      </c>
      <c r="D827" s="5" t="s">
        <v>849</v>
      </c>
      <c r="E827" s="6" t="str">
        <f>HYPERLINK("https://twitter.com/sergio_fajardo/status/1265851506324013057","1265851506324013057")</f>
        <v>1265851506324013057</v>
      </c>
      <c r="F827" s="7" t="s">
        <v>17</v>
      </c>
      <c r="G827" s="7">
        <v>1541323</v>
      </c>
      <c r="H827" s="7">
        <v>367</v>
      </c>
      <c r="I827" s="7">
        <v>1</v>
      </c>
      <c r="J827" s="7">
        <v>0</v>
      </c>
      <c r="K827" s="7" t="s">
        <v>18</v>
      </c>
      <c r="L827" s="8">
        <v>39891.213356481479</v>
      </c>
      <c r="M827" s="9" t="s">
        <v>19</v>
      </c>
      <c r="N827" s="9" t="s">
        <v>22</v>
      </c>
      <c r="O827" s="6" t="str">
        <f>HYPERLINK("https://pbs.twimg.com/profile_images/988971255679324162/jrqiIYf__normal.jpg","View")</f>
        <v>View</v>
      </c>
      <c r="P827" s="7"/>
    </row>
    <row r="828" spans="1:16">
      <c r="A828" s="3">
        <v>43979.385752314818</v>
      </c>
      <c r="B828" s="4" t="str">
        <f>HYPERLINK("https://twitter.com/sergio_fajardo","@sergio_fajardo")</f>
        <v>@sergio_fajardo</v>
      </c>
      <c r="C828" s="5" t="s">
        <v>16</v>
      </c>
      <c r="D828" s="5" t="s">
        <v>850</v>
      </c>
      <c r="E828" s="6" t="str">
        <f>HYPERLINK("https://twitter.com/sergio_fajardo/status/1265851661274267649","1265851661274267649")</f>
        <v>1265851661274267649</v>
      </c>
      <c r="F828" s="7" t="s">
        <v>17</v>
      </c>
      <c r="G828" s="7">
        <v>1541323</v>
      </c>
      <c r="H828" s="7">
        <v>367</v>
      </c>
      <c r="I828" s="7">
        <v>18</v>
      </c>
      <c r="J828" s="7">
        <v>0</v>
      </c>
      <c r="K828" s="7" t="s">
        <v>18</v>
      </c>
      <c r="L828" s="8">
        <v>39891.213356481479</v>
      </c>
      <c r="M828" s="9" t="s">
        <v>19</v>
      </c>
      <c r="N828" s="9" t="s">
        <v>22</v>
      </c>
      <c r="O828" s="6" t="str">
        <f>HYPERLINK("https://pbs.twimg.com/profile_images/988971255679324162/jrqiIYf__normal.jpg","View")</f>
        <v>View</v>
      </c>
      <c r="P828" s="7"/>
    </row>
    <row r="829" spans="1:16">
      <c r="A829" s="3">
        <v>43979.386180555557</v>
      </c>
      <c r="B829" s="4" t="str">
        <f>HYPERLINK("https://twitter.com/sergio_fajardo","@sergio_fajardo")</f>
        <v>@sergio_fajardo</v>
      </c>
      <c r="C829" s="5" t="s">
        <v>16</v>
      </c>
      <c r="D829" s="5" t="s">
        <v>851</v>
      </c>
      <c r="E829" s="6" t="str">
        <f>HYPERLINK("https://twitter.com/sergio_fajardo/status/1265851816111153152","1265851816111153152")</f>
        <v>1265851816111153152</v>
      </c>
      <c r="F829" s="7" t="s">
        <v>17</v>
      </c>
      <c r="G829" s="7">
        <v>1541323</v>
      </c>
      <c r="H829" s="7">
        <v>367</v>
      </c>
      <c r="I829" s="7">
        <v>16</v>
      </c>
      <c r="J829" s="7">
        <v>0</v>
      </c>
      <c r="K829" s="7" t="s">
        <v>18</v>
      </c>
      <c r="L829" s="8">
        <v>39891.213356481479</v>
      </c>
      <c r="M829" s="9" t="s">
        <v>19</v>
      </c>
      <c r="N829" s="9" t="s">
        <v>22</v>
      </c>
      <c r="O829" s="6" t="str">
        <f>HYPERLINK("https://pbs.twimg.com/profile_images/988971255679324162/jrqiIYf__normal.jpg","View")</f>
        <v>View</v>
      </c>
      <c r="P829" s="7"/>
    </row>
    <row r="830" spans="1:16">
      <c r="A830" s="3">
        <v>43979.386273148149</v>
      </c>
      <c r="B830" s="4" t="str">
        <f>HYPERLINK("https://twitter.com/sergio_fajardo","@sergio_fajardo")</f>
        <v>@sergio_fajardo</v>
      </c>
      <c r="C830" s="5" t="s">
        <v>16</v>
      </c>
      <c r="D830" s="5" t="s">
        <v>852</v>
      </c>
      <c r="E830" s="6" t="str">
        <f>HYPERLINK("https://twitter.com/sergio_fajardo/status/1265851850064039936","1265851850064039936")</f>
        <v>1265851850064039936</v>
      </c>
      <c r="F830" s="7" t="s">
        <v>17</v>
      </c>
      <c r="G830" s="7">
        <v>1541323</v>
      </c>
      <c r="H830" s="7">
        <v>367</v>
      </c>
      <c r="I830" s="7">
        <v>21</v>
      </c>
      <c r="J830" s="7">
        <v>0</v>
      </c>
      <c r="K830" s="7" t="s">
        <v>18</v>
      </c>
      <c r="L830" s="8">
        <v>39891.213356481479</v>
      </c>
      <c r="M830" s="9" t="s">
        <v>19</v>
      </c>
      <c r="N830" s="9" t="s">
        <v>22</v>
      </c>
      <c r="O830" s="6" t="str">
        <f>HYPERLINK("https://pbs.twimg.com/profile_images/988971255679324162/jrqiIYf__normal.jpg","View")</f>
        <v>View</v>
      </c>
      <c r="P830" s="7"/>
    </row>
    <row r="831" spans="1:16">
      <c r="A831" s="3">
        <v>43979.387754629628</v>
      </c>
      <c r="B831" s="4" t="str">
        <f>HYPERLINK("https://twitter.com/sergio_fajardo","@sergio_fajardo")</f>
        <v>@sergio_fajardo</v>
      </c>
      <c r="C831" s="5" t="s">
        <v>16</v>
      </c>
      <c r="D831" s="5" t="s">
        <v>853</v>
      </c>
      <c r="E831" s="6" t="str">
        <f>HYPERLINK("https://twitter.com/sergio_fajardo/status/1265852387111178240","1265852387111178240")</f>
        <v>1265852387111178240</v>
      </c>
      <c r="F831" s="7" t="s">
        <v>17</v>
      </c>
      <c r="G831" s="7">
        <v>1541323</v>
      </c>
      <c r="H831" s="7">
        <v>367</v>
      </c>
      <c r="I831" s="7">
        <v>57</v>
      </c>
      <c r="J831" s="7">
        <v>0</v>
      </c>
      <c r="K831" s="7" t="s">
        <v>18</v>
      </c>
      <c r="L831" s="8">
        <v>39891.213356481479</v>
      </c>
      <c r="M831" s="9" t="s">
        <v>19</v>
      </c>
      <c r="N831" s="9" t="s">
        <v>22</v>
      </c>
      <c r="O831" s="6" t="str">
        <f>HYPERLINK("https://pbs.twimg.com/profile_images/988971255679324162/jrqiIYf__normal.jpg","View")</f>
        <v>View</v>
      </c>
      <c r="P831" s="7"/>
    </row>
    <row r="832" spans="1:16">
      <c r="A832" s="3">
        <v>43979.388206018513</v>
      </c>
      <c r="B832" s="4" t="str">
        <f>HYPERLINK("https://twitter.com/sergio_fajardo","@sergio_fajardo")</f>
        <v>@sergio_fajardo</v>
      </c>
      <c r="C832" s="5" t="s">
        <v>16</v>
      </c>
      <c r="D832" s="5" t="s">
        <v>854</v>
      </c>
      <c r="E832" s="6" t="str">
        <f>HYPERLINK("https://twitter.com/sergio_fajardo/status/1265852550370254849","1265852550370254849")</f>
        <v>1265852550370254849</v>
      </c>
      <c r="F832" s="7" t="s">
        <v>17</v>
      </c>
      <c r="G832" s="7">
        <v>1541323</v>
      </c>
      <c r="H832" s="7">
        <v>367</v>
      </c>
      <c r="I832" s="7">
        <v>7</v>
      </c>
      <c r="J832" s="7">
        <v>0</v>
      </c>
      <c r="K832" s="7" t="s">
        <v>18</v>
      </c>
      <c r="L832" s="8">
        <v>39891.213356481479</v>
      </c>
      <c r="M832" s="9" t="s">
        <v>19</v>
      </c>
      <c r="N832" s="9" t="s">
        <v>22</v>
      </c>
      <c r="O832" s="6" t="str">
        <f>HYPERLINK("https://pbs.twimg.com/profile_images/988971255679324162/jrqiIYf__normal.jpg","View")</f>
        <v>View</v>
      </c>
      <c r="P832" s="7"/>
    </row>
    <row r="833" spans="1:16">
      <c r="A833" s="3">
        <v>43979.396400462967</v>
      </c>
      <c r="B833" s="4" t="str">
        <f>HYPERLINK("https://twitter.com/sergio_fajardo","@sergio_fajardo")</f>
        <v>@sergio_fajardo</v>
      </c>
      <c r="C833" s="5" t="s">
        <v>16</v>
      </c>
      <c r="D833" s="5" t="s">
        <v>855</v>
      </c>
      <c r="E833" s="6" t="str">
        <f>HYPERLINK("https://twitter.com/sergio_fajardo/status/1265855523473305600","1265855523473305600")</f>
        <v>1265855523473305600</v>
      </c>
      <c r="F833" s="7" t="s">
        <v>17</v>
      </c>
      <c r="G833" s="7">
        <v>1541323</v>
      </c>
      <c r="H833" s="7">
        <v>367</v>
      </c>
      <c r="I833" s="7">
        <v>2</v>
      </c>
      <c r="J833" s="7">
        <v>9</v>
      </c>
      <c r="K833" s="7" t="s">
        <v>18</v>
      </c>
      <c r="L833" s="8">
        <v>39891.213356481479</v>
      </c>
      <c r="M833" s="9" t="s">
        <v>19</v>
      </c>
      <c r="N833" s="9" t="s">
        <v>22</v>
      </c>
      <c r="O833" s="6" t="str">
        <f>HYPERLINK("https://pbs.twimg.com/profile_images/988971255679324162/jrqiIYf__normal.jpg","View")</f>
        <v>View</v>
      </c>
      <c r="P833" s="7"/>
    </row>
    <row r="834" spans="1:16">
      <c r="A834" s="3">
        <v>43979.398819444439</v>
      </c>
      <c r="B834" s="4" t="str">
        <f>HYPERLINK("https://twitter.com/sergio_fajardo","@sergio_fajardo")</f>
        <v>@sergio_fajardo</v>
      </c>
      <c r="C834" s="5" t="s">
        <v>16</v>
      </c>
      <c r="D834" s="5" t="s">
        <v>856</v>
      </c>
      <c r="E834" s="6" t="str">
        <f>HYPERLINK("https://twitter.com/sergio_fajardo/status/1265856400028307456","1265856400028307456")</f>
        <v>1265856400028307456</v>
      </c>
      <c r="F834" s="7" t="s">
        <v>17</v>
      </c>
      <c r="G834" s="7">
        <v>1541311</v>
      </c>
      <c r="H834" s="7">
        <v>368</v>
      </c>
      <c r="I834" s="7">
        <v>90</v>
      </c>
      <c r="J834" s="7">
        <v>0</v>
      </c>
      <c r="K834" s="7" t="s">
        <v>18</v>
      </c>
      <c r="L834" s="8">
        <v>39891.213356481479</v>
      </c>
      <c r="M834" s="9" t="s">
        <v>19</v>
      </c>
      <c r="N834" s="9" t="s">
        <v>22</v>
      </c>
      <c r="O834" s="6" t="str">
        <f>HYPERLINK("https://pbs.twimg.com/profile_images/988971255679324162/jrqiIYf__normal.jpg","View")</f>
        <v>View</v>
      </c>
      <c r="P834" s="7"/>
    </row>
    <row r="835" spans="1:16">
      <c r="A835" s="3">
        <v>43979.840416666666</v>
      </c>
      <c r="B835" s="4" t="str">
        <f>HYPERLINK("https://twitter.com/sergio_fajardo","@sergio_fajardo")</f>
        <v>@sergio_fajardo</v>
      </c>
      <c r="C835" s="5" t="s">
        <v>16</v>
      </c>
      <c r="D835" s="5" t="s">
        <v>857</v>
      </c>
      <c r="E835" s="6" t="str">
        <f>HYPERLINK("https://twitter.com/sergio_fajardo/status/1266016427808612353","1266016427808612353")</f>
        <v>1266016427808612353</v>
      </c>
      <c r="F835" s="7" t="s">
        <v>17</v>
      </c>
      <c r="G835" s="7">
        <v>1541311</v>
      </c>
      <c r="H835" s="7">
        <v>368</v>
      </c>
      <c r="I835" s="7">
        <v>10</v>
      </c>
      <c r="J835" s="7">
        <v>0</v>
      </c>
      <c r="K835" s="7" t="s">
        <v>18</v>
      </c>
      <c r="L835" s="8">
        <v>39891.213356481479</v>
      </c>
      <c r="M835" s="9" t="s">
        <v>19</v>
      </c>
      <c r="N835" s="9" t="s">
        <v>22</v>
      </c>
      <c r="O835" s="6" t="str">
        <f>HYPERLINK("https://pbs.twimg.com/profile_images/988971255679324162/jrqiIYf__normal.jpg","View")</f>
        <v>View</v>
      </c>
      <c r="P835" s="7"/>
    </row>
    <row r="836" spans="1:16">
      <c r="A836" s="3">
        <v>43980.007777777777</v>
      </c>
      <c r="B836" s="4" t="str">
        <f>HYPERLINK("https://twitter.com/sergio_fajardo","@sergio_fajardo")</f>
        <v>@sergio_fajardo</v>
      </c>
      <c r="C836" s="5" t="s">
        <v>16</v>
      </c>
      <c r="D836" s="5" t="s">
        <v>858</v>
      </c>
      <c r="E836" s="6" t="str">
        <f>HYPERLINK("https://twitter.com/sergio_fajardo/status/1266077075410124800","1266077075410124800")</f>
        <v>1266077075410124800</v>
      </c>
      <c r="F836" s="7" t="s">
        <v>17</v>
      </c>
      <c r="G836" s="7">
        <v>1541306</v>
      </c>
      <c r="H836" s="7">
        <v>368</v>
      </c>
      <c r="I836" s="7">
        <v>210</v>
      </c>
      <c r="J836" s="7">
        <v>0</v>
      </c>
      <c r="K836" s="7" t="s">
        <v>18</v>
      </c>
      <c r="L836" s="8">
        <v>39891.213356481479</v>
      </c>
      <c r="M836" s="9" t="s">
        <v>19</v>
      </c>
      <c r="N836" s="9" t="s">
        <v>22</v>
      </c>
      <c r="O836" s="6" t="str">
        <f>HYPERLINK("https://pbs.twimg.com/profile_images/988971255679324162/jrqiIYf__normal.jpg","View")</f>
        <v>View</v>
      </c>
      <c r="P836" s="7"/>
    </row>
    <row r="837" spans="1:16">
      <c r="A837" s="3">
        <v>43980.059178240743</v>
      </c>
      <c r="B837" s="4" t="str">
        <f>HYPERLINK("https://twitter.com/sergio_fajardo","@sergio_fajardo")</f>
        <v>@sergio_fajardo</v>
      </c>
      <c r="C837" s="5" t="s">
        <v>16</v>
      </c>
      <c r="D837" s="5" t="s">
        <v>859</v>
      </c>
      <c r="E837" s="6" t="str">
        <f>HYPERLINK("https://twitter.com/sergio_fajardo/status/1266095703203471363","1266095703203471363")</f>
        <v>1266095703203471363</v>
      </c>
      <c r="F837" s="7" t="s">
        <v>17</v>
      </c>
      <c r="G837" s="7">
        <v>1541316</v>
      </c>
      <c r="H837" s="7">
        <v>368</v>
      </c>
      <c r="I837" s="7">
        <v>2</v>
      </c>
      <c r="J837" s="7">
        <v>0</v>
      </c>
      <c r="K837" s="7" t="s">
        <v>18</v>
      </c>
      <c r="L837" s="8">
        <v>39891.213356481479</v>
      </c>
      <c r="M837" s="9" t="s">
        <v>19</v>
      </c>
      <c r="N837" s="9" t="s">
        <v>22</v>
      </c>
      <c r="O837" s="6" t="str">
        <f>HYPERLINK("https://pbs.twimg.com/profile_images/988971255679324162/jrqiIYf__normal.jpg","View")</f>
        <v>View</v>
      </c>
      <c r="P837" s="7"/>
    </row>
    <row r="838" spans="1:16">
      <c r="A838" s="3">
        <v>43980.060763888891</v>
      </c>
      <c r="B838" s="4" t="str">
        <f>HYPERLINK("https://twitter.com/sergio_fajardo","@sergio_fajardo")</f>
        <v>@sergio_fajardo</v>
      </c>
      <c r="C838" s="5" t="s">
        <v>16</v>
      </c>
      <c r="D838" s="5" t="s">
        <v>860</v>
      </c>
      <c r="E838" s="6" t="str">
        <f>HYPERLINK("https://twitter.com/sergio_fajardo/status/1266096280364888065","1266096280364888065")</f>
        <v>1266096280364888065</v>
      </c>
      <c r="F838" s="7" t="s">
        <v>17</v>
      </c>
      <c r="G838" s="7">
        <v>1541316</v>
      </c>
      <c r="H838" s="7">
        <v>368</v>
      </c>
      <c r="I838" s="7">
        <v>9</v>
      </c>
      <c r="J838" s="7">
        <v>0</v>
      </c>
      <c r="K838" s="7" t="s">
        <v>18</v>
      </c>
      <c r="L838" s="8">
        <v>39891.213356481479</v>
      </c>
      <c r="M838" s="9" t="s">
        <v>19</v>
      </c>
      <c r="N838" s="9" t="s">
        <v>22</v>
      </c>
      <c r="O838" s="6" t="str">
        <f>HYPERLINK("https://pbs.twimg.com/profile_images/988971255679324162/jrqiIYf__normal.jpg","View")</f>
        <v>View</v>
      </c>
      <c r="P838" s="7"/>
    </row>
    <row r="839" spans="1:16">
      <c r="A839" s="3">
        <v>43980.062268518523</v>
      </c>
      <c r="B839" s="4" t="str">
        <f>HYPERLINK("https://twitter.com/sergio_fajardo","@sergio_fajardo")</f>
        <v>@sergio_fajardo</v>
      </c>
      <c r="C839" s="5" t="s">
        <v>16</v>
      </c>
      <c r="D839" s="5" t="s">
        <v>861</v>
      </c>
      <c r="E839" s="6" t="str">
        <f>HYPERLINK("https://twitter.com/sergio_fajardo/status/1266096824588341249","1266096824588341249")</f>
        <v>1266096824588341249</v>
      </c>
      <c r="F839" s="7" t="s">
        <v>17</v>
      </c>
      <c r="G839" s="7">
        <v>1541316</v>
      </c>
      <c r="H839" s="7">
        <v>368</v>
      </c>
      <c r="I839" s="7">
        <v>5</v>
      </c>
      <c r="J839" s="7">
        <v>0</v>
      </c>
      <c r="K839" s="7" t="s">
        <v>18</v>
      </c>
      <c r="L839" s="8">
        <v>39891.213356481479</v>
      </c>
      <c r="M839" s="9" t="s">
        <v>19</v>
      </c>
      <c r="N839" s="9" t="s">
        <v>22</v>
      </c>
      <c r="O839" s="6" t="str">
        <f>HYPERLINK("https://pbs.twimg.com/profile_images/988971255679324162/jrqiIYf__normal.jpg","View")</f>
        <v>View</v>
      </c>
      <c r="P839" s="7"/>
    </row>
    <row r="840" spans="1:16">
      <c r="A840" s="3">
        <v>43980.387789351851</v>
      </c>
      <c r="B840" s="4" t="str">
        <f>HYPERLINK("https://twitter.com/sergio_fajardo","@sergio_fajardo")</f>
        <v>@sergio_fajardo</v>
      </c>
      <c r="C840" s="5" t="s">
        <v>16</v>
      </c>
      <c r="D840" s="5" t="s">
        <v>862</v>
      </c>
      <c r="E840" s="6" t="str">
        <f>HYPERLINK("https://twitter.com/sergio_fajardo/status/1266214788037820416","1266214788037820416")</f>
        <v>1266214788037820416</v>
      </c>
      <c r="F840" s="7" t="s">
        <v>17</v>
      </c>
      <c r="G840" s="7">
        <v>1541349</v>
      </c>
      <c r="H840" s="7">
        <v>368</v>
      </c>
      <c r="I840" s="7">
        <v>1</v>
      </c>
      <c r="J840" s="7">
        <v>5</v>
      </c>
      <c r="K840" s="7" t="s">
        <v>18</v>
      </c>
      <c r="L840" s="8">
        <v>39891.213356481479</v>
      </c>
      <c r="M840" s="9" t="s">
        <v>19</v>
      </c>
      <c r="N840" s="9" t="s">
        <v>22</v>
      </c>
      <c r="O840" s="6" t="str">
        <f>HYPERLINK("https://pbs.twimg.com/profile_images/988971255679324162/jrqiIYf__normal.jpg","View")</f>
        <v>View</v>
      </c>
      <c r="P840" s="7"/>
    </row>
    <row r="841" spans="1:16">
      <c r="A841" s="3">
        <v>43980.655312499999</v>
      </c>
      <c r="B841" s="4" t="str">
        <f>HYPERLINK("https://twitter.com/sergio_fajardo","@sergio_fajardo")</f>
        <v>@sergio_fajardo</v>
      </c>
      <c r="C841" s="5" t="s">
        <v>16</v>
      </c>
      <c r="D841" s="5" t="s">
        <v>863</v>
      </c>
      <c r="E841" s="6" t="str">
        <f>HYPERLINK("https://twitter.com/sergio_fajardo/status/1266311734970716160","1266311734970716160")</f>
        <v>1266311734970716160</v>
      </c>
      <c r="F841" s="7" t="s">
        <v>17</v>
      </c>
      <c r="G841" s="7">
        <v>1541340</v>
      </c>
      <c r="H841" s="7">
        <v>368</v>
      </c>
      <c r="I841" s="7">
        <v>27</v>
      </c>
      <c r="J841" s="7">
        <v>0</v>
      </c>
      <c r="K841" s="7" t="s">
        <v>18</v>
      </c>
      <c r="L841" s="8">
        <v>39891.213356481479</v>
      </c>
      <c r="M841" s="9" t="s">
        <v>19</v>
      </c>
      <c r="N841" s="9" t="s">
        <v>22</v>
      </c>
      <c r="O841" s="6" t="str">
        <f>HYPERLINK("https://pbs.twimg.com/profile_images/988971255679324162/jrqiIYf__normal.jpg","View")</f>
        <v>View</v>
      </c>
      <c r="P841" s="7"/>
    </row>
    <row r="842" spans="1:16">
      <c r="A842" s="3">
        <v>43980.677743055552</v>
      </c>
      <c r="B842" s="4" t="str">
        <f>HYPERLINK("https://twitter.com/sergio_fajardo","@sergio_fajardo")</f>
        <v>@sergio_fajardo</v>
      </c>
      <c r="C842" s="5" t="s">
        <v>16</v>
      </c>
      <c r="D842" s="5" t="s">
        <v>864</v>
      </c>
      <c r="E842" s="6" t="str">
        <f>HYPERLINK("https://twitter.com/sergio_fajardo/status/1266319863867494400","1266319863867494400")</f>
        <v>1266319863867494400</v>
      </c>
      <c r="F842" s="7" t="s">
        <v>17</v>
      </c>
      <c r="G842" s="7">
        <v>1541344</v>
      </c>
      <c r="H842" s="7">
        <v>368</v>
      </c>
      <c r="I842" s="7">
        <v>12</v>
      </c>
      <c r="J842" s="7">
        <v>57</v>
      </c>
      <c r="K842" s="7" t="s">
        <v>18</v>
      </c>
      <c r="L842" s="8">
        <v>39891.213356481479</v>
      </c>
      <c r="M842" s="9" t="s">
        <v>19</v>
      </c>
      <c r="N842" s="9" t="s">
        <v>22</v>
      </c>
      <c r="O842" s="6" t="str">
        <f>HYPERLINK("https://pbs.twimg.com/profile_images/988971255679324162/jrqiIYf__normal.jpg","View")</f>
        <v>View</v>
      </c>
      <c r="P842" s="7"/>
    </row>
    <row r="843" spans="1:16">
      <c r="A843" s="3">
        <v>43981.735868055555</v>
      </c>
      <c r="B843" s="4" t="str">
        <f>HYPERLINK("https://twitter.com/sergio_fajardo","@sergio_fajardo")</f>
        <v>@sergio_fajardo</v>
      </c>
      <c r="C843" s="5" t="s">
        <v>16</v>
      </c>
      <c r="D843" s="5" t="s">
        <v>865</v>
      </c>
      <c r="E843" s="6" t="str">
        <f>HYPERLINK("https://twitter.com/sergio_fajardo/status/1266703314709864448","1266703314709864448")</f>
        <v>1266703314709864448</v>
      </c>
      <c r="F843" s="7" t="s">
        <v>17</v>
      </c>
      <c r="G843" s="7">
        <v>1541439</v>
      </c>
      <c r="H843" s="7">
        <v>368</v>
      </c>
      <c r="I843" s="7">
        <v>34</v>
      </c>
      <c r="J843" s="7">
        <v>0</v>
      </c>
      <c r="K843" s="7" t="s">
        <v>18</v>
      </c>
      <c r="L843" s="8">
        <v>39891.213356481479</v>
      </c>
      <c r="M843" s="9" t="s">
        <v>19</v>
      </c>
      <c r="N843" s="9" t="s">
        <v>22</v>
      </c>
      <c r="O843" s="6" t="str">
        <f>HYPERLINK("https://pbs.twimg.com/profile_images/988971255679324162/jrqiIYf__normal.jpg","View")</f>
        <v>View</v>
      </c>
      <c r="P843" s="7"/>
    </row>
    <row r="844" spans="1:16">
      <c r="A844" s="3">
        <v>43981.736921296295</v>
      </c>
      <c r="B844" s="4" t="str">
        <f>HYPERLINK("https://twitter.com/sergio_fajardo","@sergio_fajardo")</f>
        <v>@sergio_fajardo</v>
      </c>
      <c r="C844" s="5" t="s">
        <v>16</v>
      </c>
      <c r="D844" s="5" t="s">
        <v>866</v>
      </c>
      <c r="E844" s="6" t="str">
        <f>HYPERLINK("https://twitter.com/sergio_fajardo/status/1266703698325049345","1266703698325049345")</f>
        <v>1266703698325049345</v>
      </c>
      <c r="F844" s="7" t="s">
        <v>17</v>
      </c>
      <c r="G844" s="7">
        <v>1541439</v>
      </c>
      <c r="H844" s="7">
        <v>368</v>
      </c>
      <c r="I844" s="7">
        <v>13</v>
      </c>
      <c r="J844" s="7">
        <v>210</v>
      </c>
      <c r="K844" s="7" t="s">
        <v>18</v>
      </c>
      <c r="L844" s="8">
        <v>39891.213356481479</v>
      </c>
      <c r="M844" s="9" t="s">
        <v>19</v>
      </c>
      <c r="N844" s="9" t="s">
        <v>22</v>
      </c>
      <c r="O844" s="6" t="str">
        <f>HYPERLINK("https://pbs.twimg.com/profile_images/988971255679324162/jrqiIYf__normal.jpg","View")</f>
        <v>View</v>
      </c>
      <c r="P844" s="7"/>
    </row>
    <row r="845" spans="1:16">
      <c r="A845" s="3">
        <v>43981.917627314819</v>
      </c>
      <c r="B845" s="4" t="str">
        <f>HYPERLINK("https://twitter.com/sergio_fajardo","@sergio_fajardo")</f>
        <v>@sergio_fajardo</v>
      </c>
      <c r="C845" s="5" t="s">
        <v>16</v>
      </c>
      <c r="D845" s="5" t="s">
        <v>867</v>
      </c>
      <c r="E845" s="6" t="str">
        <f>HYPERLINK("https://twitter.com/sergio_fajardo/status/1266769182428987392","1266769182428987392")</f>
        <v>1266769182428987392</v>
      </c>
      <c r="F845" s="7" t="s">
        <v>17</v>
      </c>
      <c r="G845" s="7">
        <v>1541447</v>
      </c>
      <c r="H845" s="7">
        <v>368</v>
      </c>
      <c r="I845" s="7">
        <v>834</v>
      </c>
      <c r="J845" s="7">
        <v>0</v>
      </c>
      <c r="K845" s="7" t="s">
        <v>18</v>
      </c>
      <c r="L845" s="8">
        <v>39891.213356481479</v>
      </c>
      <c r="M845" s="9" t="s">
        <v>19</v>
      </c>
      <c r="N845" s="9" t="s">
        <v>22</v>
      </c>
      <c r="O845" s="6" t="str">
        <f>HYPERLINK("https://pbs.twimg.com/profile_images/988971255679324162/jrqiIYf__normal.jpg","View")</f>
        <v>View</v>
      </c>
      <c r="P845" s="7"/>
    </row>
    <row r="846" spans="1:16">
      <c r="A846" s="3">
        <v>43981.917719907404</v>
      </c>
      <c r="B846" s="4" t="str">
        <f>HYPERLINK("https://twitter.com/sergio_fajardo","@sergio_fajardo")</f>
        <v>@sergio_fajardo</v>
      </c>
      <c r="C846" s="5" t="s">
        <v>16</v>
      </c>
      <c r="D846" s="5" t="s">
        <v>868</v>
      </c>
      <c r="E846" s="6" t="str">
        <f>HYPERLINK("https://twitter.com/sergio_fajardo/status/1266769215928905729","1266769215928905729")</f>
        <v>1266769215928905729</v>
      </c>
      <c r="F846" s="7" t="s">
        <v>17</v>
      </c>
      <c r="G846" s="7">
        <v>1541447</v>
      </c>
      <c r="H846" s="7">
        <v>368</v>
      </c>
      <c r="I846" s="7">
        <v>37</v>
      </c>
      <c r="J846" s="7">
        <v>0</v>
      </c>
      <c r="K846" s="7" t="s">
        <v>18</v>
      </c>
      <c r="L846" s="8">
        <v>39891.213356481479</v>
      </c>
      <c r="M846" s="9" t="s">
        <v>19</v>
      </c>
      <c r="N846" s="9" t="s">
        <v>22</v>
      </c>
      <c r="O846" s="6" t="str">
        <f>HYPERLINK("https://pbs.twimg.com/profile_images/988971255679324162/jrqiIYf__normal.jpg","View")</f>
        <v>View</v>
      </c>
      <c r="P846" s="7"/>
    </row>
    <row r="847" spans="1:16">
      <c r="A847" s="3">
        <v>43981.943368055552</v>
      </c>
      <c r="B847" s="4" t="str">
        <f>HYPERLINK("https://twitter.com/sergio_fajardo","@sergio_fajardo")</f>
        <v>@sergio_fajardo</v>
      </c>
      <c r="C847" s="5" t="s">
        <v>16</v>
      </c>
      <c r="D847" s="5" t="s">
        <v>869</v>
      </c>
      <c r="E847" s="6" t="str">
        <f>HYPERLINK("https://twitter.com/sergio_fajardo/status/1266778513501290498","1266778513501290498")</f>
        <v>1266778513501290498</v>
      </c>
      <c r="F847" s="7" t="s">
        <v>17</v>
      </c>
      <c r="G847" s="7">
        <v>1541446</v>
      </c>
      <c r="H847" s="7">
        <v>368</v>
      </c>
      <c r="I847" s="7">
        <v>127</v>
      </c>
      <c r="J847" s="7">
        <v>0</v>
      </c>
      <c r="K847" s="7" t="s">
        <v>18</v>
      </c>
      <c r="L847" s="8">
        <v>39891.213356481479</v>
      </c>
      <c r="M847" s="9" t="s">
        <v>19</v>
      </c>
      <c r="N847" s="9" t="s">
        <v>22</v>
      </c>
      <c r="O847" s="6" t="str">
        <f>HYPERLINK("https://pbs.twimg.com/profile_images/988971255679324162/jrqiIYf__normal.jpg","View")</f>
        <v>View</v>
      </c>
      <c r="P847" s="7"/>
    </row>
    <row r="848" spans="1:16">
      <c r="A848" s="3">
        <v>43982.009421296301</v>
      </c>
      <c r="B848" s="4" t="str">
        <f>HYPERLINK("https://twitter.com/sergio_fajardo","@sergio_fajardo")</f>
        <v>@sergio_fajardo</v>
      </c>
      <c r="C848" s="5" t="s">
        <v>16</v>
      </c>
      <c r="D848" s="5" t="s">
        <v>870</v>
      </c>
      <c r="E848" s="6" t="str">
        <f>HYPERLINK("https://twitter.com/sergio_fajardo/status/1266802450201280512","1266802450201280512")</f>
        <v>1266802450201280512</v>
      </c>
      <c r="F848" s="7" t="s">
        <v>17</v>
      </c>
      <c r="G848" s="7">
        <v>1541449</v>
      </c>
      <c r="H848" s="7">
        <v>368</v>
      </c>
      <c r="I848" s="7">
        <v>6</v>
      </c>
      <c r="J848" s="7">
        <v>0</v>
      </c>
      <c r="K848" s="7" t="s">
        <v>18</v>
      </c>
      <c r="L848" s="8">
        <v>39891.213356481479</v>
      </c>
      <c r="M848" s="9" t="s">
        <v>19</v>
      </c>
      <c r="N848" s="9" t="s">
        <v>22</v>
      </c>
      <c r="O848" s="6" t="str">
        <f>HYPERLINK("https://pbs.twimg.com/profile_images/988971255679324162/jrqiIYf__normal.jpg","View")</f>
        <v>View</v>
      </c>
      <c r="P848" s="7"/>
    </row>
    <row r="849" spans="1:16">
      <c r="A849" s="3">
        <v>43982.287361111114</v>
      </c>
      <c r="B849" s="4" t="str">
        <f>HYPERLINK("https://twitter.com/sergio_fajardo","@sergio_fajardo")</f>
        <v>@sergio_fajardo</v>
      </c>
      <c r="C849" s="5" t="s">
        <v>16</v>
      </c>
      <c r="D849" s="5" t="s">
        <v>871</v>
      </c>
      <c r="E849" s="6" t="str">
        <f>HYPERLINK("https://twitter.com/sergio_fajardo/status/1266903170829213707","1266903170829213707")</f>
        <v>1266903170829213707</v>
      </c>
      <c r="F849" s="7" t="s">
        <v>17</v>
      </c>
      <c r="G849" s="7">
        <v>1541450</v>
      </c>
      <c r="H849" s="7">
        <v>368</v>
      </c>
      <c r="I849" s="7">
        <v>16</v>
      </c>
      <c r="J849" s="7">
        <v>54</v>
      </c>
      <c r="K849" s="7" t="s">
        <v>18</v>
      </c>
      <c r="L849" s="8">
        <v>39891.213356481479</v>
      </c>
      <c r="M849" s="9" t="s">
        <v>19</v>
      </c>
      <c r="N849" s="9" t="s">
        <v>22</v>
      </c>
      <c r="O849" s="6" t="str">
        <f>HYPERLINK("https://pbs.twimg.com/profile_images/988971255679324162/jrqiIYf__normal.jpg","View")</f>
        <v>View</v>
      </c>
      <c r="P849" s="7"/>
    </row>
    <row r="850" spans="1:16">
      <c r="A850" s="3">
        <v>43982.901574074072</v>
      </c>
      <c r="B850" s="4" t="str">
        <f>HYPERLINK("https://twitter.com/sergio_fajardo","@sergio_fajardo")</f>
        <v>@sergio_fajardo</v>
      </c>
      <c r="C850" s="5" t="s">
        <v>16</v>
      </c>
      <c r="D850" s="5" t="s">
        <v>872</v>
      </c>
      <c r="E850" s="6" t="str">
        <f>HYPERLINK("https://twitter.com/sergio_fajardo/status/1267125753138855940","1267125753138855940")</f>
        <v>1267125753138855940</v>
      </c>
      <c r="F850" s="7" t="s">
        <v>17</v>
      </c>
      <c r="G850" s="7">
        <v>1541455</v>
      </c>
      <c r="H850" s="7">
        <v>368</v>
      </c>
      <c r="I850" s="7">
        <v>8</v>
      </c>
      <c r="J850" s="7">
        <v>33</v>
      </c>
      <c r="K850" s="7" t="s">
        <v>18</v>
      </c>
      <c r="L850" s="8">
        <v>39891.213356481479</v>
      </c>
      <c r="M850" s="9" t="s">
        <v>19</v>
      </c>
      <c r="N850" s="9" t="s">
        <v>22</v>
      </c>
      <c r="O850" s="6" t="str">
        <f>HYPERLINK("https://pbs.twimg.com/profile_images/988971255679324162/jrqiIYf__normal.jpg","View")</f>
        <v>View</v>
      </c>
      <c r="P850" s="7"/>
    </row>
    <row r="851" spans="1:16">
      <c r="A851" s="3">
        <v>43983.012013888889</v>
      </c>
      <c r="B851" s="4" t="str">
        <f>HYPERLINK("https://twitter.com/sergio_fajardo","@sergio_fajardo")</f>
        <v>@sergio_fajardo</v>
      </c>
      <c r="C851" s="5" t="s">
        <v>16</v>
      </c>
      <c r="D851" s="5" t="s">
        <v>873</v>
      </c>
      <c r="E851" s="6" t="str">
        <f>HYPERLINK("https://twitter.com/sergio_fajardo/status/1267165775183347712","1267165775183347712")</f>
        <v>1267165775183347712</v>
      </c>
      <c r="F851" s="7" t="s">
        <v>17</v>
      </c>
      <c r="G851" s="7">
        <v>1541461</v>
      </c>
      <c r="H851" s="7">
        <v>368</v>
      </c>
      <c r="I851" s="7">
        <v>9</v>
      </c>
      <c r="J851" s="7">
        <v>0</v>
      </c>
      <c r="K851" s="7" t="s">
        <v>18</v>
      </c>
      <c r="L851" s="8">
        <v>39891.213356481479</v>
      </c>
      <c r="M851" s="9" t="s">
        <v>19</v>
      </c>
      <c r="N851" s="9" t="s">
        <v>22</v>
      </c>
      <c r="O851" s="6" t="str">
        <f>HYPERLINK("https://pbs.twimg.com/profile_images/988971255679324162/jrqiIYf__normal.jpg","View")</f>
        <v>View</v>
      </c>
      <c r="P851" s="7"/>
    </row>
    <row r="852" spans="1:16">
      <c r="A852" s="3">
        <v>43983.200046296297</v>
      </c>
      <c r="B852" s="4" t="str">
        <f>HYPERLINK("https://twitter.com/sergio_fajardo","@sergio_fajardo")</f>
        <v>@sergio_fajardo</v>
      </c>
      <c r="C852" s="5" t="s">
        <v>16</v>
      </c>
      <c r="D852" s="5" t="s">
        <v>874</v>
      </c>
      <c r="E852" s="6" t="str">
        <f>HYPERLINK("https://twitter.com/sergio_fajardo/status/1267233917641404416","1267233917641404416")</f>
        <v>1267233917641404416</v>
      </c>
      <c r="F852" s="7" t="s">
        <v>17</v>
      </c>
      <c r="G852" s="7">
        <v>1541497</v>
      </c>
      <c r="H852" s="7">
        <v>368</v>
      </c>
      <c r="I852" s="7">
        <v>8</v>
      </c>
      <c r="J852" s="7">
        <v>38</v>
      </c>
      <c r="K852" s="7" t="s">
        <v>18</v>
      </c>
      <c r="L852" s="8">
        <v>39891.213356481479</v>
      </c>
      <c r="M852" s="9" t="s">
        <v>19</v>
      </c>
      <c r="N852" s="9" t="s">
        <v>22</v>
      </c>
      <c r="O852" s="6" t="str">
        <f>HYPERLINK("https://pbs.twimg.com/profile_images/988971255679324162/jrqiIYf__normal.jpg","View")</f>
        <v>View</v>
      </c>
      <c r="P852" s="7"/>
    </row>
    <row r="853" spans="1:16">
      <c r="A853" s="3">
        <v>43983.295462962968</v>
      </c>
      <c r="B853" s="4" t="str">
        <f>HYPERLINK("https://twitter.com/sergio_fajardo","@sergio_fajardo")</f>
        <v>@sergio_fajardo</v>
      </c>
      <c r="C853" s="5" t="s">
        <v>16</v>
      </c>
      <c r="D853" s="5" t="s">
        <v>875</v>
      </c>
      <c r="E853" s="6" t="str">
        <f>HYPERLINK("https://twitter.com/sergio_fajardo/status/1267268492673384451","1267268492673384451")</f>
        <v>1267268492673384451</v>
      </c>
      <c r="F853" s="7" t="s">
        <v>17</v>
      </c>
      <c r="G853" s="7">
        <v>1541521</v>
      </c>
      <c r="H853" s="7">
        <v>368</v>
      </c>
      <c r="I853" s="7">
        <v>19</v>
      </c>
      <c r="J853" s="7">
        <v>0</v>
      </c>
      <c r="K853" s="7" t="s">
        <v>18</v>
      </c>
      <c r="L853" s="8">
        <v>39891.213356481479</v>
      </c>
      <c r="M853" s="9" t="s">
        <v>19</v>
      </c>
      <c r="N853" s="9" t="s">
        <v>22</v>
      </c>
      <c r="O853" s="6" t="str">
        <f>HYPERLINK("https://pbs.twimg.com/profile_images/988971255679324162/jrqiIYf__normal.jpg","View")</f>
        <v>View</v>
      </c>
      <c r="P853" s="7"/>
    </row>
    <row r="854" spans="1:16">
      <c r="A854" s="3">
        <v>43983.885231481487</v>
      </c>
      <c r="B854" s="4" t="str">
        <f>HYPERLINK("https://twitter.com/sergio_fajardo","@sergio_fajardo")</f>
        <v>@sergio_fajardo</v>
      </c>
      <c r="C854" s="5" t="s">
        <v>16</v>
      </c>
      <c r="D854" s="5" t="s">
        <v>876</v>
      </c>
      <c r="E854" s="6" t="str">
        <f>HYPERLINK("https://twitter.com/sergio_fajardo/status/1267482220371075080","1267482220371075080")</f>
        <v>1267482220371075080</v>
      </c>
      <c r="F854" s="7" t="s">
        <v>17</v>
      </c>
      <c r="G854" s="7">
        <v>1541695</v>
      </c>
      <c r="H854" s="7">
        <v>368</v>
      </c>
      <c r="I854" s="7">
        <v>869</v>
      </c>
      <c r="J854" s="7">
        <v>0</v>
      </c>
      <c r="K854" s="7" t="s">
        <v>18</v>
      </c>
      <c r="L854" s="8">
        <v>39891.213356481479</v>
      </c>
      <c r="M854" s="9" t="s">
        <v>19</v>
      </c>
      <c r="N854" s="9" t="s">
        <v>22</v>
      </c>
      <c r="O854" s="6" t="str">
        <f>HYPERLINK("https://pbs.twimg.com/profile_images/988971255679324162/jrqiIYf__normal.jpg","View")</f>
        <v>View</v>
      </c>
      <c r="P854" s="7"/>
    </row>
    <row r="855" spans="1:16">
      <c r="A855" s="3">
        <v>43984.255486111113</v>
      </c>
      <c r="B855" s="4" t="str">
        <f>HYPERLINK("https://twitter.com/sergio_fajardo","@sergio_fajardo")</f>
        <v>@sergio_fajardo</v>
      </c>
      <c r="C855" s="5" t="s">
        <v>16</v>
      </c>
      <c r="D855" s="5" t="s">
        <v>877</v>
      </c>
      <c r="E855" s="6" t="str">
        <f>HYPERLINK("https://twitter.com/sergio_fajardo/status/1267616394172141570","1267616394172141570")</f>
        <v>1267616394172141570</v>
      </c>
      <c r="F855" s="7" t="s">
        <v>17</v>
      </c>
      <c r="G855" s="7">
        <v>1541973</v>
      </c>
      <c r="H855" s="7">
        <v>368</v>
      </c>
      <c r="I855" s="7">
        <v>4</v>
      </c>
      <c r="J855" s="7">
        <v>0</v>
      </c>
      <c r="K855" s="7" t="s">
        <v>18</v>
      </c>
      <c r="L855" s="8">
        <v>39891.213356481479</v>
      </c>
      <c r="M855" s="9" t="s">
        <v>19</v>
      </c>
      <c r="N855" s="9" t="s">
        <v>22</v>
      </c>
      <c r="O855" s="6" t="str">
        <f>HYPERLINK("https://pbs.twimg.com/profile_images/988971255679324162/jrqiIYf__normal.jpg","View")</f>
        <v>View</v>
      </c>
      <c r="P855" s="7"/>
    </row>
    <row r="856" spans="1:16">
      <c r="A856" s="3">
        <v>43984.259398148148</v>
      </c>
      <c r="B856" s="4" t="str">
        <f>HYPERLINK("https://twitter.com/sergio_fajardo","@sergio_fajardo")</f>
        <v>@sergio_fajardo</v>
      </c>
      <c r="C856" s="5" t="s">
        <v>16</v>
      </c>
      <c r="D856" s="5" t="s">
        <v>878</v>
      </c>
      <c r="E856" s="6" t="str">
        <f>HYPERLINK("https://twitter.com/sergio_fajardo/status/1267617812849229830","1267617812849229830")</f>
        <v>1267617812849229830</v>
      </c>
      <c r="F856" s="7" t="s">
        <v>17</v>
      </c>
      <c r="G856" s="7">
        <v>1541973</v>
      </c>
      <c r="H856" s="7">
        <v>368</v>
      </c>
      <c r="I856" s="7">
        <v>8</v>
      </c>
      <c r="J856" s="7">
        <v>0</v>
      </c>
      <c r="K856" s="7" t="s">
        <v>18</v>
      </c>
      <c r="L856" s="8">
        <v>39891.213356481479</v>
      </c>
      <c r="M856" s="9" t="s">
        <v>19</v>
      </c>
      <c r="N856" s="9" t="s">
        <v>22</v>
      </c>
      <c r="O856" s="6" t="str">
        <f>HYPERLINK("https://pbs.twimg.com/profile_images/988971255679324162/jrqiIYf__normal.jpg","View")</f>
        <v>View</v>
      </c>
      <c r="P856" s="7"/>
    </row>
    <row r="857" spans="1:16">
      <c r="A857" s="3">
        <v>43984.30972222222</v>
      </c>
      <c r="B857" s="4" t="str">
        <f>HYPERLINK("https://twitter.com/sergio_fajardo","@sergio_fajardo")</f>
        <v>@sergio_fajardo</v>
      </c>
      <c r="C857" s="5" t="s">
        <v>16</v>
      </c>
      <c r="D857" s="5" t="s">
        <v>879</v>
      </c>
      <c r="E857" s="6" t="str">
        <f>HYPERLINK("https://twitter.com/sergio_fajardo/status/1267636049280409600","1267636049280409600")</f>
        <v>1267636049280409600</v>
      </c>
      <c r="F857" s="7" t="s">
        <v>17</v>
      </c>
      <c r="G857" s="7">
        <v>1542001</v>
      </c>
      <c r="H857" s="7">
        <v>368</v>
      </c>
      <c r="I857" s="7">
        <v>6</v>
      </c>
      <c r="J857" s="7">
        <v>21</v>
      </c>
      <c r="K857" s="7" t="s">
        <v>18</v>
      </c>
      <c r="L857" s="8">
        <v>39891.213356481479</v>
      </c>
      <c r="M857" s="9" t="s">
        <v>19</v>
      </c>
      <c r="N857" s="9" t="s">
        <v>22</v>
      </c>
      <c r="O857" s="6" t="str">
        <f>HYPERLINK("https://pbs.twimg.com/profile_images/988971255679324162/jrqiIYf__normal.jpg","View")</f>
        <v>View</v>
      </c>
      <c r="P857" s="7"/>
    </row>
    <row r="858" spans="1:16">
      <c r="A858" s="3">
        <v>43984.323530092588</v>
      </c>
      <c r="B858" s="4" t="str">
        <f>HYPERLINK("https://twitter.com/sergio_fajardo","@sergio_fajardo")</f>
        <v>@sergio_fajardo</v>
      </c>
      <c r="C858" s="5" t="s">
        <v>16</v>
      </c>
      <c r="D858" s="5" t="s">
        <v>880</v>
      </c>
      <c r="E858" s="6" t="str">
        <f>HYPERLINK("https://twitter.com/sergio_fajardo/status/1267641052678193152","1267641052678193152")</f>
        <v>1267641052678193152</v>
      </c>
      <c r="F858" s="7" t="s">
        <v>17</v>
      </c>
      <c r="G858" s="7">
        <v>1542003</v>
      </c>
      <c r="H858" s="7">
        <v>368</v>
      </c>
      <c r="I858" s="7">
        <v>4</v>
      </c>
      <c r="J858" s="7">
        <v>23</v>
      </c>
      <c r="K858" s="7" t="s">
        <v>18</v>
      </c>
      <c r="L858" s="8">
        <v>39891.213356481479</v>
      </c>
      <c r="M858" s="9" t="s">
        <v>19</v>
      </c>
      <c r="N858" s="9" t="s">
        <v>22</v>
      </c>
      <c r="O858" s="6" t="str">
        <f>HYPERLINK("https://pbs.twimg.com/profile_images/988971255679324162/jrqiIYf__normal.jpg","View")</f>
        <v>View</v>
      </c>
      <c r="P858" s="7"/>
    </row>
    <row r="859" spans="1:16">
      <c r="A859" s="3">
        <v>43984.325636574074</v>
      </c>
      <c r="B859" s="4" t="str">
        <f>HYPERLINK("https://twitter.com/sergio_fajardo","@sergio_fajardo")</f>
        <v>@sergio_fajardo</v>
      </c>
      <c r="C859" s="5" t="s">
        <v>16</v>
      </c>
      <c r="D859" s="5" t="s">
        <v>881</v>
      </c>
      <c r="E859" s="6" t="str">
        <f>HYPERLINK("https://twitter.com/sergio_fajardo/status/1267641816578502657","1267641816578502657")</f>
        <v>1267641816578502657</v>
      </c>
      <c r="F859" s="7" t="s">
        <v>17</v>
      </c>
      <c r="G859" s="7">
        <v>1542003</v>
      </c>
      <c r="H859" s="7">
        <v>368</v>
      </c>
      <c r="I859" s="7">
        <v>7</v>
      </c>
      <c r="J859" s="7">
        <v>0</v>
      </c>
      <c r="K859" s="7" t="s">
        <v>18</v>
      </c>
      <c r="L859" s="8">
        <v>39891.213356481479</v>
      </c>
      <c r="M859" s="9" t="s">
        <v>19</v>
      </c>
      <c r="N859" s="9" t="s">
        <v>22</v>
      </c>
      <c r="O859" s="6" t="str">
        <f>HYPERLINK("https://pbs.twimg.com/profile_images/988971255679324162/jrqiIYf__normal.jpg","View")</f>
        <v>View</v>
      </c>
      <c r="P859" s="7"/>
    </row>
    <row r="860" spans="1:16">
      <c r="A860" s="3">
        <v>43984.82435185185</v>
      </c>
      <c r="B860" s="4" t="str">
        <f>HYPERLINK("https://twitter.com/sergio_fajardo","@sergio_fajardo")</f>
        <v>@sergio_fajardo</v>
      </c>
      <c r="C860" s="5" t="s">
        <v>16</v>
      </c>
      <c r="D860" s="5" t="s">
        <v>882</v>
      </c>
      <c r="E860" s="6" t="str">
        <f>HYPERLINK("https://twitter.com/sergio_fajardo/status/1267822544704307200","1267822544704307200")</f>
        <v>1267822544704307200</v>
      </c>
      <c r="F860" s="7" t="s">
        <v>17</v>
      </c>
      <c r="G860" s="7">
        <v>1542168</v>
      </c>
      <c r="H860" s="7">
        <v>368</v>
      </c>
      <c r="I860" s="7">
        <v>4</v>
      </c>
      <c r="J860" s="7">
        <v>0</v>
      </c>
      <c r="K860" s="7" t="s">
        <v>18</v>
      </c>
      <c r="L860" s="8">
        <v>39891.213356481479</v>
      </c>
      <c r="M860" s="9" t="s">
        <v>19</v>
      </c>
      <c r="N860" s="9" t="s">
        <v>22</v>
      </c>
      <c r="O860" s="6" t="str">
        <f>HYPERLINK("https://pbs.twimg.com/profile_images/988971255679324162/jrqiIYf__normal.jpg","View")</f>
        <v>View</v>
      </c>
      <c r="P860" s="7"/>
    </row>
    <row r="861" spans="1:16">
      <c r="A861" s="3">
        <v>43984.956145833334</v>
      </c>
      <c r="B861" s="4" t="str">
        <f>HYPERLINK("https://twitter.com/sergio_fajardo","@sergio_fajardo")</f>
        <v>@sergio_fajardo</v>
      </c>
      <c r="C861" s="5" t="s">
        <v>16</v>
      </c>
      <c r="D861" s="5" t="s">
        <v>883</v>
      </c>
      <c r="E861" s="6" t="str">
        <f>HYPERLINK("https://twitter.com/sergio_fajardo/status/1267870304015089665","1267870304015089665")</f>
        <v>1267870304015089665</v>
      </c>
      <c r="F861" s="7" t="s">
        <v>17</v>
      </c>
      <c r="G861" s="7">
        <v>1542177</v>
      </c>
      <c r="H861" s="7">
        <v>368</v>
      </c>
      <c r="I861" s="7">
        <v>8</v>
      </c>
      <c r="J861" s="7">
        <v>13</v>
      </c>
      <c r="K861" s="7" t="s">
        <v>18</v>
      </c>
      <c r="L861" s="8">
        <v>39891.213356481479</v>
      </c>
      <c r="M861" s="9" t="s">
        <v>19</v>
      </c>
      <c r="N861" s="9" t="s">
        <v>22</v>
      </c>
      <c r="O861" s="6" t="str">
        <f>HYPERLINK("https://pbs.twimg.com/profile_images/988971255679324162/jrqiIYf__normal.jpg","View")</f>
        <v>View</v>
      </c>
      <c r="P861" s="7"/>
    </row>
    <row r="862" spans="1:16">
      <c r="A862" s="3">
        <v>43985.246550925927</v>
      </c>
      <c r="B862" s="4" t="str">
        <f>HYPERLINK("https://twitter.com/sergio_fajardo","@sergio_fajardo")</f>
        <v>@sergio_fajardo</v>
      </c>
      <c r="C862" s="5" t="s">
        <v>16</v>
      </c>
      <c r="D862" s="5" t="s">
        <v>884</v>
      </c>
      <c r="E862" s="6" t="str">
        <f>HYPERLINK("https://twitter.com/sergio_fajardo/status/1267975543452045313","1267975543452045313")</f>
        <v>1267975543452045313</v>
      </c>
      <c r="F862" s="7" t="s">
        <v>17</v>
      </c>
      <c r="G862" s="7">
        <v>1541976</v>
      </c>
      <c r="H862" s="7">
        <v>368</v>
      </c>
      <c r="I862" s="7">
        <v>8</v>
      </c>
      <c r="J862" s="7">
        <v>35</v>
      </c>
      <c r="K862" s="7" t="s">
        <v>18</v>
      </c>
      <c r="L862" s="8">
        <v>39891.213356481479</v>
      </c>
      <c r="M862" s="9" t="s">
        <v>19</v>
      </c>
      <c r="N862" s="9" t="s">
        <v>22</v>
      </c>
      <c r="O862" s="6" t="str">
        <f>HYPERLINK("https://pbs.twimg.com/profile_images/988971255679324162/jrqiIYf__normal.jpg","View")</f>
        <v>View</v>
      </c>
      <c r="P862" s="7"/>
    </row>
    <row r="863" spans="1:16">
      <c r="A863" s="3">
        <v>43985.280856481477</v>
      </c>
      <c r="B863" s="4" t="str">
        <f>HYPERLINK("https://twitter.com/sergio_fajardo","@sergio_fajardo")</f>
        <v>@sergio_fajardo</v>
      </c>
      <c r="C863" s="5" t="s">
        <v>16</v>
      </c>
      <c r="D863" s="5" t="s">
        <v>885</v>
      </c>
      <c r="E863" s="6" t="str">
        <f>HYPERLINK("https://twitter.com/sergio_fajardo/status/1267987975880806400","1267987975880806400")</f>
        <v>1267987975880806400</v>
      </c>
      <c r="F863" s="7" t="s">
        <v>17</v>
      </c>
      <c r="G863" s="7">
        <v>1541947</v>
      </c>
      <c r="H863" s="7">
        <v>368</v>
      </c>
      <c r="I863" s="7">
        <v>8</v>
      </c>
      <c r="J863" s="7">
        <v>0</v>
      </c>
      <c r="K863" s="7" t="s">
        <v>18</v>
      </c>
      <c r="L863" s="8">
        <v>39891.213356481479</v>
      </c>
      <c r="M863" s="9" t="s">
        <v>19</v>
      </c>
      <c r="N863" s="9" t="s">
        <v>22</v>
      </c>
      <c r="O863" s="6" t="str">
        <f>HYPERLINK("https://pbs.twimg.com/profile_images/988971255679324162/jrqiIYf__normal.jpg","View")</f>
        <v>View</v>
      </c>
      <c r="P863" s="7"/>
    </row>
    <row r="864" spans="1:16">
      <c r="A864" s="3">
        <v>43985.695196759261</v>
      </c>
      <c r="B864" s="4" t="str">
        <f>HYPERLINK("https://twitter.com/sergio_fajardo","@sergio_fajardo")</f>
        <v>@sergio_fajardo</v>
      </c>
      <c r="C864" s="5" t="s">
        <v>16</v>
      </c>
      <c r="D864" s="5" t="s">
        <v>886</v>
      </c>
      <c r="E864" s="6" t="str">
        <f>HYPERLINK("https://twitter.com/sergio_fajardo/status/1268138129854205954","1268138129854205954")</f>
        <v>1268138129854205954</v>
      </c>
      <c r="F864" s="7" t="s">
        <v>17</v>
      </c>
      <c r="G864" s="7">
        <v>1541973</v>
      </c>
      <c r="H864" s="7">
        <v>368</v>
      </c>
      <c r="I864" s="7">
        <v>151387</v>
      </c>
      <c r="J864" s="7">
        <v>0</v>
      </c>
      <c r="K864" s="7" t="s">
        <v>18</v>
      </c>
      <c r="L864" s="8">
        <v>39891.213356481479</v>
      </c>
      <c r="M864" s="9" t="s">
        <v>19</v>
      </c>
      <c r="N864" s="9" t="s">
        <v>22</v>
      </c>
      <c r="O864" s="6" t="str">
        <f>HYPERLINK("https://pbs.twimg.com/profile_images/988971255679324162/jrqiIYf__normal.jpg","View")</f>
        <v>View</v>
      </c>
      <c r="P864" s="7"/>
    </row>
    <row r="865" spans="1:16">
      <c r="A865" s="3">
        <v>43985.823715277773</v>
      </c>
      <c r="B865" s="4" t="str">
        <f>HYPERLINK("https://twitter.com/sergio_fajardo","@sergio_fajardo")</f>
        <v>@sergio_fajardo</v>
      </c>
      <c r="C865" s="5" t="s">
        <v>16</v>
      </c>
      <c r="D865" s="5" t="s">
        <v>887</v>
      </c>
      <c r="E865" s="6" t="str">
        <f>HYPERLINK("https://twitter.com/sergio_fajardo/status/1268184704735481862","1268184704735481862")</f>
        <v>1268184704735481862</v>
      </c>
      <c r="F865" s="7" t="s">
        <v>17</v>
      </c>
      <c r="G865" s="7">
        <v>1542010</v>
      </c>
      <c r="H865" s="7">
        <v>368</v>
      </c>
      <c r="I865" s="7">
        <v>5</v>
      </c>
      <c r="J865" s="7">
        <v>0</v>
      </c>
      <c r="K865" s="7" t="s">
        <v>18</v>
      </c>
      <c r="L865" s="8">
        <v>39891.213356481479</v>
      </c>
      <c r="M865" s="9" t="s">
        <v>19</v>
      </c>
      <c r="N865" s="9" t="s">
        <v>22</v>
      </c>
      <c r="O865" s="6" t="str">
        <f>HYPERLINK("https://pbs.twimg.com/profile_images/988971255679324162/jrqiIYf__normal.jpg","View")</f>
        <v>View</v>
      </c>
      <c r="P865" s="7"/>
    </row>
    <row r="866" spans="1:16">
      <c r="A866" s="3">
        <v>43986.042222222226</v>
      </c>
      <c r="B866" s="4" t="str">
        <f>HYPERLINK("https://twitter.com/sergio_fajardo","@sergio_fajardo")</f>
        <v>@sergio_fajardo</v>
      </c>
      <c r="C866" s="5" t="s">
        <v>16</v>
      </c>
      <c r="D866" s="5" t="s">
        <v>888</v>
      </c>
      <c r="E866" s="6" t="str">
        <f>HYPERLINK("https://twitter.com/sergio_fajardo/status/1268263886551162881","1268263886551162881")</f>
        <v>1268263886551162881</v>
      </c>
      <c r="F866" s="7" t="s">
        <v>17</v>
      </c>
      <c r="G866" s="7">
        <v>1542050</v>
      </c>
      <c r="H866" s="7">
        <v>368</v>
      </c>
      <c r="I866" s="7">
        <v>566</v>
      </c>
      <c r="J866" s="7">
        <v>0</v>
      </c>
      <c r="K866" s="7" t="s">
        <v>18</v>
      </c>
      <c r="L866" s="8">
        <v>39891.213356481479</v>
      </c>
      <c r="M866" s="9" t="s">
        <v>19</v>
      </c>
      <c r="N866" s="9" t="s">
        <v>22</v>
      </c>
      <c r="O866" s="6" t="str">
        <f>HYPERLINK("https://pbs.twimg.com/profile_images/988971255679324162/jrqiIYf__normal.jpg","View")</f>
        <v>View</v>
      </c>
      <c r="P866" s="7"/>
    </row>
    <row r="867" spans="1:16">
      <c r="A867" s="3">
        <v>43986.133043981477</v>
      </c>
      <c r="B867" s="4" t="str">
        <f>HYPERLINK("https://twitter.com/sergio_fajardo","@sergio_fajardo")</f>
        <v>@sergio_fajardo</v>
      </c>
      <c r="C867" s="5" t="s">
        <v>16</v>
      </c>
      <c r="D867" s="5" t="s">
        <v>889</v>
      </c>
      <c r="E867" s="6" t="str">
        <f>HYPERLINK("https://twitter.com/sergio_fajardo/status/1268296798747136001","1268296798747136001")</f>
        <v>1268296798747136001</v>
      </c>
      <c r="F867" s="7" t="s">
        <v>23</v>
      </c>
      <c r="G867" s="7">
        <v>1542069</v>
      </c>
      <c r="H867" s="7">
        <v>368</v>
      </c>
      <c r="I867" s="7">
        <v>11</v>
      </c>
      <c r="J867" s="7">
        <v>16</v>
      </c>
      <c r="K867" s="7" t="s">
        <v>18</v>
      </c>
      <c r="L867" s="8">
        <v>39891.213356481479</v>
      </c>
      <c r="M867" s="9" t="s">
        <v>19</v>
      </c>
      <c r="N867" s="9" t="s">
        <v>22</v>
      </c>
      <c r="O867" s="6" t="str">
        <f>HYPERLINK("https://pbs.twimg.com/profile_images/988971255679324162/jrqiIYf__normal.jpg","View")</f>
        <v>View</v>
      </c>
      <c r="P867" s="7"/>
    </row>
    <row r="868" spans="1:16">
      <c r="A868" s="3">
        <v>43986.153344907405</v>
      </c>
      <c r="B868" s="4" t="str">
        <f>HYPERLINK("https://twitter.com/sergio_fajardo","@sergio_fajardo")</f>
        <v>@sergio_fajardo</v>
      </c>
      <c r="C868" s="5" t="s">
        <v>16</v>
      </c>
      <c r="D868" s="5" t="s">
        <v>890</v>
      </c>
      <c r="E868" s="6" t="str">
        <f>HYPERLINK("https://twitter.com/sergio_fajardo/status/1268304157615837187","1268304157615837187")</f>
        <v>1268304157615837187</v>
      </c>
      <c r="F868" s="7" t="s">
        <v>23</v>
      </c>
      <c r="G868" s="7">
        <v>1542076</v>
      </c>
      <c r="H868" s="7">
        <v>368</v>
      </c>
      <c r="I868" s="7">
        <v>5</v>
      </c>
      <c r="J868" s="7">
        <v>0</v>
      </c>
      <c r="K868" s="7" t="s">
        <v>18</v>
      </c>
      <c r="L868" s="8">
        <v>39891.213356481479</v>
      </c>
      <c r="M868" s="9" t="s">
        <v>19</v>
      </c>
      <c r="N868" s="9" t="s">
        <v>22</v>
      </c>
      <c r="O868" s="6" t="str">
        <f>HYPERLINK("https://pbs.twimg.com/profile_images/988971255679324162/jrqiIYf__normal.jpg","View")</f>
        <v>View</v>
      </c>
      <c r="P868" s="7"/>
    </row>
    <row r="869" spans="1:16">
      <c r="A869" s="3">
        <v>43986.341805555552</v>
      </c>
      <c r="B869" s="4" t="str">
        <f>HYPERLINK("https://twitter.com/sergio_fajardo","@sergio_fajardo")</f>
        <v>@sergio_fajardo</v>
      </c>
      <c r="C869" s="5" t="s">
        <v>16</v>
      </c>
      <c r="D869" s="5" t="s">
        <v>891</v>
      </c>
      <c r="E869" s="6" t="str">
        <f>HYPERLINK("https://twitter.com/sergio_fajardo/status/1268372452733792258","1268372452733792258")</f>
        <v>1268372452733792258</v>
      </c>
      <c r="F869" s="7" t="s">
        <v>17</v>
      </c>
      <c r="G869" s="7">
        <v>1542130</v>
      </c>
      <c r="H869" s="7">
        <v>368</v>
      </c>
      <c r="I869" s="7">
        <v>34</v>
      </c>
      <c r="J869" s="7">
        <v>0</v>
      </c>
      <c r="K869" s="7" t="s">
        <v>18</v>
      </c>
      <c r="L869" s="8">
        <v>39891.213356481479</v>
      </c>
      <c r="M869" s="9" t="s">
        <v>19</v>
      </c>
      <c r="N869" s="9" t="s">
        <v>22</v>
      </c>
      <c r="O869" s="6" t="str">
        <f>HYPERLINK("https://pbs.twimg.com/profile_images/988971255679324162/jrqiIYf__normal.jpg","View")</f>
        <v>View</v>
      </c>
      <c r="P869" s="7"/>
    </row>
    <row r="870" spans="1:16">
      <c r="A870" s="3">
        <v>43986.341932870375</v>
      </c>
      <c r="B870" s="4" t="str">
        <f>HYPERLINK("https://twitter.com/sergio_fajardo","@sergio_fajardo")</f>
        <v>@sergio_fajardo</v>
      </c>
      <c r="C870" s="5" t="s">
        <v>16</v>
      </c>
      <c r="D870" s="5" t="s">
        <v>892</v>
      </c>
      <c r="E870" s="6" t="str">
        <f>HYPERLINK("https://twitter.com/sergio_fajardo/status/1268372497696612352","1268372497696612352")</f>
        <v>1268372497696612352</v>
      </c>
      <c r="F870" s="7" t="s">
        <v>17</v>
      </c>
      <c r="G870" s="7">
        <v>1542130</v>
      </c>
      <c r="H870" s="7">
        <v>368</v>
      </c>
      <c r="I870" s="7">
        <v>93</v>
      </c>
      <c r="J870" s="7">
        <v>0</v>
      </c>
      <c r="K870" s="7" t="s">
        <v>18</v>
      </c>
      <c r="L870" s="8">
        <v>39891.213356481479</v>
      </c>
      <c r="M870" s="9" t="s">
        <v>19</v>
      </c>
      <c r="N870" s="9" t="s">
        <v>22</v>
      </c>
      <c r="O870" s="6" t="str">
        <f>HYPERLINK("https://pbs.twimg.com/profile_images/988971255679324162/jrqiIYf__normal.jpg","View")</f>
        <v>View</v>
      </c>
      <c r="P870" s="7"/>
    </row>
    <row r="871" spans="1:16">
      <c r="A871" s="3">
        <v>43986.657187500001</v>
      </c>
      <c r="B871" s="4" t="str">
        <f>HYPERLINK("https://twitter.com/sergio_fajardo","@sergio_fajardo")</f>
        <v>@sergio_fajardo</v>
      </c>
      <c r="C871" s="5" t="s">
        <v>16</v>
      </c>
      <c r="D871" s="5" t="s">
        <v>893</v>
      </c>
      <c r="E871" s="6" t="str">
        <f>HYPERLINK("https://twitter.com/sergio_fajardo/status/1268486743390597122","1268486743390597122")</f>
        <v>1268486743390597122</v>
      </c>
      <c r="F871" s="7" t="s">
        <v>17</v>
      </c>
      <c r="G871" s="7">
        <v>1542131</v>
      </c>
      <c r="H871" s="7">
        <v>368</v>
      </c>
      <c r="I871" s="7">
        <v>6</v>
      </c>
      <c r="J871" s="7">
        <v>0</v>
      </c>
      <c r="K871" s="7" t="s">
        <v>18</v>
      </c>
      <c r="L871" s="8">
        <v>39891.213356481479</v>
      </c>
      <c r="M871" s="9" t="s">
        <v>19</v>
      </c>
      <c r="N871" s="9" t="s">
        <v>22</v>
      </c>
      <c r="O871" s="6" t="str">
        <f>HYPERLINK("https://pbs.twimg.com/profile_images/988971255679324162/jrqiIYf__normal.jpg","View")</f>
        <v>View</v>
      </c>
      <c r="P871" s="7"/>
    </row>
    <row r="872" spans="1:16">
      <c r="A872" s="3">
        <v>43986.657372685186</v>
      </c>
      <c r="B872" s="4" t="str">
        <f>HYPERLINK("https://twitter.com/sergio_fajardo","@sergio_fajardo")</f>
        <v>@sergio_fajardo</v>
      </c>
      <c r="C872" s="5" t="s">
        <v>16</v>
      </c>
      <c r="D872" s="5" t="s">
        <v>894</v>
      </c>
      <c r="E872" s="6" t="str">
        <f>HYPERLINK("https://twitter.com/sergio_fajardo/status/1268486810755313671","1268486810755313671")</f>
        <v>1268486810755313671</v>
      </c>
      <c r="F872" s="7" t="s">
        <v>17</v>
      </c>
      <c r="G872" s="7">
        <v>1542131</v>
      </c>
      <c r="H872" s="7">
        <v>368</v>
      </c>
      <c r="I872" s="7">
        <v>36</v>
      </c>
      <c r="J872" s="7">
        <v>0</v>
      </c>
      <c r="K872" s="7" t="s">
        <v>18</v>
      </c>
      <c r="L872" s="8">
        <v>39891.213356481479</v>
      </c>
      <c r="M872" s="9" t="s">
        <v>19</v>
      </c>
      <c r="N872" s="9" t="s">
        <v>22</v>
      </c>
      <c r="O872" s="6" t="str">
        <f>HYPERLINK("https://pbs.twimg.com/profile_images/988971255679324162/jrqiIYf__normal.jpg","View")</f>
        <v>View</v>
      </c>
      <c r="P872" s="7"/>
    </row>
    <row r="873" spans="1:16">
      <c r="A873" s="3">
        <v>43986.65825231481</v>
      </c>
      <c r="B873" s="4" t="str">
        <f>HYPERLINK("https://twitter.com/sergio_fajardo","@sergio_fajardo")</f>
        <v>@sergio_fajardo</v>
      </c>
      <c r="C873" s="5" t="s">
        <v>16</v>
      </c>
      <c r="D873" s="5" t="s">
        <v>895</v>
      </c>
      <c r="E873" s="6" t="str">
        <f>HYPERLINK("https://twitter.com/sergio_fajardo/status/1268487127064600581","1268487127064600581")</f>
        <v>1268487127064600581</v>
      </c>
      <c r="F873" s="7" t="s">
        <v>17</v>
      </c>
      <c r="G873" s="7">
        <v>1542131</v>
      </c>
      <c r="H873" s="7">
        <v>368</v>
      </c>
      <c r="I873" s="7">
        <v>365</v>
      </c>
      <c r="J873" s="7">
        <v>0</v>
      </c>
      <c r="K873" s="7" t="s">
        <v>18</v>
      </c>
      <c r="L873" s="8">
        <v>39891.213356481479</v>
      </c>
      <c r="M873" s="9" t="s">
        <v>19</v>
      </c>
      <c r="N873" s="9" t="s">
        <v>22</v>
      </c>
      <c r="O873" s="6" t="str">
        <f>HYPERLINK("https://pbs.twimg.com/profile_images/988971255679324162/jrqiIYf__normal.jpg","View")</f>
        <v>View</v>
      </c>
      <c r="P873" s="7"/>
    </row>
    <row r="874" spans="1:16">
      <c r="A874" s="3">
        <v>43986.686377314814</v>
      </c>
      <c r="B874" s="4" t="str">
        <f>HYPERLINK("https://twitter.com/sergio_fajardo","@sergio_fajardo")</f>
        <v>@sergio_fajardo</v>
      </c>
      <c r="C874" s="5" t="s">
        <v>16</v>
      </c>
      <c r="D874" s="5" t="s">
        <v>896</v>
      </c>
      <c r="E874" s="6" t="str">
        <f>HYPERLINK("https://twitter.com/sergio_fajardo/status/1268497321932869633","1268497321932869633")</f>
        <v>1268497321932869633</v>
      </c>
      <c r="F874" s="7" t="s">
        <v>17</v>
      </c>
      <c r="G874" s="7">
        <v>1542131</v>
      </c>
      <c r="H874" s="7">
        <v>368</v>
      </c>
      <c r="I874" s="7">
        <v>0</v>
      </c>
      <c r="J874" s="7">
        <v>2</v>
      </c>
      <c r="K874" s="7" t="s">
        <v>18</v>
      </c>
      <c r="L874" s="8">
        <v>39891.213356481479</v>
      </c>
      <c r="M874" s="9" t="s">
        <v>19</v>
      </c>
      <c r="N874" s="9" t="s">
        <v>22</v>
      </c>
      <c r="O874" s="6" t="str">
        <f>HYPERLINK("https://pbs.twimg.com/profile_images/988971255679324162/jrqiIYf__normal.jpg","View")</f>
        <v>View</v>
      </c>
      <c r="P874" s="7"/>
    </row>
    <row r="875" spans="1:16">
      <c r="A875" s="3">
        <v>43986.740486111114</v>
      </c>
      <c r="B875" s="4" t="str">
        <f>HYPERLINK("https://twitter.com/sergio_fajardo","@sergio_fajardo")</f>
        <v>@sergio_fajardo</v>
      </c>
      <c r="C875" s="5" t="s">
        <v>16</v>
      </c>
      <c r="D875" s="5" t="s">
        <v>897</v>
      </c>
      <c r="E875" s="6" t="str">
        <f>HYPERLINK("https://twitter.com/sergio_fajardo/status/1268516929238597635","1268516929238597635")</f>
        <v>1268516929238597635</v>
      </c>
      <c r="F875" s="7" t="s">
        <v>17</v>
      </c>
      <c r="G875" s="7">
        <v>1542143</v>
      </c>
      <c r="H875" s="7">
        <v>368</v>
      </c>
      <c r="I875" s="7">
        <v>3016</v>
      </c>
      <c r="J875" s="7">
        <v>0</v>
      </c>
      <c r="K875" s="7" t="s">
        <v>18</v>
      </c>
      <c r="L875" s="8">
        <v>39891.213356481479</v>
      </c>
      <c r="M875" s="9" t="s">
        <v>19</v>
      </c>
      <c r="N875" s="9" t="s">
        <v>22</v>
      </c>
      <c r="O875" s="6" t="str">
        <f>HYPERLINK("https://pbs.twimg.com/profile_images/988971255679324162/jrqiIYf__normal.jpg","View")</f>
        <v>View</v>
      </c>
      <c r="P875" s="7"/>
    </row>
    <row r="876" spans="1:16">
      <c r="A876" s="3">
        <v>43986.767314814817</v>
      </c>
      <c r="B876" s="4" t="str">
        <f>HYPERLINK("https://twitter.com/sergio_fajardo","@sergio_fajardo")</f>
        <v>@sergio_fajardo</v>
      </c>
      <c r="C876" s="5" t="s">
        <v>16</v>
      </c>
      <c r="D876" s="5" t="s">
        <v>898</v>
      </c>
      <c r="E876" s="6" t="str">
        <f>HYPERLINK("https://twitter.com/sergio_fajardo/status/1268526653170495490","1268526653170495490")</f>
        <v>1268526653170495490</v>
      </c>
      <c r="F876" s="7" t="s">
        <v>17</v>
      </c>
      <c r="G876" s="7">
        <v>1542146</v>
      </c>
      <c r="H876" s="7">
        <v>368</v>
      </c>
      <c r="I876" s="7">
        <v>4</v>
      </c>
      <c r="J876" s="7">
        <v>15</v>
      </c>
      <c r="K876" s="7" t="s">
        <v>18</v>
      </c>
      <c r="L876" s="8">
        <v>39891.213356481479</v>
      </c>
      <c r="M876" s="9" t="s">
        <v>19</v>
      </c>
      <c r="N876" s="9" t="s">
        <v>22</v>
      </c>
      <c r="O876" s="6" t="str">
        <f>HYPERLINK("https://pbs.twimg.com/profile_images/988971255679324162/jrqiIYf__normal.jpg","View")</f>
        <v>View</v>
      </c>
      <c r="P876" s="7"/>
    </row>
    <row r="877" spans="1:16">
      <c r="A877" s="3">
        <v>43986.963819444441</v>
      </c>
      <c r="B877" s="4" t="str">
        <f>HYPERLINK("https://twitter.com/sergio_fajardo","@sergio_fajardo")</f>
        <v>@sergio_fajardo</v>
      </c>
      <c r="C877" s="5" t="s">
        <v>16</v>
      </c>
      <c r="D877" s="5" t="s">
        <v>899</v>
      </c>
      <c r="E877" s="6" t="str">
        <f>HYPERLINK("https://twitter.com/sergio_fajardo/status/1268597862910361602","1268597862910361602")</f>
        <v>1268597862910361602</v>
      </c>
      <c r="F877" s="7" t="s">
        <v>17</v>
      </c>
      <c r="G877" s="7">
        <v>1542173</v>
      </c>
      <c r="H877" s="7">
        <v>368</v>
      </c>
      <c r="I877" s="7">
        <v>1</v>
      </c>
      <c r="J877" s="7">
        <v>0</v>
      </c>
      <c r="K877" s="7" t="s">
        <v>18</v>
      </c>
      <c r="L877" s="8">
        <v>39891.213356481479</v>
      </c>
      <c r="M877" s="9" t="s">
        <v>19</v>
      </c>
      <c r="N877" s="9" t="s">
        <v>22</v>
      </c>
      <c r="O877" s="6" t="str">
        <f>HYPERLINK("https://pbs.twimg.com/profile_images/988971255679324162/jrqiIYf__normal.jpg","View")</f>
        <v>View</v>
      </c>
      <c r="P877" s="7"/>
    </row>
    <row r="878" spans="1:16">
      <c r="A878" s="3">
        <v>43986.964791666665</v>
      </c>
      <c r="B878" s="4" t="str">
        <f>HYPERLINK("https://twitter.com/sergio_fajardo","@sergio_fajardo")</f>
        <v>@sergio_fajardo</v>
      </c>
      <c r="C878" s="5" t="s">
        <v>16</v>
      </c>
      <c r="D878" s="5" t="s">
        <v>900</v>
      </c>
      <c r="E878" s="6" t="str">
        <f>HYPERLINK("https://twitter.com/sergio_fajardo/status/1268598216964046849","1268598216964046849")</f>
        <v>1268598216964046849</v>
      </c>
      <c r="F878" s="7" t="s">
        <v>17</v>
      </c>
      <c r="G878" s="7">
        <v>1542173</v>
      </c>
      <c r="H878" s="7">
        <v>368</v>
      </c>
      <c r="I878" s="7">
        <v>181</v>
      </c>
      <c r="J878" s="7">
        <v>0</v>
      </c>
      <c r="K878" s="7" t="s">
        <v>18</v>
      </c>
      <c r="L878" s="8">
        <v>39891.213356481479</v>
      </c>
      <c r="M878" s="9" t="s">
        <v>19</v>
      </c>
      <c r="N878" s="9" t="s">
        <v>22</v>
      </c>
      <c r="O878" s="6" t="str">
        <f>HYPERLINK("https://pbs.twimg.com/profile_images/988971255679324162/jrqiIYf__normal.jpg","View")</f>
        <v>View</v>
      </c>
      <c r="P878" s="7"/>
    </row>
    <row r="879" spans="1:16">
      <c r="A879" s="3">
        <v>43986.965150462958</v>
      </c>
      <c r="B879" s="4" t="str">
        <f>HYPERLINK("https://twitter.com/sergio_fajardo","@sergio_fajardo")</f>
        <v>@sergio_fajardo</v>
      </c>
      <c r="C879" s="5" t="s">
        <v>16</v>
      </c>
      <c r="D879" s="5" t="s">
        <v>901</v>
      </c>
      <c r="E879" s="6" t="str">
        <f>HYPERLINK("https://twitter.com/sergio_fajardo/status/1268598343887990786","1268598343887990786")</f>
        <v>1268598343887990786</v>
      </c>
      <c r="F879" s="7" t="s">
        <v>17</v>
      </c>
      <c r="G879" s="7">
        <v>1542173</v>
      </c>
      <c r="H879" s="7">
        <v>368</v>
      </c>
      <c r="I879" s="7">
        <v>328</v>
      </c>
      <c r="J879" s="7">
        <v>0</v>
      </c>
      <c r="K879" s="7" t="s">
        <v>18</v>
      </c>
      <c r="L879" s="8">
        <v>39891.213356481479</v>
      </c>
      <c r="M879" s="9" t="s">
        <v>19</v>
      </c>
      <c r="N879" s="9" t="s">
        <v>22</v>
      </c>
      <c r="O879" s="6" t="str">
        <f>HYPERLINK("https://pbs.twimg.com/profile_images/988971255679324162/jrqiIYf__normal.jpg","View")</f>
        <v>View</v>
      </c>
      <c r="P879" s="7"/>
    </row>
    <row r="880" spans="1:16">
      <c r="A880" s="3">
        <v>43986.99832175926</v>
      </c>
      <c r="B880" s="4" t="str">
        <f>HYPERLINK("https://twitter.com/sergio_fajardo","@sergio_fajardo")</f>
        <v>@sergio_fajardo</v>
      </c>
      <c r="C880" s="5" t="s">
        <v>16</v>
      </c>
      <c r="D880" s="5" t="s">
        <v>902</v>
      </c>
      <c r="E880" s="6" t="str">
        <f>HYPERLINK("https://twitter.com/sergio_fajardo/status/1268610363815350273","1268610363815350273")</f>
        <v>1268610363815350273</v>
      </c>
      <c r="F880" s="7" t="s">
        <v>17</v>
      </c>
      <c r="G880" s="7">
        <v>1542179</v>
      </c>
      <c r="H880" s="7">
        <v>368</v>
      </c>
      <c r="I880" s="7">
        <v>74</v>
      </c>
      <c r="J880" s="7">
        <v>0</v>
      </c>
      <c r="K880" s="7" t="s">
        <v>18</v>
      </c>
      <c r="L880" s="8">
        <v>39891.213356481479</v>
      </c>
      <c r="M880" s="9" t="s">
        <v>19</v>
      </c>
      <c r="N880" s="9" t="s">
        <v>22</v>
      </c>
      <c r="O880" s="6" t="str">
        <f>HYPERLINK("https://pbs.twimg.com/profile_images/988971255679324162/jrqiIYf__normal.jpg","View")</f>
        <v>View</v>
      </c>
      <c r="P880" s="7"/>
    </row>
    <row r="881" spans="1:16">
      <c r="A881" s="3">
        <v>43987.003321759257</v>
      </c>
      <c r="B881" s="4" t="str">
        <f>HYPERLINK("https://twitter.com/sergio_fajardo","@sergio_fajardo")</f>
        <v>@sergio_fajardo</v>
      </c>
      <c r="C881" s="5" t="s">
        <v>16</v>
      </c>
      <c r="D881" s="5" t="s">
        <v>903</v>
      </c>
      <c r="E881" s="6" t="str">
        <f>HYPERLINK("https://twitter.com/sergio_fajardo/status/1268612175985344513","1268612175985344513")</f>
        <v>1268612175985344513</v>
      </c>
      <c r="F881" s="7" t="s">
        <v>17</v>
      </c>
      <c r="G881" s="7">
        <v>1542181</v>
      </c>
      <c r="H881" s="7">
        <v>368</v>
      </c>
      <c r="I881" s="7">
        <v>530</v>
      </c>
      <c r="J881" s="7">
        <v>0</v>
      </c>
      <c r="K881" s="7" t="s">
        <v>18</v>
      </c>
      <c r="L881" s="8">
        <v>39891.213356481479</v>
      </c>
      <c r="M881" s="9" t="s">
        <v>19</v>
      </c>
      <c r="N881" s="9" t="s">
        <v>22</v>
      </c>
      <c r="O881" s="6" t="str">
        <f>HYPERLINK("https://pbs.twimg.com/profile_images/988971255679324162/jrqiIYf__normal.jpg","View")</f>
        <v>View</v>
      </c>
      <c r="P881" s="7"/>
    </row>
    <row r="882" spans="1:16">
      <c r="A882" s="3">
        <v>43987.0152662037</v>
      </c>
      <c r="B882" s="4" t="str">
        <f>HYPERLINK("https://twitter.com/sergio_fajardo","@sergio_fajardo")</f>
        <v>@sergio_fajardo</v>
      </c>
      <c r="C882" s="5" t="s">
        <v>16</v>
      </c>
      <c r="D882" s="5" t="s">
        <v>904</v>
      </c>
      <c r="E882" s="6" t="str">
        <f>HYPERLINK("https://twitter.com/sergio_fajardo/status/1268616507895906304","1268616507895906304")</f>
        <v>1268616507895906304</v>
      </c>
      <c r="F882" s="7" t="s">
        <v>17</v>
      </c>
      <c r="G882" s="7">
        <v>1542181</v>
      </c>
      <c r="H882" s="7">
        <v>368</v>
      </c>
      <c r="I882" s="7">
        <v>9</v>
      </c>
      <c r="J882" s="7">
        <v>21</v>
      </c>
      <c r="K882" s="7" t="s">
        <v>18</v>
      </c>
      <c r="L882" s="8">
        <v>39891.213356481479</v>
      </c>
      <c r="M882" s="9" t="s">
        <v>19</v>
      </c>
      <c r="N882" s="9" t="s">
        <v>22</v>
      </c>
      <c r="O882" s="6" t="str">
        <f>HYPERLINK("https://pbs.twimg.com/profile_images/988971255679324162/jrqiIYf__normal.jpg","View")</f>
        <v>View</v>
      </c>
      <c r="P882" s="7"/>
    </row>
    <row r="883" spans="1:16">
      <c r="A883" s="3">
        <v>43987.802037037036</v>
      </c>
      <c r="B883" s="4" t="str">
        <f>HYPERLINK("https://twitter.com/sergio_fajardo","@sergio_fajardo")</f>
        <v>@sergio_fajardo</v>
      </c>
      <c r="C883" s="5" t="s">
        <v>16</v>
      </c>
      <c r="D883" s="5" t="s">
        <v>905</v>
      </c>
      <c r="E883" s="6" t="str">
        <f>HYPERLINK("https://twitter.com/sergio_fajardo/status/1268901622291279887","1268901622291279887")</f>
        <v>1268901622291279887</v>
      </c>
      <c r="F883" s="7" t="s">
        <v>17</v>
      </c>
      <c r="G883" s="7">
        <v>1542251</v>
      </c>
      <c r="H883" s="7">
        <v>368</v>
      </c>
      <c r="I883" s="7">
        <v>5</v>
      </c>
      <c r="J883" s="7">
        <v>0</v>
      </c>
      <c r="K883" s="7" t="s">
        <v>18</v>
      </c>
      <c r="L883" s="8">
        <v>39891.213356481479</v>
      </c>
      <c r="M883" s="9" t="s">
        <v>19</v>
      </c>
      <c r="N883" s="9" t="s">
        <v>22</v>
      </c>
      <c r="O883" s="6" t="str">
        <f>HYPERLINK("https://pbs.twimg.com/profile_images/988971255679324162/jrqiIYf__normal.jpg","View")</f>
        <v>View</v>
      </c>
      <c r="P883" s="7"/>
    </row>
    <row r="884" spans="1:16">
      <c r="A884" s="3">
        <v>43987.802129629628</v>
      </c>
      <c r="B884" s="4" t="str">
        <f>HYPERLINK("https://twitter.com/sergio_fajardo","@sergio_fajardo")</f>
        <v>@sergio_fajardo</v>
      </c>
      <c r="C884" s="5" t="s">
        <v>16</v>
      </c>
      <c r="D884" s="5" t="s">
        <v>906</v>
      </c>
      <c r="E884" s="6" t="str">
        <f>HYPERLINK("https://twitter.com/sergio_fajardo/status/1268901655069822981","1268901655069822981")</f>
        <v>1268901655069822981</v>
      </c>
      <c r="F884" s="7" t="s">
        <v>17</v>
      </c>
      <c r="G884" s="7">
        <v>1542251</v>
      </c>
      <c r="H884" s="7">
        <v>368</v>
      </c>
      <c r="I884" s="7">
        <v>16</v>
      </c>
      <c r="J884" s="7">
        <v>0</v>
      </c>
      <c r="K884" s="7" t="s">
        <v>18</v>
      </c>
      <c r="L884" s="8">
        <v>39891.213356481479</v>
      </c>
      <c r="M884" s="9" t="s">
        <v>19</v>
      </c>
      <c r="N884" s="9" t="s">
        <v>22</v>
      </c>
      <c r="O884" s="6" t="str">
        <f>HYPERLINK("https://pbs.twimg.com/profile_images/988971255679324162/jrqiIYf__normal.jpg","View")</f>
        <v>View</v>
      </c>
      <c r="P884" s="7"/>
    </row>
    <row r="885" spans="1:16">
      <c r="A885" s="3">
        <v>43987.818275462967</v>
      </c>
      <c r="B885" s="4" t="str">
        <f>HYPERLINK("https://twitter.com/sergio_fajardo","@sergio_fajardo")</f>
        <v>@sergio_fajardo</v>
      </c>
      <c r="C885" s="5" t="s">
        <v>16</v>
      </c>
      <c r="D885" s="5" t="s">
        <v>907</v>
      </c>
      <c r="E885" s="6" t="str">
        <f>HYPERLINK("https://twitter.com/sergio_fajardo/status/1268907508564922371","1268907508564922371")</f>
        <v>1268907508564922371</v>
      </c>
      <c r="F885" s="7" t="s">
        <v>17</v>
      </c>
      <c r="G885" s="7">
        <v>1542257</v>
      </c>
      <c r="H885" s="7">
        <v>368</v>
      </c>
      <c r="I885" s="7">
        <v>87</v>
      </c>
      <c r="J885" s="7">
        <v>0</v>
      </c>
      <c r="K885" s="7" t="s">
        <v>18</v>
      </c>
      <c r="L885" s="8">
        <v>39891.213356481479</v>
      </c>
      <c r="M885" s="9" t="s">
        <v>19</v>
      </c>
      <c r="N885" s="9" t="s">
        <v>22</v>
      </c>
      <c r="O885" s="6" t="str">
        <f>HYPERLINK("https://pbs.twimg.com/profile_images/988971255679324162/jrqiIYf__normal.jpg","View")</f>
        <v>View</v>
      </c>
      <c r="P885" s="7"/>
    </row>
    <row r="886" spans="1:16">
      <c r="A886" s="3">
        <v>43987.958530092597</v>
      </c>
      <c r="B886" s="4" t="str">
        <f>HYPERLINK("https://twitter.com/sergio_fajardo","@sergio_fajardo")</f>
        <v>@sergio_fajardo</v>
      </c>
      <c r="C886" s="5" t="s">
        <v>16</v>
      </c>
      <c r="D886" s="5" t="s">
        <v>908</v>
      </c>
      <c r="E886" s="6" t="str">
        <f>HYPERLINK("https://twitter.com/sergio_fajardo/status/1268958332913692681","1268958332913692681")</f>
        <v>1268958332913692681</v>
      </c>
      <c r="F886" s="7" t="s">
        <v>23</v>
      </c>
      <c r="G886" s="7">
        <v>1542278</v>
      </c>
      <c r="H886" s="7">
        <v>368</v>
      </c>
      <c r="I886" s="7">
        <v>1</v>
      </c>
      <c r="J886" s="7">
        <v>0</v>
      </c>
      <c r="K886" s="7" t="s">
        <v>18</v>
      </c>
      <c r="L886" s="8">
        <v>39891.213356481479</v>
      </c>
      <c r="M886" s="9" t="s">
        <v>19</v>
      </c>
      <c r="N886" s="9" t="s">
        <v>22</v>
      </c>
      <c r="O886" s="6" t="str">
        <f>HYPERLINK("https://pbs.twimg.com/profile_images/988971255679324162/jrqiIYf__normal.jpg","View")</f>
        <v>View</v>
      </c>
      <c r="P886" s="7"/>
    </row>
    <row r="887" spans="1:16">
      <c r="A887" s="3">
        <v>43987.958530092597</v>
      </c>
      <c r="B887" s="4" t="str">
        <f>HYPERLINK("https://twitter.com/sergio_fajardo","@sergio_fajardo")</f>
        <v>@sergio_fajardo</v>
      </c>
      <c r="C887" s="5" t="s">
        <v>16</v>
      </c>
      <c r="D887" s="5" t="s">
        <v>909</v>
      </c>
      <c r="E887" s="6" t="str">
        <f>HYPERLINK("https://twitter.com/sergio_fajardo/status/1268958334020960257","1268958334020960257")</f>
        <v>1268958334020960257</v>
      </c>
      <c r="F887" s="7" t="s">
        <v>23</v>
      </c>
      <c r="G887" s="7">
        <v>1542278</v>
      </c>
      <c r="H887" s="7">
        <v>368</v>
      </c>
      <c r="I887" s="7">
        <v>0</v>
      </c>
      <c r="J887" s="7">
        <v>1</v>
      </c>
      <c r="K887" s="7" t="s">
        <v>18</v>
      </c>
      <c r="L887" s="8">
        <v>39891.213356481479</v>
      </c>
      <c r="M887" s="9" t="s">
        <v>19</v>
      </c>
      <c r="N887" s="9" t="s">
        <v>22</v>
      </c>
      <c r="O887" s="6" t="str">
        <f>HYPERLINK("https://pbs.twimg.com/profile_images/988971255679324162/jrqiIYf__normal.jpg","View")</f>
        <v>View</v>
      </c>
      <c r="P887" s="7"/>
    </row>
    <row r="888" spans="1:16">
      <c r="A888" s="3">
        <v>43987.958530092597</v>
      </c>
      <c r="B888" s="4" t="str">
        <f>HYPERLINK("https://twitter.com/sergio_fajardo","@sergio_fajardo")</f>
        <v>@sergio_fajardo</v>
      </c>
      <c r="C888" s="5" t="s">
        <v>16</v>
      </c>
      <c r="D888" s="5" t="s">
        <v>910</v>
      </c>
      <c r="E888" s="6" t="str">
        <f>HYPERLINK("https://twitter.com/sergio_fajardo/status/1268958334977282048","1268958334977282048")</f>
        <v>1268958334977282048</v>
      </c>
      <c r="F888" s="7" t="s">
        <v>23</v>
      </c>
      <c r="G888" s="7">
        <v>1542278</v>
      </c>
      <c r="H888" s="7">
        <v>368</v>
      </c>
      <c r="I888" s="7">
        <v>0</v>
      </c>
      <c r="J888" s="7">
        <v>0</v>
      </c>
      <c r="K888" s="7" t="s">
        <v>18</v>
      </c>
      <c r="L888" s="8">
        <v>39891.213356481479</v>
      </c>
      <c r="M888" s="9" t="s">
        <v>19</v>
      </c>
      <c r="N888" s="9" t="s">
        <v>22</v>
      </c>
      <c r="O888" s="6" t="str">
        <f>HYPERLINK("https://pbs.twimg.com/profile_images/988971255679324162/jrqiIYf__normal.jpg","View")</f>
        <v>View</v>
      </c>
      <c r="P888" s="7"/>
    </row>
    <row r="889" spans="1:16">
      <c r="A889" s="3">
        <v>43987.958541666667</v>
      </c>
      <c r="B889" s="4" t="str">
        <f>HYPERLINK("https://twitter.com/sergio_fajardo","@sergio_fajardo")</f>
        <v>@sergio_fajardo</v>
      </c>
      <c r="C889" s="5" t="s">
        <v>16</v>
      </c>
      <c r="D889" s="5" t="s">
        <v>911</v>
      </c>
      <c r="E889" s="6" t="str">
        <f>HYPERLINK("https://twitter.com/sergio_fajardo/status/1268958335967117313","1268958335967117313")</f>
        <v>1268958335967117313</v>
      </c>
      <c r="F889" s="7" t="s">
        <v>23</v>
      </c>
      <c r="G889" s="7">
        <v>1542278</v>
      </c>
      <c r="H889" s="7">
        <v>368</v>
      </c>
      <c r="I889" s="7">
        <v>0</v>
      </c>
      <c r="J889" s="7">
        <v>0</v>
      </c>
      <c r="K889" s="7" t="s">
        <v>18</v>
      </c>
      <c r="L889" s="8">
        <v>39891.213356481479</v>
      </c>
      <c r="M889" s="9" t="s">
        <v>19</v>
      </c>
      <c r="N889" s="9" t="s">
        <v>22</v>
      </c>
      <c r="O889" s="6" t="str">
        <f>HYPERLINK("https://pbs.twimg.com/profile_images/988971255679324162/jrqiIYf__normal.jpg","View")</f>
        <v>View</v>
      </c>
      <c r="P889" s="7"/>
    </row>
    <row r="890" spans="1:16">
      <c r="A890" s="3">
        <v>43987.97388888889</v>
      </c>
      <c r="B890" s="4" t="str">
        <f>HYPERLINK("https://twitter.com/sergio_fajardo","@sergio_fajardo")</f>
        <v>@sergio_fajardo</v>
      </c>
      <c r="C890" s="5" t="s">
        <v>16</v>
      </c>
      <c r="D890" s="5" t="s">
        <v>912</v>
      </c>
      <c r="E890" s="6" t="str">
        <f>HYPERLINK("https://twitter.com/sergio_fajardo/status/1268963897568100354","1268963897568100354")</f>
        <v>1268963897568100354</v>
      </c>
      <c r="F890" s="7" t="s">
        <v>17</v>
      </c>
      <c r="G890" s="7">
        <v>1542289</v>
      </c>
      <c r="H890" s="7">
        <v>368</v>
      </c>
      <c r="I890" s="7">
        <v>2210</v>
      </c>
      <c r="J890" s="7">
        <v>0</v>
      </c>
      <c r="K890" s="7" t="s">
        <v>18</v>
      </c>
      <c r="L890" s="8">
        <v>39891.213356481479</v>
      </c>
      <c r="M890" s="9" t="s">
        <v>19</v>
      </c>
      <c r="N890" s="9" t="s">
        <v>22</v>
      </c>
      <c r="O890" s="6" t="str">
        <f>HYPERLINK("https://pbs.twimg.com/profile_images/988971255679324162/jrqiIYf__normal.jpg","View")</f>
        <v>View</v>
      </c>
      <c r="P890" s="7"/>
    </row>
    <row r="891" spans="1:16">
      <c r="A891" s="3">
        <v>43987.979166666672</v>
      </c>
      <c r="B891" s="4" t="str">
        <f>HYPERLINK("https://twitter.com/sergio_fajardo","@sergio_fajardo")</f>
        <v>@sergio_fajardo</v>
      </c>
      <c r="C891" s="5" t="s">
        <v>16</v>
      </c>
      <c r="D891" s="5" t="s">
        <v>913</v>
      </c>
      <c r="E891" s="6" t="str">
        <f>HYPERLINK("https://twitter.com/sergio_fajardo/status/1268965811710025735","1268965811710025735")</f>
        <v>1268965811710025735</v>
      </c>
      <c r="F891" s="7" t="s">
        <v>17</v>
      </c>
      <c r="G891" s="7">
        <v>1542289</v>
      </c>
      <c r="H891" s="7">
        <v>368</v>
      </c>
      <c r="I891" s="7">
        <v>6</v>
      </c>
      <c r="J891" s="7">
        <v>0</v>
      </c>
      <c r="K891" s="7" t="s">
        <v>18</v>
      </c>
      <c r="L891" s="8">
        <v>39891.213356481479</v>
      </c>
      <c r="M891" s="9" t="s">
        <v>19</v>
      </c>
      <c r="N891" s="9" t="s">
        <v>22</v>
      </c>
      <c r="O891" s="6" t="str">
        <f>HYPERLINK("https://pbs.twimg.com/profile_images/988971255679324162/jrqiIYf__normal.jpg","View")</f>
        <v>View</v>
      </c>
      <c r="P891" s="7"/>
    </row>
    <row r="892" spans="1:16">
      <c r="A892" s="3">
        <v>43988.010648148149</v>
      </c>
      <c r="B892" s="4" t="str">
        <f>HYPERLINK("https://twitter.com/sergio_fajardo","@sergio_fajardo")</f>
        <v>@sergio_fajardo</v>
      </c>
      <c r="C892" s="5" t="s">
        <v>16</v>
      </c>
      <c r="D892" s="5" t="s">
        <v>914</v>
      </c>
      <c r="E892" s="6" t="str">
        <f>HYPERLINK("https://twitter.com/sergio_fajardo/status/1268977219550040064","1268977219550040064")</f>
        <v>1268977219550040064</v>
      </c>
      <c r="F892" s="7" t="s">
        <v>17</v>
      </c>
      <c r="G892" s="7">
        <v>1542289</v>
      </c>
      <c r="H892" s="7">
        <v>368</v>
      </c>
      <c r="I892" s="7">
        <v>64</v>
      </c>
      <c r="J892" s="7">
        <v>349</v>
      </c>
      <c r="K892" s="7" t="s">
        <v>18</v>
      </c>
      <c r="L892" s="8">
        <v>39891.213356481479</v>
      </c>
      <c r="M892" s="9" t="s">
        <v>19</v>
      </c>
      <c r="N892" s="9" t="s">
        <v>22</v>
      </c>
      <c r="O892" s="6" t="str">
        <f>HYPERLINK("https://pbs.twimg.com/profile_images/988971255679324162/jrqiIYf__normal.jpg","View")</f>
        <v>View</v>
      </c>
      <c r="P892" s="7"/>
    </row>
    <row r="893" spans="1:16">
      <c r="A893" s="3">
        <v>43988.013067129628</v>
      </c>
      <c r="B893" s="4" t="str">
        <f>HYPERLINK("https://twitter.com/sergio_fajardo","@sergio_fajardo")</f>
        <v>@sergio_fajardo</v>
      </c>
      <c r="C893" s="5" t="s">
        <v>16</v>
      </c>
      <c r="D893" s="5" t="s">
        <v>915</v>
      </c>
      <c r="E893" s="6" t="str">
        <f>HYPERLINK("https://twitter.com/sergio_fajardo/status/1268978098915205125","1268978098915205125")</f>
        <v>1268978098915205125</v>
      </c>
      <c r="F893" s="7" t="s">
        <v>17</v>
      </c>
      <c r="G893" s="7">
        <v>1542289</v>
      </c>
      <c r="H893" s="7">
        <v>368</v>
      </c>
      <c r="I893" s="7">
        <v>25</v>
      </c>
      <c r="J893" s="7">
        <v>0</v>
      </c>
      <c r="K893" s="7" t="s">
        <v>18</v>
      </c>
      <c r="L893" s="8">
        <v>39891.213356481479</v>
      </c>
      <c r="M893" s="9" t="s">
        <v>19</v>
      </c>
      <c r="N893" s="9" t="s">
        <v>22</v>
      </c>
      <c r="O893" s="6" t="str">
        <f>HYPERLINK("https://pbs.twimg.com/profile_images/988971255679324162/jrqiIYf__normal.jpg","View")</f>
        <v>View</v>
      </c>
      <c r="P893" s="7"/>
    </row>
    <row r="894" spans="1:16">
      <c r="A894" s="3">
        <v>43988.248449074075</v>
      </c>
      <c r="B894" s="4" t="str">
        <f>HYPERLINK("https://twitter.com/sergio_fajardo","@sergio_fajardo")</f>
        <v>@sergio_fajardo</v>
      </c>
      <c r="C894" s="5" t="s">
        <v>16</v>
      </c>
      <c r="D894" s="5" t="s">
        <v>916</v>
      </c>
      <c r="E894" s="6" t="str">
        <f>HYPERLINK("https://twitter.com/sergio_fajardo/status/1269063395430608897","1269063395430608897")</f>
        <v>1269063395430608897</v>
      </c>
      <c r="F894" s="7" t="s">
        <v>17</v>
      </c>
      <c r="G894" s="7">
        <v>1542332</v>
      </c>
      <c r="H894" s="7">
        <v>368</v>
      </c>
      <c r="I894" s="7">
        <v>855</v>
      </c>
      <c r="J894" s="7">
        <v>0</v>
      </c>
      <c r="K894" s="7" t="s">
        <v>18</v>
      </c>
      <c r="L894" s="8">
        <v>39891.213356481479</v>
      </c>
      <c r="M894" s="9" t="s">
        <v>19</v>
      </c>
      <c r="N894" s="9" t="s">
        <v>22</v>
      </c>
      <c r="O894" s="6" t="str">
        <f>HYPERLINK("https://pbs.twimg.com/profile_images/988971255679324162/jrqiIYf__normal.jpg","View")</f>
        <v>View</v>
      </c>
      <c r="P894" s="7"/>
    </row>
    <row r="895" spans="1:16">
      <c r="A895" s="3">
        <v>43988.708344907413</v>
      </c>
      <c r="B895" s="4" t="str">
        <f>HYPERLINK("https://twitter.com/sergio_fajardo","@sergio_fajardo")</f>
        <v>@sergio_fajardo</v>
      </c>
      <c r="C895" s="5" t="s">
        <v>16</v>
      </c>
      <c r="D895" s="5" t="s">
        <v>917</v>
      </c>
      <c r="E895" s="6" t="str">
        <f>HYPERLINK("https://twitter.com/sergio_fajardo/status/1269230055747616768","1269230055747616768")</f>
        <v>1269230055747616768</v>
      </c>
      <c r="F895" s="7" t="s">
        <v>17</v>
      </c>
      <c r="G895" s="7">
        <v>1542341</v>
      </c>
      <c r="H895" s="7">
        <v>368</v>
      </c>
      <c r="I895" s="7">
        <v>631</v>
      </c>
      <c r="J895" s="7">
        <v>0</v>
      </c>
      <c r="K895" s="7" t="s">
        <v>18</v>
      </c>
      <c r="L895" s="8">
        <v>39891.213356481479</v>
      </c>
      <c r="M895" s="9" t="s">
        <v>19</v>
      </c>
      <c r="N895" s="9" t="s">
        <v>22</v>
      </c>
      <c r="O895" s="6" t="str">
        <f>HYPERLINK("https://pbs.twimg.com/profile_images/988971255679324162/jrqiIYf__normal.jpg","View")</f>
        <v>View</v>
      </c>
      <c r="P895" s="7"/>
    </row>
    <row r="896" spans="1:16">
      <c r="A896" s="3">
        <v>43989.466238425928</v>
      </c>
      <c r="B896" s="4" t="str">
        <f>HYPERLINK("https://twitter.com/sergio_fajardo","@sergio_fajardo")</f>
        <v>@sergio_fajardo</v>
      </c>
      <c r="C896" s="5" t="s">
        <v>16</v>
      </c>
      <c r="D896" s="5" t="s">
        <v>918</v>
      </c>
      <c r="E896" s="6" t="str">
        <f>HYPERLINK("https://twitter.com/sergio_fajardo/status/1269504709724983296","1269504709724983296")</f>
        <v>1269504709724983296</v>
      </c>
      <c r="F896" s="7" t="s">
        <v>17</v>
      </c>
      <c r="G896" s="7">
        <v>1542431</v>
      </c>
      <c r="H896" s="7">
        <v>368</v>
      </c>
      <c r="I896" s="7">
        <v>14</v>
      </c>
      <c r="J896" s="7">
        <v>0</v>
      </c>
      <c r="K896" s="7" t="s">
        <v>18</v>
      </c>
      <c r="L896" s="8">
        <v>39891.213356481479</v>
      </c>
      <c r="M896" s="9" t="s">
        <v>19</v>
      </c>
      <c r="N896" s="9" t="s">
        <v>22</v>
      </c>
      <c r="O896" s="6" t="str">
        <f>HYPERLINK("https://pbs.twimg.com/profile_images/988971255679324162/jrqiIYf__normal.jpg","View")</f>
        <v>View</v>
      </c>
      <c r="P896" s="7"/>
    </row>
    <row r="897" spans="1:16">
      <c r="A897" s="3">
        <v>43989.89775462963</v>
      </c>
      <c r="B897" s="4" t="str">
        <f>HYPERLINK("https://twitter.com/sergio_fajardo","@sergio_fajardo")</f>
        <v>@sergio_fajardo</v>
      </c>
      <c r="C897" s="5" t="s">
        <v>16</v>
      </c>
      <c r="D897" s="5" t="s">
        <v>919</v>
      </c>
      <c r="E897" s="6" t="str">
        <f>HYPERLINK("https://twitter.com/sergio_fajardo/status/1269661083632939008","1269661083632939008")</f>
        <v>1269661083632939008</v>
      </c>
      <c r="F897" s="7" t="s">
        <v>17</v>
      </c>
      <c r="G897" s="7">
        <v>1542461</v>
      </c>
      <c r="H897" s="7">
        <v>368</v>
      </c>
      <c r="I897" s="7">
        <v>26</v>
      </c>
      <c r="J897" s="7">
        <v>0</v>
      </c>
      <c r="K897" s="7" t="s">
        <v>18</v>
      </c>
      <c r="L897" s="8">
        <v>39891.213356481479</v>
      </c>
      <c r="M897" s="9" t="s">
        <v>19</v>
      </c>
      <c r="N897" s="9" t="s">
        <v>22</v>
      </c>
      <c r="O897" s="6" t="str">
        <f>HYPERLINK("https://pbs.twimg.com/profile_images/988971255679324162/jrqiIYf__normal.jpg","View")</f>
        <v>View</v>
      </c>
      <c r="P897" s="7"/>
    </row>
    <row r="898" spans="1:16">
      <c r="A898" s="3">
        <v>43989.922175925924</v>
      </c>
      <c r="B898" s="4" t="str">
        <f>HYPERLINK("https://twitter.com/sergio_fajardo","@sergio_fajardo")</f>
        <v>@sergio_fajardo</v>
      </c>
      <c r="C898" s="5" t="s">
        <v>16</v>
      </c>
      <c r="D898" s="5" t="s">
        <v>920</v>
      </c>
      <c r="E898" s="6" t="str">
        <f>HYPERLINK("https://twitter.com/sergio_fajardo/status/1269669934298087424","1269669934298087424")</f>
        <v>1269669934298087424</v>
      </c>
      <c r="F898" s="7" t="s">
        <v>17</v>
      </c>
      <c r="G898" s="7">
        <v>1542461</v>
      </c>
      <c r="H898" s="7">
        <v>368</v>
      </c>
      <c r="I898" s="7">
        <v>3</v>
      </c>
      <c r="J898" s="7">
        <v>19</v>
      </c>
      <c r="K898" s="7" t="s">
        <v>18</v>
      </c>
      <c r="L898" s="8">
        <v>39891.213356481479</v>
      </c>
      <c r="M898" s="9" t="s">
        <v>19</v>
      </c>
      <c r="N898" s="9" t="s">
        <v>22</v>
      </c>
      <c r="O898" s="6" t="str">
        <f>HYPERLINK("https://pbs.twimg.com/profile_images/988971255679324162/jrqiIYf__normal.jpg","View")</f>
        <v>View</v>
      </c>
      <c r="P898" s="7"/>
    </row>
    <row r="899" spans="1:16">
      <c r="A899" s="3">
        <v>43990.3278125</v>
      </c>
      <c r="B899" s="4" t="str">
        <f>HYPERLINK("https://twitter.com/sergio_fajardo","@sergio_fajardo")</f>
        <v>@sergio_fajardo</v>
      </c>
      <c r="C899" s="5" t="s">
        <v>16</v>
      </c>
      <c r="D899" s="5" t="s">
        <v>921</v>
      </c>
      <c r="E899" s="6" t="str">
        <f>HYPERLINK("https://twitter.com/sergio_fajardo/status/1269816933911855110","1269816933911855110")</f>
        <v>1269816933911855110</v>
      </c>
      <c r="F899" s="7" t="s">
        <v>17</v>
      </c>
      <c r="G899" s="7">
        <v>1542503</v>
      </c>
      <c r="H899" s="7">
        <v>368</v>
      </c>
      <c r="I899" s="7">
        <v>47</v>
      </c>
      <c r="J899" s="7">
        <v>153</v>
      </c>
      <c r="K899" s="7" t="s">
        <v>18</v>
      </c>
      <c r="L899" s="8">
        <v>39891.213356481479</v>
      </c>
      <c r="M899" s="9" t="s">
        <v>19</v>
      </c>
      <c r="N899" s="9" t="s">
        <v>22</v>
      </c>
      <c r="O899" s="6" t="str">
        <f>HYPERLINK("https://pbs.twimg.com/profile_images/988971255679324162/jrqiIYf__normal.jpg","View")</f>
        <v>View</v>
      </c>
      <c r="P899" s="7"/>
    </row>
    <row r="900" spans="1:16">
      <c r="A900" s="3">
        <v>43990.354594907403</v>
      </c>
      <c r="B900" s="4" t="str">
        <f>HYPERLINK("https://twitter.com/sergio_fajardo","@sergio_fajardo")</f>
        <v>@sergio_fajardo</v>
      </c>
      <c r="C900" s="5" t="s">
        <v>16</v>
      </c>
      <c r="D900" s="5" t="s">
        <v>922</v>
      </c>
      <c r="E900" s="6" t="str">
        <f>HYPERLINK("https://twitter.com/sergio_fajardo/status/1269826636544970753","1269826636544970753")</f>
        <v>1269826636544970753</v>
      </c>
      <c r="F900" s="7" t="s">
        <v>17</v>
      </c>
      <c r="G900" s="7">
        <v>1542496</v>
      </c>
      <c r="H900" s="7">
        <v>368</v>
      </c>
      <c r="I900" s="7">
        <v>1</v>
      </c>
      <c r="J900" s="7">
        <v>0</v>
      </c>
      <c r="K900" s="7" t="s">
        <v>18</v>
      </c>
      <c r="L900" s="8">
        <v>39891.213356481479</v>
      </c>
      <c r="M900" s="9" t="s">
        <v>19</v>
      </c>
      <c r="N900" s="9" t="s">
        <v>22</v>
      </c>
      <c r="O900" s="6" t="str">
        <f>HYPERLINK("https://pbs.twimg.com/profile_images/988971255679324162/jrqiIYf__normal.jpg","View")</f>
        <v>View</v>
      </c>
      <c r="P900" s="7"/>
    </row>
    <row r="901" spans="1:16">
      <c r="A901" s="3">
        <v>43990.632187499999</v>
      </c>
      <c r="B901" s="4" t="str">
        <f>HYPERLINK("https://twitter.com/sergio_fajardo","@sergio_fajardo")</f>
        <v>@sergio_fajardo</v>
      </c>
      <c r="C901" s="5" t="s">
        <v>16</v>
      </c>
      <c r="D901" s="4" t="s">
        <v>923</v>
      </c>
      <c r="E901" s="6" t="str">
        <f>HYPERLINK("https://twitter.com/sergio_fajardo/status/1269927236171415554","1269927236171415554")</f>
        <v>1269927236171415554</v>
      </c>
      <c r="F901" s="7" t="s">
        <v>17</v>
      </c>
      <c r="G901" s="7">
        <v>1542488</v>
      </c>
      <c r="H901" s="7">
        <v>368</v>
      </c>
      <c r="I901" s="7">
        <v>5</v>
      </c>
      <c r="J901" s="7">
        <v>10</v>
      </c>
      <c r="K901" s="7" t="s">
        <v>18</v>
      </c>
      <c r="L901" s="8">
        <v>39891.213356481479</v>
      </c>
      <c r="M901" s="9" t="s">
        <v>19</v>
      </c>
      <c r="N901" s="9" t="s">
        <v>22</v>
      </c>
      <c r="O901" s="6" t="str">
        <f>HYPERLINK("https://pbs.twimg.com/profile_images/988971255679324162/jrqiIYf__normal.jpg","View")</f>
        <v>View</v>
      </c>
      <c r="P901" s="7"/>
    </row>
    <row r="902" spans="1:16">
      <c r="A902" s="3">
        <v>43990.930115740739</v>
      </c>
      <c r="B902" s="4" t="str">
        <f>HYPERLINK("https://twitter.com/sergio_fajardo","@sergio_fajardo")</f>
        <v>@sergio_fajardo</v>
      </c>
      <c r="C902" s="5" t="s">
        <v>16</v>
      </c>
      <c r="D902" s="5" t="s">
        <v>924</v>
      </c>
      <c r="E902" s="6" t="str">
        <f>HYPERLINK("https://twitter.com/sergio_fajardo/status/1270035201742290944","1270035201742290944")</f>
        <v>1270035201742290944</v>
      </c>
      <c r="F902" s="7" t="s">
        <v>17</v>
      </c>
      <c r="G902" s="7">
        <v>1542546</v>
      </c>
      <c r="H902" s="7">
        <v>368</v>
      </c>
      <c r="I902" s="7">
        <v>54</v>
      </c>
      <c r="J902" s="7">
        <v>163</v>
      </c>
      <c r="K902" s="7" t="s">
        <v>18</v>
      </c>
      <c r="L902" s="8">
        <v>39891.213356481479</v>
      </c>
      <c r="M902" s="9" t="s">
        <v>19</v>
      </c>
      <c r="N902" s="9" t="s">
        <v>22</v>
      </c>
      <c r="O902" s="6" t="str">
        <f>HYPERLINK("https://pbs.twimg.com/profile_images/988971255679324162/jrqiIYf__normal.jpg","View")</f>
        <v>View</v>
      </c>
      <c r="P902" s="7"/>
    </row>
    <row r="903" spans="1:16">
      <c r="A903" s="3">
        <v>43990.936747685184</v>
      </c>
      <c r="B903" s="4" t="str">
        <f>HYPERLINK("https://twitter.com/sergio_fajardo","@sergio_fajardo")</f>
        <v>@sergio_fajardo</v>
      </c>
      <c r="C903" s="5" t="s">
        <v>16</v>
      </c>
      <c r="D903" s="5" t="s">
        <v>925</v>
      </c>
      <c r="E903" s="6" t="str">
        <f>HYPERLINK("https://twitter.com/sergio_fajardo/status/1270037601496576002","1270037601496576002")</f>
        <v>1270037601496576002</v>
      </c>
      <c r="F903" s="7" t="s">
        <v>17</v>
      </c>
      <c r="G903" s="7">
        <v>1542546</v>
      </c>
      <c r="H903" s="7">
        <v>368</v>
      </c>
      <c r="I903" s="7">
        <v>8</v>
      </c>
      <c r="J903" s="7">
        <v>28</v>
      </c>
      <c r="K903" s="7" t="s">
        <v>18</v>
      </c>
      <c r="L903" s="8">
        <v>39891.213356481479</v>
      </c>
      <c r="M903" s="9" t="s">
        <v>19</v>
      </c>
      <c r="N903" s="9" t="s">
        <v>22</v>
      </c>
      <c r="O903" s="6" t="str">
        <f>HYPERLINK("https://pbs.twimg.com/profile_images/988971255679324162/jrqiIYf__normal.jpg","View")</f>
        <v>View</v>
      </c>
      <c r="P903" s="7"/>
    </row>
    <row r="904" spans="1:16">
      <c r="A904" s="3">
        <v>43991.276307870372</v>
      </c>
      <c r="B904" s="4" t="str">
        <f>HYPERLINK("https://twitter.com/sergio_fajardo","@sergio_fajardo")</f>
        <v>@sergio_fajardo</v>
      </c>
      <c r="C904" s="5" t="s">
        <v>16</v>
      </c>
      <c r="D904" s="5" t="s">
        <v>926</v>
      </c>
      <c r="E904" s="6" t="str">
        <f>HYPERLINK("https://twitter.com/sergio_fajardo/status/1270160656944201728","1270160656944201728")</f>
        <v>1270160656944201728</v>
      </c>
      <c r="F904" s="7" t="s">
        <v>17</v>
      </c>
      <c r="G904" s="7">
        <v>1542547</v>
      </c>
      <c r="H904" s="7">
        <v>368</v>
      </c>
      <c r="I904" s="7">
        <v>2</v>
      </c>
      <c r="J904" s="7">
        <v>7</v>
      </c>
      <c r="K904" s="7" t="s">
        <v>18</v>
      </c>
      <c r="L904" s="8">
        <v>39891.213356481479</v>
      </c>
      <c r="M904" s="9" t="s">
        <v>19</v>
      </c>
      <c r="N904" s="9" t="s">
        <v>22</v>
      </c>
      <c r="O904" s="6" t="str">
        <f>HYPERLINK("https://pbs.twimg.com/profile_images/988971255679324162/jrqiIYf__normal.jpg","View")</f>
        <v>View</v>
      </c>
      <c r="P904" s="7"/>
    </row>
    <row r="905" spans="1:16">
      <c r="A905" s="3">
        <v>43991.927604166667</v>
      </c>
      <c r="B905" s="4" t="str">
        <f>HYPERLINK("https://twitter.com/sergio_fajardo","@sergio_fajardo")</f>
        <v>@sergio_fajardo</v>
      </c>
      <c r="C905" s="5" t="s">
        <v>16</v>
      </c>
      <c r="D905" s="5" t="s">
        <v>927</v>
      </c>
      <c r="E905" s="6" t="str">
        <f>HYPERLINK("https://twitter.com/sergio_fajardo/status/1270396679842299907","1270396679842299907")</f>
        <v>1270396679842299907</v>
      </c>
      <c r="F905" s="7" t="s">
        <v>17</v>
      </c>
      <c r="G905" s="7">
        <v>1542513</v>
      </c>
      <c r="H905" s="7">
        <v>368</v>
      </c>
      <c r="I905" s="7">
        <v>5</v>
      </c>
      <c r="J905" s="7">
        <v>0</v>
      </c>
      <c r="K905" s="7" t="s">
        <v>18</v>
      </c>
      <c r="L905" s="8">
        <v>39891.213356481479</v>
      </c>
      <c r="M905" s="9" t="s">
        <v>19</v>
      </c>
      <c r="N905" s="9" t="s">
        <v>22</v>
      </c>
      <c r="O905" s="6" t="str">
        <f>HYPERLINK("https://pbs.twimg.com/profile_images/988971255679324162/jrqiIYf__normal.jpg","View")</f>
        <v>View</v>
      </c>
      <c r="P905" s="7"/>
    </row>
    <row r="906" spans="1:16">
      <c r="A906" s="3">
        <v>43992.286296296297</v>
      </c>
      <c r="B906" s="4" t="str">
        <f>HYPERLINK("https://twitter.com/sergio_fajardo","@sergio_fajardo")</f>
        <v>@sergio_fajardo</v>
      </c>
      <c r="C906" s="5" t="s">
        <v>16</v>
      </c>
      <c r="D906" s="5" t="s">
        <v>928</v>
      </c>
      <c r="E906" s="6" t="str">
        <f>HYPERLINK("https://twitter.com/sergio_fajardo/status/1270526664376758272","1270526664376758272")</f>
        <v>1270526664376758272</v>
      </c>
      <c r="F906" s="7" t="s">
        <v>17</v>
      </c>
      <c r="G906" s="7">
        <v>1542490</v>
      </c>
      <c r="H906" s="7">
        <v>368</v>
      </c>
      <c r="I906" s="7">
        <v>3</v>
      </c>
      <c r="J906" s="7">
        <v>23</v>
      </c>
      <c r="K906" s="7" t="s">
        <v>18</v>
      </c>
      <c r="L906" s="8">
        <v>39891.213356481479</v>
      </c>
      <c r="M906" s="9" t="s">
        <v>19</v>
      </c>
      <c r="N906" s="9" t="s">
        <v>22</v>
      </c>
      <c r="O906" s="6" t="str">
        <f>HYPERLINK("https://pbs.twimg.com/profile_images/988971255679324162/jrqiIYf__normal.jpg","View")</f>
        <v>View</v>
      </c>
      <c r="P906" s="7"/>
    </row>
    <row r="907" spans="1:16">
      <c r="A907" s="3">
        <v>43992.288807870369</v>
      </c>
      <c r="B907" s="4" t="str">
        <f>HYPERLINK("https://twitter.com/sergio_fajardo","@sergio_fajardo")</f>
        <v>@sergio_fajardo</v>
      </c>
      <c r="C907" s="5" t="s">
        <v>16</v>
      </c>
      <c r="D907" s="5" t="s">
        <v>929</v>
      </c>
      <c r="E907" s="6" t="str">
        <f>HYPERLINK("https://twitter.com/sergio_fajardo/status/1270527575828422657","1270527575828422657")</f>
        <v>1270527575828422657</v>
      </c>
      <c r="F907" s="7" t="s">
        <v>17</v>
      </c>
      <c r="G907" s="7">
        <v>1542490</v>
      </c>
      <c r="H907" s="7">
        <v>368</v>
      </c>
      <c r="I907" s="7">
        <v>1</v>
      </c>
      <c r="J907" s="7">
        <v>42</v>
      </c>
      <c r="K907" s="7" t="s">
        <v>18</v>
      </c>
      <c r="L907" s="8">
        <v>39891.213356481479</v>
      </c>
      <c r="M907" s="9" t="s">
        <v>19</v>
      </c>
      <c r="N907" s="9" t="s">
        <v>22</v>
      </c>
      <c r="O907" s="6" t="str">
        <f>HYPERLINK("https://pbs.twimg.com/profile_images/988971255679324162/jrqiIYf__normal.jpg","View")</f>
        <v>View</v>
      </c>
      <c r="P907" s="7"/>
    </row>
    <row r="908" spans="1:16">
      <c r="A908" s="3">
        <v>43992.312743055554</v>
      </c>
      <c r="B908" s="4" t="str">
        <f>HYPERLINK("https://twitter.com/sergio_fajardo","@sergio_fajardo")</f>
        <v>@sergio_fajardo</v>
      </c>
      <c r="C908" s="5" t="s">
        <v>16</v>
      </c>
      <c r="D908" s="5" t="s">
        <v>930</v>
      </c>
      <c r="E908" s="6" t="str">
        <f>HYPERLINK("https://twitter.com/sergio_fajardo/status/1270536246197194752","1270536246197194752")</f>
        <v>1270536246197194752</v>
      </c>
      <c r="F908" s="7" t="s">
        <v>17</v>
      </c>
      <c r="G908" s="7">
        <v>1542495</v>
      </c>
      <c r="H908" s="7">
        <v>368</v>
      </c>
      <c r="I908" s="7">
        <v>10</v>
      </c>
      <c r="J908" s="7">
        <v>0</v>
      </c>
      <c r="K908" s="7" t="s">
        <v>18</v>
      </c>
      <c r="L908" s="8">
        <v>39891.213356481479</v>
      </c>
      <c r="M908" s="9" t="s">
        <v>19</v>
      </c>
      <c r="N908" s="9" t="s">
        <v>22</v>
      </c>
      <c r="O908" s="6" t="str">
        <f>HYPERLINK("https://pbs.twimg.com/profile_images/988971255679324162/jrqiIYf__normal.jpg","View")</f>
        <v>View</v>
      </c>
      <c r="P908" s="7"/>
    </row>
    <row r="909" spans="1:16">
      <c r="A909" s="3">
        <v>43992.313217592593</v>
      </c>
      <c r="B909" s="4" t="str">
        <f>HYPERLINK("https://twitter.com/sergio_fajardo","@sergio_fajardo")</f>
        <v>@sergio_fajardo</v>
      </c>
      <c r="C909" s="5" t="s">
        <v>16</v>
      </c>
      <c r="D909" s="5" t="s">
        <v>931</v>
      </c>
      <c r="E909" s="6" t="str">
        <f>HYPERLINK("https://twitter.com/sergio_fajardo/status/1270536421011578881","1270536421011578881")</f>
        <v>1270536421011578881</v>
      </c>
      <c r="F909" s="7" t="s">
        <v>17</v>
      </c>
      <c r="G909" s="7">
        <v>1542495</v>
      </c>
      <c r="H909" s="7">
        <v>368</v>
      </c>
      <c r="I909" s="7">
        <v>3</v>
      </c>
      <c r="J909" s="7">
        <v>0</v>
      </c>
      <c r="K909" s="7" t="s">
        <v>18</v>
      </c>
      <c r="L909" s="8">
        <v>39891.213356481479</v>
      </c>
      <c r="M909" s="9" t="s">
        <v>19</v>
      </c>
      <c r="N909" s="9" t="s">
        <v>22</v>
      </c>
      <c r="O909" s="6" t="str">
        <f>HYPERLINK("https://pbs.twimg.com/profile_images/988971255679324162/jrqiIYf__normal.jpg","View")</f>
        <v>View</v>
      </c>
      <c r="P909" s="7"/>
    </row>
    <row r="910" spans="1:16">
      <c r="A910" s="3">
        <v>43992.315995370373</v>
      </c>
      <c r="B910" s="4" t="str">
        <f>HYPERLINK("https://twitter.com/sergio_fajardo","@sergio_fajardo")</f>
        <v>@sergio_fajardo</v>
      </c>
      <c r="C910" s="5" t="s">
        <v>16</v>
      </c>
      <c r="D910" s="5" t="s">
        <v>932</v>
      </c>
      <c r="E910" s="6" t="str">
        <f>HYPERLINK("https://twitter.com/sergio_fajardo/status/1270537424687464449","1270537424687464449")</f>
        <v>1270537424687464449</v>
      </c>
      <c r="F910" s="7" t="s">
        <v>17</v>
      </c>
      <c r="G910" s="7">
        <v>1542494</v>
      </c>
      <c r="H910" s="7">
        <v>368</v>
      </c>
      <c r="I910" s="7">
        <v>13</v>
      </c>
      <c r="J910" s="7">
        <v>0</v>
      </c>
      <c r="K910" s="7" t="s">
        <v>18</v>
      </c>
      <c r="L910" s="8">
        <v>39891.213356481479</v>
      </c>
      <c r="M910" s="9" t="s">
        <v>19</v>
      </c>
      <c r="N910" s="9" t="s">
        <v>22</v>
      </c>
      <c r="O910" s="6" t="str">
        <f>HYPERLINK("https://pbs.twimg.com/profile_images/988971255679324162/jrqiIYf__normal.jpg","View")</f>
        <v>View</v>
      </c>
      <c r="P910" s="7"/>
    </row>
    <row r="911" spans="1:16">
      <c r="A911" s="3">
        <v>43992.321539351848</v>
      </c>
      <c r="B911" s="4" t="str">
        <f>HYPERLINK("https://twitter.com/sergio_fajardo","@sergio_fajardo")</f>
        <v>@sergio_fajardo</v>
      </c>
      <c r="C911" s="5" t="s">
        <v>16</v>
      </c>
      <c r="D911" s="5" t="s">
        <v>933</v>
      </c>
      <c r="E911" s="6" t="str">
        <f>HYPERLINK("https://twitter.com/sergio_fajardo/status/1270539434925199364","1270539434925199364")</f>
        <v>1270539434925199364</v>
      </c>
      <c r="F911" s="7" t="s">
        <v>17</v>
      </c>
      <c r="G911" s="7">
        <v>1542494</v>
      </c>
      <c r="H911" s="7">
        <v>368</v>
      </c>
      <c r="I911" s="7">
        <v>130</v>
      </c>
      <c r="J911" s="7">
        <v>0</v>
      </c>
      <c r="K911" s="7" t="s">
        <v>18</v>
      </c>
      <c r="L911" s="8">
        <v>39891.213356481479</v>
      </c>
      <c r="M911" s="9" t="s">
        <v>19</v>
      </c>
      <c r="N911" s="9" t="s">
        <v>22</v>
      </c>
      <c r="O911" s="6" t="str">
        <f>HYPERLINK("https://pbs.twimg.com/profile_images/988971255679324162/jrqiIYf__normal.jpg","View")</f>
        <v>View</v>
      </c>
      <c r="P911" s="7"/>
    </row>
    <row r="912" spans="1:16">
      <c r="A912" s="3">
        <v>43992.327939814815</v>
      </c>
      <c r="B912" s="4" t="str">
        <f>HYPERLINK("https://twitter.com/sergio_fajardo","@sergio_fajardo")</f>
        <v>@sergio_fajardo</v>
      </c>
      <c r="C912" s="5" t="s">
        <v>16</v>
      </c>
      <c r="D912" s="5" t="s">
        <v>934</v>
      </c>
      <c r="E912" s="6" t="str">
        <f>HYPERLINK("https://twitter.com/sergio_fajardo/status/1270541755923005441","1270541755923005441")</f>
        <v>1270541755923005441</v>
      </c>
      <c r="F912" s="7" t="s">
        <v>17</v>
      </c>
      <c r="G912" s="7">
        <v>1542494</v>
      </c>
      <c r="H912" s="7">
        <v>368</v>
      </c>
      <c r="I912" s="7">
        <v>13</v>
      </c>
      <c r="J912" s="7">
        <v>34</v>
      </c>
      <c r="K912" s="7" t="s">
        <v>18</v>
      </c>
      <c r="L912" s="8">
        <v>39891.213356481479</v>
      </c>
      <c r="M912" s="9" t="s">
        <v>19</v>
      </c>
      <c r="N912" s="9" t="s">
        <v>22</v>
      </c>
      <c r="O912" s="6" t="str">
        <f>HYPERLINK("https://pbs.twimg.com/profile_images/988971255679324162/jrqiIYf__normal.jpg","View")</f>
        <v>View</v>
      </c>
      <c r="P912" s="7"/>
    </row>
    <row r="913" spans="1:16">
      <c r="A913" s="3">
        <v>43992.359247685185</v>
      </c>
      <c r="B913" s="4" t="str">
        <f>HYPERLINK("https://twitter.com/sergio_fajardo","@sergio_fajardo")</f>
        <v>@sergio_fajardo</v>
      </c>
      <c r="C913" s="5" t="s">
        <v>16</v>
      </c>
      <c r="D913" s="5" t="s">
        <v>935</v>
      </c>
      <c r="E913" s="6" t="str">
        <f>HYPERLINK("https://twitter.com/sergio_fajardo/status/1270553100600909825","1270553100600909825")</f>
        <v>1270553100600909825</v>
      </c>
      <c r="F913" s="7" t="s">
        <v>17</v>
      </c>
      <c r="G913" s="7">
        <v>1542471</v>
      </c>
      <c r="H913" s="7">
        <v>368</v>
      </c>
      <c r="I913" s="7">
        <v>715</v>
      </c>
      <c r="J913" s="7">
        <v>0</v>
      </c>
      <c r="K913" s="7" t="s">
        <v>18</v>
      </c>
      <c r="L913" s="8">
        <v>39891.213356481479</v>
      </c>
      <c r="M913" s="9" t="s">
        <v>19</v>
      </c>
      <c r="N913" s="9" t="s">
        <v>22</v>
      </c>
      <c r="O913" s="6" t="str">
        <f>HYPERLINK("https://pbs.twimg.com/profile_images/988971255679324162/jrqiIYf__normal.jpg","View")</f>
        <v>View</v>
      </c>
      <c r="P913" s="7"/>
    </row>
    <row r="914" spans="1:16">
      <c r="A914" s="3">
        <v>43992.654803240745</v>
      </c>
      <c r="B914" s="4" t="str">
        <f>HYPERLINK("https://twitter.com/sergio_fajardo","@sergio_fajardo")</f>
        <v>@sergio_fajardo</v>
      </c>
      <c r="C914" s="5" t="s">
        <v>16</v>
      </c>
      <c r="D914" s="5" t="s">
        <v>936</v>
      </c>
      <c r="E914" s="6" t="str">
        <f>HYPERLINK("https://twitter.com/sergio_fajardo/status/1270660204443697153","1270660204443697153")</f>
        <v>1270660204443697153</v>
      </c>
      <c r="F914" s="7" t="s">
        <v>17</v>
      </c>
      <c r="G914" s="7">
        <v>1542478</v>
      </c>
      <c r="H914" s="7">
        <v>368</v>
      </c>
      <c r="I914" s="7">
        <v>42</v>
      </c>
      <c r="J914" s="7">
        <v>0</v>
      </c>
      <c r="K914" s="7" t="s">
        <v>18</v>
      </c>
      <c r="L914" s="8">
        <v>39891.213356481479</v>
      </c>
      <c r="M914" s="9" t="s">
        <v>19</v>
      </c>
      <c r="N914" s="9" t="s">
        <v>22</v>
      </c>
      <c r="O914" s="6" t="str">
        <f>HYPERLINK("https://pbs.twimg.com/profile_images/988971255679324162/jrqiIYf__normal.jpg","View")</f>
        <v>View</v>
      </c>
      <c r="P914" s="7"/>
    </row>
    <row r="915" spans="1:16">
      <c r="A915" s="3">
        <v>43992.835289351853</v>
      </c>
      <c r="B915" s="4" t="str">
        <f>HYPERLINK("https://twitter.com/sergio_fajardo","@sergio_fajardo")</f>
        <v>@sergio_fajardo</v>
      </c>
      <c r="C915" s="5" t="s">
        <v>16</v>
      </c>
      <c r="D915" s="5" t="s">
        <v>937</v>
      </c>
      <c r="E915" s="6" t="str">
        <f>HYPERLINK("https://twitter.com/sergio_fajardo/status/1270725610277498880","1270725610277498880")</f>
        <v>1270725610277498880</v>
      </c>
      <c r="F915" s="7" t="s">
        <v>17</v>
      </c>
      <c r="G915" s="7">
        <v>1542468</v>
      </c>
      <c r="H915" s="7">
        <v>368</v>
      </c>
      <c r="I915" s="7">
        <v>10</v>
      </c>
      <c r="J915" s="7">
        <v>0</v>
      </c>
      <c r="K915" s="7" t="s">
        <v>18</v>
      </c>
      <c r="L915" s="8">
        <v>39891.213356481479</v>
      </c>
      <c r="M915" s="9" t="s">
        <v>19</v>
      </c>
      <c r="N915" s="9" t="s">
        <v>22</v>
      </c>
      <c r="O915" s="6" t="str">
        <f>HYPERLINK("https://pbs.twimg.com/profile_images/988971255679324162/jrqiIYf__normal.jpg","View")</f>
        <v>View</v>
      </c>
      <c r="P915" s="7"/>
    </row>
    <row r="916" spans="1:16">
      <c r="A916" s="3">
        <v>43992.926527777774</v>
      </c>
      <c r="B916" s="4" t="str">
        <f>HYPERLINK("https://twitter.com/sergio_fajardo","@sergio_fajardo")</f>
        <v>@sergio_fajardo</v>
      </c>
      <c r="C916" s="5" t="s">
        <v>16</v>
      </c>
      <c r="D916" s="5" t="s">
        <v>938</v>
      </c>
      <c r="E916" s="6" t="str">
        <f>HYPERLINK("https://twitter.com/sergio_fajardo/status/1270758676387815426","1270758676387815426")</f>
        <v>1270758676387815426</v>
      </c>
      <c r="F916" s="7" t="s">
        <v>17</v>
      </c>
      <c r="G916" s="7">
        <v>1542459</v>
      </c>
      <c r="H916" s="7">
        <v>368</v>
      </c>
      <c r="I916" s="7">
        <v>171</v>
      </c>
      <c r="J916" s="7">
        <v>0</v>
      </c>
      <c r="K916" s="7" t="s">
        <v>18</v>
      </c>
      <c r="L916" s="8">
        <v>39891.213356481479</v>
      </c>
      <c r="M916" s="9" t="s">
        <v>19</v>
      </c>
      <c r="N916" s="9" t="s">
        <v>22</v>
      </c>
      <c r="O916" s="6" t="str">
        <f>HYPERLINK("https://pbs.twimg.com/profile_images/988971255679324162/jrqiIYf__normal.jpg","View")</f>
        <v>View</v>
      </c>
      <c r="P916" s="7"/>
    </row>
    <row r="917" spans="1:16">
      <c r="A917" s="3">
        <v>43992.928622685184</v>
      </c>
      <c r="B917" s="4" t="str">
        <f>HYPERLINK("https://twitter.com/sergio_fajardo","@sergio_fajardo")</f>
        <v>@sergio_fajardo</v>
      </c>
      <c r="C917" s="5" t="s">
        <v>16</v>
      </c>
      <c r="D917" s="5" t="s">
        <v>939</v>
      </c>
      <c r="E917" s="6" t="str">
        <f>HYPERLINK("https://twitter.com/sergio_fajardo/status/1270759436949299205","1270759436949299205")</f>
        <v>1270759436949299205</v>
      </c>
      <c r="F917" s="7" t="s">
        <v>17</v>
      </c>
      <c r="G917" s="7">
        <v>1542459</v>
      </c>
      <c r="H917" s="7">
        <v>368</v>
      </c>
      <c r="I917" s="7">
        <v>15</v>
      </c>
      <c r="J917" s="7">
        <v>0</v>
      </c>
      <c r="K917" s="7" t="s">
        <v>18</v>
      </c>
      <c r="L917" s="8">
        <v>39891.213356481479</v>
      </c>
      <c r="M917" s="9" t="s">
        <v>19</v>
      </c>
      <c r="N917" s="9" t="s">
        <v>22</v>
      </c>
      <c r="O917" s="6" t="str">
        <f>HYPERLINK("https://pbs.twimg.com/profile_images/988971255679324162/jrqiIYf__normal.jpg","View")</f>
        <v>View</v>
      </c>
      <c r="P917" s="7"/>
    </row>
    <row r="918" spans="1:16">
      <c r="A918" s="3">
        <v>43992.929189814815</v>
      </c>
      <c r="B918" s="4" t="str">
        <f>HYPERLINK("https://twitter.com/sergio_fajardo","@sergio_fajardo")</f>
        <v>@sergio_fajardo</v>
      </c>
      <c r="C918" s="5" t="s">
        <v>16</v>
      </c>
      <c r="D918" s="5" t="s">
        <v>940</v>
      </c>
      <c r="E918" s="6" t="str">
        <f>HYPERLINK("https://twitter.com/sergio_fajardo/status/1270759639991365632","1270759639991365632")</f>
        <v>1270759639991365632</v>
      </c>
      <c r="F918" s="7" t="s">
        <v>17</v>
      </c>
      <c r="G918" s="7">
        <v>1542459</v>
      </c>
      <c r="H918" s="7">
        <v>368</v>
      </c>
      <c r="I918" s="7">
        <v>3</v>
      </c>
      <c r="J918" s="7">
        <v>0</v>
      </c>
      <c r="K918" s="7" t="s">
        <v>18</v>
      </c>
      <c r="L918" s="8">
        <v>39891.213356481479</v>
      </c>
      <c r="M918" s="9" t="s">
        <v>19</v>
      </c>
      <c r="N918" s="9" t="s">
        <v>22</v>
      </c>
      <c r="O918" s="6" t="str">
        <f>HYPERLINK("https://pbs.twimg.com/profile_images/988971255679324162/jrqiIYf__normal.jpg","View")</f>
        <v>View</v>
      </c>
      <c r="P918" s="7"/>
    </row>
    <row r="919" spans="1:16">
      <c r="A919" s="3">
        <v>43993.032812500001</v>
      </c>
      <c r="B919" s="4" t="str">
        <f>HYPERLINK("https://twitter.com/sergio_fajardo","@sergio_fajardo")</f>
        <v>@sergio_fajardo</v>
      </c>
      <c r="C919" s="5" t="s">
        <v>16</v>
      </c>
      <c r="D919" s="5" t="s">
        <v>941</v>
      </c>
      <c r="E919" s="6" t="str">
        <f>HYPERLINK("https://twitter.com/sergio_fajardo/status/1270797190378729477","1270797190378729477")</f>
        <v>1270797190378729477</v>
      </c>
      <c r="F919" s="7" t="s">
        <v>17</v>
      </c>
      <c r="G919" s="7">
        <v>1542476</v>
      </c>
      <c r="H919" s="7">
        <v>368</v>
      </c>
      <c r="I919" s="7">
        <v>99</v>
      </c>
      <c r="J919" s="7">
        <v>0</v>
      </c>
      <c r="K919" s="7" t="s">
        <v>18</v>
      </c>
      <c r="L919" s="8">
        <v>39891.213356481479</v>
      </c>
      <c r="M919" s="9" t="s">
        <v>19</v>
      </c>
      <c r="N919" s="9" t="s">
        <v>22</v>
      </c>
      <c r="O919" s="6" t="str">
        <f>HYPERLINK("https://pbs.twimg.com/profile_images/988971255679324162/jrqiIYf__normal.jpg","View")</f>
        <v>View</v>
      </c>
      <c r="P919" s="7"/>
    </row>
    <row r="920" spans="1:16">
      <c r="A920" s="3">
        <v>43993.145162037035</v>
      </c>
      <c r="B920" s="4" t="str">
        <f>HYPERLINK("https://twitter.com/sergio_fajardo","@sergio_fajardo")</f>
        <v>@sergio_fajardo</v>
      </c>
      <c r="C920" s="5" t="s">
        <v>16</v>
      </c>
      <c r="D920" s="5" t="s">
        <v>942</v>
      </c>
      <c r="E920" s="6" t="str">
        <f>HYPERLINK("https://twitter.com/sergio_fajardo/status/1270837905133645827","1270837905133645827")</f>
        <v>1270837905133645827</v>
      </c>
      <c r="F920" s="7" t="s">
        <v>17</v>
      </c>
      <c r="G920" s="7">
        <v>1542494</v>
      </c>
      <c r="H920" s="7">
        <v>368</v>
      </c>
      <c r="I920" s="7">
        <v>3</v>
      </c>
      <c r="J920" s="7">
        <v>0</v>
      </c>
      <c r="K920" s="7" t="s">
        <v>18</v>
      </c>
      <c r="L920" s="8">
        <v>39891.213356481479</v>
      </c>
      <c r="M920" s="9" t="s">
        <v>19</v>
      </c>
      <c r="N920" s="9" t="s">
        <v>22</v>
      </c>
      <c r="O920" s="6" t="str">
        <f>HYPERLINK("https://pbs.twimg.com/profile_images/988971255679324162/jrqiIYf__normal.jpg","View")</f>
        <v>View</v>
      </c>
      <c r="P920" s="7"/>
    </row>
    <row r="921" spans="1:16">
      <c r="A921" s="3">
        <v>43993.316620370373</v>
      </c>
      <c r="B921" s="4" t="str">
        <f>HYPERLINK("https://twitter.com/sergio_fajardo","@sergio_fajardo")</f>
        <v>@sergio_fajardo</v>
      </c>
      <c r="C921" s="5" t="s">
        <v>16</v>
      </c>
      <c r="D921" s="5" t="s">
        <v>943</v>
      </c>
      <c r="E921" s="6" t="str">
        <f>HYPERLINK("https://twitter.com/sergio_fajardo/status/1270900041549520896","1270900041549520896")</f>
        <v>1270900041549520896</v>
      </c>
      <c r="F921" s="7" t="s">
        <v>17</v>
      </c>
      <c r="G921" s="7">
        <v>1542503</v>
      </c>
      <c r="H921" s="7">
        <v>368</v>
      </c>
      <c r="I921" s="7">
        <v>3</v>
      </c>
      <c r="J921" s="7">
        <v>28</v>
      </c>
      <c r="K921" s="7" t="s">
        <v>18</v>
      </c>
      <c r="L921" s="8">
        <v>39891.213356481479</v>
      </c>
      <c r="M921" s="9" t="s">
        <v>19</v>
      </c>
      <c r="N921" s="9" t="s">
        <v>22</v>
      </c>
      <c r="O921" s="6" t="str">
        <f>HYPERLINK("https://pbs.twimg.com/profile_images/988971255679324162/jrqiIYf__normal.jpg","View")</f>
        <v>View</v>
      </c>
      <c r="P921" s="7"/>
    </row>
    <row r="922" spans="1:16">
      <c r="A922" s="3">
        <v>43993.851064814815</v>
      </c>
      <c r="B922" s="4" t="str">
        <f>HYPERLINK("https://twitter.com/sergio_fajardo","@sergio_fajardo")</f>
        <v>@sergio_fajardo</v>
      </c>
      <c r="C922" s="5" t="s">
        <v>16</v>
      </c>
      <c r="D922" s="5" t="s">
        <v>944</v>
      </c>
      <c r="E922" s="6" t="str">
        <f>HYPERLINK("https://twitter.com/sergio_fajardo/status/1271093717391335424","1271093717391335424")</f>
        <v>1271093717391335424</v>
      </c>
      <c r="F922" s="7" t="s">
        <v>17</v>
      </c>
      <c r="G922" s="7">
        <v>1542473</v>
      </c>
      <c r="H922" s="7">
        <v>368</v>
      </c>
      <c r="I922" s="7">
        <v>8</v>
      </c>
      <c r="J922" s="7">
        <v>0</v>
      </c>
      <c r="K922" s="7" t="s">
        <v>18</v>
      </c>
      <c r="L922" s="8">
        <v>39891.213356481479</v>
      </c>
      <c r="M922" s="9" t="s">
        <v>19</v>
      </c>
      <c r="N922" s="9" t="s">
        <v>22</v>
      </c>
      <c r="O922" s="6" t="str">
        <f>HYPERLINK("https://pbs.twimg.com/profile_images/988971255679324162/jrqiIYf__normal.jpg","View")</f>
        <v>View</v>
      </c>
      <c r="P922" s="7"/>
    </row>
    <row r="923" spans="1:16">
      <c r="A923" s="3">
        <v>43993.894189814819</v>
      </c>
      <c r="B923" s="4" t="str">
        <f>HYPERLINK("https://twitter.com/sergio_fajardo","@sergio_fajardo")</f>
        <v>@sergio_fajardo</v>
      </c>
      <c r="C923" s="5" t="s">
        <v>16</v>
      </c>
      <c r="D923" s="5" t="s">
        <v>945</v>
      </c>
      <c r="E923" s="6" t="str">
        <f>HYPERLINK("https://twitter.com/sergio_fajardo/status/1271109344747294725","1271109344747294725")</f>
        <v>1271109344747294725</v>
      </c>
      <c r="F923" s="7" t="s">
        <v>17</v>
      </c>
      <c r="G923" s="7">
        <v>1542473</v>
      </c>
      <c r="H923" s="7">
        <v>368</v>
      </c>
      <c r="I923" s="7">
        <v>17</v>
      </c>
      <c r="J923" s="7">
        <v>0</v>
      </c>
      <c r="K923" s="7" t="s">
        <v>18</v>
      </c>
      <c r="L923" s="8">
        <v>39891.213356481479</v>
      </c>
      <c r="M923" s="9" t="s">
        <v>19</v>
      </c>
      <c r="N923" s="9" t="s">
        <v>22</v>
      </c>
      <c r="O923" s="6" t="str">
        <f>HYPERLINK("https://pbs.twimg.com/profile_images/988971255679324162/jrqiIYf__normal.jpg","View")</f>
        <v>View</v>
      </c>
      <c r="P923" s="7"/>
    </row>
    <row r="924" spans="1:16">
      <c r="A924" s="3">
        <v>43993.937777777777</v>
      </c>
      <c r="B924" s="4" t="str">
        <f>HYPERLINK("https://twitter.com/sergio_fajardo","@sergio_fajardo")</f>
        <v>@sergio_fajardo</v>
      </c>
      <c r="C924" s="5" t="s">
        <v>16</v>
      </c>
      <c r="D924" s="5" t="s">
        <v>946</v>
      </c>
      <c r="E924" s="6" t="str">
        <f>HYPERLINK("https://twitter.com/sergio_fajardo/status/1271125138864508934","1271125138864508934")</f>
        <v>1271125138864508934</v>
      </c>
      <c r="F924" s="7" t="s">
        <v>17</v>
      </c>
      <c r="G924" s="7">
        <v>1542478</v>
      </c>
      <c r="H924" s="7">
        <v>368</v>
      </c>
      <c r="I924" s="7">
        <v>71</v>
      </c>
      <c r="J924" s="7">
        <v>0</v>
      </c>
      <c r="K924" s="7" t="s">
        <v>18</v>
      </c>
      <c r="L924" s="8">
        <v>39891.213356481479</v>
      </c>
      <c r="M924" s="9" t="s">
        <v>19</v>
      </c>
      <c r="N924" s="9" t="s">
        <v>22</v>
      </c>
      <c r="O924" s="6" t="str">
        <f>HYPERLINK("https://pbs.twimg.com/profile_images/988971255679324162/jrqiIYf__normal.jpg","View")</f>
        <v>View</v>
      </c>
      <c r="P924" s="7"/>
    </row>
    <row r="925" spans="1:16">
      <c r="A925" s="3">
        <v>43994.212268518517</v>
      </c>
      <c r="B925" s="4" t="str">
        <f>HYPERLINK("https://twitter.com/sergio_fajardo","@sergio_fajardo")</f>
        <v>@sergio_fajardo</v>
      </c>
      <c r="C925" s="5" t="s">
        <v>16</v>
      </c>
      <c r="D925" s="5" t="s">
        <v>947</v>
      </c>
      <c r="E925" s="6" t="str">
        <f>HYPERLINK("https://twitter.com/sergio_fajardo/status/1271224613473837058","1271224613473837058")</f>
        <v>1271224613473837058</v>
      </c>
      <c r="F925" s="7" t="s">
        <v>17</v>
      </c>
      <c r="G925" s="7">
        <v>1542482</v>
      </c>
      <c r="H925" s="7">
        <v>368</v>
      </c>
      <c r="I925" s="7">
        <v>12</v>
      </c>
      <c r="J925" s="7">
        <v>0</v>
      </c>
      <c r="K925" s="7" t="s">
        <v>18</v>
      </c>
      <c r="L925" s="8">
        <v>39891.213356481479</v>
      </c>
      <c r="M925" s="9" t="s">
        <v>19</v>
      </c>
      <c r="N925" s="9" t="s">
        <v>22</v>
      </c>
      <c r="O925" s="6" t="str">
        <f>HYPERLINK("https://pbs.twimg.com/profile_images/988971255679324162/jrqiIYf__normal.jpg","View")</f>
        <v>View</v>
      </c>
      <c r="P925" s="7"/>
    </row>
    <row r="926" spans="1:16">
      <c r="A926" s="3">
        <v>43994.21607638889</v>
      </c>
      <c r="B926" s="4" t="str">
        <f>HYPERLINK("https://twitter.com/sergio_fajardo","@sergio_fajardo")</f>
        <v>@sergio_fajardo</v>
      </c>
      <c r="C926" s="5" t="s">
        <v>16</v>
      </c>
      <c r="D926" s="5" t="s">
        <v>948</v>
      </c>
      <c r="E926" s="6" t="str">
        <f>HYPERLINK("https://twitter.com/sergio_fajardo/status/1271225991202050049","1271225991202050049")</f>
        <v>1271225991202050049</v>
      </c>
      <c r="F926" s="7" t="s">
        <v>17</v>
      </c>
      <c r="G926" s="7">
        <v>1542482</v>
      </c>
      <c r="H926" s="7">
        <v>368</v>
      </c>
      <c r="I926" s="7">
        <v>103</v>
      </c>
      <c r="J926" s="7">
        <v>0</v>
      </c>
      <c r="K926" s="7" t="s">
        <v>18</v>
      </c>
      <c r="L926" s="8">
        <v>39891.213356481479</v>
      </c>
      <c r="M926" s="9" t="s">
        <v>19</v>
      </c>
      <c r="N926" s="9" t="s">
        <v>22</v>
      </c>
      <c r="O926" s="6" t="str">
        <f>HYPERLINK("https://pbs.twimg.com/profile_images/988971255679324162/jrqiIYf__normal.jpg","View")</f>
        <v>View</v>
      </c>
      <c r="P926" s="7"/>
    </row>
    <row r="927" spans="1:16">
      <c r="A927" s="3">
        <v>43994.325057870374</v>
      </c>
      <c r="B927" s="4" t="str">
        <f>HYPERLINK("https://twitter.com/sergio_fajardo","@sergio_fajardo")</f>
        <v>@sergio_fajardo</v>
      </c>
      <c r="C927" s="5" t="s">
        <v>16</v>
      </c>
      <c r="D927" s="5" t="s">
        <v>949</v>
      </c>
      <c r="E927" s="6" t="str">
        <f>HYPERLINK("https://twitter.com/sergio_fajardo/status/1271265484718178304","1271265484718178304")</f>
        <v>1271265484718178304</v>
      </c>
      <c r="F927" s="7" t="s">
        <v>17</v>
      </c>
      <c r="G927" s="7">
        <v>1542500</v>
      </c>
      <c r="H927" s="7">
        <v>368</v>
      </c>
      <c r="I927" s="7">
        <v>5</v>
      </c>
      <c r="J927" s="7">
        <v>0</v>
      </c>
      <c r="K927" s="7" t="s">
        <v>18</v>
      </c>
      <c r="L927" s="8">
        <v>39891.213356481479</v>
      </c>
      <c r="M927" s="9" t="s">
        <v>19</v>
      </c>
      <c r="N927" s="9" t="s">
        <v>22</v>
      </c>
      <c r="O927" s="6" t="str">
        <f>HYPERLINK("https://pbs.twimg.com/profile_images/988971255679324162/jrqiIYf__normal.jpg","View")</f>
        <v>View</v>
      </c>
      <c r="P927" s="7"/>
    </row>
    <row r="928" spans="1:16">
      <c r="A928" s="3">
        <v>43994.336608796293</v>
      </c>
      <c r="B928" s="4" t="str">
        <f>HYPERLINK("https://twitter.com/sergio_fajardo","@sergio_fajardo")</f>
        <v>@sergio_fajardo</v>
      </c>
      <c r="C928" s="5" t="s">
        <v>16</v>
      </c>
      <c r="D928" s="5" t="s">
        <v>950</v>
      </c>
      <c r="E928" s="6" t="str">
        <f>HYPERLINK("https://twitter.com/sergio_fajardo/status/1271269672286072832","1271269672286072832")</f>
        <v>1271269672286072832</v>
      </c>
      <c r="F928" s="7" t="s">
        <v>17</v>
      </c>
      <c r="G928" s="7">
        <v>1542508</v>
      </c>
      <c r="H928" s="7">
        <v>368</v>
      </c>
      <c r="I928" s="7">
        <v>16</v>
      </c>
      <c r="J928" s="7">
        <v>0</v>
      </c>
      <c r="K928" s="7" t="s">
        <v>18</v>
      </c>
      <c r="L928" s="8">
        <v>39891.213356481479</v>
      </c>
      <c r="M928" s="9" t="s">
        <v>19</v>
      </c>
      <c r="N928" s="9" t="s">
        <v>22</v>
      </c>
      <c r="O928" s="6" t="str">
        <f>HYPERLINK("https://pbs.twimg.com/profile_images/988971255679324162/jrqiIYf__normal.jpg","View")</f>
        <v>View</v>
      </c>
      <c r="P928" s="7"/>
    </row>
    <row r="929" spans="1:16">
      <c r="A929" s="3">
        <v>43995.936053240745</v>
      </c>
      <c r="B929" s="4" t="str">
        <f>HYPERLINK("https://twitter.com/sergio_fajardo","@sergio_fajardo")</f>
        <v>@sergio_fajardo</v>
      </c>
      <c r="C929" s="5" t="s">
        <v>16</v>
      </c>
      <c r="D929" s="5" t="s">
        <v>951</v>
      </c>
      <c r="E929" s="6" t="str">
        <f>HYPERLINK("https://twitter.com/sergio_fajardo/status/1271849292127449088","1271849292127449088")</f>
        <v>1271849292127449088</v>
      </c>
      <c r="F929" s="7" t="s">
        <v>17</v>
      </c>
      <c r="G929" s="7">
        <v>1542626</v>
      </c>
      <c r="H929" s="7">
        <v>368</v>
      </c>
      <c r="I929" s="7">
        <v>5</v>
      </c>
      <c r="J929" s="7">
        <v>0</v>
      </c>
      <c r="K929" s="7" t="s">
        <v>18</v>
      </c>
      <c r="L929" s="8">
        <v>39891.213356481479</v>
      </c>
      <c r="M929" s="9" t="s">
        <v>19</v>
      </c>
      <c r="N929" s="9" t="s">
        <v>22</v>
      </c>
      <c r="O929" s="6" t="str">
        <f>HYPERLINK("https://pbs.twimg.com/profile_images/988971255679324162/jrqiIYf__normal.jpg","View")</f>
        <v>View</v>
      </c>
      <c r="P929" s="7"/>
    </row>
    <row r="930" spans="1:16">
      <c r="A930" s="3">
        <v>43995.950462962966</v>
      </c>
      <c r="B930" s="4" t="str">
        <f>HYPERLINK("https://twitter.com/sergio_fajardo","@sergio_fajardo")</f>
        <v>@sergio_fajardo</v>
      </c>
      <c r="C930" s="5" t="s">
        <v>16</v>
      </c>
      <c r="D930" s="5" t="s">
        <v>952</v>
      </c>
      <c r="E930" s="6" t="str">
        <f>HYPERLINK("https://twitter.com/sergio_fajardo/status/1271854514027536389","1271854514027536389")</f>
        <v>1271854514027536389</v>
      </c>
      <c r="F930" s="7" t="s">
        <v>17</v>
      </c>
      <c r="G930" s="7">
        <v>1542624</v>
      </c>
      <c r="H930" s="7">
        <v>368</v>
      </c>
      <c r="I930" s="7">
        <v>1593</v>
      </c>
      <c r="J930" s="7">
        <v>0</v>
      </c>
      <c r="K930" s="7" t="s">
        <v>18</v>
      </c>
      <c r="L930" s="8">
        <v>39891.213356481479</v>
      </c>
      <c r="M930" s="9" t="s">
        <v>19</v>
      </c>
      <c r="N930" s="9" t="s">
        <v>22</v>
      </c>
      <c r="O930" s="6" t="str">
        <f>HYPERLINK("https://pbs.twimg.com/profile_images/988971255679324162/jrqiIYf__normal.jpg","View")</f>
        <v>View</v>
      </c>
      <c r="P930" s="7"/>
    </row>
    <row r="931" spans="1:16">
      <c r="A931" s="3">
        <v>43996.007048611107</v>
      </c>
      <c r="B931" s="4" t="str">
        <f>HYPERLINK("https://twitter.com/sergio_fajardo","@sergio_fajardo")</f>
        <v>@sergio_fajardo</v>
      </c>
      <c r="C931" s="5" t="s">
        <v>16</v>
      </c>
      <c r="D931" s="5" t="s">
        <v>953</v>
      </c>
      <c r="E931" s="6" t="str">
        <f>HYPERLINK("https://twitter.com/sergio_fajardo/status/1271875018599907335","1271875018599907335")</f>
        <v>1271875018599907335</v>
      </c>
      <c r="F931" s="7" t="s">
        <v>17</v>
      </c>
      <c r="G931" s="7">
        <v>1542624</v>
      </c>
      <c r="H931" s="7">
        <v>368</v>
      </c>
      <c r="I931" s="7">
        <v>54</v>
      </c>
      <c r="J931" s="7">
        <v>0</v>
      </c>
      <c r="K931" s="7" t="s">
        <v>18</v>
      </c>
      <c r="L931" s="8">
        <v>39891.213356481479</v>
      </c>
      <c r="M931" s="9" t="s">
        <v>19</v>
      </c>
      <c r="N931" s="9" t="s">
        <v>22</v>
      </c>
      <c r="O931" s="6" t="str">
        <f>HYPERLINK("https://pbs.twimg.com/profile_images/988971255679324162/jrqiIYf__normal.jpg","View")</f>
        <v>View</v>
      </c>
      <c r="P931" s="7"/>
    </row>
    <row r="932" spans="1:16">
      <c r="A932" s="3">
        <v>43996.16777777778</v>
      </c>
      <c r="B932" s="4" t="str">
        <f>HYPERLINK("https://twitter.com/sergio_fajardo","@sergio_fajardo")</f>
        <v>@sergio_fajardo</v>
      </c>
      <c r="C932" s="5" t="s">
        <v>16</v>
      </c>
      <c r="D932" s="5" t="s">
        <v>954</v>
      </c>
      <c r="E932" s="6" t="str">
        <f>HYPERLINK("https://twitter.com/sergio_fajardo/status/1271933267093184513","1271933267093184513")</f>
        <v>1271933267093184513</v>
      </c>
      <c r="F932" s="7" t="s">
        <v>17</v>
      </c>
      <c r="G932" s="7">
        <v>1542626</v>
      </c>
      <c r="H932" s="7">
        <v>368</v>
      </c>
      <c r="I932" s="7">
        <v>354</v>
      </c>
      <c r="J932" s="7">
        <v>0</v>
      </c>
      <c r="K932" s="7" t="s">
        <v>18</v>
      </c>
      <c r="L932" s="8">
        <v>39891.213356481479</v>
      </c>
      <c r="M932" s="9" t="s">
        <v>19</v>
      </c>
      <c r="N932" s="9" t="s">
        <v>22</v>
      </c>
      <c r="O932" s="6" t="str">
        <f>HYPERLINK("https://pbs.twimg.com/profile_images/988971255679324162/jrqiIYf__normal.jpg","View")</f>
        <v>View</v>
      </c>
      <c r="P932" s="7"/>
    </row>
    <row r="933" spans="1:16">
      <c r="A933" s="3">
        <v>43996.173090277778</v>
      </c>
      <c r="B933" s="4" t="str">
        <f>HYPERLINK("https://twitter.com/sergio_fajardo","@sergio_fajardo")</f>
        <v>@sergio_fajardo</v>
      </c>
      <c r="C933" s="5" t="s">
        <v>16</v>
      </c>
      <c r="D933" s="5" t="s">
        <v>955</v>
      </c>
      <c r="E933" s="6" t="str">
        <f>HYPERLINK("https://twitter.com/sergio_fajardo/status/1271935188638093312","1271935188638093312")</f>
        <v>1271935188638093312</v>
      </c>
      <c r="F933" s="7" t="s">
        <v>17</v>
      </c>
      <c r="G933" s="7">
        <v>1542626</v>
      </c>
      <c r="H933" s="7">
        <v>368</v>
      </c>
      <c r="I933" s="7">
        <v>1</v>
      </c>
      <c r="J933" s="7">
        <v>0</v>
      </c>
      <c r="K933" s="7" t="s">
        <v>18</v>
      </c>
      <c r="L933" s="8">
        <v>39891.213356481479</v>
      </c>
      <c r="M933" s="9" t="s">
        <v>19</v>
      </c>
      <c r="N933" s="9" t="s">
        <v>22</v>
      </c>
      <c r="O933" s="6" t="str">
        <f>HYPERLINK("https://pbs.twimg.com/profile_images/988971255679324162/jrqiIYf__normal.jpg","View")</f>
        <v>View</v>
      </c>
      <c r="P933" s="7"/>
    </row>
    <row r="934" spans="1:16">
      <c r="A934" s="3">
        <v>43996.175567129627</v>
      </c>
      <c r="B934" s="4" t="str">
        <f>HYPERLINK("https://twitter.com/sergio_fajardo","@sergio_fajardo")</f>
        <v>@sergio_fajardo</v>
      </c>
      <c r="C934" s="5" t="s">
        <v>16</v>
      </c>
      <c r="D934" s="5" t="s">
        <v>956</v>
      </c>
      <c r="E934" s="6" t="str">
        <f>HYPERLINK("https://twitter.com/sergio_fajardo/status/1271936088886648832","1271936088886648832")</f>
        <v>1271936088886648832</v>
      </c>
      <c r="F934" s="7" t="s">
        <v>17</v>
      </c>
      <c r="G934" s="7">
        <v>1542626</v>
      </c>
      <c r="H934" s="7">
        <v>368</v>
      </c>
      <c r="I934" s="7">
        <v>1894</v>
      </c>
      <c r="J934" s="7">
        <v>0</v>
      </c>
      <c r="K934" s="7" t="s">
        <v>18</v>
      </c>
      <c r="L934" s="8">
        <v>39891.213356481479</v>
      </c>
      <c r="M934" s="9" t="s">
        <v>19</v>
      </c>
      <c r="N934" s="9" t="s">
        <v>22</v>
      </c>
      <c r="O934" s="6" t="str">
        <f>HYPERLINK("https://pbs.twimg.com/profile_images/988971255679324162/jrqiIYf__normal.jpg","View")</f>
        <v>View</v>
      </c>
      <c r="P934" s="7"/>
    </row>
    <row r="935" spans="1:16">
      <c r="A935" s="3">
        <v>43996.179884259254</v>
      </c>
      <c r="B935" s="4" t="str">
        <f>HYPERLINK("https://twitter.com/sergio_fajardo","@sergio_fajardo")</f>
        <v>@sergio_fajardo</v>
      </c>
      <c r="C935" s="5" t="s">
        <v>16</v>
      </c>
      <c r="D935" s="5" t="s">
        <v>957</v>
      </c>
      <c r="E935" s="6" t="str">
        <f>HYPERLINK("https://twitter.com/sergio_fajardo/status/1271937650920914945","1271937650920914945")</f>
        <v>1271937650920914945</v>
      </c>
      <c r="F935" s="7" t="s">
        <v>17</v>
      </c>
      <c r="G935" s="7">
        <v>1542624</v>
      </c>
      <c r="H935" s="7">
        <v>368</v>
      </c>
      <c r="I935" s="7">
        <v>11</v>
      </c>
      <c r="J935" s="7">
        <v>0</v>
      </c>
      <c r="K935" s="7" t="s">
        <v>18</v>
      </c>
      <c r="L935" s="8">
        <v>39891.213356481479</v>
      </c>
      <c r="M935" s="9" t="s">
        <v>19</v>
      </c>
      <c r="N935" s="9" t="s">
        <v>22</v>
      </c>
      <c r="O935" s="6" t="str">
        <f>HYPERLINK("https://pbs.twimg.com/profile_images/988971255679324162/jrqiIYf__normal.jpg","View")</f>
        <v>View</v>
      </c>
      <c r="P935" s="7"/>
    </row>
    <row r="936" spans="1:16">
      <c r="A936" s="3">
        <v>43996.180625000001</v>
      </c>
      <c r="B936" s="4" t="str">
        <f>HYPERLINK("https://twitter.com/sergio_fajardo","@sergio_fajardo")</f>
        <v>@sergio_fajardo</v>
      </c>
      <c r="C936" s="5" t="s">
        <v>16</v>
      </c>
      <c r="D936" s="5" t="s">
        <v>958</v>
      </c>
      <c r="E936" s="6" t="str">
        <f>HYPERLINK("https://twitter.com/sergio_fajardo/status/1271937920715362312","1271937920715362312")</f>
        <v>1271937920715362312</v>
      </c>
      <c r="F936" s="7" t="s">
        <v>17</v>
      </c>
      <c r="G936" s="7">
        <v>1542624</v>
      </c>
      <c r="H936" s="7">
        <v>368</v>
      </c>
      <c r="I936" s="7">
        <v>138</v>
      </c>
      <c r="J936" s="7">
        <v>0</v>
      </c>
      <c r="K936" s="7" t="s">
        <v>18</v>
      </c>
      <c r="L936" s="8">
        <v>39891.213356481479</v>
      </c>
      <c r="M936" s="9" t="s">
        <v>19</v>
      </c>
      <c r="N936" s="9" t="s">
        <v>22</v>
      </c>
      <c r="O936" s="6" t="str">
        <f>HYPERLINK("https://pbs.twimg.com/profile_images/988971255679324162/jrqiIYf__normal.jpg","View")</f>
        <v>View</v>
      </c>
      <c r="P936" s="7"/>
    </row>
    <row r="937" spans="1:16">
      <c r="A937" s="3">
        <v>43996.180983796294</v>
      </c>
      <c r="B937" s="4" t="str">
        <f>HYPERLINK("https://twitter.com/sergio_fajardo","@sergio_fajardo")</f>
        <v>@sergio_fajardo</v>
      </c>
      <c r="C937" s="5" t="s">
        <v>16</v>
      </c>
      <c r="D937" s="5" t="s">
        <v>959</v>
      </c>
      <c r="E937" s="6" t="str">
        <f>HYPERLINK("https://twitter.com/sergio_fajardo/status/1271938051497963522","1271938051497963522")</f>
        <v>1271938051497963522</v>
      </c>
      <c r="F937" s="7" t="s">
        <v>17</v>
      </c>
      <c r="G937" s="7">
        <v>1542624</v>
      </c>
      <c r="H937" s="7">
        <v>368</v>
      </c>
      <c r="I937" s="7">
        <v>384</v>
      </c>
      <c r="J937" s="7">
        <v>0</v>
      </c>
      <c r="K937" s="7" t="s">
        <v>18</v>
      </c>
      <c r="L937" s="8">
        <v>39891.213356481479</v>
      </c>
      <c r="M937" s="9" t="s">
        <v>19</v>
      </c>
      <c r="N937" s="9" t="s">
        <v>22</v>
      </c>
      <c r="O937" s="6" t="str">
        <f>HYPERLINK("https://pbs.twimg.com/profile_images/988971255679324162/jrqiIYf__normal.jpg","View")</f>
        <v>View</v>
      </c>
      <c r="P937" s="7"/>
    </row>
    <row r="938" spans="1:16">
      <c r="A938" s="3">
        <v>43996.904837962968</v>
      </c>
      <c r="B938" s="4" t="str">
        <f>HYPERLINK("https://twitter.com/sergio_fajardo","@sergio_fajardo")</f>
        <v>@sergio_fajardo</v>
      </c>
      <c r="C938" s="5" t="s">
        <v>16</v>
      </c>
      <c r="D938" s="5" t="s">
        <v>960</v>
      </c>
      <c r="E938" s="6" t="str">
        <f>HYPERLINK("https://twitter.com/sergio_fajardo/status/1272200368982810624","1272200368982810624")</f>
        <v>1272200368982810624</v>
      </c>
      <c r="F938" s="7" t="s">
        <v>17</v>
      </c>
      <c r="G938" s="7">
        <v>1542653</v>
      </c>
      <c r="H938" s="7">
        <v>368</v>
      </c>
      <c r="I938" s="7">
        <v>5</v>
      </c>
      <c r="J938" s="7">
        <v>14</v>
      </c>
      <c r="K938" s="7" t="s">
        <v>18</v>
      </c>
      <c r="L938" s="8">
        <v>39891.213356481479</v>
      </c>
      <c r="M938" s="9" t="s">
        <v>19</v>
      </c>
      <c r="N938" s="9" t="s">
        <v>22</v>
      </c>
      <c r="O938" s="6" t="str">
        <f>HYPERLINK("https://pbs.twimg.com/profile_images/988971255679324162/jrqiIYf__normal.jpg","View")</f>
        <v>View</v>
      </c>
      <c r="P938" s="7"/>
    </row>
    <row r="939" spans="1:16">
      <c r="A939" s="3">
        <v>43996.973483796297</v>
      </c>
      <c r="B939" s="4" t="str">
        <f>HYPERLINK("https://twitter.com/sergio_fajardo","@sergio_fajardo")</f>
        <v>@sergio_fajardo</v>
      </c>
      <c r="C939" s="5" t="s">
        <v>16</v>
      </c>
      <c r="D939" s="5" t="s">
        <v>961</v>
      </c>
      <c r="E939" s="6" t="str">
        <f>HYPERLINK("https://twitter.com/sergio_fajardo/status/1272225243764068352","1272225243764068352")</f>
        <v>1272225243764068352</v>
      </c>
      <c r="F939" s="7" t="s">
        <v>17</v>
      </c>
      <c r="G939" s="7">
        <v>1542662</v>
      </c>
      <c r="H939" s="7">
        <v>368</v>
      </c>
      <c r="I939" s="7">
        <v>596</v>
      </c>
      <c r="J939" s="7">
        <v>0</v>
      </c>
      <c r="K939" s="7" t="s">
        <v>18</v>
      </c>
      <c r="L939" s="8">
        <v>39891.213356481479</v>
      </c>
      <c r="M939" s="9" t="s">
        <v>19</v>
      </c>
      <c r="N939" s="9" t="s">
        <v>22</v>
      </c>
      <c r="O939" s="6" t="str">
        <f>HYPERLINK("https://pbs.twimg.com/profile_images/988971255679324162/jrqiIYf__normal.jpg","View")</f>
        <v>View</v>
      </c>
      <c r="P939" s="7"/>
    </row>
    <row r="940" spans="1:16">
      <c r="A940" s="3">
        <v>43996.97761574074</v>
      </c>
      <c r="B940" s="4" t="str">
        <f>HYPERLINK("https://twitter.com/sergio_fajardo","@sergio_fajardo")</f>
        <v>@sergio_fajardo</v>
      </c>
      <c r="C940" s="5" t="s">
        <v>16</v>
      </c>
      <c r="D940" s="5" t="s">
        <v>962</v>
      </c>
      <c r="E940" s="6" t="str">
        <f>HYPERLINK("https://twitter.com/sergio_fajardo/status/1272226740455309313","1272226740455309313")</f>
        <v>1272226740455309313</v>
      </c>
      <c r="F940" s="7" t="s">
        <v>17</v>
      </c>
      <c r="G940" s="7">
        <v>1542662</v>
      </c>
      <c r="H940" s="7">
        <v>368</v>
      </c>
      <c r="I940" s="7">
        <v>25</v>
      </c>
      <c r="J940" s="7">
        <v>86</v>
      </c>
      <c r="K940" s="7" t="s">
        <v>18</v>
      </c>
      <c r="L940" s="8">
        <v>39891.213356481479</v>
      </c>
      <c r="M940" s="9" t="s">
        <v>19</v>
      </c>
      <c r="N940" s="9" t="s">
        <v>22</v>
      </c>
      <c r="O940" s="6" t="str">
        <f>HYPERLINK("https://pbs.twimg.com/profile_images/988971255679324162/jrqiIYf__normal.jpg","View")</f>
        <v>View</v>
      </c>
      <c r="P940" s="7"/>
    </row>
    <row r="941" spans="1:16">
      <c r="A941" s="3">
        <v>43996.981238425928</v>
      </c>
      <c r="B941" s="4" t="str">
        <f>HYPERLINK("https://twitter.com/sergio_fajardo","@sergio_fajardo")</f>
        <v>@sergio_fajardo</v>
      </c>
      <c r="C941" s="5" t="s">
        <v>16</v>
      </c>
      <c r="D941" s="5" t="s">
        <v>963</v>
      </c>
      <c r="E941" s="6" t="str">
        <f>HYPERLINK("https://twitter.com/sergio_fajardo/status/1272228055310839813","1272228055310839813")</f>
        <v>1272228055310839813</v>
      </c>
      <c r="F941" s="7" t="s">
        <v>17</v>
      </c>
      <c r="G941" s="7">
        <v>1542662</v>
      </c>
      <c r="H941" s="7">
        <v>368</v>
      </c>
      <c r="I941" s="7">
        <v>4</v>
      </c>
      <c r="J941" s="7">
        <v>0</v>
      </c>
      <c r="K941" s="7" t="s">
        <v>18</v>
      </c>
      <c r="L941" s="8">
        <v>39891.213356481479</v>
      </c>
      <c r="M941" s="9" t="s">
        <v>19</v>
      </c>
      <c r="N941" s="9" t="s">
        <v>22</v>
      </c>
      <c r="O941" s="6" t="str">
        <f>HYPERLINK("https://pbs.twimg.com/profile_images/988971255679324162/jrqiIYf__normal.jpg","View")</f>
        <v>View</v>
      </c>
      <c r="P941" s="7"/>
    </row>
    <row r="942" spans="1:16">
      <c r="A942" s="3">
        <v>43996.981793981482</v>
      </c>
      <c r="B942" s="4" t="str">
        <f>HYPERLINK("https://twitter.com/sergio_fajardo","@sergio_fajardo")</f>
        <v>@sergio_fajardo</v>
      </c>
      <c r="C942" s="5" t="s">
        <v>16</v>
      </c>
      <c r="D942" s="5" t="s">
        <v>964</v>
      </c>
      <c r="E942" s="6" t="str">
        <f>HYPERLINK("https://twitter.com/sergio_fajardo/status/1272228254741602305","1272228254741602305")</f>
        <v>1272228254741602305</v>
      </c>
      <c r="F942" s="7" t="s">
        <v>17</v>
      </c>
      <c r="G942" s="7">
        <v>1542662</v>
      </c>
      <c r="H942" s="7">
        <v>368</v>
      </c>
      <c r="I942" s="7">
        <v>1852</v>
      </c>
      <c r="J942" s="7">
        <v>0</v>
      </c>
      <c r="K942" s="7" t="s">
        <v>18</v>
      </c>
      <c r="L942" s="8">
        <v>39891.213356481479</v>
      </c>
      <c r="M942" s="9" t="s">
        <v>19</v>
      </c>
      <c r="N942" s="9" t="s">
        <v>22</v>
      </c>
      <c r="O942" s="6" t="str">
        <f>HYPERLINK("https://pbs.twimg.com/profile_images/988971255679324162/jrqiIYf__normal.jpg","View")</f>
        <v>View</v>
      </c>
      <c r="P942" s="7"/>
    </row>
    <row r="943" spans="1:16">
      <c r="A943" s="3">
        <v>43997.068819444445</v>
      </c>
      <c r="B943" s="4" t="str">
        <f>HYPERLINK("https://twitter.com/sergio_fajardo","@sergio_fajardo")</f>
        <v>@sergio_fajardo</v>
      </c>
      <c r="C943" s="5" t="s">
        <v>16</v>
      </c>
      <c r="D943" s="5" t="s">
        <v>965</v>
      </c>
      <c r="E943" s="6" t="str">
        <f>HYPERLINK("https://twitter.com/sergio_fajardo/status/1272259790853505024","1272259790853505024")</f>
        <v>1272259790853505024</v>
      </c>
      <c r="F943" s="7" t="s">
        <v>17</v>
      </c>
      <c r="G943" s="7">
        <v>1542666</v>
      </c>
      <c r="H943" s="7">
        <v>368</v>
      </c>
      <c r="I943" s="7">
        <v>50</v>
      </c>
      <c r="J943" s="7">
        <v>0</v>
      </c>
      <c r="K943" s="7" t="s">
        <v>18</v>
      </c>
      <c r="L943" s="8">
        <v>39891.213356481479</v>
      </c>
      <c r="M943" s="9" t="s">
        <v>19</v>
      </c>
      <c r="N943" s="9" t="s">
        <v>22</v>
      </c>
      <c r="O943" s="6" t="str">
        <f>HYPERLINK("https://pbs.twimg.com/profile_images/988971255679324162/jrqiIYf__normal.jpg","View")</f>
        <v>View</v>
      </c>
      <c r="P943" s="7"/>
    </row>
    <row r="944" spans="1:16">
      <c r="A944" s="3">
        <v>43997.206099537041</v>
      </c>
      <c r="B944" s="4" t="str">
        <f>HYPERLINK("https://twitter.com/sergio_fajardo","@sergio_fajardo")</f>
        <v>@sergio_fajardo</v>
      </c>
      <c r="C944" s="5" t="s">
        <v>16</v>
      </c>
      <c r="D944" s="5" t="s">
        <v>966</v>
      </c>
      <c r="E944" s="6" t="str">
        <f>HYPERLINK("https://twitter.com/sergio_fajardo/status/1272309540336422913","1272309540336422913")</f>
        <v>1272309540336422913</v>
      </c>
      <c r="F944" s="7" t="s">
        <v>17</v>
      </c>
      <c r="G944" s="7">
        <v>1542673</v>
      </c>
      <c r="H944" s="7">
        <v>368</v>
      </c>
      <c r="I944" s="7">
        <v>128</v>
      </c>
      <c r="J944" s="7">
        <v>0</v>
      </c>
      <c r="K944" s="7" t="s">
        <v>18</v>
      </c>
      <c r="L944" s="8">
        <v>39891.213356481479</v>
      </c>
      <c r="M944" s="9" t="s">
        <v>19</v>
      </c>
      <c r="N944" s="9" t="s">
        <v>22</v>
      </c>
      <c r="O944" s="6" t="str">
        <f>HYPERLINK("https://pbs.twimg.com/profile_images/988971255679324162/jrqiIYf__normal.jpg","View")</f>
        <v>View</v>
      </c>
      <c r="P944" s="7"/>
    </row>
    <row r="945" spans="1:16">
      <c r="A945" s="3">
        <v>43997.324363425927</v>
      </c>
      <c r="B945" s="4" t="str">
        <f>HYPERLINK("https://twitter.com/sergio_fajardo","@sergio_fajardo")</f>
        <v>@sergio_fajardo</v>
      </c>
      <c r="C945" s="5" t="s">
        <v>16</v>
      </c>
      <c r="D945" s="5" t="s">
        <v>967</v>
      </c>
      <c r="E945" s="6" t="str">
        <f>HYPERLINK("https://twitter.com/sergio_fajardo/status/1272352399110397953","1272352399110397953")</f>
        <v>1272352399110397953</v>
      </c>
      <c r="F945" s="7" t="s">
        <v>17</v>
      </c>
      <c r="G945" s="7">
        <v>1542681</v>
      </c>
      <c r="H945" s="7">
        <v>368</v>
      </c>
      <c r="I945" s="7">
        <v>5</v>
      </c>
      <c r="J945" s="7">
        <v>0</v>
      </c>
      <c r="K945" s="7" t="s">
        <v>18</v>
      </c>
      <c r="L945" s="8">
        <v>39891.213356481479</v>
      </c>
      <c r="M945" s="9" t="s">
        <v>19</v>
      </c>
      <c r="N945" s="9" t="s">
        <v>22</v>
      </c>
      <c r="O945" s="6" t="str">
        <f>HYPERLINK("https://pbs.twimg.com/profile_images/988971255679324162/jrqiIYf__normal.jpg","View")</f>
        <v>View</v>
      </c>
      <c r="P945" s="7"/>
    </row>
    <row r="946" spans="1:16">
      <c r="A946" s="3">
        <v>43997.949363425927</v>
      </c>
      <c r="B946" s="4" t="str">
        <f>HYPERLINK("https://twitter.com/sergio_fajardo","@sergio_fajardo")</f>
        <v>@sergio_fajardo</v>
      </c>
      <c r="C946" s="5" t="s">
        <v>16</v>
      </c>
      <c r="D946" s="5" t="s">
        <v>968</v>
      </c>
      <c r="E946" s="6" t="str">
        <f>HYPERLINK("https://twitter.com/sergio_fajardo/status/1272578890553339905","1272578890553339905")</f>
        <v>1272578890553339905</v>
      </c>
      <c r="F946" s="7" t="s">
        <v>17</v>
      </c>
      <c r="G946" s="7">
        <v>1542687</v>
      </c>
      <c r="H946" s="7">
        <v>368</v>
      </c>
      <c r="I946" s="7">
        <v>2</v>
      </c>
      <c r="J946" s="7">
        <v>4</v>
      </c>
      <c r="K946" s="7" t="s">
        <v>18</v>
      </c>
      <c r="L946" s="8">
        <v>39891.213356481479</v>
      </c>
      <c r="M946" s="9" t="s">
        <v>19</v>
      </c>
      <c r="N946" s="9" t="s">
        <v>22</v>
      </c>
      <c r="O946" s="6" t="str">
        <f>HYPERLINK("https://pbs.twimg.com/profile_images/988971255679324162/jrqiIYf__normal.jpg","View")</f>
        <v>View</v>
      </c>
      <c r="P946" s="7"/>
    </row>
    <row r="947" spans="1:16">
      <c r="A947" s="3">
        <v>43997.957662037035</v>
      </c>
      <c r="B947" s="4" t="str">
        <f>HYPERLINK("https://twitter.com/sergio_fajardo","@sergio_fajardo")</f>
        <v>@sergio_fajardo</v>
      </c>
      <c r="C947" s="5" t="s">
        <v>16</v>
      </c>
      <c r="D947" s="5" t="s">
        <v>969</v>
      </c>
      <c r="E947" s="6" t="str">
        <f>HYPERLINK("https://twitter.com/sergio_fajardo/status/1272581899270139907","1272581899270139907")</f>
        <v>1272581899270139907</v>
      </c>
      <c r="F947" s="7" t="s">
        <v>17</v>
      </c>
      <c r="G947" s="7">
        <v>1542692</v>
      </c>
      <c r="H947" s="7">
        <v>368</v>
      </c>
      <c r="I947" s="7">
        <v>88</v>
      </c>
      <c r="J947" s="7">
        <v>0</v>
      </c>
      <c r="K947" s="7" t="s">
        <v>18</v>
      </c>
      <c r="L947" s="8">
        <v>39891.213356481479</v>
      </c>
      <c r="M947" s="9" t="s">
        <v>19</v>
      </c>
      <c r="N947" s="9" t="s">
        <v>22</v>
      </c>
      <c r="O947" s="6" t="str">
        <f>HYPERLINK("https://pbs.twimg.com/profile_images/988971255679324162/jrqiIYf__normal.jpg","View")</f>
        <v>View</v>
      </c>
      <c r="P947" s="7"/>
    </row>
    <row r="948" spans="1:16">
      <c r="A948" s="3">
        <v>43998.215694444443</v>
      </c>
      <c r="B948" s="4" t="str">
        <f>HYPERLINK("https://twitter.com/sergio_fajardo","@sergio_fajardo")</f>
        <v>@sergio_fajardo</v>
      </c>
      <c r="C948" s="5" t="s">
        <v>16</v>
      </c>
      <c r="D948" s="5" t="s">
        <v>970</v>
      </c>
      <c r="E948" s="6" t="str">
        <f>HYPERLINK("https://twitter.com/sergio_fajardo/status/1272675407431598082","1272675407431598082")</f>
        <v>1272675407431598082</v>
      </c>
      <c r="F948" s="7" t="s">
        <v>17</v>
      </c>
      <c r="G948" s="7">
        <v>1542687</v>
      </c>
      <c r="H948" s="7">
        <v>368</v>
      </c>
      <c r="I948" s="7">
        <v>84</v>
      </c>
      <c r="J948" s="7">
        <v>0</v>
      </c>
      <c r="K948" s="7" t="s">
        <v>18</v>
      </c>
      <c r="L948" s="8">
        <v>39891.213356481479</v>
      </c>
      <c r="M948" s="9" t="s">
        <v>19</v>
      </c>
      <c r="N948" s="9" t="s">
        <v>22</v>
      </c>
      <c r="O948" s="6" t="str">
        <f>HYPERLINK("https://pbs.twimg.com/profile_images/988971255679324162/jrqiIYf__normal.jpg","View")</f>
        <v>View</v>
      </c>
      <c r="P948" s="7"/>
    </row>
    <row r="949" spans="1:16">
      <c r="A949" s="3">
        <v>43998.216469907406</v>
      </c>
      <c r="B949" s="4" t="str">
        <f>HYPERLINK("https://twitter.com/sergio_fajardo","@sergio_fajardo")</f>
        <v>@sergio_fajardo</v>
      </c>
      <c r="C949" s="5" t="s">
        <v>16</v>
      </c>
      <c r="D949" s="5" t="s">
        <v>971</v>
      </c>
      <c r="E949" s="6" t="str">
        <f>HYPERLINK("https://twitter.com/sergio_fajardo/status/1272675686965280769","1272675686965280769")</f>
        <v>1272675686965280769</v>
      </c>
      <c r="F949" s="7" t="s">
        <v>17</v>
      </c>
      <c r="G949" s="7">
        <v>1542687</v>
      </c>
      <c r="H949" s="7">
        <v>368</v>
      </c>
      <c r="I949" s="7">
        <v>17</v>
      </c>
      <c r="J949" s="7">
        <v>0</v>
      </c>
      <c r="K949" s="7" t="s">
        <v>18</v>
      </c>
      <c r="L949" s="8">
        <v>39891.213356481479</v>
      </c>
      <c r="M949" s="9" t="s">
        <v>19</v>
      </c>
      <c r="N949" s="9" t="s">
        <v>22</v>
      </c>
      <c r="O949" s="6" t="str">
        <f>HYPERLINK("https://pbs.twimg.com/profile_images/988971255679324162/jrqiIYf__normal.jpg","View")</f>
        <v>View</v>
      </c>
      <c r="P949" s="7"/>
    </row>
    <row r="950" spans="1:16">
      <c r="A950" s="3">
        <v>43998.898622685185</v>
      </c>
      <c r="B950" s="4" t="str">
        <f>HYPERLINK("https://twitter.com/sergio_fajardo","@sergio_fajardo")</f>
        <v>@sergio_fajardo</v>
      </c>
      <c r="C950" s="5" t="s">
        <v>16</v>
      </c>
      <c r="D950" s="5" t="s">
        <v>972</v>
      </c>
      <c r="E950" s="6" t="str">
        <f>HYPERLINK("https://twitter.com/sergio_fajardo/status/1272922891613605889","1272922891613605889")</f>
        <v>1272922891613605889</v>
      </c>
      <c r="F950" s="7" t="s">
        <v>17</v>
      </c>
      <c r="G950" s="7">
        <v>1542745</v>
      </c>
      <c r="H950" s="7">
        <v>368</v>
      </c>
      <c r="I950" s="7">
        <v>5</v>
      </c>
      <c r="J950" s="7">
        <v>0</v>
      </c>
      <c r="K950" s="7" t="s">
        <v>18</v>
      </c>
      <c r="L950" s="8">
        <v>39891.213356481479</v>
      </c>
      <c r="M950" s="9" t="s">
        <v>19</v>
      </c>
      <c r="N950" s="9" t="s">
        <v>22</v>
      </c>
      <c r="O950" s="6" t="str">
        <f>HYPERLINK("https://pbs.twimg.com/profile_images/988971255679324162/jrqiIYf__normal.jpg","View")</f>
        <v>View</v>
      </c>
      <c r="P950" s="7"/>
    </row>
    <row r="951" spans="1:16">
      <c r="A951" s="3">
        <v>43999.009456018517</v>
      </c>
      <c r="B951" s="4" t="str">
        <f>HYPERLINK("https://twitter.com/sergio_fajardo","@sergio_fajardo")</f>
        <v>@sergio_fajardo</v>
      </c>
      <c r="C951" s="5" t="s">
        <v>16</v>
      </c>
      <c r="D951" s="5" t="s">
        <v>973</v>
      </c>
      <c r="E951" s="6" t="str">
        <f>HYPERLINK("https://twitter.com/sergio_fajardo/status/1272963053559197696","1272963053559197696")</f>
        <v>1272963053559197696</v>
      </c>
      <c r="F951" s="7" t="s">
        <v>17</v>
      </c>
      <c r="G951" s="7">
        <v>1542737</v>
      </c>
      <c r="H951" s="7">
        <v>368</v>
      </c>
      <c r="I951" s="7">
        <v>3</v>
      </c>
      <c r="J951" s="7">
        <v>0</v>
      </c>
      <c r="K951" s="7" t="s">
        <v>18</v>
      </c>
      <c r="L951" s="8">
        <v>39891.213356481479</v>
      </c>
      <c r="M951" s="9" t="s">
        <v>19</v>
      </c>
      <c r="N951" s="9" t="s">
        <v>22</v>
      </c>
      <c r="O951" s="6" t="str">
        <f>HYPERLINK("https://pbs.twimg.com/profile_images/988971255679324162/jrqiIYf__normal.jpg","View")</f>
        <v>View</v>
      </c>
      <c r="P951" s="7"/>
    </row>
    <row r="952" spans="1:16">
      <c r="A952" s="3">
        <v>43999.284548611111</v>
      </c>
      <c r="B952" s="4" t="str">
        <f>HYPERLINK("https://twitter.com/sergio_fajardo","@sergio_fajardo")</f>
        <v>@sergio_fajardo</v>
      </c>
      <c r="C952" s="5" t="s">
        <v>16</v>
      </c>
      <c r="D952" s="5" t="s">
        <v>974</v>
      </c>
      <c r="E952" s="6" t="str">
        <f>HYPERLINK("https://twitter.com/sergio_fajardo/status/1273062744510562304","1273062744510562304")</f>
        <v>1273062744510562304</v>
      </c>
      <c r="F952" s="7" t="s">
        <v>17</v>
      </c>
      <c r="G952" s="7">
        <v>1542758</v>
      </c>
      <c r="H952" s="7">
        <v>368</v>
      </c>
      <c r="I952" s="7">
        <v>24</v>
      </c>
      <c r="J952" s="7">
        <v>0</v>
      </c>
      <c r="K952" s="7" t="s">
        <v>18</v>
      </c>
      <c r="L952" s="8">
        <v>39891.213356481479</v>
      </c>
      <c r="M952" s="9" t="s">
        <v>19</v>
      </c>
      <c r="N952" s="9" t="s">
        <v>22</v>
      </c>
      <c r="O952" s="6" t="str">
        <f>HYPERLINK("https://pbs.twimg.com/profile_images/988971255679324162/jrqiIYf__normal.jpg","View")</f>
        <v>View</v>
      </c>
      <c r="P952" s="7"/>
    </row>
    <row r="953" spans="1:16">
      <c r="A953" s="3">
        <v>43999.785254629634</v>
      </c>
      <c r="B953" s="4" t="str">
        <f>HYPERLINK("https://twitter.com/sergio_fajardo","@sergio_fajardo")</f>
        <v>@sergio_fajardo</v>
      </c>
      <c r="C953" s="5" t="s">
        <v>16</v>
      </c>
      <c r="D953" s="5" t="s">
        <v>975</v>
      </c>
      <c r="E953" s="6" t="str">
        <f>HYPERLINK("https://twitter.com/sergio_fajardo/status/1273244196040847361","1273244196040847361")</f>
        <v>1273244196040847361</v>
      </c>
      <c r="F953" s="7" t="s">
        <v>17</v>
      </c>
      <c r="G953" s="7">
        <v>1542767</v>
      </c>
      <c r="H953" s="7">
        <v>368</v>
      </c>
      <c r="I953" s="7">
        <v>17</v>
      </c>
      <c r="J953" s="7">
        <v>58</v>
      </c>
      <c r="K953" s="7" t="s">
        <v>18</v>
      </c>
      <c r="L953" s="8">
        <v>39891.213356481479</v>
      </c>
      <c r="M953" s="9" t="s">
        <v>19</v>
      </c>
      <c r="N953" s="9" t="s">
        <v>22</v>
      </c>
      <c r="O953" s="6" t="str">
        <f>HYPERLINK("https://pbs.twimg.com/profile_images/988971255679324162/jrqiIYf__normal.jpg","View")</f>
        <v>View</v>
      </c>
      <c r="P953" s="7"/>
    </row>
    <row r="954" spans="1:16">
      <c r="A954" s="3">
        <v>44000.003414351857</v>
      </c>
      <c r="B954" s="4" t="str">
        <f>HYPERLINK("https://twitter.com/sergio_fajardo","@sergio_fajardo")</f>
        <v>@sergio_fajardo</v>
      </c>
      <c r="C954" s="5" t="s">
        <v>16</v>
      </c>
      <c r="D954" s="5" t="s">
        <v>976</v>
      </c>
      <c r="E954" s="6" t="str">
        <f>HYPERLINK("https://twitter.com/sergio_fajardo/status/1273323253399007232","1273323253399007232")</f>
        <v>1273323253399007232</v>
      </c>
      <c r="F954" s="7" t="s">
        <v>17</v>
      </c>
      <c r="G954" s="7">
        <v>1542789</v>
      </c>
      <c r="H954" s="7">
        <v>368</v>
      </c>
      <c r="I954" s="7">
        <v>6</v>
      </c>
      <c r="J954" s="7">
        <v>0</v>
      </c>
      <c r="K954" s="7" t="s">
        <v>18</v>
      </c>
      <c r="L954" s="8">
        <v>39891.213356481479</v>
      </c>
      <c r="M954" s="9" t="s">
        <v>19</v>
      </c>
      <c r="N954" s="9" t="s">
        <v>22</v>
      </c>
      <c r="O954" s="6" t="str">
        <f>HYPERLINK("https://pbs.twimg.com/profile_images/988971255679324162/jrqiIYf__normal.jpg","View")</f>
        <v>View</v>
      </c>
      <c r="P954" s="7"/>
    </row>
    <row r="955" spans="1:16">
      <c r="A955" s="3">
        <v>44000.147303240738</v>
      </c>
      <c r="B955" s="4" t="str">
        <f>HYPERLINK("https://twitter.com/sergio_fajardo","@sergio_fajardo")</f>
        <v>@sergio_fajardo</v>
      </c>
      <c r="C955" s="5" t="s">
        <v>16</v>
      </c>
      <c r="D955" s="5" t="s">
        <v>977</v>
      </c>
      <c r="E955" s="6" t="str">
        <f>HYPERLINK("https://twitter.com/sergio_fajardo/status/1273375396248027137","1273375396248027137")</f>
        <v>1273375396248027137</v>
      </c>
      <c r="F955" s="7" t="s">
        <v>17</v>
      </c>
      <c r="G955" s="7">
        <v>1542784</v>
      </c>
      <c r="H955" s="7">
        <v>368</v>
      </c>
      <c r="I955" s="7">
        <v>22</v>
      </c>
      <c r="J955" s="7">
        <v>81</v>
      </c>
      <c r="K955" s="7" t="s">
        <v>18</v>
      </c>
      <c r="L955" s="8">
        <v>39891.213356481479</v>
      </c>
      <c r="M955" s="9" t="s">
        <v>19</v>
      </c>
      <c r="N955" s="9" t="s">
        <v>22</v>
      </c>
      <c r="O955" s="6" t="str">
        <f>HYPERLINK("https://pbs.twimg.com/profile_images/988971255679324162/jrqiIYf__normal.jpg","View")</f>
        <v>View</v>
      </c>
      <c r="P955" s="7"/>
    </row>
    <row r="956" spans="1:16">
      <c r="A956" s="3">
        <v>44000.247314814813</v>
      </c>
      <c r="B956" s="4" t="str">
        <f>HYPERLINK("https://twitter.com/sergio_fajardo","@sergio_fajardo")</f>
        <v>@sergio_fajardo</v>
      </c>
      <c r="C956" s="5" t="s">
        <v>16</v>
      </c>
      <c r="D956" s="5" t="s">
        <v>978</v>
      </c>
      <c r="E956" s="6" t="str">
        <f>HYPERLINK("https://twitter.com/sergio_fajardo/status/1273411639275028482","1273411639275028482")</f>
        <v>1273411639275028482</v>
      </c>
      <c r="F956" s="7" t="s">
        <v>17</v>
      </c>
      <c r="G956" s="7">
        <v>1542798</v>
      </c>
      <c r="H956" s="7">
        <v>368</v>
      </c>
      <c r="I956" s="7">
        <v>33</v>
      </c>
      <c r="J956" s="7">
        <v>379</v>
      </c>
      <c r="K956" s="7" t="s">
        <v>18</v>
      </c>
      <c r="L956" s="8">
        <v>39891.213356481479</v>
      </c>
      <c r="M956" s="9" t="s">
        <v>19</v>
      </c>
      <c r="N956" s="9" t="s">
        <v>22</v>
      </c>
      <c r="O956" s="6" t="str">
        <f>HYPERLINK("https://pbs.twimg.com/profile_images/988971255679324162/jrqiIYf__normal.jpg","View")</f>
        <v>View</v>
      </c>
      <c r="P956" s="7"/>
    </row>
    <row r="957" spans="1:16">
      <c r="A957" s="3">
        <v>44000.30296296296</v>
      </c>
      <c r="B957" s="4" t="str">
        <f>HYPERLINK("https://twitter.com/sergio_fajardo","@sergio_fajardo")</f>
        <v>@sergio_fajardo</v>
      </c>
      <c r="C957" s="5" t="s">
        <v>16</v>
      </c>
      <c r="D957" s="5" t="s">
        <v>979</v>
      </c>
      <c r="E957" s="6" t="str">
        <f>HYPERLINK("https://twitter.com/sergio_fajardo/status/1273431806818299905","1273431806818299905")</f>
        <v>1273431806818299905</v>
      </c>
      <c r="F957" s="7" t="s">
        <v>17</v>
      </c>
      <c r="G957" s="7">
        <v>1542798</v>
      </c>
      <c r="H957" s="7">
        <v>368</v>
      </c>
      <c r="I957" s="7">
        <v>162</v>
      </c>
      <c r="J957" s="7">
        <v>0</v>
      </c>
      <c r="K957" s="7" t="s">
        <v>18</v>
      </c>
      <c r="L957" s="8">
        <v>39891.213356481479</v>
      </c>
      <c r="M957" s="9" t="s">
        <v>19</v>
      </c>
      <c r="N957" s="9" t="s">
        <v>22</v>
      </c>
      <c r="O957" s="6" t="str">
        <f>HYPERLINK("https://pbs.twimg.com/profile_images/988971255679324162/jrqiIYf__normal.jpg","View")</f>
        <v>View</v>
      </c>
      <c r="P957" s="7"/>
    </row>
    <row r="958" spans="1:16">
      <c r="A958" s="3">
        <v>44000.322141203702</v>
      </c>
      <c r="B958" s="4" t="str">
        <f>HYPERLINK("https://twitter.com/sergio_fajardo","@sergio_fajardo")</f>
        <v>@sergio_fajardo</v>
      </c>
      <c r="C958" s="5" t="s">
        <v>16</v>
      </c>
      <c r="D958" s="5" t="s">
        <v>980</v>
      </c>
      <c r="E958" s="6" t="str">
        <f>HYPERLINK("https://twitter.com/sergio_fajardo/status/1273438756528406529","1273438756528406529")</f>
        <v>1273438756528406529</v>
      </c>
      <c r="F958" s="7" t="s">
        <v>17</v>
      </c>
      <c r="G958" s="7">
        <v>1542802</v>
      </c>
      <c r="H958" s="7">
        <v>368</v>
      </c>
      <c r="I958" s="7">
        <v>76</v>
      </c>
      <c r="J958" s="7">
        <v>0</v>
      </c>
      <c r="K958" s="7" t="s">
        <v>18</v>
      </c>
      <c r="L958" s="8">
        <v>39891.213356481479</v>
      </c>
      <c r="M958" s="9" t="s">
        <v>19</v>
      </c>
      <c r="N958" s="9" t="s">
        <v>22</v>
      </c>
      <c r="O958" s="6" t="str">
        <f>HYPERLINK("https://pbs.twimg.com/profile_images/988971255679324162/jrqiIYf__normal.jpg","View")</f>
        <v>View</v>
      </c>
      <c r="P958" s="7"/>
    </row>
    <row r="959" spans="1:16">
      <c r="A959" s="3">
        <v>44000.758969907409</v>
      </c>
      <c r="B959" s="4" t="str">
        <f>HYPERLINK("https://twitter.com/sergio_fajardo","@sergio_fajardo")</f>
        <v>@sergio_fajardo</v>
      </c>
      <c r="C959" s="5" t="s">
        <v>16</v>
      </c>
      <c r="D959" s="5" t="s">
        <v>981</v>
      </c>
      <c r="E959" s="6" t="str">
        <f>HYPERLINK("https://twitter.com/sergio_fajardo/status/1273597057945698309","1273597057945698309")</f>
        <v>1273597057945698309</v>
      </c>
      <c r="F959" s="7" t="s">
        <v>17</v>
      </c>
      <c r="G959" s="7">
        <v>1542794</v>
      </c>
      <c r="H959" s="7">
        <v>368</v>
      </c>
      <c r="I959" s="7">
        <v>96</v>
      </c>
      <c r="J959" s="7">
        <v>0</v>
      </c>
      <c r="K959" s="7" t="s">
        <v>18</v>
      </c>
      <c r="L959" s="8">
        <v>39891.213356481479</v>
      </c>
      <c r="M959" s="9" t="s">
        <v>19</v>
      </c>
      <c r="N959" s="9" t="s">
        <v>22</v>
      </c>
      <c r="O959" s="6" t="str">
        <f>HYPERLINK("https://pbs.twimg.com/profile_images/988971255679324162/jrqiIYf__normal.jpg","View")</f>
        <v>View</v>
      </c>
      <c r="P959" s="7"/>
    </row>
    <row r="960" spans="1:16">
      <c r="A960" s="3">
        <v>44001.212638888886</v>
      </c>
      <c r="B960" s="4" t="str">
        <f>HYPERLINK("https://twitter.com/sergio_fajardo","@sergio_fajardo")</f>
        <v>@sergio_fajardo</v>
      </c>
      <c r="C960" s="5" t="s">
        <v>16</v>
      </c>
      <c r="D960" s="5" t="s">
        <v>982</v>
      </c>
      <c r="E960" s="6" t="str">
        <f>HYPERLINK("https://twitter.com/sergio_fajardo/status/1273761461341388800","1273761461341388800")</f>
        <v>1273761461341388800</v>
      </c>
      <c r="F960" s="7" t="s">
        <v>23</v>
      </c>
      <c r="G960" s="7">
        <v>1542784</v>
      </c>
      <c r="H960" s="7">
        <v>368</v>
      </c>
      <c r="I960" s="7">
        <v>2</v>
      </c>
      <c r="J960" s="7">
        <v>0</v>
      </c>
      <c r="K960" s="7" t="s">
        <v>18</v>
      </c>
      <c r="L960" s="8">
        <v>39891.213356481479</v>
      </c>
      <c r="M960" s="9" t="s">
        <v>19</v>
      </c>
      <c r="N960" s="9" t="s">
        <v>22</v>
      </c>
      <c r="O960" s="6" t="str">
        <f>HYPERLINK("https://pbs.twimg.com/profile_images/988971255679324162/jrqiIYf__normal.jpg","View")</f>
        <v>View</v>
      </c>
      <c r="P960" s="7"/>
    </row>
    <row r="961" spans="1:16">
      <c r="A961" s="3">
        <v>44001.248287037037</v>
      </c>
      <c r="B961" s="4" t="str">
        <f>HYPERLINK("https://twitter.com/sergio_fajardo","@sergio_fajardo")</f>
        <v>@sergio_fajardo</v>
      </c>
      <c r="C961" s="5" t="s">
        <v>16</v>
      </c>
      <c r="D961" s="5" t="s">
        <v>983</v>
      </c>
      <c r="E961" s="6" t="str">
        <f>HYPERLINK("https://twitter.com/sergio_fajardo/status/1273774378774409216","1273774378774409216")</f>
        <v>1273774378774409216</v>
      </c>
      <c r="F961" s="7" t="s">
        <v>17</v>
      </c>
      <c r="G961" s="7">
        <v>1542789</v>
      </c>
      <c r="H961" s="7">
        <v>368</v>
      </c>
      <c r="I961" s="7">
        <v>409</v>
      </c>
      <c r="J961" s="7">
        <v>0</v>
      </c>
      <c r="K961" s="7" t="s">
        <v>18</v>
      </c>
      <c r="L961" s="8">
        <v>39891.213356481479</v>
      </c>
      <c r="M961" s="9" t="s">
        <v>19</v>
      </c>
      <c r="N961" s="9" t="s">
        <v>22</v>
      </c>
      <c r="O961" s="6" t="str">
        <f>HYPERLINK("https://pbs.twimg.com/profile_images/988971255679324162/jrqiIYf__normal.jpg","View")</f>
        <v>View</v>
      </c>
      <c r="P961" s="7"/>
    </row>
    <row r="962" spans="1:16">
      <c r="A962" s="3">
        <v>44001.262349537035</v>
      </c>
      <c r="B962" s="4" t="str">
        <f>HYPERLINK("https://twitter.com/sergio_fajardo","@sergio_fajardo")</f>
        <v>@sergio_fajardo</v>
      </c>
      <c r="C962" s="5" t="s">
        <v>16</v>
      </c>
      <c r="D962" s="5" t="s">
        <v>984</v>
      </c>
      <c r="E962" s="6" t="str">
        <f>HYPERLINK("https://twitter.com/sergio_fajardo/status/1273779476737019904","1273779476737019904")</f>
        <v>1273779476737019904</v>
      </c>
      <c r="F962" s="7" t="s">
        <v>17</v>
      </c>
      <c r="G962" s="7">
        <v>1542790</v>
      </c>
      <c r="H962" s="7">
        <v>368</v>
      </c>
      <c r="I962" s="7">
        <v>183</v>
      </c>
      <c r="J962" s="7">
        <v>0</v>
      </c>
      <c r="K962" s="7" t="s">
        <v>18</v>
      </c>
      <c r="L962" s="8">
        <v>39891.213356481479</v>
      </c>
      <c r="M962" s="9" t="s">
        <v>19</v>
      </c>
      <c r="N962" s="9" t="s">
        <v>22</v>
      </c>
      <c r="O962" s="6" t="str">
        <f>HYPERLINK("https://pbs.twimg.com/profile_images/988971255679324162/jrqiIYf__normal.jpg","View")</f>
        <v>View</v>
      </c>
      <c r="P962" s="7"/>
    </row>
    <row r="963" spans="1:16">
      <c r="A963" s="3">
        <v>44001.270833333328</v>
      </c>
      <c r="B963" s="4" t="str">
        <f>HYPERLINK("https://twitter.com/sergio_fajardo","@sergio_fajardo")</f>
        <v>@sergio_fajardo</v>
      </c>
      <c r="C963" s="5" t="s">
        <v>16</v>
      </c>
      <c r="D963" s="5" t="s">
        <v>985</v>
      </c>
      <c r="E963" s="6" t="str">
        <f>HYPERLINK("https://twitter.com/sergio_fajardo/status/1273782550343942145","1273782550343942145")</f>
        <v>1273782550343942145</v>
      </c>
      <c r="F963" s="7" t="s">
        <v>23</v>
      </c>
      <c r="G963" s="7">
        <v>1542790</v>
      </c>
      <c r="H963" s="7">
        <v>368</v>
      </c>
      <c r="I963" s="7">
        <v>25</v>
      </c>
      <c r="J963" s="7">
        <v>64</v>
      </c>
      <c r="K963" s="7" t="s">
        <v>18</v>
      </c>
      <c r="L963" s="8">
        <v>39891.213356481479</v>
      </c>
      <c r="M963" s="9" t="s">
        <v>19</v>
      </c>
      <c r="N963" s="9" t="s">
        <v>22</v>
      </c>
      <c r="O963" s="6" t="str">
        <f>HYPERLINK("https://pbs.twimg.com/profile_images/988971255679324162/jrqiIYf__normal.jpg","View")</f>
        <v>View</v>
      </c>
      <c r="P963" s="7"/>
    </row>
    <row r="964" spans="1:16">
      <c r="A964" s="3">
        <v>44001.696157407408</v>
      </c>
      <c r="B964" s="4" t="str">
        <f>HYPERLINK("https://twitter.com/sergio_fajardo","@sergio_fajardo")</f>
        <v>@sergio_fajardo</v>
      </c>
      <c r="C964" s="5" t="s">
        <v>16</v>
      </c>
      <c r="D964" s="5" t="s">
        <v>986</v>
      </c>
      <c r="E964" s="6" t="str">
        <f>HYPERLINK("https://twitter.com/sergio_fajardo/status/1273936683365531649","1273936683365531649")</f>
        <v>1273936683365531649</v>
      </c>
      <c r="F964" s="7" t="s">
        <v>17</v>
      </c>
      <c r="G964" s="7">
        <v>1542776</v>
      </c>
      <c r="H964" s="7">
        <v>368</v>
      </c>
      <c r="I964" s="7">
        <v>6</v>
      </c>
      <c r="J964" s="7">
        <v>0</v>
      </c>
      <c r="K964" s="7" t="s">
        <v>18</v>
      </c>
      <c r="L964" s="8">
        <v>39891.213356481479</v>
      </c>
      <c r="M964" s="9" t="s">
        <v>19</v>
      </c>
      <c r="N964" s="9" t="s">
        <v>22</v>
      </c>
      <c r="O964" s="6" t="str">
        <f>HYPERLINK("https://pbs.twimg.com/profile_images/988971255679324162/jrqiIYf__normal.jpg","View")</f>
        <v>View</v>
      </c>
      <c r="P964" s="7"/>
    </row>
    <row r="965" spans="1:16">
      <c r="A965" s="3">
        <v>44001.729374999995</v>
      </c>
      <c r="B965" s="4" t="str">
        <f>HYPERLINK("https://twitter.com/sergio_fajardo","@sergio_fajardo")</f>
        <v>@sergio_fajardo</v>
      </c>
      <c r="C965" s="5" t="s">
        <v>16</v>
      </c>
      <c r="D965" s="5" t="s">
        <v>987</v>
      </c>
      <c r="E965" s="6" t="str">
        <f>HYPERLINK("https://twitter.com/sergio_fajardo/status/1273948721370345473","1273948721370345473")</f>
        <v>1273948721370345473</v>
      </c>
      <c r="F965" s="7" t="s">
        <v>17</v>
      </c>
      <c r="G965" s="7">
        <v>1542784</v>
      </c>
      <c r="H965" s="7">
        <v>368</v>
      </c>
      <c r="I965" s="7">
        <v>44</v>
      </c>
      <c r="J965" s="7">
        <v>0</v>
      </c>
      <c r="K965" s="7" t="s">
        <v>18</v>
      </c>
      <c r="L965" s="8">
        <v>39891.213356481479</v>
      </c>
      <c r="M965" s="9" t="s">
        <v>19</v>
      </c>
      <c r="N965" s="9" t="s">
        <v>22</v>
      </c>
      <c r="O965" s="6" t="str">
        <f>HYPERLINK("https://pbs.twimg.com/profile_images/988971255679324162/jrqiIYf__normal.jpg","View")</f>
        <v>View</v>
      </c>
      <c r="P965" s="7"/>
    </row>
    <row r="966" spans="1:16">
      <c r="A966" s="3">
        <v>44001.746539351851</v>
      </c>
      <c r="B966" s="4" t="str">
        <f>HYPERLINK("https://twitter.com/sergio_fajardo","@sergio_fajardo")</f>
        <v>@sergio_fajardo</v>
      </c>
      <c r="C966" s="5" t="s">
        <v>16</v>
      </c>
      <c r="D966" s="5" t="s">
        <v>988</v>
      </c>
      <c r="E966" s="6" t="str">
        <f>HYPERLINK("https://twitter.com/sergio_fajardo/status/1273954939375620097","1273954939375620097")</f>
        <v>1273954939375620097</v>
      </c>
      <c r="F966" s="7" t="s">
        <v>17</v>
      </c>
      <c r="G966" s="7">
        <v>1542785</v>
      </c>
      <c r="H966" s="7">
        <v>368</v>
      </c>
      <c r="I966" s="7">
        <v>17</v>
      </c>
      <c r="J966" s="7">
        <v>0</v>
      </c>
      <c r="K966" s="7" t="s">
        <v>18</v>
      </c>
      <c r="L966" s="8">
        <v>39891.213356481479</v>
      </c>
      <c r="M966" s="9" t="s">
        <v>19</v>
      </c>
      <c r="N966" s="9" t="s">
        <v>22</v>
      </c>
      <c r="O966" s="6" t="str">
        <f>HYPERLINK("https://pbs.twimg.com/profile_images/988971255679324162/jrqiIYf__normal.jpg","View")</f>
        <v>View</v>
      </c>
      <c r="P966" s="7"/>
    </row>
    <row r="967" spans="1:16">
      <c r="A967" s="3">
        <v>44002.294571759259</v>
      </c>
      <c r="B967" s="4" t="str">
        <f>HYPERLINK("https://twitter.com/sergio_fajardo","@sergio_fajardo")</f>
        <v>@sergio_fajardo</v>
      </c>
      <c r="C967" s="5" t="s">
        <v>16</v>
      </c>
      <c r="D967" s="5" t="s">
        <v>989</v>
      </c>
      <c r="E967" s="6" t="str">
        <f>HYPERLINK("https://twitter.com/sergio_fajardo/status/1274153539787505666","1274153539787505666")</f>
        <v>1274153539787505666</v>
      </c>
      <c r="F967" s="7" t="s">
        <v>17</v>
      </c>
      <c r="G967" s="7">
        <v>1542831</v>
      </c>
      <c r="H967" s="7">
        <v>368</v>
      </c>
      <c r="I967" s="7">
        <v>24</v>
      </c>
      <c r="J967" s="7">
        <v>124</v>
      </c>
      <c r="K967" s="7" t="s">
        <v>18</v>
      </c>
      <c r="L967" s="8">
        <v>39891.213356481479</v>
      </c>
      <c r="M967" s="9" t="s">
        <v>19</v>
      </c>
      <c r="N967" s="9" t="s">
        <v>22</v>
      </c>
      <c r="O967" s="6" t="str">
        <f>HYPERLINK("https://pbs.twimg.com/profile_images/988971255679324162/jrqiIYf__normal.jpg","View")</f>
        <v>View</v>
      </c>
      <c r="P967" s="7"/>
    </row>
    <row r="968" spans="1:16">
      <c r="A968" s="3">
        <v>44002.743518518517</v>
      </c>
      <c r="B968" s="4" t="str">
        <f>HYPERLINK("https://twitter.com/sergio_fajardo","@sergio_fajardo")</f>
        <v>@sergio_fajardo</v>
      </c>
      <c r="C968" s="5" t="s">
        <v>16</v>
      </c>
      <c r="D968" s="5" t="s">
        <v>990</v>
      </c>
      <c r="E968" s="6" t="str">
        <f>HYPERLINK("https://twitter.com/sergio_fajardo/status/1274316235539386368","1274316235539386368")</f>
        <v>1274316235539386368</v>
      </c>
      <c r="F968" s="7" t="s">
        <v>17</v>
      </c>
      <c r="G968" s="7">
        <v>1542835</v>
      </c>
      <c r="H968" s="7">
        <v>371</v>
      </c>
      <c r="I968" s="7">
        <v>4</v>
      </c>
      <c r="J968" s="7">
        <v>15</v>
      </c>
      <c r="K968" s="7" t="s">
        <v>18</v>
      </c>
      <c r="L968" s="8">
        <v>39891.213356481479</v>
      </c>
      <c r="M968" s="9" t="s">
        <v>19</v>
      </c>
      <c r="N968" s="9" t="s">
        <v>22</v>
      </c>
      <c r="O968" s="6" t="str">
        <f>HYPERLINK("https://pbs.twimg.com/profile_images/988971255679324162/jrqiIYf__normal.jpg","View")</f>
        <v>View</v>
      </c>
      <c r="P968" s="7"/>
    </row>
    <row r="969" spans="1:16">
      <c r="A969" s="3">
        <v>44003.288263888884</v>
      </c>
      <c r="B969" s="4" t="str">
        <f>HYPERLINK("https://twitter.com/sergio_fajardo","@sergio_fajardo")</f>
        <v>@sergio_fajardo</v>
      </c>
      <c r="C969" s="5" t="s">
        <v>16</v>
      </c>
      <c r="D969" s="5" t="s">
        <v>991</v>
      </c>
      <c r="E969" s="6" t="str">
        <f>HYPERLINK("https://twitter.com/sergio_fajardo/status/1274513641233158144","1274513641233158144")</f>
        <v>1274513641233158144</v>
      </c>
      <c r="F969" s="7" t="s">
        <v>17</v>
      </c>
      <c r="G969" s="7">
        <v>1542821</v>
      </c>
      <c r="H969" s="7">
        <v>370</v>
      </c>
      <c r="I969" s="7">
        <v>184</v>
      </c>
      <c r="J969" s="7">
        <v>632</v>
      </c>
      <c r="K969" s="7" t="s">
        <v>18</v>
      </c>
      <c r="L969" s="8">
        <v>39891.213356481479</v>
      </c>
      <c r="M969" s="9" t="s">
        <v>19</v>
      </c>
      <c r="N969" s="9" t="s">
        <v>22</v>
      </c>
      <c r="O969" s="6" t="str">
        <f>HYPERLINK("https://pbs.twimg.com/profile_images/988971255679324162/jrqiIYf__normal.jpg","View")</f>
        <v>View</v>
      </c>
      <c r="P969" s="7"/>
    </row>
    <row r="970" spans="1:16">
      <c r="A970" s="3">
        <v>44003.698541666672</v>
      </c>
      <c r="B970" s="4" t="str">
        <f>HYPERLINK("https://twitter.com/sergio_fajardo","@sergio_fajardo")</f>
        <v>@sergio_fajardo</v>
      </c>
      <c r="C970" s="5" t="s">
        <v>16</v>
      </c>
      <c r="D970" s="5" t="s">
        <v>992</v>
      </c>
      <c r="E970" s="6" t="str">
        <f>HYPERLINK("https://twitter.com/sergio_fajardo/status/1274662323781844992","1274662323781844992")</f>
        <v>1274662323781844992</v>
      </c>
      <c r="F970" s="7" t="s">
        <v>17</v>
      </c>
      <c r="G970" s="7">
        <v>1542765</v>
      </c>
      <c r="H970" s="7">
        <v>370</v>
      </c>
      <c r="I970" s="7">
        <v>44</v>
      </c>
      <c r="J970" s="7">
        <v>0</v>
      </c>
      <c r="K970" s="7" t="s">
        <v>18</v>
      </c>
      <c r="L970" s="8">
        <v>39891.213356481479</v>
      </c>
      <c r="M970" s="9" t="s">
        <v>19</v>
      </c>
      <c r="N970" s="9" t="s">
        <v>22</v>
      </c>
      <c r="O970" s="6" t="str">
        <f>HYPERLINK("https://pbs.twimg.com/profile_images/988971255679324162/jrqiIYf__normal.jpg","View")</f>
        <v>View</v>
      </c>
      <c r="P970" s="7"/>
    </row>
    <row r="971" spans="1:16">
      <c r="A971" s="3">
        <v>44003.723715277782</v>
      </c>
      <c r="B971" s="4" t="str">
        <f>HYPERLINK("https://twitter.com/sergio_fajardo","@sergio_fajardo")</f>
        <v>@sergio_fajardo</v>
      </c>
      <c r="C971" s="5" t="s">
        <v>16</v>
      </c>
      <c r="D971" s="5" t="s">
        <v>993</v>
      </c>
      <c r="E971" s="6" t="str">
        <f>HYPERLINK("https://twitter.com/sergio_fajardo/status/1274671447026339844","1274671447026339844")</f>
        <v>1274671447026339844</v>
      </c>
      <c r="F971" s="7" t="s">
        <v>17</v>
      </c>
      <c r="G971" s="7">
        <v>1542772</v>
      </c>
      <c r="H971" s="7">
        <v>370</v>
      </c>
      <c r="I971" s="7">
        <v>18</v>
      </c>
      <c r="J971" s="7">
        <v>0</v>
      </c>
      <c r="K971" s="7" t="s">
        <v>18</v>
      </c>
      <c r="L971" s="8">
        <v>39891.213356481479</v>
      </c>
      <c r="M971" s="9" t="s">
        <v>19</v>
      </c>
      <c r="N971" s="9" t="s">
        <v>22</v>
      </c>
      <c r="O971" s="6" t="str">
        <f>HYPERLINK("https://pbs.twimg.com/profile_images/988971255679324162/jrqiIYf__normal.jpg","View")</f>
        <v>View</v>
      </c>
      <c r="P971" s="7"/>
    </row>
    <row r="972" spans="1:16">
      <c r="A972" s="3">
        <v>44003.723969907413</v>
      </c>
      <c r="B972" s="4" t="str">
        <f>HYPERLINK("https://twitter.com/sergio_fajardo","@sergio_fajardo")</f>
        <v>@sergio_fajardo</v>
      </c>
      <c r="C972" s="5" t="s">
        <v>16</v>
      </c>
      <c r="D972" s="5" t="s">
        <v>994</v>
      </c>
      <c r="E972" s="6" t="str">
        <f>HYPERLINK("https://twitter.com/sergio_fajardo/status/1274671538810359808","1274671538810359808")</f>
        <v>1274671538810359808</v>
      </c>
      <c r="F972" s="7" t="s">
        <v>17</v>
      </c>
      <c r="G972" s="7">
        <v>1542772</v>
      </c>
      <c r="H972" s="7">
        <v>370</v>
      </c>
      <c r="I972" s="7">
        <v>26</v>
      </c>
      <c r="J972" s="7">
        <v>0</v>
      </c>
      <c r="K972" s="7" t="s">
        <v>18</v>
      </c>
      <c r="L972" s="8">
        <v>39891.213356481479</v>
      </c>
      <c r="M972" s="9" t="s">
        <v>19</v>
      </c>
      <c r="N972" s="9" t="s">
        <v>22</v>
      </c>
      <c r="O972" s="6" t="str">
        <f>HYPERLINK("https://pbs.twimg.com/profile_images/988971255679324162/jrqiIYf__normal.jpg","View")</f>
        <v>View</v>
      </c>
      <c r="P972" s="7"/>
    </row>
    <row r="973" spans="1:16">
      <c r="A973" s="3">
        <v>44003.726030092592</v>
      </c>
      <c r="B973" s="4" t="str">
        <f>HYPERLINK("https://twitter.com/sergio_fajardo","@sergio_fajardo")</f>
        <v>@sergio_fajardo</v>
      </c>
      <c r="C973" s="5" t="s">
        <v>16</v>
      </c>
      <c r="D973" s="5" t="s">
        <v>995</v>
      </c>
      <c r="E973" s="6" t="str">
        <f>HYPERLINK("https://twitter.com/sergio_fajardo/status/1274672286084276226","1274672286084276226")</f>
        <v>1274672286084276226</v>
      </c>
      <c r="F973" s="7" t="s">
        <v>17</v>
      </c>
      <c r="G973" s="7">
        <v>1542772</v>
      </c>
      <c r="H973" s="7">
        <v>370</v>
      </c>
      <c r="I973" s="7">
        <v>22</v>
      </c>
      <c r="J973" s="7">
        <v>0</v>
      </c>
      <c r="K973" s="7" t="s">
        <v>18</v>
      </c>
      <c r="L973" s="8">
        <v>39891.213356481479</v>
      </c>
      <c r="M973" s="9" t="s">
        <v>19</v>
      </c>
      <c r="N973" s="9" t="s">
        <v>22</v>
      </c>
      <c r="O973" s="6" t="str">
        <f>HYPERLINK("https://pbs.twimg.com/profile_images/988971255679324162/jrqiIYf__normal.jpg","View")</f>
        <v>View</v>
      </c>
      <c r="P973" s="7"/>
    </row>
    <row r="974" spans="1:16">
      <c r="A974" s="3">
        <v>44004.737025462964</v>
      </c>
      <c r="B974" s="4" t="str">
        <f>HYPERLINK("https://twitter.com/sergio_fajardo","@sergio_fajardo")</f>
        <v>@sergio_fajardo</v>
      </c>
      <c r="C974" s="5" t="s">
        <v>16</v>
      </c>
      <c r="D974" s="5" t="s">
        <v>996</v>
      </c>
      <c r="E974" s="6" t="str">
        <f>HYPERLINK("https://twitter.com/sergio_fajardo/status/1275038657779585027","1275038657779585027")</f>
        <v>1275038657779585027</v>
      </c>
      <c r="F974" s="7" t="s">
        <v>17</v>
      </c>
      <c r="G974" s="7">
        <v>1542864</v>
      </c>
      <c r="H974" s="7">
        <v>370</v>
      </c>
      <c r="I974" s="7">
        <v>2</v>
      </c>
      <c r="J974" s="7">
        <v>19</v>
      </c>
      <c r="K974" s="7" t="s">
        <v>18</v>
      </c>
      <c r="L974" s="8">
        <v>39891.213356481479</v>
      </c>
      <c r="M974" s="9" t="s">
        <v>19</v>
      </c>
      <c r="N974" s="9" t="s">
        <v>22</v>
      </c>
      <c r="O974" s="6" t="str">
        <f>HYPERLINK("https://pbs.twimg.com/profile_images/988971255679324162/jrqiIYf__normal.jpg","View")</f>
        <v>View</v>
      </c>
      <c r="P974" s="7"/>
    </row>
    <row r="975" spans="1:16">
      <c r="A975" s="3">
        <v>44004.818356481483</v>
      </c>
      <c r="B975" s="4" t="str">
        <f>HYPERLINK("https://twitter.com/sergio_fajardo","@sergio_fajardo")</f>
        <v>@sergio_fajardo</v>
      </c>
      <c r="C975" s="5" t="s">
        <v>16</v>
      </c>
      <c r="D975" s="5" t="s">
        <v>997</v>
      </c>
      <c r="E975" s="6" t="str">
        <f>HYPERLINK("https://twitter.com/sergio_fajardo/status/1275068128175636482","1275068128175636482")</f>
        <v>1275068128175636482</v>
      </c>
      <c r="F975" s="7" t="s">
        <v>17</v>
      </c>
      <c r="G975" s="7">
        <v>1542870</v>
      </c>
      <c r="H975" s="7">
        <v>370</v>
      </c>
      <c r="I975" s="7">
        <v>5</v>
      </c>
      <c r="J975" s="7">
        <v>0</v>
      </c>
      <c r="K975" s="7" t="s">
        <v>18</v>
      </c>
      <c r="L975" s="8">
        <v>39891.213356481479</v>
      </c>
      <c r="M975" s="9" t="s">
        <v>19</v>
      </c>
      <c r="N975" s="9" t="s">
        <v>22</v>
      </c>
      <c r="O975" s="6" t="str">
        <f>HYPERLINK("https://pbs.twimg.com/profile_images/988971255679324162/jrqiIYf__normal.jpg","View")</f>
        <v>View</v>
      </c>
      <c r="P975" s="7"/>
    </row>
    <row r="976" spans="1:16">
      <c r="A976" s="3">
        <v>44004.818368055552</v>
      </c>
      <c r="B976" s="4" t="str">
        <f>HYPERLINK("https://twitter.com/sergio_fajardo","@sergio_fajardo")</f>
        <v>@sergio_fajardo</v>
      </c>
      <c r="C976" s="5" t="s">
        <v>16</v>
      </c>
      <c r="D976" s="5" t="s">
        <v>998</v>
      </c>
      <c r="E976" s="6" t="str">
        <f>HYPERLINK("https://twitter.com/sergio_fajardo/status/1275068132827099136","1275068132827099136")</f>
        <v>1275068132827099136</v>
      </c>
      <c r="F976" s="7" t="s">
        <v>17</v>
      </c>
      <c r="G976" s="7">
        <v>1542870</v>
      </c>
      <c r="H976" s="7">
        <v>370</v>
      </c>
      <c r="I976" s="7">
        <v>8105</v>
      </c>
      <c r="J976" s="7">
        <v>0</v>
      </c>
      <c r="K976" s="7" t="s">
        <v>18</v>
      </c>
      <c r="L976" s="8">
        <v>39891.213356481479</v>
      </c>
      <c r="M976" s="9" t="s">
        <v>19</v>
      </c>
      <c r="N976" s="9" t="s">
        <v>22</v>
      </c>
      <c r="O976" s="6" t="str">
        <f>HYPERLINK("https://pbs.twimg.com/profile_images/988971255679324162/jrqiIYf__normal.jpg","View")</f>
        <v>View</v>
      </c>
      <c r="P976" s="7"/>
    </row>
    <row r="977" spans="1:16">
      <c r="A977" s="3">
        <v>44004.924895833334</v>
      </c>
      <c r="B977" s="4" t="str">
        <f>HYPERLINK("https://twitter.com/sergio_fajardo","@sergio_fajardo")</f>
        <v>@sergio_fajardo</v>
      </c>
      <c r="C977" s="5" t="s">
        <v>16</v>
      </c>
      <c r="D977" s="5" t="s">
        <v>999</v>
      </c>
      <c r="E977" s="6" t="str">
        <f>HYPERLINK("https://twitter.com/sergio_fajardo/status/1275106738300166144","1275106738300166144")</f>
        <v>1275106738300166144</v>
      </c>
      <c r="F977" s="7" t="s">
        <v>17</v>
      </c>
      <c r="G977" s="7">
        <v>1542855</v>
      </c>
      <c r="H977" s="7">
        <v>370</v>
      </c>
      <c r="I977" s="7">
        <v>4</v>
      </c>
      <c r="J977" s="7">
        <v>0</v>
      </c>
      <c r="K977" s="7" t="s">
        <v>18</v>
      </c>
      <c r="L977" s="8">
        <v>39891.213356481479</v>
      </c>
      <c r="M977" s="9" t="s">
        <v>19</v>
      </c>
      <c r="N977" s="9" t="s">
        <v>22</v>
      </c>
      <c r="O977" s="6" t="str">
        <f>HYPERLINK("https://pbs.twimg.com/profile_images/988971255679324162/jrqiIYf__normal.jpg","View")</f>
        <v>View</v>
      </c>
      <c r="P977" s="7"/>
    </row>
    <row r="978" spans="1:16">
      <c r="A978" s="3">
        <v>44004.924988425926</v>
      </c>
      <c r="B978" s="4" t="str">
        <f>HYPERLINK("https://twitter.com/sergio_fajardo","@sergio_fajardo")</f>
        <v>@sergio_fajardo</v>
      </c>
      <c r="C978" s="5" t="s">
        <v>16</v>
      </c>
      <c r="D978" s="5" t="s">
        <v>1000</v>
      </c>
      <c r="E978" s="6" t="str">
        <f>HYPERLINK("https://twitter.com/sergio_fajardo/status/1275106772668293126","1275106772668293126")</f>
        <v>1275106772668293126</v>
      </c>
      <c r="F978" s="7" t="s">
        <v>17</v>
      </c>
      <c r="G978" s="7">
        <v>1542855</v>
      </c>
      <c r="H978" s="7">
        <v>370</v>
      </c>
      <c r="I978" s="7">
        <v>446</v>
      </c>
      <c r="J978" s="7">
        <v>0</v>
      </c>
      <c r="K978" s="7" t="s">
        <v>18</v>
      </c>
      <c r="L978" s="8">
        <v>39891.213356481479</v>
      </c>
      <c r="M978" s="9" t="s">
        <v>19</v>
      </c>
      <c r="N978" s="9" t="s">
        <v>22</v>
      </c>
      <c r="O978" s="6" t="str">
        <f>HYPERLINK("https://pbs.twimg.com/profile_images/988971255679324162/jrqiIYf__normal.jpg","View")</f>
        <v>View</v>
      </c>
      <c r="P978" s="7"/>
    </row>
    <row r="979" spans="1:16">
      <c r="A979" s="3">
        <v>44005.059432870374</v>
      </c>
      <c r="B979" s="4" t="str">
        <f>HYPERLINK("https://twitter.com/sergio_fajardo","@sergio_fajardo")</f>
        <v>@sergio_fajardo</v>
      </c>
      <c r="C979" s="5" t="s">
        <v>16</v>
      </c>
      <c r="D979" s="5" t="s">
        <v>1001</v>
      </c>
      <c r="E979" s="6" t="str">
        <f>HYPERLINK("https://twitter.com/sergio_fajardo/status/1275155493648990208","1275155493648990208")</f>
        <v>1275155493648990208</v>
      </c>
      <c r="F979" s="7" t="s">
        <v>17</v>
      </c>
      <c r="G979" s="7">
        <v>1542858</v>
      </c>
      <c r="H979" s="7">
        <v>370</v>
      </c>
      <c r="I979" s="7">
        <v>991</v>
      </c>
      <c r="J979" s="7">
        <v>0</v>
      </c>
      <c r="K979" s="7" t="s">
        <v>18</v>
      </c>
      <c r="L979" s="8">
        <v>39891.213356481479</v>
      </c>
      <c r="M979" s="9" t="s">
        <v>19</v>
      </c>
      <c r="N979" s="9" t="s">
        <v>22</v>
      </c>
      <c r="O979" s="6" t="str">
        <f>HYPERLINK("https://pbs.twimg.com/profile_images/988971255679324162/jrqiIYf__normal.jpg","View")</f>
        <v>View</v>
      </c>
      <c r="P979" s="7"/>
    </row>
    <row r="980" spans="1:16">
      <c r="A980" s="3">
        <v>44005.244837962964</v>
      </c>
      <c r="B980" s="4" t="str">
        <f>HYPERLINK("https://twitter.com/sergio_fajardo","@sergio_fajardo")</f>
        <v>@sergio_fajardo</v>
      </c>
      <c r="C980" s="5" t="s">
        <v>16</v>
      </c>
      <c r="D980" s="4" t="s">
        <v>1002</v>
      </c>
      <c r="E980" s="6" t="str">
        <f>HYPERLINK("https://twitter.com/sergio_fajardo/status/1275222680048996352","1275222680048996352")</f>
        <v>1275222680048996352</v>
      </c>
      <c r="F980" s="7" t="s">
        <v>17</v>
      </c>
      <c r="G980" s="7">
        <v>1542851</v>
      </c>
      <c r="H980" s="7">
        <v>370</v>
      </c>
      <c r="I980" s="7">
        <v>3</v>
      </c>
      <c r="J980" s="7">
        <v>9</v>
      </c>
      <c r="K980" s="7" t="s">
        <v>18</v>
      </c>
      <c r="L980" s="8">
        <v>39891.213356481479</v>
      </c>
      <c r="M980" s="9" t="s">
        <v>19</v>
      </c>
      <c r="N980" s="9" t="s">
        <v>22</v>
      </c>
      <c r="O980" s="6" t="str">
        <f>HYPERLINK("https://pbs.twimg.com/profile_images/988971255679324162/jrqiIYf__normal.jpg","View")</f>
        <v>View</v>
      </c>
      <c r="P980" s="7"/>
    </row>
    <row r="981" spans="1:16">
      <c r="A981" s="3">
        <v>44005.663090277776</v>
      </c>
      <c r="B981" s="4" t="str">
        <f>HYPERLINK("https://twitter.com/sergio_fajardo","@sergio_fajardo")</f>
        <v>@sergio_fajardo</v>
      </c>
      <c r="C981" s="5" t="s">
        <v>16</v>
      </c>
      <c r="D981" s="5" t="s">
        <v>1003</v>
      </c>
      <c r="E981" s="6" t="str">
        <f>HYPERLINK("https://twitter.com/sergio_fajardo/status/1275374251705597958","1275374251705597958")</f>
        <v>1275374251705597958</v>
      </c>
      <c r="F981" s="7" t="s">
        <v>17</v>
      </c>
      <c r="G981" s="7">
        <v>1542850</v>
      </c>
      <c r="H981" s="7">
        <v>370</v>
      </c>
      <c r="I981" s="7">
        <v>45</v>
      </c>
      <c r="J981" s="7">
        <v>0</v>
      </c>
      <c r="K981" s="7" t="s">
        <v>18</v>
      </c>
      <c r="L981" s="8">
        <v>39891.213356481479</v>
      </c>
      <c r="M981" s="9" t="s">
        <v>19</v>
      </c>
      <c r="N981" s="9" t="s">
        <v>22</v>
      </c>
      <c r="O981" s="6" t="str">
        <f>HYPERLINK("https://pbs.twimg.com/profile_images/988971255679324162/jrqiIYf__normal.jpg","View")</f>
        <v>View</v>
      </c>
      <c r="P981" s="7"/>
    </row>
    <row r="982" spans="1:16">
      <c r="A982" s="3">
        <v>44005.663518518515</v>
      </c>
      <c r="B982" s="4" t="str">
        <f>HYPERLINK("https://twitter.com/sergio_fajardo","@sergio_fajardo")</f>
        <v>@sergio_fajardo</v>
      </c>
      <c r="C982" s="5" t="s">
        <v>16</v>
      </c>
      <c r="D982" s="5" t="s">
        <v>1004</v>
      </c>
      <c r="E982" s="6" t="str">
        <f>HYPERLINK("https://twitter.com/sergio_fajardo/status/1275374408144691201","1275374408144691201")</f>
        <v>1275374408144691201</v>
      </c>
      <c r="F982" s="7" t="s">
        <v>17</v>
      </c>
      <c r="G982" s="7">
        <v>1542850</v>
      </c>
      <c r="H982" s="7">
        <v>370</v>
      </c>
      <c r="I982" s="7">
        <v>44</v>
      </c>
      <c r="J982" s="7">
        <v>0</v>
      </c>
      <c r="K982" s="7" t="s">
        <v>18</v>
      </c>
      <c r="L982" s="8">
        <v>39891.213356481479</v>
      </c>
      <c r="M982" s="9" t="s">
        <v>19</v>
      </c>
      <c r="N982" s="9" t="s">
        <v>22</v>
      </c>
      <c r="O982" s="6" t="str">
        <f>HYPERLINK("https://pbs.twimg.com/profile_images/988971255679324162/jrqiIYf__normal.jpg","View")</f>
        <v>View</v>
      </c>
      <c r="P982" s="7"/>
    </row>
    <row r="983" spans="1:16">
      <c r="A983" s="3">
        <v>44005.670138888891</v>
      </c>
      <c r="B983" s="4" t="str">
        <f>HYPERLINK("https://twitter.com/sergio_fajardo","@sergio_fajardo")</f>
        <v>@sergio_fajardo</v>
      </c>
      <c r="C983" s="5" t="s">
        <v>16</v>
      </c>
      <c r="D983" s="5" t="s">
        <v>1005</v>
      </c>
      <c r="E983" s="6" t="str">
        <f>HYPERLINK("https://twitter.com/sergio_fajardo/status/1275376806170853379","1275376806170853379")</f>
        <v>1275376806170853379</v>
      </c>
      <c r="F983" s="7" t="s">
        <v>17</v>
      </c>
      <c r="G983" s="7">
        <v>1542850</v>
      </c>
      <c r="H983" s="7">
        <v>370</v>
      </c>
      <c r="I983" s="7">
        <v>27</v>
      </c>
      <c r="J983" s="7">
        <v>0</v>
      </c>
      <c r="K983" s="7" t="s">
        <v>18</v>
      </c>
      <c r="L983" s="8">
        <v>39891.213356481479</v>
      </c>
      <c r="M983" s="9" t="s">
        <v>19</v>
      </c>
      <c r="N983" s="9" t="s">
        <v>22</v>
      </c>
      <c r="O983" s="6" t="str">
        <f>HYPERLINK("https://pbs.twimg.com/profile_images/988971255679324162/jrqiIYf__normal.jpg","View")</f>
        <v>View</v>
      </c>
      <c r="P983" s="7"/>
    </row>
    <row r="984" spans="1:16">
      <c r="A984" s="3">
        <v>44005.671122685184</v>
      </c>
      <c r="B984" s="4" t="str">
        <f>HYPERLINK("https://twitter.com/sergio_fajardo","@sergio_fajardo")</f>
        <v>@sergio_fajardo</v>
      </c>
      <c r="C984" s="5" t="s">
        <v>16</v>
      </c>
      <c r="D984" s="5" t="s">
        <v>1006</v>
      </c>
      <c r="E984" s="6" t="str">
        <f>HYPERLINK("https://twitter.com/sergio_fajardo/status/1275377162464432128","1275377162464432128")</f>
        <v>1275377162464432128</v>
      </c>
      <c r="F984" s="7" t="s">
        <v>17</v>
      </c>
      <c r="G984" s="7">
        <v>1542850</v>
      </c>
      <c r="H984" s="7">
        <v>370</v>
      </c>
      <c r="I984" s="7">
        <v>2</v>
      </c>
      <c r="J984" s="7">
        <v>0</v>
      </c>
      <c r="K984" s="7" t="s">
        <v>18</v>
      </c>
      <c r="L984" s="8">
        <v>39891.213356481479</v>
      </c>
      <c r="M984" s="9" t="s">
        <v>19</v>
      </c>
      <c r="N984" s="9" t="s">
        <v>22</v>
      </c>
      <c r="O984" s="6" t="str">
        <f>HYPERLINK("https://pbs.twimg.com/profile_images/988971255679324162/jrqiIYf__normal.jpg","View")</f>
        <v>View</v>
      </c>
      <c r="P984" s="7"/>
    </row>
    <row r="985" spans="1:16">
      <c r="A985" s="3">
        <v>44005.793564814812</v>
      </c>
      <c r="B985" s="4" t="str">
        <f>HYPERLINK("https://twitter.com/sergio_fajardo","@sergio_fajardo")</f>
        <v>@sergio_fajardo</v>
      </c>
      <c r="C985" s="5" t="s">
        <v>16</v>
      </c>
      <c r="D985" s="5" t="s">
        <v>1007</v>
      </c>
      <c r="E985" s="6" t="str">
        <f>HYPERLINK("https://twitter.com/sergio_fajardo/status/1275421535591940099","1275421535591940099")</f>
        <v>1275421535591940099</v>
      </c>
      <c r="F985" s="7" t="s">
        <v>17</v>
      </c>
      <c r="G985" s="7">
        <v>1542865</v>
      </c>
      <c r="H985" s="7">
        <v>370</v>
      </c>
      <c r="I985" s="7">
        <v>11</v>
      </c>
      <c r="J985" s="7">
        <v>0</v>
      </c>
      <c r="K985" s="7" t="s">
        <v>18</v>
      </c>
      <c r="L985" s="8">
        <v>39891.213356481479</v>
      </c>
      <c r="M985" s="9" t="s">
        <v>19</v>
      </c>
      <c r="N985" s="9" t="s">
        <v>22</v>
      </c>
      <c r="O985" s="6" t="str">
        <f>HYPERLINK("https://pbs.twimg.com/profile_images/988971255679324162/jrqiIYf__normal.jpg","View")</f>
        <v>View</v>
      </c>
      <c r="P985" s="7"/>
    </row>
    <row r="986" spans="1:16">
      <c r="A986" s="3">
        <v>44006.050428240742</v>
      </c>
      <c r="B986" s="4" t="str">
        <f>HYPERLINK("https://twitter.com/sergio_fajardo","@sergio_fajardo")</f>
        <v>@sergio_fajardo</v>
      </c>
      <c r="C986" s="5" t="s">
        <v>16</v>
      </c>
      <c r="D986" s="5" t="s">
        <v>1008</v>
      </c>
      <c r="E986" s="6" t="str">
        <f>HYPERLINK("https://twitter.com/sergio_fajardo/status/1275514615984730118","1275514615984730118")</f>
        <v>1275514615984730118</v>
      </c>
      <c r="F986" s="7" t="s">
        <v>17</v>
      </c>
      <c r="G986" s="7">
        <v>1542908</v>
      </c>
      <c r="H986" s="7">
        <v>370</v>
      </c>
      <c r="I986" s="7">
        <v>6</v>
      </c>
      <c r="J986" s="7">
        <v>0</v>
      </c>
      <c r="K986" s="7" t="s">
        <v>18</v>
      </c>
      <c r="L986" s="8">
        <v>39891.213356481479</v>
      </c>
      <c r="M986" s="9" t="s">
        <v>19</v>
      </c>
      <c r="N986" s="9" t="s">
        <v>22</v>
      </c>
      <c r="O986" s="6" t="str">
        <f>HYPERLINK("https://pbs.twimg.com/profile_images/988971255679324162/jrqiIYf__normal.jpg","View")</f>
        <v>View</v>
      </c>
      <c r="P986" s="7"/>
    </row>
    <row r="987" spans="1:16">
      <c r="A987" s="3">
        <v>44006.138599537036</v>
      </c>
      <c r="B987" s="4" t="str">
        <f>HYPERLINK("https://twitter.com/sergio_fajardo","@sergio_fajardo")</f>
        <v>@sergio_fajardo</v>
      </c>
      <c r="C987" s="5" t="s">
        <v>16</v>
      </c>
      <c r="D987" s="5" t="s">
        <v>1009</v>
      </c>
      <c r="E987" s="6" t="str">
        <f>HYPERLINK("https://twitter.com/sergio_fajardo/status/1275546568498778112","1275546568498778112")</f>
        <v>1275546568498778112</v>
      </c>
      <c r="F987" s="7" t="s">
        <v>17</v>
      </c>
      <c r="G987" s="7">
        <v>1542903</v>
      </c>
      <c r="H987" s="7">
        <v>370</v>
      </c>
      <c r="I987" s="7">
        <v>31</v>
      </c>
      <c r="J987" s="7">
        <v>0</v>
      </c>
      <c r="K987" s="7" t="s">
        <v>18</v>
      </c>
      <c r="L987" s="8">
        <v>39891.213356481479</v>
      </c>
      <c r="M987" s="9" t="s">
        <v>19</v>
      </c>
      <c r="N987" s="9" t="s">
        <v>22</v>
      </c>
      <c r="O987" s="6" t="str">
        <f>HYPERLINK("https://pbs.twimg.com/profile_images/988971255679324162/jrqiIYf__normal.jpg","View")</f>
        <v>View</v>
      </c>
      <c r="P987" s="7"/>
    </row>
    <row r="988" spans="1:16">
      <c r="A988" s="3">
        <v>44006.151134259257</v>
      </c>
      <c r="B988" s="4" t="str">
        <f>HYPERLINK("https://twitter.com/sergio_fajardo","@sergio_fajardo")</f>
        <v>@sergio_fajardo</v>
      </c>
      <c r="C988" s="5" t="s">
        <v>16</v>
      </c>
      <c r="D988" s="5" t="s">
        <v>1010</v>
      </c>
      <c r="E988" s="6" t="str">
        <f>HYPERLINK("https://twitter.com/sergio_fajardo/status/1275551113060761606","1275551113060761606")</f>
        <v>1275551113060761606</v>
      </c>
      <c r="F988" s="7" t="s">
        <v>17</v>
      </c>
      <c r="G988" s="7">
        <v>1542903</v>
      </c>
      <c r="H988" s="7">
        <v>370</v>
      </c>
      <c r="I988" s="7">
        <v>11</v>
      </c>
      <c r="J988" s="7">
        <v>0</v>
      </c>
      <c r="K988" s="7" t="s">
        <v>18</v>
      </c>
      <c r="L988" s="8">
        <v>39891.213356481479</v>
      </c>
      <c r="M988" s="9" t="s">
        <v>19</v>
      </c>
      <c r="N988" s="9" t="s">
        <v>22</v>
      </c>
      <c r="O988" s="6" t="str">
        <f>HYPERLINK("https://pbs.twimg.com/profile_images/988971255679324162/jrqiIYf__normal.jpg","View")</f>
        <v>View</v>
      </c>
      <c r="P988" s="7"/>
    </row>
    <row r="989" spans="1:16">
      <c r="A989" s="3">
        <v>44006.280104166668</v>
      </c>
      <c r="B989" s="4" t="str">
        <f>HYPERLINK("https://twitter.com/sergio_fajardo","@sergio_fajardo")</f>
        <v>@sergio_fajardo</v>
      </c>
      <c r="C989" s="5" t="s">
        <v>16</v>
      </c>
      <c r="D989" s="5" t="s">
        <v>1011</v>
      </c>
      <c r="E989" s="6" t="str">
        <f>HYPERLINK("https://twitter.com/sergio_fajardo/status/1275597850563489792","1275597850563489792")</f>
        <v>1275597850563489792</v>
      </c>
      <c r="F989" s="7" t="s">
        <v>17</v>
      </c>
      <c r="G989" s="7">
        <v>1542910</v>
      </c>
      <c r="H989" s="7">
        <v>370</v>
      </c>
      <c r="I989" s="7">
        <v>109</v>
      </c>
      <c r="J989" s="7">
        <v>0</v>
      </c>
      <c r="K989" s="7" t="s">
        <v>18</v>
      </c>
      <c r="L989" s="8">
        <v>39891.213356481479</v>
      </c>
      <c r="M989" s="9" t="s">
        <v>19</v>
      </c>
      <c r="N989" s="9" t="s">
        <v>22</v>
      </c>
      <c r="O989" s="6" t="str">
        <f>HYPERLINK("https://pbs.twimg.com/profile_images/988971255679324162/jrqiIYf__normal.jpg","View")</f>
        <v>View</v>
      </c>
      <c r="P989" s="7"/>
    </row>
    <row r="990" spans="1:16">
      <c r="A990" s="3">
        <v>44006.923981481479</v>
      </c>
      <c r="B990" s="4" t="str">
        <f>HYPERLINK("https://twitter.com/sergio_fajardo","@sergio_fajardo")</f>
        <v>@sergio_fajardo</v>
      </c>
      <c r="C990" s="5" t="s">
        <v>16</v>
      </c>
      <c r="D990" s="5" t="s">
        <v>1012</v>
      </c>
      <c r="E990" s="6" t="str">
        <f>HYPERLINK("https://twitter.com/sergio_fajardo/status/1275831183000186882","1275831183000186882")</f>
        <v>1275831183000186882</v>
      </c>
      <c r="F990" s="7" t="s">
        <v>17</v>
      </c>
      <c r="G990" s="7">
        <v>1543028</v>
      </c>
      <c r="H990" s="7">
        <v>370</v>
      </c>
      <c r="I990" s="7">
        <v>319</v>
      </c>
      <c r="J990" s="7">
        <v>0</v>
      </c>
      <c r="K990" s="7" t="s">
        <v>18</v>
      </c>
      <c r="L990" s="8">
        <v>39891.213356481479</v>
      </c>
      <c r="M990" s="9" t="s">
        <v>19</v>
      </c>
      <c r="N990" s="9" t="s">
        <v>22</v>
      </c>
      <c r="O990" s="6" t="str">
        <f>HYPERLINK("https://pbs.twimg.com/profile_images/988971255679324162/jrqiIYf__normal.jpg","View")</f>
        <v>View</v>
      </c>
      <c r="P990" s="7"/>
    </row>
    <row r="991" spans="1:16">
      <c r="A991" s="3">
        <v>44006.938425925924</v>
      </c>
      <c r="B991" s="4" t="str">
        <f>HYPERLINK("https://twitter.com/sergio_fajardo","@sergio_fajardo")</f>
        <v>@sergio_fajardo</v>
      </c>
      <c r="C991" s="5" t="s">
        <v>16</v>
      </c>
      <c r="D991" s="5" t="s">
        <v>1013</v>
      </c>
      <c r="E991" s="6" t="str">
        <f>HYPERLINK("https://twitter.com/sergio_fajardo/status/1275836416291897344","1275836416291897344")</f>
        <v>1275836416291897344</v>
      </c>
      <c r="F991" s="7" t="s">
        <v>17</v>
      </c>
      <c r="G991" s="7">
        <v>1543035</v>
      </c>
      <c r="H991" s="7">
        <v>370</v>
      </c>
      <c r="I991" s="7">
        <v>1</v>
      </c>
      <c r="J991" s="7">
        <v>15</v>
      </c>
      <c r="K991" s="7" t="s">
        <v>18</v>
      </c>
      <c r="L991" s="8">
        <v>39891.213356481479</v>
      </c>
      <c r="M991" s="9" t="s">
        <v>19</v>
      </c>
      <c r="N991" s="9" t="s">
        <v>22</v>
      </c>
      <c r="O991" s="6" t="str">
        <f>HYPERLINK("https://pbs.twimg.com/profile_images/988971255679324162/jrqiIYf__normal.jpg","View")</f>
        <v>View</v>
      </c>
      <c r="P991" s="7"/>
    </row>
    <row r="992" spans="1:16">
      <c r="A992" s="3">
        <v>44007.221018518518</v>
      </c>
      <c r="B992" s="4" t="str">
        <f>HYPERLINK("https://twitter.com/sergio_fajardo","@sergio_fajardo")</f>
        <v>@sergio_fajardo</v>
      </c>
      <c r="C992" s="5" t="s">
        <v>16</v>
      </c>
      <c r="D992" s="5" t="s">
        <v>1014</v>
      </c>
      <c r="E992" s="6" t="str">
        <f>HYPERLINK("https://twitter.com/sergio_fajardo/status/1275938826393968646","1275938826393968646")</f>
        <v>1275938826393968646</v>
      </c>
      <c r="F992" s="7" t="s">
        <v>23</v>
      </c>
      <c r="G992" s="7">
        <v>1543065</v>
      </c>
      <c r="H992" s="7">
        <v>370</v>
      </c>
      <c r="I992" s="7">
        <v>24</v>
      </c>
      <c r="J992" s="7">
        <v>0</v>
      </c>
      <c r="K992" s="7" t="s">
        <v>18</v>
      </c>
      <c r="L992" s="8">
        <v>39891.213356481479</v>
      </c>
      <c r="M992" s="9" t="s">
        <v>19</v>
      </c>
      <c r="N992" s="9" t="s">
        <v>22</v>
      </c>
      <c r="O992" s="6" t="str">
        <f>HYPERLINK("https://pbs.twimg.com/profile_images/988971255679324162/jrqiIYf__normal.jpg","View")</f>
        <v>View</v>
      </c>
      <c r="P992" s="7"/>
    </row>
    <row r="993" spans="1:16">
      <c r="A993" s="3">
        <v>44007.221250000002</v>
      </c>
      <c r="B993" s="4" t="str">
        <f>HYPERLINK("https://twitter.com/sergio_fajardo","@sergio_fajardo")</f>
        <v>@sergio_fajardo</v>
      </c>
      <c r="C993" s="5" t="s">
        <v>16</v>
      </c>
      <c r="D993" s="5" t="s">
        <v>1015</v>
      </c>
      <c r="E993" s="6" t="str">
        <f>HYPERLINK("https://twitter.com/sergio_fajardo/status/1275938910619697154","1275938910619697154")</f>
        <v>1275938910619697154</v>
      </c>
      <c r="F993" s="7" t="s">
        <v>23</v>
      </c>
      <c r="G993" s="7">
        <v>1543065</v>
      </c>
      <c r="H993" s="7">
        <v>370</v>
      </c>
      <c r="I993" s="7">
        <v>11</v>
      </c>
      <c r="J993" s="7">
        <v>0</v>
      </c>
      <c r="K993" s="7" t="s">
        <v>18</v>
      </c>
      <c r="L993" s="8">
        <v>39891.213356481479</v>
      </c>
      <c r="M993" s="9" t="s">
        <v>19</v>
      </c>
      <c r="N993" s="9" t="s">
        <v>22</v>
      </c>
      <c r="O993" s="6" t="str">
        <f>HYPERLINK("https://pbs.twimg.com/profile_images/988971255679324162/jrqiIYf__normal.jpg","View")</f>
        <v>View</v>
      </c>
      <c r="P993" s="7"/>
    </row>
    <row r="994" spans="1:16">
      <c r="A994" s="3">
        <v>44007.243518518517</v>
      </c>
      <c r="B994" s="4" t="str">
        <f>HYPERLINK("https://twitter.com/sergio_fajardo","@sergio_fajardo")</f>
        <v>@sergio_fajardo</v>
      </c>
      <c r="C994" s="5" t="s">
        <v>16</v>
      </c>
      <c r="D994" s="5" t="s">
        <v>1016</v>
      </c>
      <c r="E994" s="6" t="str">
        <f>HYPERLINK("https://twitter.com/sergio_fajardo/status/1275946979634405376","1275946979634405376")</f>
        <v>1275946979634405376</v>
      </c>
      <c r="F994" s="7" t="s">
        <v>17</v>
      </c>
      <c r="G994" s="7">
        <v>1543058</v>
      </c>
      <c r="H994" s="7">
        <v>370</v>
      </c>
      <c r="I994" s="7">
        <v>39</v>
      </c>
      <c r="J994" s="7">
        <v>0</v>
      </c>
      <c r="K994" s="7" t="s">
        <v>18</v>
      </c>
      <c r="L994" s="8">
        <v>39891.213356481479</v>
      </c>
      <c r="M994" s="9" t="s">
        <v>19</v>
      </c>
      <c r="N994" s="9" t="s">
        <v>22</v>
      </c>
      <c r="O994" s="6" t="str">
        <f>HYPERLINK("https://pbs.twimg.com/profile_images/988971255679324162/jrqiIYf__normal.jpg","View")</f>
        <v>View</v>
      </c>
      <c r="P994" s="7"/>
    </row>
    <row r="995" spans="1:16">
      <c r="A995" s="3">
        <v>44007.304814814815</v>
      </c>
      <c r="B995" s="4" t="str">
        <f>HYPERLINK("https://twitter.com/sergio_fajardo","@sergio_fajardo")</f>
        <v>@sergio_fajardo</v>
      </c>
      <c r="C995" s="5" t="s">
        <v>16</v>
      </c>
      <c r="D995" s="5" t="s">
        <v>1017</v>
      </c>
      <c r="E995" s="6" t="str">
        <f>HYPERLINK("https://twitter.com/sergio_fajardo/status/1275969191196143616","1275969191196143616")</f>
        <v>1275969191196143616</v>
      </c>
      <c r="F995" s="7" t="s">
        <v>17</v>
      </c>
      <c r="G995" s="7">
        <v>1543082</v>
      </c>
      <c r="H995" s="7">
        <v>370</v>
      </c>
      <c r="I995" s="7">
        <v>383</v>
      </c>
      <c r="J995" s="7">
        <v>0</v>
      </c>
      <c r="K995" s="7" t="s">
        <v>18</v>
      </c>
      <c r="L995" s="8">
        <v>39891.213356481479</v>
      </c>
      <c r="M995" s="9" t="s">
        <v>19</v>
      </c>
      <c r="N995" s="9" t="s">
        <v>22</v>
      </c>
      <c r="O995" s="6" t="str">
        <f>HYPERLINK("https://pbs.twimg.com/profile_images/988971255679324162/jrqiIYf__normal.jpg","View")</f>
        <v>View</v>
      </c>
      <c r="P995" s="7"/>
    </row>
    <row r="996" spans="1:16">
      <c r="A996" s="3">
        <v>44007.305023148147</v>
      </c>
      <c r="B996" s="4" t="str">
        <f>HYPERLINK("https://twitter.com/sergio_fajardo","@sergio_fajardo")</f>
        <v>@sergio_fajardo</v>
      </c>
      <c r="C996" s="5" t="s">
        <v>16</v>
      </c>
      <c r="D996" s="5" t="s">
        <v>1018</v>
      </c>
      <c r="E996" s="6" t="str">
        <f>HYPERLINK("https://twitter.com/sergio_fajardo/status/1275969267171762177","1275969267171762177")</f>
        <v>1275969267171762177</v>
      </c>
      <c r="F996" s="7" t="s">
        <v>17</v>
      </c>
      <c r="G996" s="7">
        <v>1543082</v>
      </c>
      <c r="H996" s="7">
        <v>370</v>
      </c>
      <c r="I996" s="7">
        <v>182</v>
      </c>
      <c r="J996" s="7">
        <v>0</v>
      </c>
      <c r="K996" s="7" t="s">
        <v>18</v>
      </c>
      <c r="L996" s="8">
        <v>39891.213356481479</v>
      </c>
      <c r="M996" s="9" t="s">
        <v>19</v>
      </c>
      <c r="N996" s="9" t="s">
        <v>22</v>
      </c>
      <c r="O996" s="6" t="str">
        <f>HYPERLINK("https://pbs.twimg.com/profile_images/988971255679324162/jrqiIYf__normal.jpg","View")</f>
        <v>View</v>
      </c>
      <c r="P996" s="7"/>
    </row>
    <row r="997" spans="1:16">
      <c r="A997" s="3">
        <v>44007.310983796298</v>
      </c>
      <c r="B997" s="4" t="str">
        <f>HYPERLINK("https://twitter.com/sergio_fajardo","@sergio_fajardo")</f>
        <v>@sergio_fajardo</v>
      </c>
      <c r="C997" s="5" t="s">
        <v>16</v>
      </c>
      <c r="D997" s="5" t="s">
        <v>1019</v>
      </c>
      <c r="E997" s="6" t="str">
        <f>HYPERLINK("https://twitter.com/sergio_fajardo/status/1275971426307248128","1275971426307248128")</f>
        <v>1275971426307248128</v>
      </c>
      <c r="F997" s="7" t="s">
        <v>17</v>
      </c>
      <c r="G997" s="7">
        <v>1543082</v>
      </c>
      <c r="H997" s="7">
        <v>370</v>
      </c>
      <c r="I997" s="7">
        <v>22</v>
      </c>
      <c r="J997" s="7">
        <v>0</v>
      </c>
      <c r="K997" s="7" t="s">
        <v>18</v>
      </c>
      <c r="L997" s="8">
        <v>39891.213356481479</v>
      </c>
      <c r="M997" s="9" t="s">
        <v>19</v>
      </c>
      <c r="N997" s="9" t="s">
        <v>22</v>
      </c>
      <c r="O997" s="6" t="str">
        <f>HYPERLINK("https://pbs.twimg.com/profile_images/988971255679324162/jrqiIYf__normal.jpg","View")</f>
        <v>View</v>
      </c>
      <c r="P997" s="7"/>
    </row>
    <row r="998" spans="1:16">
      <c r="A998" s="3">
        <v>44007.328078703707</v>
      </c>
      <c r="B998" s="4" t="str">
        <f>HYPERLINK("https://twitter.com/sergio_fajardo","@sergio_fajardo")</f>
        <v>@sergio_fajardo</v>
      </c>
      <c r="C998" s="5" t="s">
        <v>16</v>
      </c>
      <c r="D998" s="5" t="s">
        <v>1020</v>
      </c>
      <c r="E998" s="6" t="str">
        <f>HYPERLINK("https://twitter.com/sergio_fajardo/status/1275977624624541698","1275977624624541698")</f>
        <v>1275977624624541698</v>
      </c>
      <c r="F998" s="7" t="s">
        <v>17</v>
      </c>
      <c r="G998" s="7">
        <v>1543068</v>
      </c>
      <c r="H998" s="7">
        <v>370</v>
      </c>
      <c r="I998" s="7">
        <v>15</v>
      </c>
      <c r="J998" s="7">
        <v>0</v>
      </c>
      <c r="K998" s="7" t="s">
        <v>18</v>
      </c>
      <c r="L998" s="8">
        <v>39891.213356481479</v>
      </c>
      <c r="M998" s="9" t="s">
        <v>19</v>
      </c>
      <c r="N998" s="9" t="s">
        <v>22</v>
      </c>
      <c r="O998" s="6" t="str">
        <f>HYPERLINK("https://pbs.twimg.com/profile_images/988971255679324162/jrqiIYf__normal.jpg","View")</f>
        <v>View</v>
      </c>
      <c r="P998" s="7"/>
    </row>
    <row r="999" spans="1:16">
      <c r="A999" s="3">
        <v>44007.334062499998</v>
      </c>
      <c r="B999" s="4" t="str">
        <f>HYPERLINK("https://twitter.com/sergio_fajardo","@sergio_fajardo")</f>
        <v>@sergio_fajardo</v>
      </c>
      <c r="C999" s="5" t="s">
        <v>16</v>
      </c>
      <c r="D999" s="5" t="s">
        <v>1021</v>
      </c>
      <c r="E999" s="6" t="str">
        <f>HYPERLINK("https://twitter.com/sergio_fajardo/status/1275979792341446656","1275979792341446656")</f>
        <v>1275979792341446656</v>
      </c>
      <c r="F999" s="7" t="s">
        <v>17</v>
      </c>
      <c r="G999" s="7">
        <v>1543068</v>
      </c>
      <c r="H999" s="7">
        <v>370</v>
      </c>
      <c r="I999" s="7">
        <v>17</v>
      </c>
      <c r="J999" s="7">
        <v>159</v>
      </c>
      <c r="K999" s="7" t="s">
        <v>18</v>
      </c>
      <c r="L999" s="8">
        <v>39891.213356481479</v>
      </c>
      <c r="M999" s="9" t="s">
        <v>19</v>
      </c>
      <c r="N999" s="9" t="s">
        <v>22</v>
      </c>
      <c r="O999" s="6" t="str">
        <f>HYPERLINK("https://pbs.twimg.com/profile_images/988971255679324162/jrqiIYf__normal.jpg","View")</f>
        <v>View</v>
      </c>
      <c r="P999" s="7"/>
    </row>
    <row r="1000" spans="1:16">
      <c r="A1000" s="3">
        <v>44007.334606481483</v>
      </c>
      <c r="B1000" s="4" t="str">
        <f>HYPERLINK("https://twitter.com/sergio_fajardo","@sergio_fajardo")</f>
        <v>@sergio_fajardo</v>
      </c>
      <c r="C1000" s="5" t="s">
        <v>16</v>
      </c>
      <c r="D1000" s="5" t="s">
        <v>1022</v>
      </c>
      <c r="E1000" s="6" t="str">
        <f>HYPERLINK("https://twitter.com/sergio_fajardo/status/1275979986734850051","1275979986734850051")</f>
        <v>1275979986734850051</v>
      </c>
      <c r="F1000" s="7" t="s">
        <v>17</v>
      </c>
      <c r="G1000" s="7">
        <v>1543068</v>
      </c>
      <c r="H1000" s="7">
        <v>370</v>
      </c>
      <c r="I1000" s="7">
        <v>148</v>
      </c>
      <c r="J1000" s="7">
        <v>0</v>
      </c>
      <c r="K1000" s="7" t="s">
        <v>18</v>
      </c>
      <c r="L1000" s="8">
        <v>39891.213356481479</v>
      </c>
      <c r="M1000" s="9" t="s">
        <v>19</v>
      </c>
      <c r="N1000" s="9" t="s">
        <v>22</v>
      </c>
      <c r="O1000" s="6" t="str">
        <f>HYPERLINK("https://pbs.twimg.com/profile_images/988971255679324162/jrqiIYf__normal.jpg","View")</f>
        <v>View</v>
      </c>
      <c r="P1000" s="7"/>
    </row>
    <row r="1001" spans="1:16">
      <c r="A1001" s="3">
        <v>44007.723796296297</v>
      </c>
      <c r="B1001" s="4" t="str">
        <f>HYPERLINK("https://twitter.com/sergio_fajardo","@sergio_fajardo")</f>
        <v>@sergio_fajardo</v>
      </c>
      <c r="C1001" s="5" t="s">
        <v>16</v>
      </c>
      <c r="D1001" s="5" t="s">
        <v>1023</v>
      </c>
      <c r="E1001" s="6" t="str">
        <f>HYPERLINK("https://twitter.com/sergio_fajardo/status/1276121028322824198","1276121028322824198")</f>
        <v>1276121028322824198</v>
      </c>
      <c r="F1001" s="7" t="s">
        <v>17</v>
      </c>
      <c r="G1001" s="7">
        <v>1543044</v>
      </c>
      <c r="H1001" s="7">
        <v>370</v>
      </c>
      <c r="I1001" s="7">
        <v>21</v>
      </c>
      <c r="J1001" s="7">
        <v>102</v>
      </c>
      <c r="K1001" s="7" t="s">
        <v>18</v>
      </c>
      <c r="L1001" s="8">
        <v>39891.213356481479</v>
      </c>
      <c r="M1001" s="9" t="s">
        <v>19</v>
      </c>
      <c r="N1001" s="9" t="s">
        <v>22</v>
      </c>
      <c r="O1001" s="6" t="str">
        <f>HYPERLINK("https://pbs.twimg.com/profile_images/988971255679324162/jrqiIYf__normal.jpg","View")</f>
        <v>View</v>
      </c>
      <c r="P1001" s="7"/>
    </row>
    <row r="1002" spans="1:16">
      <c r="A1002" s="3">
        <v>44007.744432870371</v>
      </c>
      <c r="B1002" s="4" t="str">
        <f>HYPERLINK("https://twitter.com/sergio_fajardo","@sergio_fajardo")</f>
        <v>@sergio_fajardo</v>
      </c>
      <c r="C1002" s="5" t="s">
        <v>16</v>
      </c>
      <c r="D1002" s="5" t="s">
        <v>1024</v>
      </c>
      <c r="E1002" s="6" t="str">
        <f>HYPERLINK("https://twitter.com/sergio_fajardo/status/1276128504527142914","1276128504527142914")</f>
        <v>1276128504527142914</v>
      </c>
      <c r="F1002" s="7" t="s">
        <v>17</v>
      </c>
      <c r="G1002" s="7">
        <v>1543041</v>
      </c>
      <c r="H1002" s="7">
        <v>370</v>
      </c>
      <c r="I1002" s="7">
        <v>30</v>
      </c>
      <c r="J1002" s="7">
        <v>88</v>
      </c>
      <c r="K1002" s="7" t="s">
        <v>18</v>
      </c>
      <c r="L1002" s="8">
        <v>39891.213356481479</v>
      </c>
      <c r="M1002" s="9" t="s">
        <v>19</v>
      </c>
      <c r="N1002" s="9" t="s">
        <v>22</v>
      </c>
      <c r="O1002" s="6" t="str">
        <f>HYPERLINK("https://pbs.twimg.com/profile_images/988971255679324162/jrqiIYf__normal.jpg","View")</f>
        <v>View</v>
      </c>
      <c r="P1002" s="7"/>
    </row>
    <row r="1003" spans="1:16">
      <c r="A1003" s="3">
        <v>44007.764085648145</v>
      </c>
      <c r="B1003" s="4" t="str">
        <f>HYPERLINK("https://twitter.com/sergio_fajardo","@sergio_fajardo")</f>
        <v>@sergio_fajardo</v>
      </c>
      <c r="C1003" s="5" t="s">
        <v>16</v>
      </c>
      <c r="D1003" s="5" t="s">
        <v>1025</v>
      </c>
      <c r="E1003" s="6" t="str">
        <f>HYPERLINK("https://twitter.com/sergio_fajardo/status/1276135627944341506","1276135627944341506")</f>
        <v>1276135627944341506</v>
      </c>
      <c r="F1003" s="7" t="s">
        <v>17</v>
      </c>
      <c r="G1003" s="7">
        <v>1543040</v>
      </c>
      <c r="H1003" s="7">
        <v>370</v>
      </c>
      <c r="I1003" s="7">
        <v>247</v>
      </c>
      <c r="J1003" s="7">
        <v>0</v>
      </c>
      <c r="K1003" s="7" t="s">
        <v>18</v>
      </c>
      <c r="L1003" s="8">
        <v>39891.213356481479</v>
      </c>
      <c r="M1003" s="9" t="s">
        <v>19</v>
      </c>
      <c r="N1003" s="9" t="s">
        <v>22</v>
      </c>
      <c r="O1003" s="6" t="str">
        <f>HYPERLINK("https://pbs.twimg.com/profile_images/988971255679324162/jrqiIYf__normal.jpg","View")</f>
        <v>View</v>
      </c>
      <c r="P1003" s="7"/>
    </row>
    <row r="1004" spans="1:16">
      <c r="A1004" s="3">
        <v>44007.900104166663</v>
      </c>
      <c r="B1004" s="4" t="str">
        <f>HYPERLINK("https://twitter.com/sergio_fajardo","@sergio_fajardo")</f>
        <v>@sergio_fajardo</v>
      </c>
      <c r="C1004" s="5" t="s">
        <v>16</v>
      </c>
      <c r="D1004" s="5" t="s">
        <v>1026</v>
      </c>
      <c r="E1004" s="6" t="str">
        <f>HYPERLINK("https://twitter.com/sergio_fajardo/status/1276184916989022210","1276184916989022210")</f>
        <v>1276184916989022210</v>
      </c>
      <c r="F1004" s="7" t="s">
        <v>23</v>
      </c>
      <c r="G1004" s="7">
        <v>1543055</v>
      </c>
      <c r="H1004" s="7">
        <v>370</v>
      </c>
      <c r="I1004" s="7">
        <v>18</v>
      </c>
      <c r="J1004" s="7">
        <v>32</v>
      </c>
      <c r="K1004" s="7" t="s">
        <v>18</v>
      </c>
      <c r="L1004" s="8">
        <v>39891.213356481479</v>
      </c>
      <c r="M1004" s="9" t="s">
        <v>19</v>
      </c>
      <c r="N1004" s="9" t="s">
        <v>22</v>
      </c>
      <c r="O1004" s="6" t="str">
        <f>HYPERLINK("https://pbs.twimg.com/profile_images/988971255679324162/jrqiIYf__normal.jpg","View")</f>
        <v>View</v>
      </c>
      <c r="P1004" s="7"/>
    </row>
    <row r="1005" spans="1:16">
      <c r="A1005" s="3">
        <v>44007.9222337963</v>
      </c>
      <c r="B1005" s="4" t="str">
        <f>HYPERLINK("https://twitter.com/sergio_fajardo","@sergio_fajardo")</f>
        <v>@sergio_fajardo</v>
      </c>
      <c r="C1005" s="5" t="s">
        <v>16</v>
      </c>
      <c r="D1005" s="5" t="s">
        <v>1027</v>
      </c>
      <c r="E1005" s="6" t="str">
        <f>HYPERLINK("https://twitter.com/sergio_fajardo/status/1276192937550974979","1276192937550974979")</f>
        <v>1276192937550974979</v>
      </c>
      <c r="F1005" s="7" t="s">
        <v>17</v>
      </c>
      <c r="G1005" s="7">
        <v>1543056</v>
      </c>
      <c r="H1005" s="7">
        <v>370</v>
      </c>
      <c r="I1005" s="7">
        <v>28</v>
      </c>
      <c r="J1005" s="7">
        <v>0</v>
      </c>
      <c r="K1005" s="7" t="s">
        <v>18</v>
      </c>
      <c r="L1005" s="8">
        <v>39891.213356481479</v>
      </c>
      <c r="M1005" s="9" t="s">
        <v>19</v>
      </c>
      <c r="N1005" s="9" t="s">
        <v>22</v>
      </c>
      <c r="O1005" s="6" t="str">
        <f>HYPERLINK("https://pbs.twimg.com/profile_images/988971255679324162/jrqiIYf__normal.jpg","View")</f>
        <v>View</v>
      </c>
      <c r="P1005" s="7"/>
    </row>
    <row r="1006" spans="1:16">
      <c r="A1006" s="3">
        <v>44008.026620370365</v>
      </c>
      <c r="B1006" s="4" t="str">
        <f>HYPERLINK("https://twitter.com/sergio_fajardo","@sergio_fajardo")</f>
        <v>@sergio_fajardo</v>
      </c>
      <c r="C1006" s="5" t="s">
        <v>16</v>
      </c>
      <c r="D1006" s="5" t="s">
        <v>1028</v>
      </c>
      <c r="E1006" s="6" t="str">
        <f>HYPERLINK("https://twitter.com/sergio_fajardo/status/1276230764380774405","1276230764380774405")</f>
        <v>1276230764380774405</v>
      </c>
      <c r="F1006" s="7" t="s">
        <v>17</v>
      </c>
      <c r="G1006" s="7">
        <v>1543077</v>
      </c>
      <c r="H1006" s="7">
        <v>370</v>
      </c>
      <c r="I1006" s="7">
        <v>32</v>
      </c>
      <c r="J1006" s="7">
        <v>0</v>
      </c>
      <c r="K1006" s="7" t="s">
        <v>18</v>
      </c>
      <c r="L1006" s="8">
        <v>39891.213356481479</v>
      </c>
      <c r="M1006" s="9" t="s">
        <v>19</v>
      </c>
      <c r="N1006" s="9" t="s">
        <v>22</v>
      </c>
      <c r="O1006" s="6" t="str">
        <f>HYPERLINK("https://pbs.twimg.com/profile_images/988971255679324162/jrqiIYf__normal.jpg","View")</f>
        <v>View</v>
      </c>
      <c r="P1006" s="7"/>
    </row>
    <row r="1007" spans="1:16">
      <c r="A1007" s="3">
        <v>44008.173206018517</v>
      </c>
      <c r="B1007" s="4" t="str">
        <f>HYPERLINK("https://twitter.com/sergio_fajardo","@sergio_fajardo")</f>
        <v>@sergio_fajardo</v>
      </c>
      <c r="C1007" s="5" t="s">
        <v>16</v>
      </c>
      <c r="D1007" s="5" t="s">
        <v>1029</v>
      </c>
      <c r="E1007" s="6" t="str">
        <f>HYPERLINK("https://twitter.com/sergio_fajardo/status/1276283888306978819","1276283888306978819")</f>
        <v>1276283888306978819</v>
      </c>
      <c r="F1007" s="7" t="s">
        <v>17</v>
      </c>
      <c r="G1007" s="7">
        <v>1543085</v>
      </c>
      <c r="H1007" s="7">
        <v>370</v>
      </c>
      <c r="I1007" s="7">
        <v>1</v>
      </c>
      <c r="J1007" s="7">
        <v>0</v>
      </c>
      <c r="K1007" s="7" t="s">
        <v>18</v>
      </c>
      <c r="L1007" s="8">
        <v>39891.213356481479</v>
      </c>
      <c r="M1007" s="9" t="s">
        <v>19</v>
      </c>
      <c r="N1007" s="9" t="s">
        <v>22</v>
      </c>
      <c r="O1007" s="6" t="str">
        <f>HYPERLINK("https://pbs.twimg.com/profile_images/988971255679324162/jrqiIYf__normal.jpg","View")</f>
        <v>View</v>
      </c>
      <c r="P1007" s="7"/>
    </row>
    <row r="1008" spans="1:16">
      <c r="A1008" s="3">
        <v>44008.173402777778</v>
      </c>
      <c r="B1008" s="4" t="str">
        <f>HYPERLINK("https://twitter.com/sergio_fajardo","@sergio_fajardo")</f>
        <v>@sergio_fajardo</v>
      </c>
      <c r="C1008" s="5" t="s">
        <v>16</v>
      </c>
      <c r="D1008" s="5" t="s">
        <v>1030</v>
      </c>
      <c r="E1008" s="6" t="str">
        <f>HYPERLINK("https://twitter.com/sergio_fajardo/status/1276283959454904323","1276283959454904323")</f>
        <v>1276283959454904323</v>
      </c>
      <c r="F1008" s="7" t="s">
        <v>17</v>
      </c>
      <c r="G1008" s="7">
        <v>1543085</v>
      </c>
      <c r="H1008" s="7">
        <v>370</v>
      </c>
      <c r="I1008" s="7">
        <v>12</v>
      </c>
      <c r="J1008" s="7">
        <v>0</v>
      </c>
      <c r="K1008" s="7" t="s">
        <v>18</v>
      </c>
      <c r="L1008" s="8">
        <v>39891.213356481479</v>
      </c>
      <c r="M1008" s="9" t="s">
        <v>19</v>
      </c>
      <c r="N1008" s="9" t="s">
        <v>22</v>
      </c>
      <c r="O1008" s="6" t="str">
        <f>HYPERLINK("https://pbs.twimg.com/profile_images/988971255679324162/jrqiIYf__normal.jpg","View")</f>
        <v>View</v>
      </c>
      <c r="P1008" s="7"/>
    </row>
    <row r="1009" spans="1:16">
      <c r="A1009" s="3">
        <v>44008.173854166671</v>
      </c>
      <c r="B1009" s="4" t="str">
        <f>HYPERLINK("https://twitter.com/sergio_fajardo","@sergio_fajardo")</f>
        <v>@sergio_fajardo</v>
      </c>
      <c r="C1009" s="5" t="s">
        <v>16</v>
      </c>
      <c r="D1009" s="5" t="s">
        <v>1031</v>
      </c>
      <c r="E1009" s="6" t="str">
        <f>HYPERLINK("https://twitter.com/sergio_fajardo/status/1276284123032752130","1276284123032752130")</f>
        <v>1276284123032752130</v>
      </c>
      <c r="F1009" s="7" t="s">
        <v>17</v>
      </c>
      <c r="G1009" s="7">
        <v>1543085</v>
      </c>
      <c r="H1009" s="7">
        <v>370</v>
      </c>
      <c r="I1009" s="7">
        <v>12</v>
      </c>
      <c r="J1009" s="7">
        <v>0</v>
      </c>
      <c r="K1009" s="7" t="s">
        <v>18</v>
      </c>
      <c r="L1009" s="8">
        <v>39891.213356481479</v>
      </c>
      <c r="M1009" s="9" t="s">
        <v>19</v>
      </c>
      <c r="N1009" s="9" t="s">
        <v>22</v>
      </c>
      <c r="O1009" s="6" t="str">
        <f>HYPERLINK("https://pbs.twimg.com/profile_images/988971255679324162/jrqiIYf__normal.jpg","View")</f>
        <v>View</v>
      </c>
      <c r="P1009" s="7"/>
    </row>
    <row r="1010" spans="1:16">
      <c r="A1010" s="3">
        <v>44008.272152777776</v>
      </c>
      <c r="B1010" s="4" t="str">
        <f>HYPERLINK("https://twitter.com/sergio_fajardo","@sergio_fajardo")</f>
        <v>@sergio_fajardo</v>
      </c>
      <c r="C1010" s="5" t="s">
        <v>16</v>
      </c>
      <c r="D1010" s="5" t="s">
        <v>1032</v>
      </c>
      <c r="E1010" s="6" t="str">
        <f>HYPERLINK("https://twitter.com/sergio_fajardo/status/1276319743222460416","1276319743222460416")</f>
        <v>1276319743222460416</v>
      </c>
      <c r="F1010" s="7" t="s">
        <v>17</v>
      </c>
      <c r="G1010" s="7">
        <v>1543091</v>
      </c>
      <c r="H1010" s="7">
        <v>370</v>
      </c>
      <c r="I1010" s="7">
        <v>80</v>
      </c>
      <c r="J1010" s="7">
        <v>0</v>
      </c>
      <c r="K1010" s="7" t="s">
        <v>18</v>
      </c>
      <c r="L1010" s="8">
        <v>39891.213356481479</v>
      </c>
      <c r="M1010" s="9" t="s">
        <v>19</v>
      </c>
      <c r="N1010" s="9" t="s">
        <v>22</v>
      </c>
      <c r="O1010" s="6" t="str">
        <f>HYPERLINK("https://pbs.twimg.com/profile_images/988971255679324162/jrqiIYf__normal.jpg","View")</f>
        <v>View</v>
      </c>
      <c r="P1010" s="7"/>
    </row>
    <row r="1011" spans="1:16">
      <c r="A1011" s="3">
        <v>44008.273634259254</v>
      </c>
      <c r="B1011" s="4" t="str">
        <f>HYPERLINK("https://twitter.com/sergio_fajardo","@sergio_fajardo")</f>
        <v>@sergio_fajardo</v>
      </c>
      <c r="C1011" s="5" t="s">
        <v>16</v>
      </c>
      <c r="D1011" s="5" t="s">
        <v>1033</v>
      </c>
      <c r="E1011" s="6" t="str">
        <f>HYPERLINK("https://twitter.com/sergio_fajardo/status/1276320279938109440","1276320279938109440")</f>
        <v>1276320279938109440</v>
      </c>
      <c r="F1011" s="7" t="s">
        <v>17</v>
      </c>
      <c r="G1011" s="7">
        <v>1543091</v>
      </c>
      <c r="H1011" s="7">
        <v>370</v>
      </c>
      <c r="I1011" s="7">
        <v>15</v>
      </c>
      <c r="J1011" s="7">
        <v>71</v>
      </c>
      <c r="K1011" s="7" t="s">
        <v>18</v>
      </c>
      <c r="L1011" s="8">
        <v>39891.213356481479</v>
      </c>
      <c r="M1011" s="9" t="s">
        <v>19</v>
      </c>
      <c r="N1011" s="9" t="s">
        <v>22</v>
      </c>
      <c r="O1011" s="6" t="str">
        <f>HYPERLINK("https://pbs.twimg.com/profile_images/988971255679324162/jrqiIYf__normal.jpg","View")</f>
        <v>View</v>
      </c>
      <c r="P1011" s="7"/>
    </row>
    <row r="1012" spans="1:16">
      <c r="A1012" s="3">
        <v>44008.718958333338</v>
      </c>
      <c r="B1012" s="4" t="str">
        <f>HYPERLINK("https://twitter.com/sergio_fajardo","@sergio_fajardo")</f>
        <v>@sergio_fajardo</v>
      </c>
      <c r="C1012" s="5" t="s">
        <v>16</v>
      </c>
      <c r="D1012" s="5" t="s">
        <v>1034</v>
      </c>
      <c r="E1012" s="6" t="str">
        <f>HYPERLINK("https://twitter.com/sergio_fajardo/status/1276481662986133505","1276481662986133505")</f>
        <v>1276481662986133505</v>
      </c>
      <c r="F1012" s="7" t="s">
        <v>17</v>
      </c>
      <c r="G1012" s="7">
        <v>1543078</v>
      </c>
      <c r="H1012" s="7">
        <v>370</v>
      </c>
      <c r="I1012" s="7">
        <v>2</v>
      </c>
      <c r="J1012" s="7">
        <v>5</v>
      </c>
      <c r="K1012" s="7" t="s">
        <v>18</v>
      </c>
      <c r="L1012" s="8">
        <v>39891.213356481479</v>
      </c>
      <c r="M1012" s="9" t="s">
        <v>19</v>
      </c>
      <c r="N1012" s="9" t="s">
        <v>22</v>
      </c>
      <c r="O1012" s="6" t="str">
        <f>HYPERLINK("https://pbs.twimg.com/profile_images/988971255679324162/jrqiIYf__normal.jpg","View")</f>
        <v>View</v>
      </c>
      <c r="P1012" s="7"/>
    </row>
    <row r="1013" spans="1:16">
      <c r="A1013" s="3">
        <v>44008.720266203702</v>
      </c>
      <c r="B1013" s="4" t="str">
        <f>HYPERLINK("https://twitter.com/sergio_fajardo","@sergio_fajardo")</f>
        <v>@sergio_fajardo</v>
      </c>
      <c r="C1013" s="5" t="s">
        <v>16</v>
      </c>
      <c r="D1013" s="5" t="s">
        <v>1035</v>
      </c>
      <c r="E1013" s="6" t="str">
        <f>HYPERLINK("https://twitter.com/sergio_fajardo/status/1276482132911800321","1276482132911800321")</f>
        <v>1276482132911800321</v>
      </c>
      <c r="F1013" s="7" t="s">
        <v>17</v>
      </c>
      <c r="G1013" s="7">
        <v>1543078</v>
      </c>
      <c r="H1013" s="7">
        <v>370</v>
      </c>
      <c r="I1013" s="7">
        <v>53</v>
      </c>
      <c r="J1013" s="7">
        <v>0</v>
      </c>
      <c r="K1013" s="7" t="s">
        <v>18</v>
      </c>
      <c r="L1013" s="8">
        <v>39891.213356481479</v>
      </c>
      <c r="M1013" s="9" t="s">
        <v>19</v>
      </c>
      <c r="N1013" s="9" t="s">
        <v>22</v>
      </c>
      <c r="O1013" s="6" t="str">
        <f>HYPERLINK("https://pbs.twimg.com/profile_images/988971255679324162/jrqiIYf__normal.jpg","View")</f>
        <v>View</v>
      </c>
      <c r="P1013" s="7"/>
    </row>
    <row r="1014" spans="1:16">
      <c r="A1014" s="3">
        <v>44008.790891203702</v>
      </c>
      <c r="B1014" s="4" t="str">
        <f>HYPERLINK("https://twitter.com/sergio_fajardo","@sergio_fajardo")</f>
        <v>@sergio_fajardo</v>
      </c>
      <c r="C1014" s="5" t="s">
        <v>16</v>
      </c>
      <c r="D1014" s="5" t="s">
        <v>1036</v>
      </c>
      <c r="E1014" s="6" t="str">
        <f>HYPERLINK("https://twitter.com/sergio_fajardo/status/1276507730585550848","1276507730585550848")</f>
        <v>1276507730585550848</v>
      </c>
      <c r="F1014" s="7" t="s">
        <v>17</v>
      </c>
      <c r="G1014" s="7">
        <v>1543091</v>
      </c>
      <c r="H1014" s="7">
        <v>370</v>
      </c>
      <c r="I1014" s="7">
        <v>54</v>
      </c>
      <c r="J1014" s="7">
        <v>0</v>
      </c>
      <c r="K1014" s="7" t="s">
        <v>18</v>
      </c>
      <c r="L1014" s="8">
        <v>39891.213356481479</v>
      </c>
      <c r="M1014" s="9" t="s">
        <v>19</v>
      </c>
      <c r="N1014" s="9" t="s">
        <v>22</v>
      </c>
      <c r="O1014" s="6" t="str">
        <f>HYPERLINK("https://pbs.twimg.com/profile_images/988971255679324162/jrqiIYf__normal.jpg","View")</f>
        <v>View</v>
      </c>
      <c r="P1014" s="7"/>
    </row>
    <row r="1015" spans="1:16">
      <c r="A1015" s="3">
        <v>44008.936782407407</v>
      </c>
      <c r="B1015" s="4" t="str">
        <f>HYPERLINK("https://twitter.com/sergio_fajardo","@sergio_fajardo")</f>
        <v>@sergio_fajardo</v>
      </c>
      <c r="C1015" s="5" t="s">
        <v>16</v>
      </c>
      <c r="D1015" s="5" t="s">
        <v>1037</v>
      </c>
      <c r="E1015" s="6" t="str">
        <f>HYPERLINK("https://twitter.com/sergio_fajardo/status/1276560597216382984","1276560597216382984")</f>
        <v>1276560597216382984</v>
      </c>
      <c r="F1015" s="7" t="s">
        <v>17</v>
      </c>
      <c r="G1015" s="7">
        <v>1543126</v>
      </c>
      <c r="H1015" s="7">
        <v>370</v>
      </c>
      <c r="I1015" s="7">
        <v>70</v>
      </c>
      <c r="J1015" s="7">
        <v>0</v>
      </c>
      <c r="K1015" s="7" t="s">
        <v>18</v>
      </c>
      <c r="L1015" s="8">
        <v>39891.213356481479</v>
      </c>
      <c r="M1015" s="9" t="s">
        <v>19</v>
      </c>
      <c r="N1015" s="9" t="s">
        <v>22</v>
      </c>
      <c r="O1015" s="6" t="str">
        <f>HYPERLINK("https://pbs.twimg.com/profile_images/988971255679324162/jrqiIYf__normal.jpg","View")</f>
        <v>View</v>
      </c>
      <c r="P1015" s="7"/>
    </row>
    <row r="1016" spans="1:16">
      <c r="A1016" s="3">
        <v>44008.983599537038</v>
      </c>
      <c r="B1016" s="4" t="str">
        <f>HYPERLINK("https://twitter.com/sergio_fajardo","@sergio_fajardo")</f>
        <v>@sergio_fajardo</v>
      </c>
      <c r="C1016" s="5" t="s">
        <v>16</v>
      </c>
      <c r="D1016" s="5" t="s">
        <v>1038</v>
      </c>
      <c r="E1016" s="6" t="str">
        <f>HYPERLINK("https://twitter.com/sergio_fajardo/status/1276577565566808066","1276577565566808066")</f>
        <v>1276577565566808066</v>
      </c>
      <c r="F1016" s="7" t="s">
        <v>17</v>
      </c>
      <c r="G1016" s="7">
        <v>1543129</v>
      </c>
      <c r="H1016" s="7">
        <v>370</v>
      </c>
      <c r="I1016" s="7">
        <v>4</v>
      </c>
      <c r="J1016" s="7">
        <v>0</v>
      </c>
      <c r="K1016" s="7" t="s">
        <v>18</v>
      </c>
      <c r="L1016" s="8">
        <v>39891.213356481479</v>
      </c>
      <c r="M1016" s="9" t="s">
        <v>19</v>
      </c>
      <c r="N1016" s="9" t="s">
        <v>22</v>
      </c>
      <c r="O1016" s="6" t="str">
        <f>HYPERLINK("https://pbs.twimg.com/profile_images/988971255679324162/jrqiIYf__normal.jpg","View")</f>
        <v>View</v>
      </c>
      <c r="P1016" s="7"/>
    </row>
    <row r="1017" spans="1:16">
      <c r="A1017" s="3">
        <v>44009.262638888889</v>
      </c>
      <c r="B1017" s="4" t="str">
        <f>HYPERLINK("https://twitter.com/sergio_fajardo","@sergio_fajardo")</f>
        <v>@sergio_fajardo</v>
      </c>
      <c r="C1017" s="5" t="s">
        <v>16</v>
      </c>
      <c r="D1017" s="5" t="s">
        <v>1039</v>
      </c>
      <c r="E1017" s="6" t="str">
        <f>HYPERLINK("https://twitter.com/sergio_fajardo/status/1276678685354049542","1276678685354049542")</f>
        <v>1276678685354049542</v>
      </c>
      <c r="F1017" s="7" t="s">
        <v>17</v>
      </c>
      <c r="G1017" s="7">
        <v>1543121</v>
      </c>
      <c r="H1017" s="7">
        <v>370</v>
      </c>
      <c r="I1017" s="7">
        <v>7</v>
      </c>
      <c r="J1017" s="7">
        <v>0</v>
      </c>
      <c r="K1017" s="7" t="s">
        <v>18</v>
      </c>
      <c r="L1017" s="8">
        <v>39891.213356481479</v>
      </c>
      <c r="M1017" s="9" t="s">
        <v>19</v>
      </c>
      <c r="N1017" s="9" t="s">
        <v>22</v>
      </c>
      <c r="O1017" s="6" t="str">
        <f>HYPERLINK("https://pbs.twimg.com/profile_images/988971255679324162/jrqiIYf__normal.jpg","View")</f>
        <v>View</v>
      </c>
      <c r="P1017" s="7"/>
    </row>
    <row r="1018" spans="1:16">
      <c r="A1018" s="3">
        <v>44009.611898148149</v>
      </c>
      <c r="B1018" s="4" t="str">
        <f>HYPERLINK("https://twitter.com/sergio_fajardo","@sergio_fajardo")</f>
        <v>@sergio_fajardo</v>
      </c>
      <c r="C1018" s="5" t="s">
        <v>16</v>
      </c>
      <c r="D1018" s="5" t="s">
        <v>1040</v>
      </c>
      <c r="E1018" s="6" t="str">
        <f>HYPERLINK("https://twitter.com/sergio_fajardo/status/1276805250712629249","1276805250712629249")</f>
        <v>1276805250712629249</v>
      </c>
      <c r="F1018" s="7" t="s">
        <v>17</v>
      </c>
      <c r="G1018" s="7">
        <v>1543118</v>
      </c>
      <c r="H1018" s="7">
        <v>370</v>
      </c>
      <c r="I1018" s="7">
        <v>7</v>
      </c>
      <c r="J1018" s="7">
        <v>0</v>
      </c>
      <c r="K1018" s="7" t="s">
        <v>18</v>
      </c>
      <c r="L1018" s="8">
        <v>39891.213356481479</v>
      </c>
      <c r="M1018" s="9" t="s">
        <v>19</v>
      </c>
      <c r="N1018" s="9" t="s">
        <v>22</v>
      </c>
      <c r="O1018" s="6" t="str">
        <f>HYPERLINK("https://pbs.twimg.com/profile_images/988971255679324162/jrqiIYf__normal.jpg","View")</f>
        <v>View</v>
      </c>
      <c r="P1018" s="7"/>
    </row>
    <row r="1019" spans="1:16">
      <c r="A1019" s="3">
        <v>44009.612766203703</v>
      </c>
      <c r="B1019" s="4" t="str">
        <f>HYPERLINK("https://twitter.com/sergio_fajardo","@sergio_fajardo")</f>
        <v>@sergio_fajardo</v>
      </c>
      <c r="C1019" s="5" t="s">
        <v>16</v>
      </c>
      <c r="D1019" s="5" t="s">
        <v>1041</v>
      </c>
      <c r="E1019" s="6" t="str">
        <f>HYPERLINK("https://twitter.com/sergio_fajardo/status/1276805565247893504","1276805565247893504")</f>
        <v>1276805565247893504</v>
      </c>
      <c r="F1019" s="7" t="s">
        <v>17</v>
      </c>
      <c r="G1019" s="7">
        <v>1543118</v>
      </c>
      <c r="H1019" s="7">
        <v>370</v>
      </c>
      <c r="I1019" s="7">
        <v>6</v>
      </c>
      <c r="J1019" s="7">
        <v>0</v>
      </c>
      <c r="K1019" s="7" t="s">
        <v>18</v>
      </c>
      <c r="L1019" s="8">
        <v>39891.213356481479</v>
      </c>
      <c r="M1019" s="9" t="s">
        <v>19</v>
      </c>
      <c r="N1019" s="9" t="s">
        <v>22</v>
      </c>
      <c r="O1019" s="6" t="str">
        <f>HYPERLINK("https://pbs.twimg.com/profile_images/988971255679324162/jrqiIYf__normal.jpg","View")</f>
        <v>View</v>
      </c>
      <c r="P1019" s="7"/>
    </row>
    <row r="1020" spans="1:16">
      <c r="A1020" s="3">
        <v>44009.613344907411</v>
      </c>
      <c r="B1020" s="4" t="str">
        <f>HYPERLINK("https://twitter.com/sergio_fajardo","@sergio_fajardo")</f>
        <v>@sergio_fajardo</v>
      </c>
      <c r="C1020" s="5" t="s">
        <v>16</v>
      </c>
      <c r="D1020" s="5" t="s">
        <v>1042</v>
      </c>
      <c r="E1020" s="6" t="str">
        <f>HYPERLINK("https://twitter.com/sergio_fajardo/status/1276805776556900352","1276805776556900352")</f>
        <v>1276805776556900352</v>
      </c>
      <c r="F1020" s="7" t="s">
        <v>17</v>
      </c>
      <c r="G1020" s="7">
        <v>1543118</v>
      </c>
      <c r="H1020" s="7">
        <v>370</v>
      </c>
      <c r="I1020" s="7">
        <v>1155</v>
      </c>
      <c r="J1020" s="7">
        <v>0</v>
      </c>
      <c r="K1020" s="7" t="s">
        <v>18</v>
      </c>
      <c r="L1020" s="8">
        <v>39891.213356481479</v>
      </c>
      <c r="M1020" s="9" t="s">
        <v>19</v>
      </c>
      <c r="N1020" s="9" t="s">
        <v>22</v>
      </c>
      <c r="O1020" s="6" t="str">
        <f>HYPERLINK("https://pbs.twimg.com/profile_images/988971255679324162/jrqiIYf__normal.jpg","View")</f>
        <v>View</v>
      </c>
      <c r="P1020" s="7"/>
    </row>
    <row r="1021" spans="1:16">
      <c r="A1021" s="3">
        <v>44009.867997685185</v>
      </c>
      <c r="B1021" s="4" t="str">
        <f>HYPERLINK("https://twitter.com/sergio_fajardo","@sergio_fajardo")</f>
        <v>@sergio_fajardo</v>
      </c>
      <c r="C1021" s="5" t="s">
        <v>16</v>
      </c>
      <c r="D1021" s="5" t="s">
        <v>1043</v>
      </c>
      <c r="E1021" s="6" t="str">
        <f>HYPERLINK("https://twitter.com/sergio_fajardo/status/1276898060417806337","1276898060417806337")</f>
        <v>1276898060417806337</v>
      </c>
      <c r="F1021" s="7" t="s">
        <v>17</v>
      </c>
      <c r="G1021" s="7">
        <v>1543127</v>
      </c>
      <c r="H1021" s="7">
        <v>370</v>
      </c>
      <c r="I1021" s="7">
        <v>54</v>
      </c>
      <c r="J1021" s="7">
        <v>141</v>
      </c>
      <c r="K1021" s="7" t="s">
        <v>18</v>
      </c>
      <c r="L1021" s="8">
        <v>39891.213356481479</v>
      </c>
      <c r="M1021" s="9" t="s">
        <v>19</v>
      </c>
      <c r="N1021" s="9" t="s">
        <v>22</v>
      </c>
      <c r="O1021" s="6" t="str">
        <f>HYPERLINK("https://pbs.twimg.com/profile_images/988971255679324162/jrqiIYf__normal.jpg","View")</f>
        <v>View</v>
      </c>
      <c r="P1021" s="7"/>
    </row>
    <row r="1022" spans="1:16">
      <c r="A1022" s="3">
        <v>44010.174085648148</v>
      </c>
      <c r="B1022" s="4" t="str">
        <f>HYPERLINK("https://twitter.com/sergio_fajardo","@sergio_fajardo")</f>
        <v>@sergio_fajardo</v>
      </c>
      <c r="C1022" s="5" t="s">
        <v>16</v>
      </c>
      <c r="D1022" s="5" t="s">
        <v>1044</v>
      </c>
      <c r="E1022" s="6" t="str">
        <f>HYPERLINK("https://twitter.com/sergio_fajardo/status/1277008982067027969","1277008982067027969")</f>
        <v>1277008982067027969</v>
      </c>
      <c r="F1022" s="7" t="s">
        <v>17</v>
      </c>
      <c r="G1022" s="7">
        <v>1543156</v>
      </c>
      <c r="H1022" s="7">
        <v>370</v>
      </c>
      <c r="I1022" s="7">
        <v>27</v>
      </c>
      <c r="J1022" s="7">
        <v>0</v>
      </c>
      <c r="K1022" s="7" t="s">
        <v>18</v>
      </c>
      <c r="L1022" s="8">
        <v>39891.213356481479</v>
      </c>
      <c r="M1022" s="9" t="s">
        <v>19</v>
      </c>
      <c r="N1022" s="9" t="s">
        <v>22</v>
      </c>
      <c r="O1022" s="6" t="str">
        <f>HYPERLINK("https://pbs.twimg.com/profile_images/988971255679324162/jrqiIYf__normal.jpg","View")</f>
        <v>View</v>
      </c>
      <c r="P1022" s="7"/>
    </row>
    <row r="1023" spans="1:16">
      <c r="A1023" s="3">
        <v>44010.182557870372</v>
      </c>
      <c r="B1023" s="4" t="str">
        <f>HYPERLINK("https://twitter.com/sergio_fajardo","@sergio_fajardo")</f>
        <v>@sergio_fajardo</v>
      </c>
      <c r="C1023" s="5" t="s">
        <v>16</v>
      </c>
      <c r="D1023" s="5" t="s">
        <v>1045</v>
      </c>
      <c r="E1023" s="6" t="str">
        <f>HYPERLINK("https://twitter.com/sergio_fajardo/status/1277012050317922304","1277012050317922304")</f>
        <v>1277012050317922304</v>
      </c>
      <c r="F1023" s="7" t="s">
        <v>17</v>
      </c>
      <c r="G1023" s="7">
        <v>1543156</v>
      </c>
      <c r="H1023" s="7">
        <v>370</v>
      </c>
      <c r="I1023" s="7">
        <v>7</v>
      </c>
      <c r="J1023" s="7">
        <v>17</v>
      </c>
      <c r="K1023" s="7" t="s">
        <v>18</v>
      </c>
      <c r="L1023" s="8">
        <v>39891.213356481479</v>
      </c>
      <c r="M1023" s="9" t="s">
        <v>19</v>
      </c>
      <c r="N1023" s="9" t="s">
        <v>22</v>
      </c>
      <c r="O1023" s="6" t="str">
        <f>HYPERLINK("https://pbs.twimg.com/profile_images/988971255679324162/jrqiIYf__normal.jpg","View")</f>
        <v>View</v>
      </c>
      <c r="P1023" s="7"/>
    </row>
    <row r="1024" spans="1:16">
      <c r="A1024" s="3">
        <v>44010.208796296298</v>
      </c>
      <c r="B1024" s="4" t="str">
        <f>HYPERLINK("https://twitter.com/sergio_fajardo","@sergio_fajardo")</f>
        <v>@sergio_fajardo</v>
      </c>
      <c r="C1024" s="5" t="s">
        <v>16</v>
      </c>
      <c r="D1024" s="5" t="s">
        <v>1046</v>
      </c>
      <c r="E1024" s="6" t="str">
        <f>HYPERLINK("https://twitter.com/sergio_fajardo/status/1277021559660650496","1277021559660650496")</f>
        <v>1277021559660650496</v>
      </c>
      <c r="F1024" s="7" t="s">
        <v>17</v>
      </c>
      <c r="G1024" s="7">
        <v>1543157</v>
      </c>
      <c r="H1024" s="7">
        <v>370</v>
      </c>
      <c r="I1024" s="7">
        <v>1</v>
      </c>
      <c r="J1024" s="7">
        <v>5</v>
      </c>
      <c r="K1024" s="7" t="s">
        <v>18</v>
      </c>
      <c r="L1024" s="8">
        <v>39891.213356481479</v>
      </c>
      <c r="M1024" s="9" t="s">
        <v>19</v>
      </c>
      <c r="N1024" s="9" t="s">
        <v>22</v>
      </c>
      <c r="O1024" s="6" t="str">
        <f>HYPERLINK("https://pbs.twimg.com/profile_images/988971255679324162/jrqiIYf__normal.jpg","View")</f>
        <v>View</v>
      </c>
      <c r="P1024" s="7"/>
    </row>
    <row r="1025" spans="1:16">
      <c r="A1025" s="3">
        <v>44010.224641203706</v>
      </c>
      <c r="B1025" s="4" t="str">
        <f>HYPERLINK("https://twitter.com/sergio_fajardo","@sergio_fajardo")</f>
        <v>@sergio_fajardo</v>
      </c>
      <c r="C1025" s="5" t="s">
        <v>16</v>
      </c>
      <c r="D1025" s="5" t="s">
        <v>1047</v>
      </c>
      <c r="E1025" s="6" t="str">
        <f>HYPERLINK("https://twitter.com/sergio_fajardo/status/1277027300333281281","1277027300333281281")</f>
        <v>1277027300333281281</v>
      </c>
      <c r="F1025" s="7" t="s">
        <v>17</v>
      </c>
      <c r="G1025" s="7">
        <v>1543154</v>
      </c>
      <c r="H1025" s="7">
        <v>370</v>
      </c>
      <c r="I1025" s="7">
        <v>4</v>
      </c>
      <c r="J1025" s="7">
        <v>26</v>
      </c>
      <c r="K1025" s="7" t="s">
        <v>18</v>
      </c>
      <c r="L1025" s="8">
        <v>39891.213356481479</v>
      </c>
      <c r="M1025" s="9" t="s">
        <v>19</v>
      </c>
      <c r="N1025" s="9" t="s">
        <v>22</v>
      </c>
      <c r="O1025" s="6" t="str">
        <f>HYPERLINK("https://pbs.twimg.com/profile_images/988971255679324162/jrqiIYf__normal.jpg","View")</f>
        <v>View</v>
      </c>
      <c r="P1025" s="7"/>
    </row>
    <row r="1026" spans="1:16">
      <c r="A1026" s="3">
        <v>44010.243611111116</v>
      </c>
      <c r="B1026" s="4" t="str">
        <f>HYPERLINK("https://twitter.com/sergio_fajardo","@sergio_fajardo")</f>
        <v>@sergio_fajardo</v>
      </c>
      <c r="C1026" s="5" t="s">
        <v>16</v>
      </c>
      <c r="D1026" s="5" t="s">
        <v>1048</v>
      </c>
      <c r="E1026" s="6" t="str">
        <f>HYPERLINK("https://twitter.com/sergio_fajardo/status/1277034176764612612","1277034176764612612")</f>
        <v>1277034176764612612</v>
      </c>
      <c r="F1026" s="7" t="s">
        <v>17</v>
      </c>
      <c r="G1026" s="7">
        <v>1543152</v>
      </c>
      <c r="H1026" s="7">
        <v>370</v>
      </c>
      <c r="I1026" s="7">
        <v>176</v>
      </c>
      <c r="J1026" s="7">
        <v>0</v>
      </c>
      <c r="K1026" s="7" t="s">
        <v>18</v>
      </c>
      <c r="L1026" s="8">
        <v>39891.213356481479</v>
      </c>
      <c r="M1026" s="9" t="s">
        <v>19</v>
      </c>
      <c r="N1026" s="9" t="s">
        <v>22</v>
      </c>
      <c r="O1026" s="6" t="str">
        <f>HYPERLINK("https://pbs.twimg.com/profile_images/988971255679324162/jrqiIYf__normal.jpg","View")</f>
        <v>View</v>
      </c>
      <c r="P1026" s="7"/>
    </row>
    <row r="1027" spans="1:16">
      <c r="A1027" s="3">
        <v>44010.252754629633</v>
      </c>
      <c r="B1027" s="4" t="str">
        <f>HYPERLINK("https://twitter.com/sergio_fajardo","@sergio_fajardo")</f>
        <v>@sergio_fajardo</v>
      </c>
      <c r="C1027" s="5" t="s">
        <v>16</v>
      </c>
      <c r="D1027" s="5" t="s">
        <v>1049</v>
      </c>
      <c r="E1027" s="6" t="str">
        <f>HYPERLINK("https://twitter.com/sergio_fajardo/status/1277037490550050818","1277037490550050818")</f>
        <v>1277037490550050818</v>
      </c>
      <c r="F1027" s="7" t="s">
        <v>17</v>
      </c>
      <c r="G1027" s="7">
        <v>1543157</v>
      </c>
      <c r="H1027" s="7">
        <v>370</v>
      </c>
      <c r="I1027" s="7">
        <v>50</v>
      </c>
      <c r="J1027" s="7">
        <v>0</v>
      </c>
      <c r="K1027" s="7" t="s">
        <v>18</v>
      </c>
      <c r="L1027" s="8">
        <v>39891.213356481479</v>
      </c>
      <c r="M1027" s="9" t="s">
        <v>19</v>
      </c>
      <c r="N1027" s="9" t="s">
        <v>22</v>
      </c>
      <c r="O1027" s="6" t="str">
        <f>HYPERLINK("https://pbs.twimg.com/profile_images/988971255679324162/jrqiIYf__normal.jpg","View")</f>
        <v>View</v>
      </c>
      <c r="P1027" s="7"/>
    </row>
    <row r="1028" spans="1:16">
      <c r="A1028" s="3">
        <v>44010.252847222218</v>
      </c>
      <c r="B1028" s="4" t="str">
        <f>HYPERLINK("https://twitter.com/sergio_fajardo","@sergio_fajardo")</f>
        <v>@sergio_fajardo</v>
      </c>
      <c r="C1028" s="5" t="s">
        <v>16</v>
      </c>
      <c r="D1028" s="5" t="s">
        <v>1050</v>
      </c>
      <c r="E1028" s="6" t="str">
        <f>HYPERLINK("https://twitter.com/sergio_fajardo/status/1277037522124779521","1277037522124779521")</f>
        <v>1277037522124779521</v>
      </c>
      <c r="F1028" s="7" t="s">
        <v>17</v>
      </c>
      <c r="G1028" s="7">
        <v>1543157</v>
      </c>
      <c r="H1028" s="7">
        <v>370</v>
      </c>
      <c r="I1028" s="7">
        <v>453</v>
      </c>
      <c r="J1028" s="7">
        <v>0</v>
      </c>
      <c r="K1028" s="7" t="s">
        <v>18</v>
      </c>
      <c r="L1028" s="8">
        <v>39891.213356481479</v>
      </c>
      <c r="M1028" s="9" t="s">
        <v>19</v>
      </c>
      <c r="N1028" s="9" t="s">
        <v>22</v>
      </c>
      <c r="O1028" s="6" t="str">
        <f>HYPERLINK("https://pbs.twimg.com/profile_images/988971255679324162/jrqiIYf__normal.jpg","View")</f>
        <v>View</v>
      </c>
      <c r="P1028" s="7"/>
    </row>
    <row r="1029" spans="1:16">
      <c r="A1029" s="3">
        <v>44010.372673611113</v>
      </c>
      <c r="B1029" s="4" t="str">
        <f>HYPERLINK("https://twitter.com/sergio_fajardo","@sergio_fajardo")</f>
        <v>@sergio_fajardo</v>
      </c>
      <c r="C1029" s="5" t="s">
        <v>16</v>
      </c>
      <c r="D1029" s="5" t="s">
        <v>1051</v>
      </c>
      <c r="E1029" s="6" t="str">
        <f>HYPERLINK("https://twitter.com/sergio_fajardo/status/1277080949159837697","1277080949159837697")</f>
        <v>1277080949159837697</v>
      </c>
      <c r="F1029" s="7" t="s">
        <v>17</v>
      </c>
      <c r="G1029" s="7">
        <v>1543182</v>
      </c>
      <c r="H1029" s="7">
        <v>370</v>
      </c>
      <c r="I1029" s="7">
        <v>18</v>
      </c>
      <c r="J1029" s="7">
        <v>0</v>
      </c>
      <c r="K1029" s="7" t="s">
        <v>18</v>
      </c>
      <c r="L1029" s="8">
        <v>39891.213356481479</v>
      </c>
      <c r="M1029" s="9" t="s">
        <v>19</v>
      </c>
      <c r="N1029" s="9" t="s">
        <v>22</v>
      </c>
      <c r="O1029" s="6" t="str">
        <f>HYPERLINK("https://pbs.twimg.com/profile_images/988971255679324162/jrqiIYf__normal.jpg","View")</f>
        <v>View</v>
      </c>
      <c r="P1029" s="7"/>
    </row>
    <row r="1030" spans="1:16">
      <c r="A1030" s="3">
        <v>44010.63490740741</v>
      </c>
      <c r="B1030" s="4" t="str">
        <f>HYPERLINK("https://twitter.com/sergio_fajardo","@sergio_fajardo")</f>
        <v>@sergio_fajardo</v>
      </c>
      <c r="C1030" s="5" t="s">
        <v>16</v>
      </c>
      <c r="D1030" s="5" t="s">
        <v>1052</v>
      </c>
      <c r="E1030" s="6" t="str">
        <f>HYPERLINK("https://twitter.com/sergio_fajardo/status/1277175975755816967","1277175975755816967")</f>
        <v>1277175975755816967</v>
      </c>
      <c r="F1030" s="7" t="s">
        <v>17</v>
      </c>
      <c r="G1030" s="7">
        <v>1543168</v>
      </c>
      <c r="H1030" s="7">
        <v>370</v>
      </c>
      <c r="I1030" s="7">
        <v>93</v>
      </c>
      <c r="J1030" s="7">
        <v>0</v>
      </c>
      <c r="K1030" s="7" t="s">
        <v>18</v>
      </c>
      <c r="L1030" s="8">
        <v>39891.213356481479</v>
      </c>
      <c r="M1030" s="9" t="s">
        <v>19</v>
      </c>
      <c r="N1030" s="9" t="s">
        <v>22</v>
      </c>
      <c r="O1030" s="6" t="str">
        <f>HYPERLINK("https://pbs.twimg.com/profile_images/988971255679324162/jrqiIYf__normal.jpg","View")</f>
        <v>View</v>
      </c>
      <c r="P1030" s="7"/>
    </row>
    <row r="1031" spans="1:16">
      <c r="A1031" s="3">
        <v>44010.635138888887</v>
      </c>
      <c r="B1031" s="4" t="str">
        <f>HYPERLINK("https://twitter.com/sergio_fajardo","@sergio_fajardo")</f>
        <v>@sergio_fajardo</v>
      </c>
      <c r="C1031" s="5" t="s">
        <v>16</v>
      </c>
      <c r="D1031" s="5" t="s">
        <v>1053</v>
      </c>
      <c r="E1031" s="6" t="str">
        <f>HYPERLINK("https://twitter.com/sergio_fajardo/status/1277176062770909184","1277176062770909184")</f>
        <v>1277176062770909184</v>
      </c>
      <c r="F1031" s="7" t="s">
        <v>17</v>
      </c>
      <c r="G1031" s="7">
        <v>1543168</v>
      </c>
      <c r="H1031" s="7">
        <v>370</v>
      </c>
      <c r="I1031" s="7">
        <v>55</v>
      </c>
      <c r="J1031" s="7">
        <v>0</v>
      </c>
      <c r="K1031" s="7" t="s">
        <v>18</v>
      </c>
      <c r="L1031" s="8">
        <v>39891.213356481479</v>
      </c>
      <c r="M1031" s="9" t="s">
        <v>19</v>
      </c>
      <c r="N1031" s="9" t="s">
        <v>22</v>
      </c>
      <c r="O1031" s="6" t="str">
        <f>HYPERLINK("https://pbs.twimg.com/profile_images/988971255679324162/jrqiIYf__normal.jpg","View")</f>
        <v>View</v>
      </c>
      <c r="P1031" s="7"/>
    </row>
    <row r="1032" spans="1:16">
      <c r="A1032" s="3">
        <v>44010.72724537037</v>
      </c>
      <c r="B1032" s="4" t="str">
        <f>HYPERLINK("https://twitter.com/sergio_fajardo","@sergio_fajardo")</f>
        <v>@sergio_fajardo</v>
      </c>
      <c r="C1032" s="5" t="s">
        <v>16</v>
      </c>
      <c r="D1032" s="5" t="s">
        <v>1054</v>
      </c>
      <c r="E1032" s="6" t="str">
        <f>HYPERLINK("https://twitter.com/sergio_fajardo/status/1277209441855733760","1277209441855733760")</f>
        <v>1277209441855733760</v>
      </c>
      <c r="F1032" s="7" t="s">
        <v>17</v>
      </c>
      <c r="G1032" s="7">
        <v>1543159</v>
      </c>
      <c r="H1032" s="7">
        <v>370</v>
      </c>
      <c r="I1032" s="7">
        <v>21</v>
      </c>
      <c r="J1032" s="7">
        <v>0</v>
      </c>
      <c r="K1032" s="7" t="s">
        <v>18</v>
      </c>
      <c r="L1032" s="8">
        <v>39891.213356481479</v>
      </c>
      <c r="M1032" s="9" t="s">
        <v>19</v>
      </c>
      <c r="N1032" s="9" t="s">
        <v>22</v>
      </c>
      <c r="O1032" s="6" t="str">
        <f>HYPERLINK("https://pbs.twimg.com/profile_images/988971255679324162/jrqiIYf__normal.jpg","View")</f>
        <v>View</v>
      </c>
      <c r="P1032" s="7"/>
    </row>
    <row r="1033" spans="1:16">
      <c r="A1033" s="3">
        <v>44010.730231481481</v>
      </c>
      <c r="B1033" s="4" t="str">
        <f>HYPERLINK("https://twitter.com/sergio_fajardo","@sergio_fajardo")</f>
        <v>@sergio_fajardo</v>
      </c>
      <c r="C1033" s="5" t="s">
        <v>16</v>
      </c>
      <c r="D1033" s="5" t="s">
        <v>1055</v>
      </c>
      <c r="E1033" s="6" t="str">
        <f>HYPERLINK("https://twitter.com/sergio_fajardo/status/1277210519921922048","1277210519921922048")</f>
        <v>1277210519921922048</v>
      </c>
      <c r="F1033" s="7" t="s">
        <v>17</v>
      </c>
      <c r="G1033" s="7">
        <v>1543159</v>
      </c>
      <c r="H1033" s="7">
        <v>370</v>
      </c>
      <c r="I1033" s="7">
        <v>2</v>
      </c>
      <c r="J1033" s="7">
        <v>4</v>
      </c>
      <c r="K1033" s="7" t="s">
        <v>18</v>
      </c>
      <c r="L1033" s="8">
        <v>39891.213356481479</v>
      </c>
      <c r="M1033" s="9" t="s">
        <v>19</v>
      </c>
      <c r="N1033" s="9" t="s">
        <v>22</v>
      </c>
      <c r="O1033" s="6" t="str">
        <f>HYPERLINK("https://pbs.twimg.com/profile_images/988971255679324162/jrqiIYf__normal.jpg","View")</f>
        <v>View</v>
      </c>
      <c r="P1033" s="7"/>
    </row>
    <row r="1034" spans="1:16">
      <c r="A1034" s="3">
        <v>44010.733726851853</v>
      </c>
      <c r="B1034" s="4" t="str">
        <f>HYPERLINK("https://twitter.com/sergio_fajardo","@sergio_fajardo")</f>
        <v>@sergio_fajardo</v>
      </c>
      <c r="C1034" s="5" t="s">
        <v>16</v>
      </c>
      <c r="D1034" s="5" t="s">
        <v>1056</v>
      </c>
      <c r="E1034" s="6" t="str">
        <f>HYPERLINK("https://twitter.com/sergio_fajardo/status/1277211790540226560","1277211790540226560")</f>
        <v>1277211790540226560</v>
      </c>
      <c r="F1034" s="7" t="s">
        <v>17</v>
      </c>
      <c r="G1034" s="7">
        <v>1543154</v>
      </c>
      <c r="H1034" s="7">
        <v>370</v>
      </c>
      <c r="I1034" s="7">
        <v>7</v>
      </c>
      <c r="J1034" s="7">
        <v>0</v>
      </c>
      <c r="K1034" s="7" t="s">
        <v>18</v>
      </c>
      <c r="L1034" s="8">
        <v>39891.213356481479</v>
      </c>
      <c r="M1034" s="9" t="s">
        <v>19</v>
      </c>
      <c r="N1034" s="9" t="s">
        <v>22</v>
      </c>
      <c r="O1034" s="6" t="str">
        <f>HYPERLINK("https://pbs.twimg.com/profile_images/988971255679324162/jrqiIYf__normal.jpg","View")</f>
        <v>View</v>
      </c>
      <c r="P1034" s="7"/>
    </row>
    <row r="1035" spans="1:16">
      <c r="A1035" s="3">
        <v>44010.733877314815</v>
      </c>
      <c r="B1035" s="4" t="str">
        <f>HYPERLINK("https://twitter.com/sergio_fajardo","@sergio_fajardo")</f>
        <v>@sergio_fajardo</v>
      </c>
      <c r="C1035" s="5" t="s">
        <v>16</v>
      </c>
      <c r="D1035" s="5" t="s">
        <v>1057</v>
      </c>
      <c r="E1035" s="6" t="str">
        <f>HYPERLINK("https://twitter.com/sergio_fajardo/status/1277211843128430592","1277211843128430592")</f>
        <v>1277211843128430592</v>
      </c>
      <c r="F1035" s="7" t="s">
        <v>17</v>
      </c>
      <c r="G1035" s="7">
        <v>1543154</v>
      </c>
      <c r="H1035" s="7">
        <v>370</v>
      </c>
      <c r="I1035" s="7">
        <v>7</v>
      </c>
      <c r="J1035" s="7">
        <v>0</v>
      </c>
      <c r="K1035" s="7" t="s">
        <v>18</v>
      </c>
      <c r="L1035" s="8">
        <v>39891.213356481479</v>
      </c>
      <c r="M1035" s="9" t="s">
        <v>19</v>
      </c>
      <c r="N1035" s="9" t="s">
        <v>22</v>
      </c>
      <c r="O1035" s="6" t="str">
        <f>HYPERLINK("https://pbs.twimg.com/profile_images/988971255679324162/jrqiIYf__normal.jpg","View")</f>
        <v>View</v>
      </c>
      <c r="P1035" s="7"/>
    </row>
    <row r="1036" spans="1:16">
      <c r="A1036" s="3">
        <v>44010.739872685182</v>
      </c>
      <c r="B1036" s="4" t="str">
        <f>HYPERLINK("https://twitter.com/sergio_fajardo","@sergio_fajardo")</f>
        <v>@sergio_fajardo</v>
      </c>
      <c r="C1036" s="5" t="s">
        <v>16</v>
      </c>
      <c r="D1036" s="5" t="s">
        <v>1058</v>
      </c>
      <c r="E1036" s="6" t="str">
        <f>HYPERLINK("https://twitter.com/sergio_fajardo/status/1277214017275248641","1277214017275248641")</f>
        <v>1277214017275248641</v>
      </c>
      <c r="F1036" s="7" t="s">
        <v>17</v>
      </c>
      <c r="G1036" s="7">
        <v>1543154</v>
      </c>
      <c r="H1036" s="7">
        <v>370</v>
      </c>
      <c r="I1036" s="7">
        <v>1</v>
      </c>
      <c r="J1036" s="7">
        <v>4</v>
      </c>
      <c r="K1036" s="7" t="s">
        <v>18</v>
      </c>
      <c r="L1036" s="8">
        <v>39891.213356481479</v>
      </c>
      <c r="M1036" s="9" t="s">
        <v>19</v>
      </c>
      <c r="N1036" s="9" t="s">
        <v>22</v>
      </c>
      <c r="O1036" s="6" t="str">
        <f>HYPERLINK("https://pbs.twimg.com/profile_images/988971255679324162/jrqiIYf__normal.jpg","View")</f>
        <v>View</v>
      </c>
      <c r="P1036" s="7"/>
    </row>
    <row r="1037" spans="1:16">
      <c r="A1037" s="3">
        <v>44010.742592592593</v>
      </c>
      <c r="B1037" s="4" t="str">
        <f>HYPERLINK("https://twitter.com/sergio_fajardo","@sergio_fajardo")</f>
        <v>@sergio_fajardo</v>
      </c>
      <c r="C1037" s="5" t="s">
        <v>16</v>
      </c>
      <c r="D1037" s="5" t="s">
        <v>1059</v>
      </c>
      <c r="E1037" s="6" t="str">
        <f>HYPERLINK("https://twitter.com/sergio_fajardo/status/1277215002806693888","1277215002806693888")</f>
        <v>1277215002806693888</v>
      </c>
      <c r="F1037" s="7" t="s">
        <v>17</v>
      </c>
      <c r="G1037" s="7">
        <v>1543154</v>
      </c>
      <c r="H1037" s="7">
        <v>370</v>
      </c>
      <c r="I1037" s="7">
        <v>4</v>
      </c>
      <c r="J1037" s="7">
        <v>0</v>
      </c>
      <c r="K1037" s="7" t="s">
        <v>18</v>
      </c>
      <c r="L1037" s="8">
        <v>39891.213356481479</v>
      </c>
      <c r="M1037" s="9" t="s">
        <v>19</v>
      </c>
      <c r="N1037" s="9" t="s">
        <v>22</v>
      </c>
      <c r="O1037" s="6" t="str">
        <f>HYPERLINK("https://pbs.twimg.com/profile_images/988971255679324162/jrqiIYf__normal.jpg","View")</f>
        <v>View</v>
      </c>
      <c r="P1037" s="7"/>
    </row>
    <row r="1038" spans="1:16">
      <c r="A1038" s="3">
        <v>44010.748414351852</v>
      </c>
      <c r="B1038" s="4" t="str">
        <f>HYPERLINK("https://twitter.com/sergio_fajardo","@sergio_fajardo")</f>
        <v>@sergio_fajardo</v>
      </c>
      <c r="C1038" s="5" t="s">
        <v>16</v>
      </c>
      <c r="D1038" s="5" t="s">
        <v>1060</v>
      </c>
      <c r="E1038" s="6" t="str">
        <f>HYPERLINK("https://twitter.com/sergio_fajardo/status/1277217110704316420","1277217110704316420")</f>
        <v>1277217110704316420</v>
      </c>
      <c r="F1038" s="7" t="s">
        <v>17</v>
      </c>
      <c r="G1038" s="7">
        <v>1543154</v>
      </c>
      <c r="H1038" s="7">
        <v>370</v>
      </c>
      <c r="I1038" s="7">
        <v>4</v>
      </c>
      <c r="J1038" s="7">
        <v>0</v>
      </c>
      <c r="K1038" s="7" t="s">
        <v>18</v>
      </c>
      <c r="L1038" s="8">
        <v>39891.213356481479</v>
      </c>
      <c r="M1038" s="9" t="s">
        <v>19</v>
      </c>
      <c r="N1038" s="9" t="s">
        <v>22</v>
      </c>
      <c r="O1038" s="6" t="str">
        <f>HYPERLINK("https://pbs.twimg.com/profile_images/988971255679324162/jrqiIYf__normal.jpg","View")</f>
        <v>View</v>
      </c>
      <c r="P1038" s="7"/>
    </row>
    <row r="1039" spans="1:16">
      <c r="A1039" s="3">
        <v>44010.791747685187</v>
      </c>
      <c r="B1039" s="4" t="str">
        <f>HYPERLINK("https://twitter.com/sergio_fajardo","@sergio_fajardo")</f>
        <v>@sergio_fajardo</v>
      </c>
      <c r="C1039" s="5" t="s">
        <v>16</v>
      </c>
      <c r="D1039" s="5" t="s">
        <v>1061</v>
      </c>
      <c r="E1039" s="6" t="str">
        <f>HYPERLINK("https://twitter.com/sergio_fajardo/status/1277232816238088192","1277232816238088192")</f>
        <v>1277232816238088192</v>
      </c>
      <c r="F1039" s="7" t="s">
        <v>17</v>
      </c>
      <c r="G1039" s="7">
        <v>1543166</v>
      </c>
      <c r="H1039" s="7">
        <v>370</v>
      </c>
      <c r="I1039" s="7">
        <v>2</v>
      </c>
      <c r="J1039" s="7">
        <v>5</v>
      </c>
      <c r="K1039" s="7" t="s">
        <v>18</v>
      </c>
      <c r="L1039" s="8">
        <v>39891.213356481479</v>
      </c>
      <c r="M1039" s="9" t="s">
        <v>19</v>
      </c>
      <c r="N1039" s="9" t="s">
        <v>22</v>
      </c>
      <c r="O1039" s="6" t="str">
        <f>HYPERLINK("https://pbs.twimg.com/profile_images/988971255679324162/jrqiIYf__normal.jpg","View")</f>
        <v>View</v>
      </c>
      <c r="P1039" s="7"/>
    </row>
    <row r="1040" spans="1:16">
      <c r="A1040" s="3">
        <v>44011.002187499995</v>
      </c>
      <c r="B1040" s="4" t="str">
        <f>HYPERLINK("https://twitter.com/sergio_fajardo","@sergio_fajardo")</f>
        <v>@sergio_fajardo</v>
      </c>
      <c r="C1040" s="5" t="s">
        <v>16</v>
      </c>
      <c r="D1040" s="5" t="s">
        <v>1062</v>
      </c>
      <c r="E1040" s="6" t="str">
        <f>HYPERLINK("https://twitter.com/sergio_fajardo/status/1277309073986371586","1277309073986371586")</f>
        <v>1277309073986371586</v>
      </c>
      <c r="F1040" s="7" t="s">
        <v>17</v>
      </c>
      <c r="G1040" s="7">
        <v>1543215</v>
      </c>
      <c r="H1040" s="7">
        <v>370</v>
      </c>
      <c r="I1040" s="7">
        <v>21</v>
      </c>
      <c r="J1040" s="7">
        <v>0</v>
      </c>
      <c r="K1040" s="7" t="s">
        <v>18</v>
      </c>
      <c r="L1040" s="8">
        <v>39891.213356481479</v>
      </c>
      <c r="M1040" s="9" t="s">
        <v>19</v>
      </c>
      <c r="N1040" s="9" t="s">
        <v>22</v>
      </c>
      <c r="O1040" s="6" t="str">
        <f>HYPERLINK("https://pbs.twimg.com/profile_images/988971255679324162/jrqiIYf__normal.jpg","View")</f>
        <v>View</v>
      </c>
      <c r="P1040" s="7"/>
    </row>
    <row r="1041" spans="1:16">
      <c r="A1041" s="3">
        <v>44011.234282407408</v>
      </c>
      <c r="B1041" s="4" t="str">
        <f>HYPERLINK("https://twitter.com/sergio_fajardo","@sergio_fajardo")</f>
        <v>@sergio_fajardo</v>
      </c>
      <c r="C1041" s="5" t="s">
        <v>16</v>
      </c>
      <c r="D1041" s="5" t="s">
        <v>1063</v>
      </c>
      <c r="E1041" s="6" t="str">
        <f>HYPERLINK("https://twitter.com/sergio_fajardo/status/1277393183127863297","1277393183127863297")</f>
        <v>1277393183127863297</v>
      </c>
      <c r="F1041" s="7" t="s">
        <v>17</v>
      </c>
      <c r="G1041" s="7">
        <v>1543270</v>
      </c>
      <c r="H1041" s="7">
        <v>370</v>
      </c>
      <c r="I1041" s="7">
        <v>6</v>
      </c>
      <c r="J1041" s="7">
        <v>0</v>
      </c>
      <c r="K1041" s="7" t="s">
        <v>18</v>
      </c>
      <c r="L1041" s="8">
        <v>39891.213356481479</v>
      </c>
      <c r="M1041" s="9" t="s">
        <v>19</v>
      </c>
      <c r="N1041" s="9" t="s">
        <v>22</v>
      </c>
      <c r="O1041" s="6" t="str">
        <f>HYPERLINK("https://pbs.twimg.com/profile_images/988971255679324162/jrqiIYf__normal.jpg","View")</f>
        <v>View</v>
      </c>
      <c r="P1041" s="7"/>
    </row>
    <row r="1042" spans="1:16">
      <c r="A1042" s="3">
        <v>44011.234398148154</v>
      </c>
      <c r="B1042" s="4" t="str">
        <f>HYPERLINK("https://twitter.com/sergio_fajardo","@sergio_fajardo")</f>
        <v>@sergio_fajardo</v>
      </c>
      <c r="C1042" s="5" t="s">
        <v>16</v>
      </c>
      <c r="D1042" s="5" t="s">
        <v>1064</v>
      </c>
      <c r="E1042" s="6" t="str">
        <f>HYPERLINK("https://twitter.com/sergio_fajardo/status/1277393226689925126","1277393226689925126")</f>
        <v>1277393226689925126</v>
      </c>
      <c r="F1042" s="7" t="s">
        <v>17</v>
      </c>
      <c r="G1042" s="7">
        <v>1543270</v>
      </c>
      <c r="H1042" s="7">
        <v>370</v>
      </c>
      <c r="I1042" s="7">
        <v>11</v>
      </c>
      <c r="J1042" s="7">
        <v>0</v>
      </c>
      <c r="K1042" s="7" t="s">
        <v>18</v>
      </c>
      <c r="L1042" s="8">
        <v>39891.213356481479</v>
      </c>
      <c r="M1042" s="9" t="s">
        <v>19</v>
      </c>
      <c r="N1042" s="9" t="s">
        <v>22</v>
      </c>
      <c r="O1042" s="6" t="str">
        <f>HYPERLINK("https://pbs.twimg.com/profile_images/988971255679324162/jrqiIYf__normal.jpg","View")</f>
        <v>View</v>
      </c>
      <c r="P1042" s="7"/>
    </row>
    <row r="1043" spans="1:16">
      <c r="A1043" s="3">
        <v>44011.879988425921</v>
      </c>
      <c r="B1043" s="4" t="str">
        <f>HYPERLINK("https://twitter.com/sergio_fajardo","@sergio_fajardo")</f>
        <v>@sergio_fajardo</v>
      </c>
      <c r="C1043" s="5" t="s">
        <v>16</v>
      </c>
      <c r="D1043" s="5" t="s">
        <v>1065</v>
      </c>
      <c r="E1043" s="6" t="str">
        <f>HYPERLINK("https://twitter.com/sergio_fajardo/status/1277627180810473472","1277627180810473472")</f>
        <v>1277627180810473472</v>
      </c>
      <c r="F1043" s="7" t="s">
        <v>17</v>
      </c>
      <c r="G1043" s="7">
        <v>1543355</v>
      </c>
      <c r="H1043" s="7">
        <v>370</v>
      </c>
      <c r="I1043" s="7">
        <v>112</v>
      </c>
      <c r="J1043" s="7">
        <v>0</v>
      </c>
      <c r="K1043" s="7" t="s">
        <v>18</v>
      </c>
      <c r="L1043" s="8">
        <v>39891.213356481479</v>
      </c>
      <c r="M1043" s="9" t="s">
        <v>19</v>
      </c>
      <c r="N1043" s="9" t="s">
        <v>22</v>
      </c>
      <c r="O1043" s="6" t="str">
        <f>HYPERLINK("https://pbs.twimg.com/profile_images/988971255679324162/jrqiIYf__normal.jpg","View")</f>
        <v>View</v>
      </c>
      <c r="P1043" s="7"/>
    </row>
    <row r="1044" spans="1:16">
      <c r="A1044" s="3">
        <v>44012.233460648145</v>
      </c>
      <c r="B1044" s="4" t="str">
        <f>HYPERLINK("https://twitter.com/sergio_fajardo","@sergio_fajardo")</f>
        <v>@sergio_fajardo</v>
      </c>
      <c r="C1044" s="5" t="s">
        <v>16</v>
      </c>
      <c r="D1044" s="5" t="s">
        <v>1066</v>
      </c>
      <c r="E1044" s="6" t="str">
        <f>HYPERLINK("https://twitter.com/sergio_fajardo/status/1277755272912613376","1277755272912613376")</f>
        <v>1277755272912613376</v>
      </c>
      <c r="F1044" s="7" t="s">
        <v>17</v>
      </c>
      <c r="G1044" s="7">
        <v>1543406</v>
      </c>
      <c r="H1044" s="7">
        <v>370</v>
      </c>
      <c r="I1044" s="7">
        <v>16</v>
      </c>
      <c r="J1044" s="7">
        <v>0</v>
      </c>
      <c r="K1044" s="7" t="s">
        <v>18</v>
      </c>
      <c r="L1044" s="8">
        <v>39891.213356481479</v>
      </c>
      <c r="M1044" s="9" t="s">
        <v>19</v>
      </c>
      <c r="N1044" s="9" t="s">
        <v>22</v>
      </c>
      <c r="O1044" s="6" t="str">
        <f>HYPERLINK("https://pbs.twimg.com/profile_images/988971255679324162/jrqiIYf__normal.jpg","View")</f>
        <v>View</v>
      </c>
      <c r="P1044" s="7"/>
    </row>
    <row r="1045" spans="1:16">
      <c r="A1045" s="3">
        <v>44012.240601851852</v>
      </c>
      <c r="B1045" s="4" t="str">
        <f>HYPERLINK("https://twitter.com/sergio_fajardo","@sergio_fajardo")</f>
        <v>@sergio_fajardo</v>
      </c>
      <c r="C1045" s="5" t="s">
        <v>16</v>
      </c>
      <c r="D1045" s="5" t="s">
        <v>1067</v>
      </c>
      <c r="E1045" s="6" t="str">
        <f>HYPERLINK("https://twitter.com/sergio_fajardo/status/1277757862731812866","1277757862731812866")</f>
        <v>1277757862731812866</v>
      </c>
      <c r="F1045" s="7" t="s">
        <v>17</v>
      </c>
      <c r="G1045" s="7">
        <v>1543406</v>
      </c>
      <c r="H1045" s="7">
        <v>370</v>
      </c>
      <c r="I1045" s="7">
        <v>8</v>
      </c>
      <c r="J1045" s="7">
        <v>0</v>
      </c>
      <c r="K1045" s="7" t="s">
        <v>18</v>
      </c>
      <c r="L1045" s="8">
        <v>39891.213356481479</v>
      </c>
      <c r="M1045" s="9" t="s">
        <v>19</v>
      </c>
      <c r="N1045" s="9" t="s">
        <v>22</v>
      </c>
      <c r="O1045" s="6" t="str">
        <f>HYPERLINK("https://pbs.twimg.com/profile_images/988971255679324162/jrqiIYf__normal.jpg","View")</f>
        <v>View</v>
      </c>
      <c r="P1045" s="7"/>
    </row>
    <row r="1046" spans="1:16">
      <c r="A1046" s="3">
        <v>44012.252187499995</v>
      </c>
      <c r="B1046" s="4" t="str">
        <f>HYPERLINK("https://twitter.com/sergio_fajardo","@sergio_fajardo")</f>
        <v>@sergio_fajardo</v>
      </c>
      <c r="C1046" s="5" t="s">
        <v>16</v>
      </c>
      <c r="D1046" s="5" t="s">
        <v>1068</v>
      </c>
      <c r="E1046" s="6" t="str">
        <f>HYPERLINK("https://twitter.com/sergio_fajardo/status/1277762058474467329","1277762058474467329")</f>
        <v>1277762058474467329</v>
      </c>
      <c r="F1046" s="7" t="s">
        <v>17</v>
      </c>
      <c r="G1046" s="7">
        <v>1543408</v>
      </c>
      <c r="H1046" s="7">
        <v>370</v>
      </c>
      <c r="I1046" s="7">
        <v>366</v>
      </c>
      <c r="J1046" s="7">
        <v>0</v>
      </c>
      <c r="K1046" s="7" t="s">
        <v>18</v>
      </c>
      <c r="L1046" s="8">
        <v>39891.213356481479</v>
      </c>
      <c r="M1046" s="9" t="s">
        <v>19</v>
      </c>
      <c r="N1046" s="9" t="s">
        <v>22</v>
      </c>
      <c r="O1046" s="6" t="str">
        <f>HYPERLINK("https://pbs.twimg.com/profile_images/988971255679324162/jrqiIYf__normal.jpg","View")</f>
        <v>View</v>
      </c>
      <c r="P1046" s="7"/>
    </row>
    <row r="1047" spans="1:16">
      <c r="A1047" s="3">
        <v>44012.838171296295</v>
      </c>
      <c r="B1047" s="4" t="str">
        <f>HYPERLINK("https://twitter.com/sergio_fajardo","@sergio_fajardo")</f>
        <v>@sergio_fajardo</v>
      </c>
      <c r="C1047" s="5" t="s">
        <v>16</v>
      </c>
      <c r="D1047" s="5" t="s">
        <v>1069</v>
      </c>
      <c r="E1047" s="6" t="str">
        <f>HYPERLINK("https://twitter.com/sergio_fajardo/status/1277974411992117249","1277974411992117249")</f>
        <v>1277974411992117249</v>
      </c>
      <c r="F1047" s="7" t="s">
        <v>17</v>
      </c>
      <c r="G1047" s="7">
        <v>1543443</v>
      </c>
      <c r="H1047" s="7">
        <v>370</v>
      </c>
      <c r="I1047" s="7">
        <v>287</v>
      </c>
      <c r="J1047" s="7">
        <v>0</v>
      </c>
      <c r="K1047" s="7" t="s">
        <v>18</v>
      </c>
      <c r="L1047" s="8">
        <v>39891.213356481479</v>
      </c>
      <c r="M1047" s="9" t="s">
        <v>19</v>
      </c>
      <c r="N1047" s="9" t="s">
        <v>22</v>
      </c>
      <c r="O1047" s="6" t="str">
        <f>HYPERLINK("https://pbs.twimg.com/profile_images/988971255679324162/jrqiIYf__normal.jpg","View")</f>
        <v>View</v>
      </c>
      <c r="P1047" s="7"/>
    </row>
    <row r="1048" spans="1:16">
      <c r="A1048" s="3">
        <v>44012.863425925927</v>
      </c>
      <c r="B1048" s="4" t="str">
        <f>HYPERLINK("https://twitter.com/sergio_fajardo","@sergio_fajardo")</f>
        <v>@sergio_fajardo</v>
      </c>
      <c r="C1048" s="5" t="s">
        <v>16</v>
      </c>
      <c r="D1048" s="5" t="s">
        <v>1070</v>
      </c>
      <c r="E1048" s="6" t="str">
        <f>HYPERLINK("https://twitter.com/sergio_fajardo/status/1277983565607731200","1277983565607731200")</f>
        <v>1277983565607731200</v>
      </c>
      <c r="F1048" s="7" t="s">
        <v>17</v>
      </c>
      <c r="G1048" s="7">
        <v>1543422</v>
      </c>
      <c r="H1048" s="7">
        <v>370</v>
      </c>
      <c r="I1048" s="7">
        <v>4</v>
      </c>
      <c r="J1048" s="7">
        <v>0</v>
      </c>
      <c r="K1048" s="7" t="s">
        <v>18</v>
      </c>
      <c r="L1048" s="8">
        <v>39891.213356481479</v>
      </c>
      <c r="M1048" s="9" t="s">
        <v>19</v>
      </c>
      <c r="N1048" s="9" t="s">
        <v>22</v>
      </c>
      <c r="O1048" s="6" t="str">
        <f>HYPERLINK("https://pbs.twimg.com/profile_images/988971255679324162/jrqiIYf__normal.jpg","View")</f>
        <v>View</v>
      </c>
      <c r="P1048" s="7"/>
    </row>
    <row r="1049" spans="1:16">
      <c r="A1049" s="3">
        <v>44012.88449074074</v>
      </c>
      <c r="B1049" s="4" t="str">
        <f>HYPERLINK("https://twitter.com/sergio_fajardo","@sergio_fajardo")</f>
        <v>@sergio_fajardo</v>
      </c>
      <c r="C1049" s="5" t="s">
        <v>16</v>
      </c>
      <c r="D1049" s="5" t="s">
        <v>1071</v>
      </c>
      <c r="E1049" s="6" t="str">
        <f>HYPERLINK("https://twitter.com/sergio_fajardo/status/1277991199446577152","1277991199446577152")</f>
        <v>1277991199446577152</v>
      </c>
      <c r="F1049" s="7" t="s">
        <v>17</v>
      </c>
      <c r="G1049" s="7">
        <v>1543425</v>
      </c>
      <c r="H1049" s="7">
        <v>370</v>
      </c>
      <c r="I1049" s="7">
        <v>121</v>
      </c>
      <c r="J1049" s="7">
        <v>0</v>
      </c>
      <c r="K1049" s="7" t="s">
        <v>18</v>
      </c>
      <c r="L1049" s="8">
        <v>39891.213356481479</v>
      </c>
      <c r="M1049" s="9" t="s">
        <v>19</v>
      </c>
      <c r="N1049" s="9" t="s">
        <v>22</v>
      </c>
      <c r="O1049" s="6" t="str">
        <f>HYPERLINK("https://pbs.twimg.com/profile_images/988971255679324162/jrqiIYf__normal.jpg","View")</f>
        <v>View</v>
      </c>
      <c r="P1049" s="7"/>
    </row>
    <row r="1050" spans="1:16">
      <c r="A1050" s="3">
        <v>44012.884884259256</v>
      </c>
      <c r="B1050" s="4" t="str">
        <f>HYPERLINK("https://twitter.com/sergio_fajardo","@sergio_fajardo")</f>
        <v>@sergio_fajardo</v>
      </c>
      <c r="C1050" s="5" t="s">
        <v>16</v>
      </c>
      <c r="D1050" s="5" t="s">
        <v>1072</v>
      </c>
      <c r="E1050" s="6" t="str">
        <f>HYPERLINK("https://twitter.com/sergio_fajardo/status/1277991343114067970","1277991343114067970")</f>
        <v>1277991343114067970</v>
      </c>
      <c r="F1050" s="7" t="s">
        <v>17</v>
      </c>
      <c r="G1050" s="7">
        <v>1543425</v>
      </c>
      <c r="H1050" s="7">
        <v>370</v>
      </c>
      <c r="I1050" s="7">
        <v>11</v>
      </c>
      <c r="J1050" s="7">
        <v>0</v>
      </c>
      <c r="K1050" s="7" t="s">
        <v>18</v>
      </c>
      <c r="L1050" s="8">
        <v>39891.213356481479</v>
      </c>
      <c r="M1050" s="9" t="s">
        <v>19</v>
      </c>
      <c r="N1050" s="9" t="s">
        <v>22</v>
      </c>
      <c r="O1050" s="6" t="str">
        <f>HYPERLINK("https://pbs.twimg.com/profile_images/988971255679324162/jrqiIYf__normal.jpg","View")</f>
        <v>View</v>
      </c>
      <c r="P1050" s="7"/>
    </row>
    <row r="1051" spans="1:16">
      <c r="A1051" s="3">
        <v>44012.885844907403</v>
      </c>
      <c r="B1051" s="4" t="str">
        <f>HYPERLINK("https://twitter.com/sergio_fajardo","@sergio_fajardo")</f>
        <v>@sergio_fajardo</v>
      </c>
      <c r="C1051" s="5" t="s">
        <v>16</v>
      </c>
      <c r="D1051" s="5" t="s">
        <v>1073</v>
      </c>
      <c r="E1051" s="6" t="str">
        <f>HYPERLINK("https://twitter.com/sergio_fajardo/status/1277991692055056385","1277991692055056385")</f>
        <v>1277991692055056385</v>
      </c>
      <c r="F1051" s="7" t="s">
        <v>17</v>
      </c>
      <c r="G1051" s="7">
        <v>1543425</v>
      </c>
      <c r="H1051" s="7">
        <v>370</v>
      </c>
      <c r="I1051" s="7">
        <v>13</v>
      </c>
      <c r="J1051" s="7">
        <v>0</v>
      </c>
      <c r="K1051" s="7" t="s">
        <v>18</v>
      </c>
      <c r="L1051" s="8">
        <v>39891.213356481479</v>
      </c>
      <c r="M1051" s="9" t="s">
        <v>19</v>
      </c>
      <c r="N1051" s="9" t="s">
        <v>22</v>
      </c>
      <c r="O1051" s="6" t="str">
        <f>HYPERLINK("https://pbs.twimg.com/profile_images/988971255679324162/jrqiIYf__normal.jpg","View")</f>
        <v>View</v>
      </c>
      <c r="P1051" s="7"/>
    </row>
    <row r="1052" spans="1:16">
      <c r="A1052" s="3">
        <v>44012.885995370365</v>
      </c>
      <c r="B1052" s="4" t="str">
        <f>HYPERLINK("https://twitter.com/sergio_fajardo","@sergio_fajardo")</f>
        <v>@sergio_fajardo</v>
      </c>
      <c r="C1052" s="5" t="s">
        <v>16</v>
      </c>
      <c r="D1052" s="5" t="s">
        <v>1074</v>
      </c>
      <c r="E1052" s="6" t="str">
        <f>HYPERLINK("https://twitter.com/sergio_fajardo/status/1277991745532432385","1277991745532432385")</f>
        <v>1277991745532432385</v>
      </c>
      <c r="F1052" s="7" t="s">
        <v>17</v>
      </c>
      <c r="G1052" s="7">
        <v>1543425</v>
      </c>
      <c r="H1052" s="7">
        <v>370</v>
      </c>
      <c r="I1052" s="7">
        <v>444</v>
      </c>
      <c r="J1052" s="7">
        <v>0</v>
      </c>
      <c r="K1052" s="7" t="s">
        <v>18</v>
      </c>
      <c r="L1052" s="8">
        <v>39891.213356481479</v>
      </c>
      <c r="M1052" s="9" t="s">
        <v>19</v>
      </c>
      <c r="N1052" s="9" t="s">
        <v>22</v>
      </c>
      <c r="O1052" s="6" t="str">
        <f>HYPERLINK("https://pbs.twimg.com/profile_images/988971255679324162/jrqiIYf__normal.jpg","View")</f>
        <v>View</v>
      </c>
      <c r="P1052" s="7"/>
    </row>
    <row r="1053" spans="1:16">
      <c r="A1053" s="3">
        <v>44012.888807870375</v>
      </c>
      <c r="B1053" s="4" t="str">
        <f>HYPERLINK("https://twitter.com/sergio_fajardo","@sergio_fajardo")</f>
        <v>@sergio_fajardo</v>
      </c>
      <c r="C1053" s="5" t="s">
        <v>16</v>
      </c>
      <c r="D1053" s="5" t="s">
        <v>1075</v>
      </c>
      <c r="E1053" s="6" t="str">
        <f>HYPERLINK("https://twitter.com/sergio_fajardo/status/1277992762831503362","1277992762831503362")</f>
        <v>1277992762831503362</v>
      </c>
      <c r="F1053" s="7" t="s">
        <v>17</v>
      </c>
      <c r="G1053" s="7">
        <v>1543429</v>
      </c>
      <c r="H1053" s="7">
        <v>370</v>
      </c>
      <c r="I1053" s="7">
        <v>10</v>
      </c>
      <c r="J1053" s="7">
        <v>0</v>
      </c>
      <c r="K1053" s="7" t="s">
        <v>18</v>
      </c>
      <c r="L1053" s="8">
        <v>39891.213356481479</v>
      </c>
      <c r="M1053" s="9" t="s">
        <v>19</v>
      </c>
      <c r="N1053" s="9" t="s">
        <v>22</v>
      </c>
      <c r="O1053" s="6" t="str">
        <f>HYPERLINK("https://pbs.twimg.com/profile_images/988971255679324162/jrqiIYf__normal.jpg","View")</f>
        <v>View</v>
      </c>
      <c r="P1053" s="7"/>
    </row>
    <row r="1054" spans="1:16">
      <c r="A1054" s="3">
        <v>44012.897789351853</v>
      </c>
      <c r="B1054" s="4" t="str">
        <f>HYPERLINK("https://twitter.com/sergio_fajardo","@sergio_fajardo")</f>
        <v>@sergio_fajardo</v>
      </c>
      <c r="C1054" s="5" t="s">
        <v>16</v>
      </c>
      <c r="D1054" s="5" t="s">
        <v>1076</v>
      </c>
      <c r="E1054" s="6" t="str">
        <f>HYPERLINK("https://twitter.com/sergio_fajardo/status/1277996020488712194","1277996020488712194")</f>
        <v>1277996020488712194</v>
      </c>
      <c r="F1054" s="7" t="s">
        <v>17</v>
      </c>
      <c r="G1054" s="7">
        <v>1543429</v>
      </c>
      <c r="H1054" s="7">
        <v>370</v>
      </c>
      <c r="I1054" s="7">
        <v>44</v>
      </c>
      <c r="J1054" s="7">
        <v>0</v>
      </c>
      <c r="K1054" s="7" t="s">
        <v>18</v>
      </c>
      <c r="L1054" s="8">
        <v>39891.213356481479</v>
      </c>
      <c r="M1054" s="9" t="s">
        <v>19</v>
      </c>
      <c r="N1054" s="9" t="s">
        <v>22</v>
      </c>
      <c r="O1054" s="6" t="str">
        <f>HYPERLINK("https://pbs.twimg.com/profile_images/988971255679324162/jrqiIYf__normal.jpg","View")</f>
        <v>View</v>
      </c>
      <c r="P1054" s="7"/>
    </row>
    <row r="1055" spans="1:16">
      <c r="A1055" s="3">
        <v>44013.037372685183</v>
      </c>
      <c r="B1055" s="4" t="str">
        <f>HYPERLINK("https://twitter.com/sergio_fajardo","@sergio_fajardo")</f>
        <v>@sergio_fajardo</v>
      </c>
      <c r="C1055" s="5" t="s">
        <v>16</v>
      </c>
      <c r="D1055" s="5" t="s">
        <v>1077</v>
      </c>
      <c r="E1055" s="6" t="str">
        <f>HYPERLINK("https://twitter.com/sergio_fajardo/status/1278046600045223937","1278046600045223937")</f>
        <v>1278046600045223937</v>
      </c>
      <c r="F1055" s="7" t="s">
        <v>17</v>
      </c>
      <c r="G1055" s="7">
        <v>1543441</v>
      </c>
      <c r="H1055" s="7">
        <v>370</v>
      </c>
      <c r="I1055" s="7">
        <v>38</v>
      </c>
      <c r="J1055" s="7">
        <v>0</v>
      </c>
      <c r="K1055" s="7" t="s">
        <v>18</v>
      </c>
      <c r="L1055" s="8">
        <v>39891.213356481479</v>
      </c>
      <c r="M1055" s="9" t="s">
        <v>19</v>
      </c>
      <c r="N1055" s="9" t="s">
        <v>22</v>
      </c>
      <c r="O1055" s="6" t="str">
        <f>HYPERLINK("https://pbs.twimg.com/profile_images/988971255679324162/jrqiIYf__normal.jpg","View")</f>
        <v>View</v>
      </c>
      <c r="P1055" s="7"/>
    </row>
    <row r="1056" spans="1:16">
      <c r="A1056" s="3">
        <v>44013.038530092592</v>
      </c>
      <c r="B1056" s="4" t="str">
        <f>HYPERLINK("https://twitter.com/sergio_fajardo","@sergio_fajardo")</f>
        <v>@sergio_fajardo</v>
      </c>
      <c r="C1056" s="5" t="s">
        <v>16</v>
      </c>
      <c r="D1056" s="5" t="s">
        <v>1078</v>
      </c>
      <c r="E1056" s="6" t="str">
        <f>HYPERLINK("https://twitter.com/sergio_fajardo/status/1278047021748846592","1278047021748846592")</f>
        <v>1278047021748846592</v>
      </c>
      <c r="F1056" s="7" t="s">
        <v>17</v>
      </c>
      <c r="G1056" s="7">
        <v>1543441</v>
      </c>
      <c r="H1056" s="7">
        <v>370</v>
      </c>
      <c r="I1056" s="7">
        <v>67</v>
      </c>
      <c r="J1056" s="7">
        <v>0</v>
      </c>
      <c r="K1056" s="7" t="s">
        <v>18</v>
      </c>
      <c r="L1056" s="8">
        <v>39891.213356481479</v>
      </c>
      <c r="M1056" s="9" t="s">
        <v>19</v>
      </c>
      <c r="N1056" s="9" t="s">
        <v>22</v>
      </c>
      <c r="O1056" s="6" t="str">
        <f>HYPERLINK("https://pbs.twimg.com/profile_images/988971255679324162/jrqiIYf__normal.jpg","View")</f>
        <v>View</v>
      </c>
      <c r="P1056" s="7"/>
    </row>
    <row r="1057" spans="1:16">
      <c r="A1057" s="3">
        <v>44013.046828703707</v>
      </c>
      <c r="B1057" s="4" t="str">
        <f>HYPERLINK("https://twitter.com/sergio_fajardo","@sergio_fajardo")</f>
        <v>@sergio_fajardo</v>
      </c>
      <c r="C1057" s="5" t="s">
        <v>16</v>
      </c>
      <c r="D1057" s="5" t="s">
        <v>1079</v>
      </c>
      <c r="E1057" s="6" t="str">
        <f>HYPERLINK("https://twitter.com/sergio_fajardo/status/1278050026934218752","1278050026934218752")</f>
        <v>1278050026934218752</v>
      </c>
      <c r="F1057" s="7" t="s">
        <v>17</v>
      </c>
      <c r="G1057" s="7">
        <v>1543441</v>
      </c>
      <c r="H1057" s="7">
        <v>370</v>
      </c>
      <c r="I1057" s="7">
        <v>0</v>
      </c>
      <c r="J1057" s="7">
        <v>2</v>
      </c>
      <c r="K1057" s="7" t="s">
        <v>18</v>
      </c>
      <c r="L1057" s="8">
        <v>39891.213356481479</v>
      </c>
      <c r="M1057" s="9" t="s">
        <v>19</v>
      </c>
      <c r="N1057" s="9" t="s">
        <v>22</v>
      </c>
      <c r="O1057" s="6" t="str">
        <f>HYPERLINK("https://pbs.twimg.com/profile_images/988971255679324162/jrqiIYf__normal.jpg","View")</f>
        <v>View</v>
      </c>
      <c r="P1057" s="7"/>
    </row>
    <row r="1058" spans="1:16">
      <c r="A1058" s="3">
        <v>44013.18549768519</v>
      </c>
      <c r="B1058" s="4" t="str">
        <f>HYPERLINK("https://twitter.com/sergio_fajardo","@sergio_fajardo")</f>
        <v>@sergio_fajardo</v>
      </c>
      <c r="C1058" s="5" t="s">
        <v>16</v>
      </c>
      <c r="D1058" s="5" t="s">
        <v>1080</v>
      </c>
      <c r="E1058" s="6" t="str">
        <f>HYPERLINK("https://twitter.com/sergio_fajardo/status/1278100280463241219","1278100280463241219")</f>
        <v>1278100280463241219</v>
      </c>
      <c r="F1058" s="7" t="s">
        <v>17</v>
      </c>
      <c r="G1058" s="7">
        <v>1543465</v>
      </c>
      <c r="H1058" s="7">
        <v>370</v>
      </c>
      <c r="I1058" s="7">
        <v>9</v>
      </c>
      <c r="J1058" s="7">
        <v>0</v>
      </c>
      <c r="K1058" s="7" t="s">
        <v>18</v>
      </c>
      <c r="L1058" s="8">
        <v>39891.213356481479</v>
      </c>
      <c r="M1058" s="9" t="s">
        <v>19</v>
      </c>
      <c r="N1058" s="9" t="s">
        <v>22</v>
      </c>
      <c r="O1058" s="6" t="str">
        <f>HYPERLINK("https://pbs.twimg.com/profile_images/988971255679324162/jrqiIYf__normal.jpg","View")</f>
        <v>View</v>
      </c>
      <c r="P1058" s="7"/>
    </row>
    <row r="1059" spans="1:16">
      <c r="A1059" s="3">
        <v>44013.264664351853</v>
      </c>
      <c r="B1059" s="4" t="str">
        <f>HYPERLINK("https://twitter.com/sergio_fajardo","@sergio_fajardo")</f>
        <v>@sergio_fajardo</v>
      </c>
      <c r="C1059" s="5" t="s">
        <v>16</v>
      </c>
      <c r="D1059" s="5" t="s">
        <v>1081</v>
      </c>
      <c r="E1059" s="6" t="str">
        <f>HYPERLINK("https://twitter.com/sergio_fajardo/status/1278128971373215745","1278128971373215745")</f>
        <v>1278128971373215745</v>
      </c>
      <c r="F1059" s="7" t="s">
        <v>17</v>
      </c>
      <c r="G1059" s="7">
        <v>1543467</v>
      </c>
      <c r="H1059" s="7">
        <v>370</v>
      </c>
      <c r="I1059" s="7">
        <v>40</v>
      </c>
      <c r="J1059" s="7">
        <v>187</v>
      </c>
      <c r="K1059" s="7" t="s">
        <v>18</v>
      </c>
      <c r="L1059" s="8">
        <v>39891.213356481479</v>
      </c>
      <c r="M1059" s="9" t="s">
        <v>19</v>
      </c>
      <c r="N1059" s="9" t="s">
        <v>22</v>
      </c>
      <c r="O1059" s="6" t="str">
        <f>HYPERLINK("https://pbs.twimg.com/profile_images/988971255679324162/jrqiIYf__normal.jpg","View")</f>
        <v>View</v>
      </c>
      <c r="P1059" s="7"/>
    </row>
    <row r="1060" spans="1:16">
      <c r="A1060" s="3">
        <v>44013.362858796296</v>
      </c>
      <c r="B1060" s="4" t="str">
        <f>HYPERLINK("https://twitter.com/sergio_fajardo","@sergio_fajardo")</f>
        <v>@sergio_fajardo</v>
      </c>
      <c r="C1060" s="5" t="s">
        <v>16</v>
      </c>
      <c r="D1060" s="5" t="s">
        <v>1082</v>
      </c>
      <c r="E1060" s="6" t="str">
        <f>HYPERLINK("https://twitter.com/sergio_fajardo/status/1278164555764576258","1278164555764576258")</f>
        <v>1278164555764576258</v>
      </c>
      <c r="F1060" s="7" t="s">
        <v>17</v>
      </c>
      <c r="G1060" s="7">
        <v>1543446</v>
      </c>
      <c r="H1060" s="7">
        <v>370</v>
      </c>
      <c r="I1060" s="7">
        <v>1</v>
      </c>
      <c r="J1060" s="7">
        <v>8</v>
      </c>
      <c r="K1060" s="7" t="s">
        <v>18</v>
      </c>
      <c r="L1060" s="8">
        <v>39891.213356481479</v>
      </c>
      <c r="M1060" s="9" t="s">
        <v>19</v>
      </c>
      <c r="N1060" s="9" t="s">
        <v>22</v>
      </c>
      <c r="O1060" s="6" t="str">
        <f>HYPERLINK("https://pbs.twimg.com/profile_images/988971255679324162/jrqiIYf__normal.jpg","View")</f>
        <v>View</v>
      </c>
      <c r="P1060" s="7"/>
    </row>
    <row r="1061" spans="1:16">
      <c r="A1061" s="3">
        <v>44013.931851851856</v>
      </c>
      <c r="B1061" s="4" t="str">
        <f>HYPERLINK("https://twitter.com/sergio_fajardo","@sergio_fajardo")</f>
        <v>@sergio_fajardo</v>
      </c>
      <c r="C1061" s="5" t="s">
        <v>16</v>
      </c>
      <c r="D1061" s="5" t="s">
        <v>1083</v>
      </c>
      <c r="E1061" s="6" t="str">
        <f>HYPERLINK("https://twitter.com/sergio_fajardo/status/1278370749141725185","1278370749141725185")</f>
        <v>1278370749141725185</v>
      </c>
      <c r="F1061" s="7" t="s">
        <v>17</v>
      </c>
      <c r="G1061" s="7">
        <v>1543457</v>
      </c>
      <c r="H1061" s="7">
        <v>370</v>
      </c>
      <c r="I1061" s="7">
        <v>5</v>
      </c>
      <c r="J1061" s="7">
        <v>19</v>
      </c>
      <c r="K1061" s="7" t="s">
        <v>18</v>
      </c>
      <c r="L1061" s="8">
        <v>39891.213356481479</v>
      </c>
      <c r="M1061" s="9" t="s">
        <v>19</v>
      </c>
      <c r="N1061" s="9" t="s">
        <v>22</v>
      </c>
      <c r="O1061" s="6" t="str">
        <f>HYPERLINK("https://pbs.twimg.com/profile_images/988971255679324162/jrqiIYf__normal.jpg","View")</f>
        <v>View</v>
      </c>
      <c r="P1061" s="7"/>
    </row>
    <row r="1062" spans="1:16">
      <c r="A1062" s="3">
        <v>44014.31417824074</v>
      </c>
      <c r="B1062" s="4" t="str">
        <f>HYPERLINK("https://twitter.com/sergio_fajardo","@sergio_fajardo")</f>
        <v>@sergio_fajardo</v>
      </c>
      <c r="C1062" s="5" t="s">
        <v>16</v>
      </c>
      <c r="D1062" s="5" t="s">
        <v>1084</v>
      </c>
      <c r="E1062" s="6" t="str">
        <f>HYPERLINK("https://twitter.com/sergio_fajardo/status/1278509299212472321","1278509299212472321")</f>
        <v>1278509299212472321</v>
      </c>
      <c r="F1062" s="7" t="s">
        <v>17</v>
      </c>
      <c r="G1062" s="7">
        <v>1543525</v>
      </c>
      <c r="H1062" s="7">
        <v>370</v>
      </c>
      <c r="I1062" s="7">
        <v>7</v>
      </c>
      <c r="J1062" s="7">
        <v>0</v>
      </c>
      <c r="K1062" s="7" t="s">
        <v>18</v>
      </c>
      <c r="L1062" s="8">
        <v>39891.213356481479</v>
      </c>
      <c r="M1062" s="9" t="s">
        <v>19</v>
      </c>
      <c r="N1062" s="9" t="s">
        <v>22</v>
      </c>
      <c r="O1062" s="6" t="str">
        <f>HYPERLINK("https://pbs.twimg.com/profile_images/988971255679324162/jrqiIYf__normal.jpg","View")</f>
        <v>View</v>
      </c>
      <c r="P1062" s="7"/>
    </row>
    <row r="1063" spans="1:16">
      <c r="A1063" s="3">
        <v>44014.755844907406</v>
      </c>
      <c r="B1063" s="4" t="str">
        <f>HYPERLINK("https://twitter.com/sergio_fajardo","@sergio_fajardo")</f>
        <v>@sergio_fajardo</v>
      </c>
      <c r="C1063" s="5" t="s">
        <v>16</v>
      </c>
      <c r="D1063" s="5" t="s">
        <v>1085</v>
      </c>
      <c r="E1063" s="6" t="str">
        <f>HYPERLINK("https://twitter.com/sergio_fajardo/status/1278669356579393536","1278669356579393536")</f>
        <v>1278669356579393536</v>
      </c>
      <c r="F1063" s="7" t="s">
        <v>17</v>
      </c>
      <c r="G1063" s="7">
        <v>1543529</v>
      </c>
      <c r="H1063" s="7">
        <v>370</v>
      </c>
      <c r="I1063" s="7">
        <v>4</v>
      </c>
      <c r="J1063" s="7">
        <v>13</v>
      </c>
      <c r="K1063" s="7" t="s">
        <v>18</v>
      </c>
      <c r="L1063" s="8">
        <v>39891.213356481479</v>
      </c>
      <c r="M1063" s="9" t="s">
        <v>19</v>
      </c>
      <c r="N1063" s="9" t="s">
        <v>22</v>
      </c>
      <c r="O1063" s="6" t="str">
        <f>HYPERLINK("https://pbs.twimg.com/profile_images/988971255679324162/jrqiIYf__normal.jpg","View")</f>
        <v>View</v>
      </c>
      <c r="P1063" s="7"/>
    </row>
    <row r="1064" spans="1:16">
      <c r="A1064" s="3">
        <v>44014.766296296293</v>
      </c>
      <c r="B1064" s="4" t="str">
        <f>HYPERLINK("https://twitter.com/sergio_fajardo","@sergio_fajardo")</f>
        <v>@sergio_fajardo</v>
      </c>
      <c r="C1064" s="5" t="s">
        <v>16</v>
      </c>
      <c r="D1064" s="5" t="s">
        <v>1086</v>
      </c>
      <c r="E1064" s="6" t="str">
        <f>HYPERLINK("https://twitter.com/sergio_fajardo/status/1278673143369019398","1278673143369019398")</f>
        <v>1278673143369019398</v>
      </c>
      <c r="F1064" s="7" t="s">
        <v>17</v>
      </c>
      <c r="G1064" s="7">
        <v>1543521</v>
      </c>
      <c r="H1064" s="7">
        <v>370</v>
      </c>
      <c r="I1064" s="7">
        <v>11</v>
      </c>
      <c r="J1064" s="7">
        <v>66</v>
      </c>
      <c r="K1064" s="7" t="s">
        <v>18</v>
      </c>
      <c r="L1064" s="8">
        <v>39891.213356481479</v>
      </c>
      <c r="M1064" s="9" t="s">
        <v>19</v>
      </c>
      <c r="N1064" s="9" t="s">
        <v>22</v>
      </c>
      <c r="O1064" s="6" t="str">
        <f>HYPERLINK("https://pbs.twimg.com/profile_images/988971255679324162/jrqiIYf__normal.jpg","View")</f>
        <v>View</v>
      </c>
      <c r="P1064" s="7"/>
    </row>
    <row r="1065" spans="1:16">
      <c r="A1065" s="3">
        <v>44014.76798611111</v>
      </c>
      <c r="B1065" s="4" t="str">
        <f>HYPERLINK("https://twitter.com/sergio_fajardo","@sergio_fajardo")</f>
        <v>@sergio_fajardo</v>
      </c>
      <c r="C1065" s="5" t="s">
        <v>16</v>
      </c>
      <c r="D1065" s="5" t="s">
        <v>1087</v>
      </c>
      <c r="E1065" s="6" t="str">
        <f>HYPERLINK("https://twitter.com/sergio_fajardo/status/1278673756215562243","1278673756215562243")</f>
        <v>1278673756215562243</v>
      </c>
      <c r="F1065" s="7" t="s">
        <v>17</v>
      </c>
      <c r="G1065" s="7">
        <v>1543521</v>
      </c>
      <c r="H1065" s="7">
        <v>370</v>
      </c>
      <c r="I1065" s="7">
        <v>6</v>
      </c>
      <c r="J1065" s="7">
        <v>35</v>
      </c>
      <c r="K1065" s="7" t="s">
        <v>18</v>
      </c>
      <c r="L1065" s="8">
        <v>39891.213356481479</v>
      </c>
      <c r="M1065" s="9" t="s">
        <v>19</v>
      </c>
      <c r="N1065" s="9" t="s">
        <v>22</v>
      </c>
      <c r="O1065" s="6" t="str">
        <f>HYPERLINK("https://pbs.twimg.com/profile_images/988971255679324162/jrqiIYf__normal.jpg","View")</f>
        <v>View</v>
      </c>
      <c r="P1065" s="7"/>
    </row>
    <row r="1066" spans="1:16">
      <c r="A1066" s="3">
        <v>44014.769502314812</v>
      </c>
      <c r="B1066" s="4" t="str">
        <f>HYPERLINK("https://twitter.com/sergio_fajardo","@sergio_fajardo")</f>
        <v>@sergio_fajardo</v>
      </c>
      <c r="C1066" s="5" t="s">
        <v>16</v>
      </c>
      <c r="D1066" s="5" t="s">
        <v>1088</v>
      </c>
      <c r="E1066" s="6" t="str">
        <f>HYPERLINK("https://twitter.com/sergio_fajardo/status/1278674305736458240","1278674305736458240")</f>
        <v>1278674305736458240</v>
      </c>
      <c r="F1066" s="7" t="s">
        <v>17</v>
      </c>
      <c r="G1066" s="7">
        <v>1543521</v>
      </c>
      <c r="H1066" s="7">
        <v>370</v>
      </c>
      <c r="I1066" s="7">
        <v>24</v>
      </c>
      <c r="J1066" s="7">
        <v>98</v>
      </c>
      <c r="K1066" s="7" t="s">
        <v>18</v>
      </c>
      <c r="L1066" s="8">
        <v>39891.213356481479</v>
      </c>
      <c r="M1066" s="9" t="s">
        <v>19</v>
      </c>
      <c r="N1066" s="9" t="s">
        <v>22</v>
      </c>
      <c r="O1066" s="6" t="str">
        <f>HYPERLINK("https://pbs.twimg.com/profile_images/988971255679324162/jrqiIYf__normal.jpg","View")</f>
        <v>View</v>
      </c>
      <c r="P1066" s="7"/>
    </row>
    <row r="1067" spans="1:16">
      <c r="A1067" s="3">
        <v>44014.793668981481</v>
      </c>
      <c r="B1067" s="4" t="str">
        <f>HYPERLINK("https://twitter.com/sergio_fajardo","@sergio_fajardo")</f>
        <v>@sergio_fajardo</v>
      </c>
      <c r="C1067" s="5" t="s">
        <v>16</v>
      </c>
      <c r="D1067" s="5" t="s">
        <v>1089</v>
      </c>
      <c r="E1067" s="6" t="str">
        <f>HYPERLINK("https://twitter.com/sergio_fajardo/status/1278683063103488000","1278683063103488000")</f>
        <v>1278683063103488000</v>
      </c>
      <c r="F1067" s="7" t="s">
        <v>17</v>
      </c>
      <c r="G1067" s="7">
        <v>1543520</v>
      </c>
      <c r="H1067" s="7">
        <v>370</v>
      </c>
      <c r="I1067" s="7">
        <v>4</v>
      </c>
      <c r="J1067" s="7">
        <v>7</v>
      </c>
      <c r="K1067" s="7" t="s">
        <v>18</v>
      </c>
      <c r="L1067" s="8">
        <v>39891.213356481479</v>
      </c>
      <c r="M1067" s="9" t="s">
        <v>19</v>
      </c>
      <c r="N1067" s="9" t="s">
        <v>22</v>
      </c>
      <c r="O1067" s="6" t="str">
        <f>HYPERLINK("https://pbs.twimg.com/profile_images/988971255679324162/jrqiIYf__normal.jpg","View")</f>
        <v>View</v>
      </c>
      <c r="P1067" s="7"/>
    </row>
    <row r="1068" spans="1:16">
      <c r="A1068" s="3">
        <v>44014.80305555556</v>
      </c>
      <c r="B1068" s="4" t="str">
        <f>HYPERLINK("https://twitter.com/sergio_fajardo","@sergio_fajardo")</f>
        <v>@sergio_fajardo</v>
      </c>
      <c r="C1068" s="5" t="s">
        <v>16</v>
      </c>
      <c r="D1068" s="5" t="s">
        <v>1090</v>
      </c>
      <c r="E1068" s="6" t="str">
        <f>HYPERLINK("https://twitter.com/sergio_fajardo/status/1278686462612049920","1278686462612049920")</f>
        <v>1278686462612049920</v>
      </c>
      <c r="F1068" s="7" t="s">
        <v>17</v>
      </c>
      <c r="G1068" s="7">
        <v>1543520</v>
      </c>
      <c r="H1068" s="7">
        <v>370</v>
      </c>
      <c r="I1068" s="7">
        <v>2</v>
      </c>
      <c r="J1068" s="7">
        <v>2</v>
      </c>
      <c r="K1068" s="7" t="s">
        <v>18</v>
      </c>
      <c r="L1068" s="8">
        <v>39891.213356481479</v>
      </c>
      <c r="M1068" s="9" t="s">
        <v>19</v>
      </c>
      <c r="N1068" s="9" t="s">
        <v>22</v>
      </c>
      <c r="O1068" s="6" t="str">
        <f>HYPERLINK("https://pbs.twimg.com/profile_images/988971255679324162/jrqiIYf__normal.jpg","View")</f>
        <v>View</v>
      </c>
      <c r="P1068" s="7"/>
    </row>
    <row r="1069" spans="1:16">
      <c r="A1069" s="3">
        <v>44014.807719907403</v>
      </c>
      <c r="B1069" s="4" t="str">
        <f>HYPERLINK("https://twitter.com/sergio_fajardo","@sergio_fajardo")</f>
        <v>@sergio_fajardo</v>
      </c>
      <c r="C1069" s="5" t="s">
        <v>16</v>
      </c>
      <c r="D1069" s="5" t="s">
        <v>1091</v>
      </c>
      <c r="E1069" s="6" t="str">
        <f>HYPERLINK("https://twitter.com/sergio_fajardo/status/1278688155676413954","1278688155676413954")</f>
        <v>1278688155676413954</v>
      </c>
      <c r="F1069" s="7" t="s">
        <v>17</v>
      </c>
      <c r="G1069" s="7">
        <v>1543515</v>
      </c>
      <c r="H1069" s="7">
        <v>370</v>
      </c>
      <c r="I1069" s="7">
        <v>16</v>
      </c>
      <c r="J1069" s="7">
        <v>40</v>
      </c>
      <c r="K1069" s="7" t="s">
        <v>18</v>
      </c>
      <c r="L1069" s="8">
        <v>39891.213356481479</v>
      </c>
      <c r="M1069" s="9" t="s">
        <v>19</v>
      </c>
      <c r="N1069" s="9" t="s">
        <v>22</v>
      </c>
      <c r="O1069" s="6" t="str">
        <f>HYPERLINK("https://pbs.twimg.com/profile_images/988971255679324162/jrqiIYf__normal.jpg","View")</f>
        <v>View</v>
      </c>
      <c r="P1069" s="7"/>
    </row>
    <row r="1070" spans="1:16">
      <c r="A1070" s="3">
        <v>44014.811666666668</v>
      </c>
      <c r="B1070" s="4" t="str">
        <f>HYPERLINK("https://twitter.com/sergio_fajardo","@sergio_fajardo")</f>
        <v>@sergio_fajardo</v>
      </c>
      <c r="C1070" s="5" t="s">
        <v>16</v>
      </c>
      <c r="D1070" s="5" t="s">
        <v>1092</v>
      </c>
      <c r="E1070" s="6" t="str">
        <f>HYPERLINK("https://twitter.com/sergio_fajardo/status/1278689586055610368","1278689586055610368")</f>
        <v>1278689586055610368</v>
      </c>
      <c r="F1070" s="7" t="s">
        <v>17</v>
      </c>
      <c r="G1070" s="7">
        <v>1543515</v>
      </c>
      <c r="H1070" s="7">
        <v>370</v>
      </c>
      <c r="I1070" s="7">
        <v>12</v>
      </c>
      <c r="J1070" s="7">
        <v>45</v>
      </c>
      <c r="K1070" s="7" t="s">
        <v>18</v>
      </c>
      <c r="L1070" s="8">
        <v>39891.213356481479</v>
      </c>
      <c r="M1070" s="9" t="s">
        <v>19</v>
      </c>
      <c r="N1070" s="9" t="s">
        <v>22</v>
      </c>
      <c r="O1070" s="6" t="str">
        <f>HYPERLINK("https://pbs.twimg.com/profile_images/988971255679324162/jrqiIYf__normal.jpg","View")</f>
        <v>View</v>
      </c>
      <c r="P1070" s="7"/>
    </row>
    <row r="1071" spans="1:16">
      <c r="A1071" s="3">
        <v>44014.81386574074</v>
      </c>
      <c r="B1071" s="4" t="str">
        <f>HYPERLINK("https://twitter.com/sergio_fajardo","@sergio_fajardo")</f>
        <v>@sergio_fajardo</v>
      </c>
      <c r="C1071" s="5" t="s">
        <v>16</v>
      </c>
      <c r="D1071" s="5" t="s">
        <v>1093</v>
      </c>
      <c r="E1071" s="6" t="str">
        <f>HYPERLINK("https://twitter.com/sergio_fajardo/status/1278690381840990208","1278690381840990208")</f>
        <v>1278690381840990208</v>
      </c>
      <c r="F1071" s="7" t="s">
        <v>17</v>
      </c>
      <c r="G1071" s="7">
        <v>1543515</v>
      </c>
      <c r="H1071" s="7">
        <v>370</v>
      </c>
      <c r="I1071" s="7">
        <v>27</v>
      </c>
      <c r="J1071" s="7">
        <v>0</v>
      </c>
      <c r="K1071" s="7" t="s">
        <v>18</v>
      </c>
      <c r="L1071" s="8">
        <v>39891.213356481479</v>
      </c>
      <c r="M1071" s="9" t="s">
        <v>19</v>
      </c>
      <c r="N1071" s="9" t="s">
        <v>22</v>
      </c>
      <c r="O1071" s="6" t="str">
        <f>HYPERLINK("https://pbs.twimg.com/profile_images/988971255679324162/jrqiIYf__normal.jpg","View")</f>
        <v>View</v>
      </c>
      <c r="P1071" s="7"/>
    </row>
    <row r="1072" spans="1:16">
      <c r="A1072" s="3">
        <v>44014.843090277776</v>
      </c>
      <c r="B1072" s="4" t="str">
        <f>HYPERLINK("https://twitter.com/sergio_fajardo","@sergio_fajardo")</f>
        <v>@sergio_fajardo</v>
      </c>
      <c r="C1072" s="5" t="s">
        <v>16</v>
      </c>
      <c r="D1072" s="5" t="s">
        <v>1094</v>
      </c>
      <c r="E1072" s="6" t="str">
        <f>HYPERLINK("https://twitter.com/sergio_fajardo/status/1278700970801840128","1278700970801840128")</f>
        <v>1278700970801840128</v>
      </c>
      <c r="F1072" s="7" t="s">
        <v>17</v>
      </c>
      <c r="G1072" s="7">
        <v>1543513</v>
      </c>
      <c r="H1072" s="7">
        <v>370</v>
      </c>
      <c r="I1072" s="7">
        <v>1</v>
      </c>
      <c r="J1072" s="7">
        <v>17</v>
      </c>
      <c r="K1072" s="7" t="s">
        <v>18</v>
      </c>
      <c r="L1072" s="8">
        <v>39891.213356481479</v>
      </c>
      <c r="M1072" s="9" t="s">
        <v>19</v>
      </c>
      <c r="N1072" s="9" t="s">
        <v>22</v>
      </c>
      <c r="O1072" s="6" t="str">
        <f>HYPERLINK("https://pbs.twimg.com/profile_images/988971255679324162/jrqiIYf__normal.jpg","View")</f>
        <v>View</v>
      </c>
      <c r="P1072" s="7"/>
    </row>
    <row r="1073" spans="1:16">
      <c r="A1073" s="3">
        <v>44014.995104166665</v>
      </c>
      <c r="B1073" s="4" t="str">
        <f>HYPERLINK("https://twitter.com/sergio_fajardo","@sergio_fajardo")</f>
        <v>@sergio_fajardo</v>
      </c>
      <c r="C1073" s="5" t="s">
        <v>16</v>
      </c>
      <c r="D1073" s="5" t="s">
        <v>1095</v>
      </c>
      <c r="E1073" s="6" t="str">
        <f>HYPERLINK("https://twitter.com/sergio_fajardo/status/1278756059608502273","1278756059608502273")</f>
        <v>1278756059608502273</v>
      </c>
      <c r="F1073" s="7" t="s">
        <v>17</v>
      </c>
      <c r="G1073" s="7">
        <v>1543536</v>
      </c>
      <c r="H1073" s="7">
        <v>370</v>
      </c>
      <c r="I1073" s="7">
        <v>2</v>
      </c>
      <c r="J1073" s="7">
        <v>6</v>
      </c>
      <c r="K1073" s="7" t="s">
        <v>18</v>
      </c>
      <c r="L1073" s="8">
        <v>39891.213356481479</v>
      </c>
      <c r="M1073" s="9" t="s">
        <v>19</v>
      </c>
      <c r="N1073" s="9" t="s">
        <v>22</v>
      </c>
      <c r="O1073" s="6" t="str">
        <f>HYPERLINK("https://pbs.twimg.com/profile_images/988971255679324162/jrqiIYf__normal.jpg","View")</f>
        <v>View</v>
      </c>
      <c r="P1073" s="7"/>
    </row>
    <row r="1074" spans="1:16">
      <c r="A1074" s="3">
        <v>44014.999618055561</v>
      </c>
      <c r="B1074" s="4" t="str">
        <f>HYPERLINK("https://twitter.com/sergio_fajardo","@sergio_fajardo")</f>
        <v>@sergio_fajardo</v>
      </c>
      <c r="C1074" s="5" t="s">
        <v>16</v>
      </c>
      <c r="D1074" s="5" t="s">
        <v>1096</v>
      </c>
      <c r="E1074" s="6" t="str">
        <f>HYPERLINK("https://twitter.com/sergio_fajardo/status/1278757694795583490","1278757694795583490")</f>
        <v>1278757694795583490</v>
      </c>
      <c r="F1074" s="7" t="s">
        <v>17</v>
      </c>
      <c r="G1074" s="7">
        <v>1543536</v>
      </c>
      <c r="H1074" s="7">
        <v>370</v>
      </c>
      <c r="I1074" s="7">
        <v>11</v>
      </c>
      <c r="J1074" s="7">
        <v>31</v>
      </c>
      <c r="K1074" s="7" t="s">
        <v>18</v>
      </c>
      <c r="L1074" s="8">
        <v>39891.213356481479</v>
      </c>
      <c r="M1074" s="9" t="s">
        <v>19</v>
      </c>
      <c r="N1074" s="9" t="s">
        <v>22</v>
      </c>
      <c r="O1074" s="6" t="str">
        <f>HYPERLINK("https://pbs.twimg.com/profile_images/988971255679324162/jrqiIYf__normal.jpg","View")</f>
        <v>View</v>
      </c>
      <c r="P1074" s="7"/>
    </row>
    <row r="1075" spans="1:16">
      <c r="A1075" s="3">
        <v>44015.002638888887</v>
      </c>
      <c r="B1075" s="4" t="str">
        <f>HYPERLINK("https://twitter.com/sergio_fajardo","@sergio_fajardo")</f>
        <v>@sergio_fajardo</v>
      </c>
      <c r="C1075" s="5" t="s">
        <v>16</v>
      </c>
      <c r="D1075" s="5" t="s">
        <v>1097</v>
      </c>
      <c r="E1075" s="6" t="str">
        <f>HYPERLINK("https://twitter.com/sergio_fajardo/status/1278758789622059008","1278758789622059008")</f>
        <v>1278758789622059008</v>
      </c>
      <c r="F1075" s="7" t="s">
        <v>17</v>
      </c>
      <c r="G1075" s="7">
        <v>1543536</v>
      </c>
      <c r="H1075" s="7">
        <v>370</v>
      </c>
      <c r="I1075" s="7">
        <v>9</v>
      </c>
      <c r="J1075" s="7">
        <v>61</v>
      </c>
      <c r="K1075" s="7" t="s">
        <v>18</v>
      </c>
      <c r="L1075" s="8">
        <v>39891.213356481479</v>
      </c>
      <c r="M1075" s="9" t="s">
        <v>19</v>
      </c>
      <c r="N1075" s="9" t="s">
        <v>22</v>
      </c>
      <c r="O1075" s="6" t="str">
        <f>HYPERLINK("https://pbs.twimg.com/profile_images/988971255679324162/jrqiIYf__normal.jpg","View")</f>
        <v>View</v>
      </c>
      <c r="P1075" s="7"/>
    </row>
    <row r="1076" spans="1:16">
      <c r="A1076" s="3">
        <v>44015.029282407406</v>
      </c>
      <c r="B1076" s="4" t="str">
        <f>HYPERLINK("https://twitter.com/sergio_fajardo","@sergio_fajardo")</f>
        <v>@sergio_fajardo</v>
      </c>
      <c r="C1076" s="5" t="s">
        <v>16</v>
      </c>
      <c r="D1076" s="5" t="s">
        <v>1098</v>
      </c>
      <c r="E1076" s="6" t="str">
        <f>HYPERLINK("https://twitter.com/sergio_fajardo/status/1278768444377387011","1278768444377387011")</f>
        <v>1278768444377387011</v>
      </c>
      <c r="F1076" s="7" t="s">
        <v>17</v>
      </c>
      <c r="G1076" s="7">
        <v>1543539</v>
      </c>
      <c r="H1076" s="7">
        <v>370</v>
      </c>
      <c r="I1076" s="7">
        <v>22</v>
      </c>
      <c r="J1076" s="7">
        <v>0</v>
      </c>
      <c r="K1076" s="7" t="s">
        <v>18</v>
      </c>
      <c r="L1076" s="8">
        <v>39891.213356481479</v>
      </c>
      <c r="M1076" s="9" t="s">
        <v>19</v>
      </c>
      <c r="N1076" s="9" t="s">
        <v>22</v>
      </c>
      <c r="O1076" s="6" t="str">
        <f>HYPERLINK("https://pbs.twimg.com/profile_images/988971255679324162/jrqiIYf__normal.jpg","View")</f>
        <v>View</v>
      </c>
      <c r="P1076" s="7"/>
    </row>
    <row r="1077" spans="1:16">
      <c r="A1077" s="3">
        <v>44015.092939814815</v>
      </c>
      <c r="B1077" s="4" t="str">
        <f>HYPERLINK("https://twitter.com/sergio_fajardo","@sergio_fajardo")</f>
        <v>@sergio_fajardo</v>
      </c>
      <c r="C1077" s="5" t="s">
        <v>16</v>
      </c>
      <c r="D1077" s="5" t="s">
        <v>1099</v>
      </c>
      <c r="E1077" s="6" t="str">
        <f>HYPERLINK("https://twitter.com/sergio_fajardo/status/1278791512969666573","1278791512969666573")</f>
        <v>1278791512969666573</v>
      </c>
      <c r="F1077" s="7" t="s">
        <v>17</v>
      </c>
      <c r="G1077" s="7">
        <v>1543549</v>
      </c>
      <c r="H1077" s="7">
        <v>370</v>
      </c>
      <c r="I1077" s="7">
        <v>13</v>
      </c>
      <c r="J1077" s="7">
        <v>0</v>
      </c>
      <c r="K1077" s="7" t="s">
        <v>18</v>
      </c>
      <c r="L1077" s="8">
        <v>39891.213356481479</v>
      </c>
      <c r="M1077" s="9" t="s">
        <v>19</v>
      </c>
      <c r="N1077" s="9" t="s">
        <v>22</v>
      </c>
      <c r="O1077" s="6" t="str">
        <f>HYPERLINK("https://pbs.twimg.com/profile_images/988971255679324162/jrqiIYf__normal.jpg","View")</f>
        <v>View</v>
      </c>
      <c r="P1077" s="7"/>
    </row>
    <row r="1078" spans="1:16">
      <c r="A1078" s="3">
        <v>44015.231805555552</v>
      </c>
      <c r="B1078" s="4" t="str">
        <f>HYPERLINK("https://twitter.com/sergio_fajardo","@sergio_fajardo")</f>
        <v>@sergio_fajardo</v>
      </c>
      <c r="C1078" s="5" t="s">
        <v>16</v>
      </c>
      <c r="D1078" s="5" t="s">
        <v>1100</v>
      </c>
      <c r="E1078" s="6" t="str">
        <f>HYPERLINK("https://twitter.com/sergio_fajardo/status/1278841838749843456","1278841838749843456")</f>
        <v>1278841838749843456</v>
      </c>
      <c r="F1078" s="7" t="s">
        <v>17</v>
      </c>
      <c r="G1078" s="7">
        <v>1543560</v>
      </c>
      <c r="H1078" s="7">
        <v>370</v>
      </c>
      <c r="I1078" s="7">
        <v>42</v>
      </c>
      <c r="J1078" s="7">
        <v>113</v>
      </c>
      <c r="K1078" s="7" t="s">
        <v>18</v>
      </c>
      <c r="L1078" s="8">
        <v>39891.213356481479</v>
      </c>
      <c r="M1078" s="9" t="s">
        <v>19</v>
      </c>
      <c r="N1078" s="9" t="s">
        <v>22</v>
      </c>
      <c r="O1078" s="6" t="str">
        <f>HYPERLINK("https://pbs.twimg.com/profile_images/988971255679324162/jrqiIYf__normal.jpg","View")</f>
        <v>View</v>
      </c>
      <c r="P1078" s="7"/>
    </row>
    <row r="1079" spans="1:16">
      <c r="A1079" s="3">
        <v>44015.290162037039</v>
      </c>
      <c r="B1079" s="4" t="str">
        <f>HYPERLINK("https://twitter.com/sergio_fajardo","@sergio_fajardo")</f>
        <v>@sergio_fajardo</v>
      </c>
      <c r="C1079" s="5" t="s">
        <v>16</v>
      </c>
      <c r="D1079" s="5" t="s">
        <v>1101</v>
      </c>
      <c r="E1079" s="6" t="str">
        <f>HYPERLINK("https://twitter.com/sergio_fajardo/status/1278862984748597248","1278862984748597248")</f>
        <v>1278862984748597248</v>
      </c>
      <c r="F1079" s="7" t="s">
        <v>17</v>
      </c>
      <c r="G1079" s="7">
        <v>1543559</v>
      </c>
      <c r="H1079" s="7">
        <v>370</v>
      </c>
      <c r="I1079" s="7">
        <v>6</v>
      </c>
      <c r="J1079" s="7">
        <v>0</v>
      </c>
      <c r="K1079" s="7" t="s">
        <v>18</v>
      </c>
      <c r="L1079" s="8">
        <v>39891.213356481479</v>
      </c>
      <c r="M1079" s="9" t="s">
        <v>19</v>
      </c>
      <c r="N1079" s="9" t="s">
        <v>22</v>
      </c>
      <c r="O1079" s="6" t="str">
        <f>HYPERLINK("https://pbs.twimg.com/profile_images/988971255679324162/jrqiIYf__normal.jpg","View")</f>
        <v>View</v>
      </c>
      <c r="P1079" s="7"/>
    </row>
    <row r="1080" spans="1:16">
      <c r="A1080" s="3">
        <v>44015.727280092593</v>
      </c>
      <c r="B1080" s="4" t="str">
        <f>HYPERLINK("https://twitter.com/sergio_fajardo","@sergio_fajardo")</f>
        <v>@sergio_fajardo</v>
      </c>
      <c r="C1080" s="5" t="s">
        <v>16</v>
      </c>
      <c r="D1080" s="5" t="s">
        <v>1102</v>
      </c>
      <c r="E1080" s="6" t="str">
        <f>HYPERLINK("https://twitter.com/sergio_fajardo/status/1279021389710835712","1279021389710835712")</f>
        <v>1279021389710835712</v>
      </c>
      <c r="F1080" s="7" t="s">
        <v>17</v>
      </c>
      <c r="G1080" s="7">
        <v>1543552</v>
      </c>
      <c r="H1080" s="7">
        <v>370</v>
      </c>
      <c r="I1080" s="7">
        <v>10</v>
      </c>
      <c r="J1080" s="7">
        <v>42</v>
      </c>
      <c r="K1080" s="7" t="s">
        <v>18</v>
      </c>
      <c r="L1080" s="8">
        <v>39891.213356481479</v>
      </c>
      <c r="M1080" s="9" t="s">
        <v>19</v>
      </c>
      <c r="N1080" s="9" t="s">
        <v>22</v>
      </c>
      <c r="O1080" s="6" t="str">
        <f>HYPERLINK("https://pbs.twimg.com/profile_images/988971255679324162/jrqiIYf__normal.jpg","View")</f>
        <v>View</v>
      </c>
      <c r="P1080" s="7"/>
    </row>
    <row r="1081" spans="1:16">
      <c r="A1081" s="3">
        <v>44015.759386574078</v>
      </c>
      <c r="B1081" s="4" t="str">
        <f>HYPERLINK("https://twitter.com/sergio_fajardo","@sergio_fajardo")</f>
        <v>@sergio_fajardo</v>
      </c>
      <c r="C1081" s="5" t="s">
        <v>16</v>
      </c>
      <c r="D1081" s="5" t="s">
        <v>1103</v>
      </c>
      <c r="E1081" s="6" t="str">
        <f>HYPERLINK("https://twitter.com/sergio_fajardo/status/1279033025330909191","1279033025330909191")</f>
        <v>1279033025330909191</v>
      </c>
      <c r="F1081" s="7" t="s">
        <v>17</v>
      </c>
      <c r="G1081" s="7">
        <v>1543554</v>
      </c>
      <c r="H1081" s="7">
        <v>370</v>
      </c>
      <c r="I1081" s="7">
        <v>1</v>
      </c>
      <c r="J1081" s="7">
        <v>6</v>
      </c>
      <c r="K1081" s="7" t="s">
        <v>18</v>
      </c>
      <c r="L1081" s="8">
        <v>39891.213356481479</v>
      </c>
      <c r="M1081" s="9" t="s">
        <v>19</v>
      </c>
      <c r="N1081" s="9" t="s">
        <v>22</v>
      </c>
      <c r="O1081" s="6" t="str">
        <f>HYPERLINK("https://pbs.twimg.com/profile_images/988971255679324162/jrqiIYf__normal.jpg","View")</f>
        <v>View</v>
      </c>
      <c r="P1081" s="7"/>
    </row>
    <row r="1082" spans="1:16">
      <c r="A1082" s="3">
        <v>44015.880231481482</v>
      </c>
      <c r="B1082" s="4" t="str">
        <f>HYPERLINK("https://twitter.com/sergio_fajardo","@sergio_fajardo")</f>
        <v>@sergio_fajardo</v>
      </c>
      <c r="C1082" s="5" t="s">
        <v>16</v>
      </c>
      <c r="D1082" s="5" t="s">
        <v>1104</v>
      </c>
      <c r="E1082" s="6" t="str">
        <f>HYPERLINK("https://twitter.com/sergio_fajardo/status/1279076819946418181","1279076819946418181")</f>
        <v>1279076819946418181</v>
      </c>
      <c r="F1082" s="7" t="s">
        <v>17</v>
      </c>
      <c r="G1082" s="7">
        <v>1543575</v>
      </c>
      <c r="H1082" s="7">
        <v>370</v>
      </c>
      <c r="I1082" s="7">
        <v>6</v>
      </c>
      <c r="J1082" s="7">
        <v>38</v>
      </c>
      <c r="K1082" s="7" t="s">
        <v>18</v>
      </c>
      <c r="L1082" s="8">
        <v>39891.213356481479</v>
      </c>
      <c r="M1082" s="9" t="s">
        <v>19</v>
      </c>
      <c r="N1082" s="9" t="s">
        <v>22</v>
      </c>
      <c r="O1082" s="6" t="str">
        <f>HYPERLINK("https://pbs.twimg.com/profile_images/988971255679324162/jrqiIYf__normal.jpg","View")</f>
        <v>View</v>
      </c>
      <c r="P1082" s="7"/>
    </row>
    <row r="1083" spans="1:16">
      <c r="A1083" s="3">
        <v>44015.9534837963</v>
      </c>
      <c r="B1083" s="4" t="str">
        <f>HYPERLINK("https://twitter.com/sergio_fajardo","@sergio_fajardo")</f>
        <v>@sergio_fajardo</v>
      </c>
      <c r="C1083" s="5" t="s">
        <v>16</v>
      </c>
      <c r="D1083" s="5" t="s">
        <v>1105</v>
      </c>
      <c r="E1083" s="6" t="str">
        <f>HYPERLINK("https://twitter.com/sergio_fajardo/status/1279103364555571200","1279103364555571200")</f>
        <v>1279103364555571200</v>
      </c>
      <c r="F1083" s="7" t="s">
        <v>17</v>
      </c>
      <c r="G1083" s="7">
        <v>1543584</v>
      </c>
      <c r="H1083" s="7">
        <v>370</v>
      </c>
      <c r="I1083" s="7">
        <v>28</v>
      </c>
      <c r="J1083" s="7">
        <v>0</v>
      </c>
      <c r="K1083" s="7" t="s">
        <v>18</v>
      </c>
      <c r="L1083" s="8">
        <v>39891.213356481479</v>
      </c>
      <c r="M1083" s="9" t="s">
        <v>19</v>
      </c>
      <c r="N1083" s="9" t="s">
        <v>22</v>
      </c>
      <c r="O1083" s="6" t="str">
        <f>HYPERLINK("https://pbs.twimg.com/profile_images/988971255679324162/jrqiIYf__normal.jpg","View")</f>
        <v>View</v>
      </c>
      <c r="P1083" s="7"/>
    </row>
    <row r="1084" spans="1:16">
      <c r="A1084" s="3">
        <v>44016.140821759254</v>
      </c>
      <c r="B1084" s="4" t="str">
        <f>HYPERLINK("https://twitter.com/sergio_fajardo","@sergio_fajardo")</f>
        <v>@sergio_fajardo</v>
      </c>
      <c r="C1084" s="5" t="s">
        <v>16</v>
      </c>
      <c r="D1084" s="5" t="s">
        <v>1106</v>
      </c>
      <c r="E1084" s="6" t="str">
        <f>HYPERLINK("https://twitter.com/sergio_fajardo/status/1279171252335382531","1279171252335382531")</f>
        <v>1279171252335382531</v>
      </c>
      <c r="F1084" s="7" t="s">
        <v>17</v>
      </c>
      <c r="G1084" s="7">
        <v>1543604</v>
      </c>
      <c r="H1084" s="7">
        <v>370</v>
      </c>
      <c r="I1084" s="7">
        <v>67</v>
      </c>
      <c r="J1084" s="7">
        <v>0</v>
      </c>
      <c r="K1084" s="7" t="s">
        <v>18</v>
      </c>
      <c r="L1084" s="8">
        <v>39891.213356481479</v>
      </c>
      <c r="M1084" s="9" t="s">
        <v>19</v>
      </c>
      <c r="N1084" s="9" t="s">
        <v>22</v>
      </c>
      <c r="O1084" s="6" t="str">
        <f>HYPERLINK("https://pbs.twimg.com/profile_images/988971255679324162/jrqiIYf__normal.jpg","View")</f>
        <v>View</v>
      </c>
      <c r="P1084" s="7"/>
    </row>
    <row r="1085" spans="1:16">
      <c r="A1085" s="3">
        <v>44016.143634259264</v>
      </c>
      <c r="B1085" s="4" t="str">
        <f>HYPERLINK("https://twitter.com/sergio_fajardo","@sergio_fajardo")</f>
        <v>@sergio_fajardo</v>
      </c>
      <c r="C1085" s="5" t="s">
        <v>16</v>
      </c>
      <c r="D1085" s="5" t="s">
        <v>1107</v>
      </c>
      <c r="E1085" s="6" t="str">
        <f>HYPERLINK("https://twitter.com/sergio_fajardo/status/1279172274558558209","1279172274558558209")</f>
        <v>1279172274558558209</v>
      </c>
      <c r="F1085" s="7" t="s">
        <v>17</v>
      </c>
      <c r="G1085" s="7">
        <v>1543604</v>
      </c>
      <c r="H1085" s="7">
        <v>370</v>
      </c>
      <c r="I1085" s="7">
        <v>1</v>
      </c>
      <c r="J1085" s="7">
        <v>0</v>
      </c>
      <c r="K1085" s="7" t="s">
        <v>18</v>
      </c>
      <c r="L1085" s="8">
        <v>39891.213356481479</v>
      </c>
      <c r="M1085" s="9" t="s">
        <v>19</v>
      </c>
      <c r="N1085" s="9" t="s">
        <v>22</v>
      </c>
      <c r="O1085" s="6" t="str">
        <f>HYPERLINK("https://pbs.twimg.com/profile_images/988971255679324162/jrqiIYf__normal.jpg","View")</f>
        <v>View</v>
      </c>
      <c r="P1085" s="7"/>
    </row>
    <row r="1086" spans="1:16">
      <c r="A1086" s="3">
        <v>44016.144895833335</v>
      </c>
      <c r="B1086" s="4" t="str">
        <f>HYPERLINK("https://twitter.com/sergio_fajardo","@sergio_fajardo")</f>
        <v>@sergio_fajardo</v>
      </c>
      <c r="C1086" s="5" t="s">
        <v>16</v>
      </c>
      <c r="D1086" s="5" t="s">
        <v>1108</v>
      </c>
      <c r="E1086" s="6" t="str">
        <f>HYPERLINK("https://twitter.com/sergio_fajardo/status/1279172729246224385","1279172729246224385")</f>
        <v>1279172729246224385</v>
      </c>
      <c r="F1086" s="7" t="s">
        <v>17</v>
      </c>
      <c r="G1086" s="7">
        <v>1543604</v>
      </c>
      <c r="H1086" s="7">
        <v>370</v>
      </c>
      <c r="I1086" s="7">
        <v>292</v>
      </c>
      <c r="J1086" s="7">
        <v>0</v>
      </c>
      <c r="K1086" s="7" t="s">
        <v>18</v>
      </c>
      <c r="L1086" s="8">
        <v>39891.213356481479</v>
      </c>
      <c r="M1086" s="9" t="s">
        <v>19</v>
      </c>
      <c r="N1086" s="9" t="s">
        <v>22</v>
      </c>
      <c r="O1086" s="6" t="str">
        <f>HYPERLINK("https://pbs.twimg.com/profile_images/988971255679324162/jrqiIYf__normal.jpg","View")</f>
        <v>View</v>
      </c>
      <c r="P1086" s="7"/>
    </row>
    <row r="1087" spans="1:16">
      <c r="A1087" s="3">
        <v>44016.950335648144</v>
      </c>
      <c r="B1087" s="4" t="str">
        <f>HYPERLINK("https://twitter.com/sergio_fajardo","@sergio_fajardo")</f>
        <v>@sergio_fajardo</v>
      </c>
      <c r="C1087" s="5" t="s">
        <v>16</v>
      </c>
      <c r="D1087" s="5" t="s">
        <v>1109</v>
      </c>
      <c r="E1087" s="6" t="str">
        <f>HYPERLINK("https://twitter.com/sergio_fajardo/status/1279464611444658177","1279464611444658177")</f>
        <v>1279464611444658177</v>
      </c>
      <c r="F1087" s="7" t="s">
        <v>17</v>
      </c>
      <c r="G1087" s="7">
        <v>1543635</v>
      </c>
      <c r="H1087" s="7">
        <v>370</v>
      </c>
      <c r="I1087" s="7">
        <v>99</v>
      </c>
      <c r="J1087" s="7">
        <v>0</v>
      </c>
      <c r="K1087" s="7" t="s">
        <v>18</v>
      </c>
      <c r="L1087" s="8">
        <v>39891.213356481479</v>
      </c>
      <c r="M1087" s="9" t="s">
        <v>19</v>
      </c>
      <c r="N1087" s="9" t="s">
        <v>22</v>
      </c>
      <c r="O1087" s="6" t="str">
        <f>HYPERLINK("https://pbs.twimg.com/profile_images/988971255679324162/jrqiIYf__normal.jpg","View")</f>
        <v>View</v>
      </c>
      <c r="P1087" s="7"/>
    </row>
    <row r="1088" spans="1:16">
      <c r="A1088" s="3">
        <v>44016.955937499995</v>
      </c>
      <c r="B1088" s="4" t="str">
        <f>HYPERLINK("https://twitter.com/sergio_fajardo","@sergio_fajardo")</f>
        <v>@sergio_fajardo</v>
      </c>
      <c r="C1088" s="5" t="s">
        <v>16</v>
      </c>
      <c r="D1088" s="5" t="s">
        <v>1110</v>
      </c>
      <c r="E1088" s="6" t="str">
        <f>HYPERLINK("https://twitter.com/sergio_fajardo/status/1279466642913865728","1279466642913865728")</f>
        <v>1279466642913865728</v>
      </c>
      <c r="F1088" s="7" t="s">
        <v>17</v>
      </c>
      <c r="G1088" s="7">
        <v>1543635</v>
      </c>
      <c r="H1088" s="7">
        <v>370</v>
      </c>
      <c r="I1088" s="7">
        <v>128</v>
      </c>
      <c r="J1088" s="7">
        <v>0</v>
      </c>
      <c r="K1088" s="7" t="s">
        <v>18</v>
      </c>
      <c r="L1088" s="8">
        <v>39891.213356481479</v>
      </c>
      <c r="M1088" s="9" t="s">
        <v>19</v>
      </c>
      <c r="N1088" s="9" t="s">
        <v>22</v>
      </c>
      <c r="O1088" s="6" t="str">
        <f>HYPERLINK("https://pbs.twimg.com/profile_images/988971255679324162/jrqiIYf__normal.jpg","View")</f>
        <v>View</v>
      </c>
      <c r="P1088" s="7"/>
    </row>
    <row r="1089" spans="1:16">
      <c r="A1089" s="3">
        <v>44016.955995370372</v>
      </c>
      <c r="B1089" s="4" t="str">
        <f>HYPERLINK("https://twitter.com/sergio_fajardo","@sergio_fajardo")</f>
        <v>@sergio_fajardo</v>
      </c>
      <c r="C1089" s="5" t="s">
        <v>16</v>
      </c>
      <c r="D1089" s="5" t="s">
        <v>1111</v>
      </c>
      <c r="E1089" s="6" t="str">
        <f>HYPERLINK("https://twitter.com/sergio_fajardo/status/1279466662647992320","1279466662647992320")</f>
        <v>1279466662647992320</v>
      </c>
      <c r="F1089" s="7" t="s">
        <v>17</v>
      </c>
      <c r="G1089" s="7">
        <v>1543635</v>
      </c>
      <c r="H1089" s="7">
        <v>370</v>
      </c>
      <c r="I1089" s="7">
        <v>125</v>
      </c>
      <c r="J1089" s="7">
        <v>0</v>
      </c>
      <c r="K1089" s="7" t="s">
        <v>18</v>
      </c>
      <c r="L1089" s="8">
        <v>39891.213356481479</v>
      </c>
      <c r="M1089" s="9" t="s">
        <v>19</v>
      </c>
      <c r="N1089" s="9" t="s">
        <v>22</v>
      </c>
      <c r="O1089" s="6" t="str">
        <f>HYPERLINK("https://pbs.twimg.com/profile_images/988971255679324162/jrqiIYf__normal.jpg","View")</f>
        <v>View</v>
      </c>
      <c r="P1089" s="7"/>
    </row>
    <row r="1090" spans="1:16">
      <c r="A1090" s="3">
        <v>44016.956099537041</v>
      </c>
      <c r="B1090" s="4" t="str">
        <f>HYPERLINK("https://twitter.com/sergio_fajardo","@sergio_fajardo")</f>
        <v>@sergio_fajardo</v>
      </c>
      <c r="C1090" s="5" t="s">
        <v>16</v>
      </c>
      <c r="D1090" s="5" t="s">
        <v>1112</v>
      </c>
      <c r="E1090" s="6" t="str">
        <f>HYPERLINK("https://twitter.com/sergio_fajardo/status/1279466699931164673","1279466699931164673")</f>
        <v>1279466699931164673</v>
      </c>
      <c r="F1090" s="7" t="s">
        <v>17</v>
      </c>
      <c r="G1090" s="7">
        <v>1543635</v>
      </c>
      <c r="H1090" s="7">
        <v>370</v>
      </c>
      <c r="I1090" s="7">
        <v>381</v>
      </c>
      <c r="J1090" s="7">
        <v>0</v>
      </c>
      <c r="K1090" s="7" t="s">
        <v>18</v>
      </c>
      <c r="L1090" s="8">
        <v>39891.213356481479</v>
      </c>
      <c r="M1090" s="9" t="s">
        <v>19</v>
      </c>
      <c r="N1090" s="9" t="s">
        <v>22</v>
      </c>
      <c r="O1090" s="6" t="str">
        <f>HYPERLINK("https://pbs.twimg.com/profile_images/988971255679324162/jrqiIYf__normal.jpg","View")</f>
        <v>View</v>
      </c>
      <c r="P1090" s="7"/>
    </row>
    <row r="1091" spans="1:16">
      <c r="A1091" s="3">
        <v>44017.213888888888</v>
      </c>
      <c r="B1091" s="4" t="str">
        <f>HYPERLINK("https://twitter.com/sergio_fajardo","@sergio_fajardo")</f>
        <v>@sergio_fajardo</v>
      </c>
      <c r="C1091" s="5" t="s">
        <v>16</v>
      </c>
      <c r="D1091" s="5" t="s">
        <v>1113</v>
      </c>
      <c r="E1091" s="6" t="str">
        <f>HYPERLINK("https://twitter.com/sergio_fajardo/status/1279560120729550851","1279560120729550851")</f>
        <v>1279560120729550851</v>
      </c>
      <c r="F1091" s="7" t="s">
        <v>17</v>
      </c>
      <c r="G1091" s="7">
        <v>1543660</v>
      </c>
      <c r="H1091" s="7">
        <v>370</v>
      </c>
      <c r="I1091" s="7">
        <v>519</v>
      </c>
      <c r="J1091" s="7">
        <v>0</v>
      </c>
      <c r="K1091" s="7" t="s">
        <v>18</v>
      </c>
      <c r="L1091" s="8">
        <v>39891.213356481479</v>
      </c>
      <c r="M1091" s="9" t="s">
        <v>19</v>
      </c>
      <c r="N1091" s="9" t="s">
        <v>22</v>
      </c>
      <c r="O1091" s="6" t="str">
        <f>HYPERLINK("https://pbs.twimg.com/profile_images/988971255679324162/jrqiIYf__normal.jpg","View")</f>
        <v>View</v>
      </c>
      <c r="P1091" s="7"/>
    </row>
    <row r="1092" spans="1:16">
      <c r="A1092" s="3">
        <v>44017.898495370369</v>
      </c>
      <c r="B1092" s="4" t="str">
        <f>HYPERLINK("https://twitter.com/sergio_fajardo","@sergio_fajardo")</f>
        <v>@sergio_fajardo</v>
      </c>
      <c r="C1092" s="5" t="s">
        <v>16</v>
      </c>
      <c r="D1092" s="5" t="s">
        <v>1114</v>
      </c>
      <c r="E1092" s="6" t="str">
        <f>HYPERLINK("https://twitter.com/sergio_fajardo/status/1279808215564328962","1279808215564328962")</f>
        <v>1279808215564328962</v>
      </c>
      <c r="F1092" s="7" t="s">
        <v>17</v>
      </c>
      <c r="G1092" s="7">
        <v>1543693</v>
      </c>
      <c r="H1092" s="7">
        <v>370</v>
      </c>
      <c r="I1092" s="7">
        <v>9</v>
      </c>
      <c r="J1092" s="7">
        <v>0</v>
      </c>
      <c r="K1092" s="7" t="s">
        <v>18</v>
      </c>
      <c r="L1092" s="8">
        <v>39891.213356481479</v>
      </c>
      <c r="M1092" s="9" t="s">
        <v>19</v>
      </c>
      <c r="N1092" s="9" t="s">
        <v>22</v>
      </c>
      <c r="O1092" s="6" t="str">
        <f>HYPERLINK("https://pbs.twimg.com/profile_images/988971255679324162/jrqiIYf__normal.jpg","View")</f>
        <v>View</v>
      </c>
      <c r="P1092" s="7"/>
    </row>
    <row r="1093" spans="1:16">
      <c r="A1093" s="3">
        <v>44017.9059837963</v>
      </c>
      <c r="B1093" s="4" t="str">
        <f>HYPERLINK("https://twitter.com/sergio_fajardo","@sergio_fajardo")</f>
        <v>@sergio_fajardo</v>
      </c>
      <c r="C1093" s="5" t="s">
        <v>16</v>
      </c>
      <c r="D1093" s="5" t="s">
        <v>1115</v>
      </c>
      <c r="E1093" s="6" t="str">
        <f>HYPERLINK("https://twitter.com/sergio_fajardo/status/1279810927689433093","1279810927689433093")</f>
        <v>1279810927689433093</v>
      </c>
      <c r="F1093" s="7" t="s">
        <v>17</v>
      </c>
      <c r="G1093" s="7">
        <v>1543693</v>
      </c>
      <c r="H1093" s="7">
        <v>370</v>
      </c>
      <c r="I1093" s="7">
        <v>1379</v>
      </c>
      <c r="J1093" s="7">
        <v>0</v>
      </c>
      <c r="K1093" s="7" t="s">
        <v>18</v>
      </c>
      <c r="L1093" s="8">
        <v>39891.213356481479</v>
      </c>
      <c r="M1093" s="9" t="s">
        <v>19</v>
      </c>
      <c r="N1093" s="9" t="s">
        <v>22</v>
      </c>
      <c r="O1093" s="6" t="str">
        <f>HYPERLINK("https://pbs.twimg.com/profile_images/988971255679324162/jrqiIYf__normal.jpg","View")</f>
        <v>View</v>
      </c>
      <c r="P1093" s="7"/>
    </row>
    <row r="1094" spans="1:16">
      <c r="A1094" s="3">
        <v>44017.913344907407</v>
      </c>
      <c r="B1094" s="4" t="str">
        <f>HYPERLINK("https://twitter.com/sergio_fajardo","@sergio_fajardo")</f>
        <v>@sergio_fajardo</v>
      </c>
      <c r="C1094" s="5" t="s">
        <v>16</v>
      </c>
      <c r="D1094" s="5" t="s">
        <v>1116</v>
      </c>
      <c r="E1094" s="6" t="str">
        <f>HYPERLINK("https://twitter.com/sergio_fajardo/status/1279813597036711937","1279813597036711937")</f>
        <v>1279813597036711937</v>
      </c>
      <c r="F1094" s="7" t="s">
        <v>17</v>
      </c>
      <c r="G1094" s="7">
        <v>1543693</v>
      </c>
      <c r="H1094" s="7">
        <v>370</v>
      </c>
      <c r="I1094" s="7">
        <v>4</v>
      </c>
      <c r="J1094" s="7">
        <v>0</v>
      </c>
      <c r="K1094" s="7" t="s">
        <v>18</v>
      </c>
      <c r="L1094" s="8">
        <v>39891.213356481479</v>
      </c>
      <c r="M1094" s="9" t="s">
        <v>19</v>
      </c>
      <c r="N1094" s="9" t="s">
        <v>22</v>
      </c>
      <c r="O1094" s="6" t="str">
        <f>HYPERLINK("https://pbs.twimg.com/profile_images/988971255679324162/jrqiIYf__normal.jpg","View")</f>
        <v>View</v>
      </c>
      <c r="P1094" s="7"/>
    </row>
    <row r="1095" spans="1:16">
      <c r="A1095" s="3">
        <v>44018.042962962965</v>
      </c>
      <c r="B1095" s="4" t="str">
        <f>HYPERLINK("https://twitter.com/sergio_fajardo","@sergio_fajardo")</f>
        <v>@sergio_fajardo</v>
      </c>
      <c r="C1095" s="5" t="s">
        <v>16</v>
      </c>
      <c r="D1095" s="5" t="s">
        <v>1117</v>
      </c>
      <c r="E1095" s="6" t="str">
        <f>HYPERLINK("https://twitter.com/sergio_fajardo/status/1279860568296435712","1279860568296435712")</f>
        <v>1279860568296435712</v>
      </c>
      <c r="F1095" s="7" t="s">
        <v>17</v>
      </c>
      <c r="G1095" s="7">
        <v>1543712</v>
      </c>
      <c r="H1095" s="7">
        <v>370</v>
      </c>
      <c r="I1095" s="7">
        <v>114</v>
      </c>
      <c r="J1095" s="7">
        <v>0</v>
      </c>
      <c r="K1095" s="7" t="s">
        <v>18</v>
      </c>
      <c r="L1095" s="8">
        <v>39891.213356481479</v>
      </c>
      <c r="M1095" s="9" t="s">
        <v>19</v>
      </c>
      <c r="N1095" s="9" t="s">
        <v>22</v>
      </c>
      <c r="O1095" s="6" t="str">
        <f>HYPERLINK("https://pbs.twimg.com/profile_images/988971255679324162/jrqiIYf__normal.jpg","View")</f>
        <v>View</v>
      </c>
      <c r="P1095" s="7"/>
    </row>
    <row r="1096" spans="1:16">
      <c r="A1096" s="3">
        <v>44018.043206018519</v>
      </c>
      <c r="B1096" s="4" t="str">
        <f>HYPERLINK("https://twitter.com/sergio_fajardo","@sergio_fajardo")</f>
        <v>@sergio_fajardo</v>
      </c>
      <c r="C1096" s="5" t="s">
        <v>16</v>
      </c>
      <c r="D1096" s="5" t="s">
        <v>1118</v>
      </c>
      <c r="E1096" s="6" t="str">
        <f>HYPERLINK("https://twitter.com/sergio_fajardo/status/1279860653226950665","1279860653226950665")</f>
        <v>1279860653226950665</v>
      </c>
      <c r="F1096" s="7" t="s">
        <v>17</v>
      </c>
      <c r="G1096" s="7">
        <v>1543712</v>
      </c>
      <c r="H1096" s="7">
        <v>370</v>
      </c>
      <c r="I1096" s="7">
        <v>233</v>
      </c>
      <c r="J1096" s="7">
        <v>0</v>
      </c>
      <c r="K1096" s="7" t="s">
        <v>18</v>
      </c>
      <c r="L1096" s="8">
        <v>39891.213356481479</v>
      </c>
      <c r="M1096" s="9" t="s">
        <v>19</v>
      </c>
      <c r="N1096" s="9" t="s">
        <v>22</v>
      </c>
      <c r="O1096" s="6" t="str">
        <f>HYPERLINK("https://pbs.twimg.com/profile_images/988971255679324162/jrqiIYf__normal.jpg","View")</f>
        <v>View</v>
      </c>
      <c r="P1096" s="7"/>
    </row>
    <row r="1097" spans="1:16">
      <c r="A1097" s="3">
        <v>44018.046747685185</v>
      </c>
      <c r="B1097" s="4" t="str">
        <f>HYPERLINK("https://twitter.com/sergio_fajardo","@sergio_fajardo")</f>
        <v>@sergio_fajardo</v>
      </c>
      <c r="C1097" s="5" t="s">
        <v>16</v>
      </c>
      <c r="D1097" s="5" t="s">
        <v>1119</v>
      </c>
      <c r="E1097" s="6" t="str">
        <f>HYPERLINK("https://twitter.com/sergio_fajardo/status/1279861938999230464","1279861938999230464")</f>
        <v>1279861938999230464</v>
      </c>
      <c r="F1097" s="7" t="s">
        <v>17</v>
      </c>
      <c r="G1097" s="7">
        <v>1543712</v>
      </c>
      <c r="H1097" s="7">
        <v>370</v>
      </c>
      <c r="I1097" s="7">
        <v>21</v>
      </c>
      <c r="J1097" s="7">
        <v>0</v>
      </c>
      <c r="K1097" s="7" t="s">
        <v>18</v>
      </c>
      <c r="L1097" s="8">
        <v>39891.213356481479</v>
      </c>
      <c r="M1097" s="9" t="s">
        <v>19</v>
      </c>
      <c r="N1097" s="9" t="s">
        <v>22</v>
      </c>
      <c r="O1097" s="6" t="str">
        <f>HYPERLINK("https://pbs.twimg.com/profile_images/988971255679324162/jrqiIYf__normal.jpg","View")</f>
        <v>View</v>
      </c>
      <c r="P1097" s="7"/>
    </row>
    <row r="1098" spans="1:16">
      <c r="A1098" s="3">
        <v>44018.122245370367</v>
      </c>
      <c r="B1098" s="4" t="str">
        <f>HYPERLINK("https://twitter.com/sergio_fajardo","@sergio_fajardo")</f>
        <v>@sergio_fajardo</v>
      </c>
      <c r="C1098" s="5" t="s">
        <v>16</v>
      </c>
      <c r="D1098" s="5" t="s">
        <v>1120</v>
      </c>
      <c r="E1098" s="6" t="str">
        <f>HYPERLINK("https://twitter.com/sergio_fajardo/status/1279889300004446208","1279889300004446208")</f>
        <v>1279889300004446208</v>
      </c>
      <c r="F1098" s="7" t="s">
        <v>17</v>
      </c>
      <c r="G1098" s="7">
        <v>1543711</v>
      </c>
      <c r="H1098" s="7">
        <v>370</v>
      </c>
      <c r="I1098" s="7">
        <v>12</v>
      </c>
      <c r="J1098" s="7">
        <v>0</v>
      </c>
      <c r="K1098" s="7" t="s">
        <v>18</v>
      </c>
      <c r="L1098" s="8">
        <v>39891.213356481479</v>
      </c>
      <c r="M1098" s="9" t="s">
        <v>19</v>
      </c>
      <c r="N1098" s="9" t="s">
        <v>22</v>
      </c>
      <c r="O1098" s="6" t="str">
        <f>HYPERLINK("https://pbs.twimg.com/profile_images/988971255679324162/jrqiIYf__normal.jpg","View")</f>
        <v>View</v>
      </c>
      <c r="P1098" s="7"/>
    </row>
    <row r="1099" spans="1:16">
      <c r="A1099" s="3">
        <v>44018.184340277774</v>
      </c>
      <c r="B1099" s="4" t="str">
        <f>HYPERLINK("https://twitter.com/sergio_fajardo","@sergio_fajardo")</f>
        <v>@sergio_fajardo</v>
      </c>
      <c r="C1099" s="5" t="s">
        <v>16</v>
      </c>
      <c r="D1099" s="5" t="s">
        <v>1121</v>
      </c>
      <c r="E1099" s="6" t="str">
        <f>HYPERLINK("https://twitter.com/sergio_fajardo/status/1279911802307055617","1279911802307055617")</f>
        <v>1279911802307055617</v>
      </c>
      <c r="F1099" s="7" t="s">
        <v>17</v>
      </c>
      <c r="G1099" s="7">
        <v>1543717</v>
      </c>
      <c r="H1099" s="7">
        <v>370</v>
      </c>
      <c r="I1099" s="7">
        <v>6</v>
      </c>
      <c r="J1099" s="7">
        <v>0</v>
      </c>
      <c r="K1099" s="7" t="s">
        <v>18</v>
      </c>
      <c r="L1099" s="8">
        <v>39891.213356481479</v>
      </c>
      <c r="M1099" s="9" t="s">
        <v>19</v>
      </c>
      <c r="N1099" s="9" t="s">
        <v>22</v>
      </c>
      <c r="O1099" s="6" t="str">
        <f>HYPERLINK("https://pbs.twimg.com/profile_images/988971255679324162/jrqiIYf__normal.jpg","View")</f>
        <v>View</v>
      </c>
      <c r="P1099" s="7"/>
    </row>
    <row r="1100" spans="1:16">
      <c r="A1100" s="3">
        <v>44018.259039351848</v>
      </c>
      <c r="B1100" s="4" t="str">
        <f>HYPERLINK("https://twitter.com/sergio_fajardo","@sergio_fajardo")</f>
        <v>@sergio_fajardo</v>
      </c>
      <c r="C1100" s="5" t="s">
        <v>16</v>
      </c>
      <c r="D1100" s="5" t="s">
        <v>1122</v>
      </c>
      <c r="E1100" s="6" t="str">
        <f>HYPERLINK("https://twitter.com/sergio_fajardo/status/1279938871808217089","1279938871808217089")</f>
        <v>1279938871808217089</v>
      </c>
      <c r="F1100" s="7" t="s">
        <v>17</v>
      </c>
      <c r="G1100" s="7">
        <v>1543711</v>
      </c>
      <c r="H1100" s="7">
        <v>370</v>
      </c>
      <c r="I1100" s="7">
        <v>30</v>
      </c>
      <c r="J1100" s="7">
        <v>0</v>
      </c>
      <c r="K1100" s="7" t="s">
        <v>18</v>
      </c>
      <c r="L1100" s="8">
        <v>39891.213356481479</v>
      </c>
      <c r="M1100" s="9" t="s">
        <v>19</v>
      </c>
      <c r="N1100" s="9" t="s">
        <v>22</v>
      </c>
      <c r="O1100" s="6" t="str">
        <f>HYPERLINK("https://pbs.twimg.com/profile_images/988971255679324162/jrqiIYf__normal.jpg","View")</f>
        <v>View</v>
      </c>
      <c r="P1100" s="7"/>
    </row>
    <row r="1101" spans="1:16">
      <c r="A1101" s="3">
        <v>44018.36655092593</v>
      </c>
      <c r="B1101" s="4" t="str">
        <f>HYPERLINK("https://twitter.com/sergio_fajardo","@sergio_fajardo")</f>
        <v>@sergio_fajardo</v>
      </c>
      <c r="C1101" s="5" t="s">
        <v>16</v>
      </c>
      <c r="D1101" s="5" t="s">
        <v>1123</v>
      </c>
      <c r="E1101" s="6" t="str">
        <f>HYPERLINK("https://twitter.com/sergio_fajardo/status/1279977830269489152","1279977830269489152")</f>
        <v>1279977830269489152</v>
      </c>
      <c r="F1101" s="7" t="s">
        <v>17</v>
      </c>
      <c r="G1101" s="7">
        <v>1543722</v>
      </c>
      <c r="H1101" s="7">
        <v>370</v>
      </c>
      <c r="I1101" s="7">
        <v>21</v>
      </c>
      <c r="J1101" s="7">
        <v>0</v>
      </c>
      <c r="K1101" s="7" t="s">
        <v>18</v>
      </c>
      <c r="L1101" s="8">
        <v>39891.213356481479</v>
      </c>
      <c r="M1101" s="9" t="s">
        <v>19</v>
      </c>
      <c r="N1101" s="9" t="s">
        <v>22</v>
      </c>
      <c r="O1101" s="6" t="str">
        <f>HYPERLINK("https://pbs.twimg.com/profile_images/988971255679324162/jrqiIYf__normal.jpg","View")</f>
        <v>View</v>
      </c>
      <c r="P1101" s="7"/>
    </row>
    <row r="1102" spans="1:16">
      <c r="A1102" s="3">
        <v>44018.370810185181</v>
      </c>
      <c r="B1102" s="4" t="str">
        <f>HYPERLINK("https://twitter.com/sergio_fajardo","@sergio_fajardo")</f>
        <v>@sergio_fajardo</v>
      </c>
      <c r="C1102" s="5" t="s">
        <v>16</v>
      </c>
      <c r="D1102" s="5" t="s">
        <v>1124</v>
      </c>
      <c r="E1102" s="6" t="str">
        <f>HYPERLINK("https://twitter.com/sergio_fajardo/status/1279979376013082624","1279979376013082624")</f>
        <v>1279979376013082624</v>
      </c>
      <c r="F1102" s="7" t="s">
        <v>17</v>
      </c>
      <c r="G1102" s="7">
        <v>1543718</v>
      </c>
      <c r="H1102" s="7">
        <v>370</v>
      </c>
      <c r="I1102" s="7">
        <v>32</v>
      </c>
      <c r="J1102" s="7">
        <v>126</v>
      </c>
      <c r="K1102" s="7" t="s">
        <v>18</v>
      </c>
      <c r="L1102" s="8">
        <v>39891.213356481479</v>
      </c>
      <c r="M1102" s="9" t="s">
        <v>19</v>
      </c>
      <c r="N1102" s="9" t="s">
        <v>22</v>
      </c>
      <c r="O1102" s="6" t="str">
        <f>HYPERLINK("https://pbs.twimg.com/profile_images/988971255679324162/jrqiIYf__normal.jpg","View")</f>
        <v>View</v>
      </c>
      <c r="P1102" s="7"/>
    </row>
    <row r="1103" spans="1:16">
      <c r="A1103" s="3">
        <v>44018.91814814815</v>
      </c>
      <c r="B1103" s="4" t="str">
        <f>HYPERLINK("https://twitter.com/sergio_fajardo","@sergio_fajardo")</f>
        <v>@sergio_fajardo</v>
      </c>
      <c r="C1103" s="5" t="s">
        <v>16</v>
      </c>
      <c r="D1103" s="5" t="s">
        <v>1125</v>
      </c>
      <c r="E1103" s="6" t="str">
        <f>HYPERLINK("https://twitter.com/sergio_fajardo/status/1280177724842283008","1280177724842283008")</f>
        <v>1280177724842283008</v>
      </c>
      <c r="F1103" s="7" t="s">
        <v>17</v>
      </c>
      <c r="G1103" s="7">
        <v>1543691</v>
      </c>
      <c r="H1103" s="7">
        <v>370</v>
      </c>
      <c r="I1103" s="7">
        <v>4</v>
      </c>
      <c r="J1103" s="7">
        <v>0</v>
      </c>
      <c r="K1103" s="7" t="s">
        <v>18</v>
      </c>
      <c r="L1103" s="8">
        <v>39891.213356481479</v>
      </c>
      <c r="M1103" s="9" t="s">
        <v>19</v>
      </c>
      <c r="N1103" s="9" t="s">
        <v>22</v>
      </c>
      <c r="O1103" s="6" t="str">
        <f>HYPERLINK("https://pbs.twimg.com/profile_images/988971255679324162/jrqiIYf__normal.jpg","View")</f>
        <v>View</v>
      </c>
      <c r="P1103" s="7"/>
    </row>
    <row r="1104" spans="1:16">
      <c r="A1104" s="3">
        <v>44018.940694444449</v>
      </c>
      <c r="B1104" s="4" t="str">
        <f>HYPERLINK("https://twitter.com/sergio_fajardo","@sergio_fajardo")</f>
        <v>@sergio_fajardo</v>
      </c>
      <c r="C1104" s="5" t="s">
        <v>16</v>
      </c>
      <c r="D1104" s="5" t="s">
        <v>1126</v>
      </c>
      <c r="E1104" s="6" t="str">
        <f>HYPERLINK("https://twitter.com/sergio_fajardo/status/1280185895556124673","1280185895556124673")</f>
        <v>1280185895556124673</v>
      </c>
      <c r="F1104" s="7" t="s">
        <v>17</v>
      </c>
      <c r="G1104" s="7">
        <v>1543691</v>
      </c>
      <c r="H1104" s="7">
        <v>371</v>
      </c>
      <c r="I1104" s="7">
        <v>9</v>
      </c>
      <c r="J1104" s="7">
        <v>0</v>
      </c>
      <c r="K1104" s="7" t="s">
        <v>18</v>
      </c>
      <c r="L1104" s="8">
        <v>39891.213356481479</v>
      </c>
      <c r="M1104" s="9" t="s">
        <v>19</v>
      </c>
      <c r="N1104" s="9" t="s">
        <v>22</v>
      </c>
      <c r="O1104" s="6" t="str">
        <f>HYPERLINK("https://pbs.twimg.com/profile_images/988971255679324162/jrqiIYf__normal.jpg","View")</f>
        <v>View</v>
      </c>
      <c r="P1104" s="7"/>
    </row>
    <row r="1105" spans="1:16">
      <c r="A1105" s="3">
        <v>44019.00680555556</v>
      </c>
      <c r="B1105" s="4" t="str">
        <f>HYPERLINK("https://twitter.com/sergio_fajardo","@sergio_fajardo")</f>
        <v>@sergio_fajardo</v>
      </c>
      <c r="C1105" s="5" t="s">
        <v>16</v>
      </c>
      <c r="D1105" s="5" t="s">
        <v>1127</v>
      </c>
      <c r="E1105" s="6" t="str">
        <f>HYPERLINK("https://twitter.com/sergio_fajardo/status/1280209851134758914","1280209851134758914")</f>
        <v>1280209851134758914</v>
      </c>
      <c r="F1105" s="7" t="s">
        <v>17</v>
      </c>
      <c r="G1105" s="7">
        <v>1543693</v>
      </c>
      <c r="H1105" s="7">
        <v>371</v>
      </c>
      <c r="I1105" s="7">
        <v>79</v>
      </c>
      <c r="J1105" s="7">
        <v>0</v>
      </c>
      <c r="K1105" s="7" t="s">
        <v>18</v>
      </c>
      <c r="L1105" s="8">
        <v>39891.213356481479</v>
      </c>
      <c r="M1105" s="9" t="s">
        <v>19</v>
      </c>
      <c r="N1105" s="9" t="s">
        <v>22</v>
      </c>
      <c r="O1105" s="6" t="str">
        <f>HYPERLINK("https://pbs.twimg.com/profile_images/988971255679324162/jrqiIYf__normal.jpg","View")</f>
        <v>View</v>
      </c>
      <c r="P1105" s="7"/>
    </row>
    <row r="1106" spans="1:16">
      <c r="A1106" s="3">
        <v>44019.71711805556</v>
      </c>
      <c r="B1106" s="4" t="str">
        <f>HYPERLINK("https://twitter.com/sergio_fajardo","@sergio_fajardo")</f>
        <v>@sergio_fajardo</v>
      </c>
      <c r="C1106" s="5" t="s">
        <v>16</v>
      </c>
      <c r="D1106" s="5" t="s">
        <v>1128</v>
      </c>
      <c r="E1106" s="6" t="str">
        <f>HYPERLINK("https://twitter.com/sergio_fajardo/status/1280467260918902784","1280467260918902784")</f>
        <v>1280467260918902784</v>
      </c>
      <c r="F1106" s="7" t="s">
        <v>17</v>
      </c>
      <c r="G1106" s="7">
        <v>1543782</v>
      </c>
      <c r="H1106" s="7">
        <v>371</v>
      </c>
      <c r="I1106" s="7">
        <v>5</v>
      </c>
      <c r="J1106" s="7">
        <v>0</v>
      </c>
      <c r="K1106" s="7" t="s">
        <v>18</v>
      </c>
      <c r="L1106" s="8">
        <v>39891.213356481479</v>
      </c>
      <c r="M1106" s="9" t="s">
        <v>19</v>
      </c>
      <c r="N1106" s="9" t="s">
        <v>22</v>
      </c>
      <c r="O1106" s="6" t="str">
        <f>HYPERLINK("https://pbs.twimg.com/profile_images/988971255679324162/jrqiIYf__normal.jpg","View")</f>
        <v>View</v>
      </c>
      <c r="P1106" s="7"/>
    </row>
    <row r="1107" spans="1:16">
      <c r="A1107" s="3">
        <v>44019.788958333331</v>
      </c>
      <c r="B1107" s="4" t="str">
        <f>HYPERLINK("https://twitter.com/sergio_fajardo","@sergio_fajardo")</f>
        <v>@sergio_fajardo</v>
      </c>
      <c r="C1107" s="5" t="s">
        <v>16</v>
      </c>
      <c r="D1107" s="5" t="s">
        <v>1129</v>
      </c>
      <c r="E1107" s="6" t="str">
        <f>HYPERLINK("https://twitter.com/sergio_fajardo/status/1280493295639187460","1280493295639187460")</f>
        <v>1280493295639187460</v>
      </c>
      <c r="F1107" s="7" t="s">
        <v>17</v>
      </c>
      <c r="G1107" s="7">
        <v>1543798</v>
      </c>
      <c r="H1107" s="7">
        <v>371</v>
      </c>
      <c r="I1107" s="7">
        <v>11</v>
      </c>
      <c r="J1107" s="7">
        <v>0</v>
      </c>
      <c r="K1107" s="7" t="s">
        <v>18</v>
      </c>
      <c r="L1107" s="8">
        <v>39891.213356481479</v>
      </c>
      <c r="M1107" s="9" t="s">
        <v>19</v>
      </c>
      <c r="N1107" s="9" t="s">
        <v>22</v>
      </c>
      <c r="O1107" s="6" t="str">
        <f>HYPERLINK("https://pbs.twimg.com/profile_images/988971255679324162/jrqiIYf__normal.jpg","View")</f>
        <v>View</v>
      </c>
      <c r="P1107" s="7"/>
    </row>
    <row r="1108" spans="1:16">
      <c r="A1108" s="3">
        <v>44019.835219907407</v>
      </c>
      <c r="B1108" s="4" t="str">
        <f>HYPERLINK("https://twitter.com/sergio_fajardo","@sergio_fajardo")</f>
        <v>@sergio_fajardo</v>
      </c>
      <c r="C1108" s="5" t="s">
        <v>16</v>
      </c>
      <c r="D1108" s="5" t="s">
        <v>1130</v>
      </c>
      <c r="E1108" s="6" t="str">
        <f>HYPERLINK("https://twitter.com/sergio_fajardo/status/1280510060863672321","1280510060863672321")</f>
        <v>1280510060863672321</v>
      </c>
      <c r="F1108" s="7" t="s">
        <v>17</v>
      </c>
      <c r="G1108" s="7">
        <v>1543797</v>
      </c>
      <c r="H1108" s="7">
        <v>371</v>
      </c>
      <c r="I1108" s="7">
        <v>615</v>
      </c>
      <c r="J1108" s="7">
        <v>0</v>
      </c>
      <c r="K1108" s="7" t="s">
        <v>18</v>
      </c>
      <c r="L1108" s="8">
        <v>39891.213356481479</v>
      </c>
      <c r="M1108" s="9" t="s">
        <v>19</v>
      </c>
      <c r="N1108" s="9" t="s">
        <v>22</v>
      </c>
      <c r="O1108" s="6" t="str">
        <f>HYPERLINK("https://pbs.twimg.com/profile_images/988971255679324162/jrqiIYf__normal.jpg","View")</f>
        <v>View</v>
      </c>
      <c r="P1108" s="7"/>
    </row>
    <row r="1109" spans="1:16">
      <c r="A1109" s="3">
        <v>44020.081331018519</v>
      </c>
      <c r="B1109" s="4" t="str">
        <f>HYPERLINK("https://twitter.com/sergio_fajardo","@sergio_fajardo")</f>
        <v>@sergio_fajardo</v>
      </c>
      <c r="C1109" s="5" t="s">
        <v>16</v>
      </c>
      <c r="D1109" s="5" t="s">
        <v>1131</v>
      </c>
      <c r="E1109" s="6" t="str">
        <f>HYPERLINK("https://twitter.com/sergio_fajardo/status/1280599247885344768","1280599247885344768")</f>
        <v>1280599247885344768</v>
      </c>
      <c r="F1109" s="7" t="s">
        <v>17</v>
      </c>
      <c r="G1109" s="7">
        <v>1543776</v>
      </c>
      <c r="H1109" s="7">
        <v>371</v>
      </c>
      <c r="I1109" s="7">
        <v>13</v>
      </c>
      <c r="J1109" s="7">
        <v>53</v>
      </c>
      <c r="K1109" s="7" t="s">
        <v>18</v>
      </c>
      <c r="L1109" s="8">
        <v>39891.213356481479</v>
      </c>
      <c r="M1109" s="9" t="s">
        <v>19</v>
      </c>
      <c r="N1109" s="9" t="s">
        <v>22</v>
      </c>
      <c r="O1109" s="6" t="str">
        <f>HYPERLINK("https://pbs.twimg.com/profile_images/988971255679324162/jrqiIYf__normal.jpg","View")</f>
        <v>View</v>
      </c>
      <c r="P1109" s="7"/>
    </row>
    <row r="1110" spans="1:16">
      <c r="A1110" s="3">
        <v>44020.114814814813</v>
      </c>
      <c r="B1110" s="4" t="str">
        <f>HYPERLINK("https://twitter.com/sergio_fajardo","@sergio_fajardo")</f>
        <v>@sergio_fajardo</v>
      </c>
      <c r="C1110" s="5" t="s">
        <v>16</v>
      </c>
      <c r="D1110" s="5" t="s">
        <v>1132</v>
      </c>
      <c r="E1110" s="6" t="str">
        <f>HYPERLINK("https://twitter.com/sergio_fajardo/status/1280611382673760257","1280611382673760257")</f>
        <v>1280611382673760257</v>
      </c>
      <c r="F1110" s="7" t="s">
        <v>17</v>
      </c>
      <c r="G1110" s="7">
        <v>1543773</v>
      </c>
      <c r="H1110" s="7">
        <v>371</v>
      </c>
      <c r="I1110" s="7">
        <v>0</v>
      </c>
      <c r="J1110" s="7">
        <v>6</v>
      </c>
      <c r="K1110" s="7" t="s">
        <v>18</v>
      </c>
      <c r="L1110" s="8">
        <v>39891.213356481479</v>
      </c>
      <c r="M1110" s="9" t="s">
        <v>19</v>
      </c>
      <c r="N1110" s="9" t="s">
        <v>22</v>
      </c>
      <c r="O1110" s="6" t="str">
        <f>HYPERLINK("https://pbs.twimg.com/profile_images/988971255679324162/jrqiIYf__normal.jpg","View")</f>
        <v>View</v>
      </c>
      <c r="P1110" s="7"/>
    </row>
    <row r="1111" spans="1:16">
      <c r="A1111" s="3">
        <v>44020.174756944441</v>
      </c>
      <c r="B1111" s="4" t="str">
        <f>HYPERLINK("https://twitter.com/sergio_fajardo","@sergio_fajardo")</f>
        <v>@sergio_fajardo</v>
      </c>
      <c r="C1111" s="5" t="s">
        <v>16</v>
      </c>
      <c r="D1111" s="5" t="s">
        <v>1133</v>
      </c>
      <c r="E1111" s="6" t="str">
        <f>HYPERLINK("https://twitter.com/sergio_fajardo/status/1280633104923844608","1280633104923844608")</f>
        <v>1280633104923844608</v>
      </c>
      <c r="F1111" s="7" t="s">
        <v>17</v>
      </c>
      <c r="G1111" s="7">
        <v>1543777</v>
      </c>
      <c r="H1111" s="7">
        <v>371</v>
      </c>
      <c r="I1111" s="7">
        <v>25</v>
      </c>
      <c r="J1111" s="7">
        <v>0</v>
      </c>
      <c r="K1111" s="7" t="s">
        <v>18</v>
      </c>
      <c r="L1111" s="8">
        <v>39891.213356481479</v>
      </c>
      <c r="M1111" s="9" t="s">
        <v>19</v>
      </c>
      <c r="N1111" s="9" t="s">
        <v>22</v>
      </c>
      <c r="O1111" s="6" t="str">
        <f>HYPERLINK("https://pbs.twimg.com/profile_images/988971255679324162/jrqiIYf__normal.jpg","View")</f>
        <v>View</v>
      </c>
      <c r="P1111" s="7"/>
    </row>
    <row r="1112" spans="1:16">
      <c r="A1112" s="3">
        <v>44020.272777777776</v>
      </c>
      <c r="B1112" s="4" t="str">
        <f>HYPERLINK("https://twitter.com/sergio_fajardo","@sergio_fajardo")</f>
        <v>@sergio_fajardo</v>
      </c>
      <c r="C1112" s="5" t="s">
        <v>16</v>
      </c>
      <c r="D1112" s="5" t="s">
        <v>1134</v>
      </c>
      <c r="E1112" s="6" t="str">
        <f>HYPERLINK("https://twitter.com/sergio_fajardo/status/1280668625234427904","1280668625234427904")</f>
        <v>1280668625234427904</v>
      </c>
      <c r="F1112" s="7" t="s">
        <v>17</v>
      </c>
      <c r="G1112" s="7">
        <v>1543789</v>
      </c>
      <c r="H1112" s="7">
        <v>371</v>
      </c>
      <c r="I1112" s="7">
        <v>6</v>
      </c>
      <c r="J1112" s="7">
        <v>14</v>
      </c>
      <c r="K1112" s="7" t="s">
        <v>18</v>
      </c>
      <c r="L1112" s="8">
        <v>39891.213356481479</v>
      </c>
      <c r="M1112" s="9" t="s">
        <v>19</v>
      </c>
      <c r="N1112" s="9" t="s">
        <v>22</v>
      </c>
      <c r="O1112" s="6" t="str">
        <f>HYPERLINK("https://pbs.twimg.com/profile_images/988971255679324162/jrqiIYf__normal.jpg","View")</f>
        <v>View</v>
      </c>
      <c r="P1112" s="7"/>
    </row>
    <row r="1113" spans="1:16">
      <c r="A1113" s="3">
        <v>44020.277303240742</v>
      </c>
      <c r="B1113" s="4" t="str">
        <f>HYPERLINK("https://twitter.com/sergio_fajardo","@sergio_fajardo")</f>
        <v>@sergio_fajardo</v>
      </c>
      <c r="C1113" s="5" t="s">
        <v>16</v>
      </c>
      <c r="D1113" s="5" t="s">
        <v>1135</v>
      </c>
      <c r="E1113" s="6" t="str">
        <f>HYPERLINK("https://twitter.com/sergio_fajardo/status/1280670266742448129","1280670266742448129")</f>
        <v>1280670266742448129</v>
      </c>
      <c r="F1113" s="7" t="s">
        <v>17</v>
      </c>
      <c r="G1113" s="7">
        <v>1543789</v>
      </c>
      <c r="H1113" s="7">
        <v>371</v>
      </c>
      <c r="I1113" s="7">
        <v>25</v>
      </c>
      <c r="J1113" s="7">
        <v>99</v>
      </c>
      <c r="K1113" s="7" t="s">
        <v>18</v>
      </c>
      <c r="L1113" s="8">
        <v>39891.213356481479</v>
      </c>
      <c r="M1113" s="9" t="s">
        <v>19</v>
      </c>
      <c r="N1113" s="9" t="s">
        <v>22</v>
      </c>
      <c r="O1113" s="6" t="str">
        <f>HYPERLINK("https://pbs.twimg.com/profile_images/988971255679324162/jrqiIYf__normal.jpg","View")</f>
        <v>View</v>
      </c>
      <c r="P1113" s="7"/>
    </row>
    <row r="1114" spans="1:16">
      <c r="A1114" s="3">
        <v>44020.27820601852</v>
      </c>
      <c r="B1114" s="4" t="str">
        <f>HYPERLINK("https://twitter.com/sergio_fajardo","@sergio_fajardo")</f>
        <v>@sergio_fajardo</v>
      </c>
      <c r="C1114" s="5" t="s">
        <v>16</v>
      </c>
      <c r="D1114" s="5" t="s">
        <v>1136</v>
      </c>
      <c r="E1114" s="6" t="str">
        <f>HYPERLINK("https://twitter.com/sergio_fajardo/status/1280670591134113798","1280670591134113798")</f>
        <v>1280670591134113798</v>
      </c>
      <c r="F1114" s="7" t="s">
        <v>17</v>
      </c>
      <c r="G1114" s="7">
        <v>1543789</v>
      </c>
      <c r="H1114" s="7">
        <v>371</v>
      </c>
      <c r="I1114" s="7">
        <v>13</v>
      </c>
      <c r="J1114" s="7">
        <v>46</v>
      </c>
      <c r="K1114" s="7" t="s">
        <v>18</v>
      </c>
      <c r="L1114" s="8">
        <v>39891.213356481479</v>
      </c>
      <c r="M1114" s="9" t="s">
        <v>19</v>
      </c>
      <c r="N1114" s="9" t="s">
        <v>22</v>
      </c>
      <c r="O1114" s="6" t="str">
        <f>HYPERLINK("https://pbs.twimg.com/profile_images/988971255679324162/jrqiIYf__normal.jpg","View")</f>
        <v>View</v>
      </c>
      <c r="P1114" s="7"/>
    </row>
    <row r="1115" spans="1:16">
      <c r="A1115" s="3">
        <v>44020.288541666669</v>
      </c>
      <c r="B1115" s="4" t="str">
        <f>HYPERLINK("https://twitter.com/sergio_fajardo","@sergio_fajardo")</f>
        <v>@sergio_fajardo</v>
      </c>
      <c r="C1115" s="5" t="s">
        <v>16</v>
      </c>
      <c r="D1115" s="5" t="s">
        <v>1137</v>
      </c>
      <c r="E1115" s="6" t="str">
        <f>HYPERLINK("https://twitter.com/sergio_fajardo/status/1280674339151634436","1280674339151634436")</f>
        <v>1280674339151634436</v>
      </c>
      <c r="F1115" s="7" t="s">
        <v>17</v>
      </c>
      <c r="G1115" s="7">
        <v>1543763</v>
      </c>
      <c r="H1115" s="7">
        <v>371</v>
      </c>
      <c r="I1115" s="7">
        <v>32</v>
      </c>
      <c r="J1115" s="7">
        <v>180</v>
      </c>
      <c r="K1115" s="7" t="s">
        <v>18</v>
      </c>
      <c r="L1115" s="8">
        <v>39891.213356481479</v>
      </c>
      <c r="M1115" s="9" t="s">
        <v>19</v>
      </c>
      <c r="N1115" s="9" t="s">
        <v>22</v>
      </c>
      <c r="O1115" s="6" t="str">
        <f>HYPERLINK("https://pbs.twimg.com/profile_images/988971255679324162/jrqiIYf__normal.jpg","View")</f>
        <v>View</v>
      </c>
      <c r="P1115" s="7"/>
    </row>
    <row r="1116" spans="1:16">
      <c r="A1116" s="3">
        <v>44020.289375</v>
      </c>
      <c r="B1116" s="4" t="str">
        <f>HYPERLINK("https://twitter.com/sergio_fajardo","@sergio_fajardo")</f>
        <v>@sergio_fajardo</v>
      </c>
      <c r="C1116" s="5" t="s">
        <v>16</v>
      </c>
      <c r="D1116" s="5" t="s">
        <v>1138</v>
      </c>
      <c r="E1116" s="6" t="str">
        <f>HYPERLINK("https://twitter.com/sergio_fajardo/status/1280674638671085569","1280674638671085569")</f>
        <v>1280674638671085569</v>
      </c>
      <c r="F1116" s="7" t="s">
        <v>17</v>
      </c>
      <c r="G1116" s="7">
        <v>1543763</v>
      </c>
      <c r="H1116" s="7">
        <v>371</v>
      </c>
      <c r="I1116" s="7">
        <v>15</v>
      </c>
      <c r="J1116" s="7">
        <v>109</v>
      </c>
      <c r="K1116" s="7" t="s">
        <v>18</v>
      </c>
      <c r="L1116" s="8">
        <v>39891.213356481479</v>
      </c>
      <c r="M1116" s="9" t="s">
        <v>19</v>
      </c>
      <c r="N1116" s="9" t="s">
        <v>22</v>
      </c>
      <c r="O1116" s="6" t="str">
        <f>HYPERLINK("https://pbs.twimg.com/profile_images/988971255679324162/jrqiIYf__normal.jpg","View")</f>
        <v>View</v>
      </c>
      <c r="P1116" s="7"/>
    </row>
    <row r="1117" spans="1:16">
      <c r="A1117" s="3">
        <v>44020.291886574079</v>
      </c>
      <c r="B1117" s="4" t="str">
        <f>HYPERLINK("https://twitter.com/sergio_fajardo","@sergio_fajardo")</f>
        <v>@sergio_fajardo</v>
      </c>
      <c r="C1117" s="5" t="s">
        <v>16</v>
      </c>
      <c r="D1117" s="5" t="s">
        <v>1139</v>
      </c>
      <c r="E1117" s="6" t="str">
        <f>HYPERLINK("https://twitter.com/sergio_fajardo/status/1280675549703258112","1280675549703258112")</f>
        <v>1280675549703258112</v>
      </c>
      <c r="F1117" s="7" t="s">
        <v>17</v>
      </c>
      <c r="G1117" s="7">
        <v>1543763</v>
      </c>
      <c r="H1117" s="7">
        <v>371</v>
      </c>
      <c r="I1117" s="7">
        <v>33</v>
      </c>
      <c r="J1117" s="7">
        <v>208</v>
      </c>
      <c r="K1117" s="7" t="s">
        <v>18</v>
      </c>
      <c r="L1117" s="8">
        <v>39891.213356481479</v>
      </c>
      <c r="M1117" s="9" t="s">
        <v>19</v>
      </c>
      <c r="N1117" s="9" t="s">
        <v>22</v>
      </c>
      <c r="O1117" s="6" t="str">
        <f>HYPERLINK("https://pbs.twimg.com/profile_images/988971255679324162/jrqiIYf__normal.jpg","View")</f>
        <v>View</v>
      </c>
      <c r="P1117" s="7"/>
    </row>
    <row r="1118" spans="1:16">
      <c r="A1118" s="3">
        <v>44020.293634259258</v>
      </c>
      <c r="B1118" s="4" t="str">
        <f>HYPERLINK("https://twitter.com/sergio_fajardo","@sergio_fajardo")</f>
        <v>@sergio_fajardo</v>
      </c>
      <c r="C1118" s="5" t="s">
        <v>16</v>
      </c>
      <c r="D1118" s="5" t="s">
        <v>1140</v>
      </c>
      <c r="E1118" s="6" t="str">
        <f>HYPERLINK("https://twitter.com/sergio_fajardo/status/1280676182590132228","1280676182590132228")</f>
        <v>1280676182590132228</v>
      </c>
      <c r="F1118" s="7" t="s">
        <v>17</v>
      </c>
      <c r="G1118" s="7">
        <v>1543763</v>
      </c>
      <c r="H1118" s="7">
        <v>371</v>
      </c>
      <c r="I1118" s="7">
        <v>15</v>
      </c>
      <c r="J1118" s="7">
        <v>60</v>
      </c>
      <c r="K1118" s="7" t="s">
        <v>18</v>
      </c>
      <c r="L1118" s="8">
        <v>39891.213356481479</v>
      </c>
      <c r="M1118" s="9" t="s">
        <v>19</v>
      </c>
      <c r="N1118" s="9" t="s">
        <v>22</v>
      </c>
      <c r="O1118" s="6" t="str">
        <f>HYPERLINK("https://pbs.twimg.com/profile_images/988971255679324162/jrqiIYf__normal.jpg","View")</f>
        <v>View</v>
      </c>
      <c r="P1118" s="7"/>
    </row>
    <row r="1119" spans="1:16">
      <c r="A1119" s="3">
        <v>44020.296006944445</v>
      </c>
      <c r="B1119" s="4" t="str">
        <f>HYPERLINK("https://twitter.com/sergio_fajardo","@sergio_fajardo")</f>
        <v>@sergio_fajardo</v>
      </c>
      <c r="C1119" s="5" t="s">
        <v>16</v>
      </c>
      <c r="D1119" s="5" t="s">
        <v>1141</v>
      </c>
      <c r="E1119" s="6" t="str">
        <f>HYPERLINK("https://twitter.com/sergio_fajardo/status/1280677042053427200","1280677042053427200")</f>
        <v>1280677042053427200</v>
      </c>
      <c r="F1119" s="7" t="s">
        <v>17</v>
      </c>
      <c r="G1119" s="7">
        <v>1543763</v>
      </c>
      <c r="H1119" s="7">
        <v>371</v>
      </c>
      <c r="I1119" s="7">
        <v>11</v>
      </c>
      <c r="J1119" s="7">
        <v>48</v>
      </c>
      <c r="K1119" s="7" t="s">
        <v>18</v>
      </c>
      <c r="L1119" s="8">
        <v>39891.213356481479</v>
      </c>
      <c r="M1119" s="9" t="s">
        <v>19</v>
      </c>
      <c r="N1119" s="9" t="s">
        <v>22</v>
      </c>
      <c r="O1119" s="6" t="str">
        <f>HYPERLINK("https://pbs.twimg.com/profile_images/988971255679324162/jrqiIYf__normal.jpg","View")</f>
        <v>View</v>
      </c>
      <c r="P1119" s="7"/>
    </row>
    <row r="1120" spans="1:16">
      <c r="A1120" s="3">
        <v>44020.310798611114</v>
      </c>
      <c r="B1120" s="4" t="str">
        <f>HYPERLINK("https://twitter.com/sergio_fajardo","@sergio_fajardo")</f>
        <v>@sergio_fajardo</v>
      </c>
      <c r="C1120" s="5" t="s">
        <v>16</v>
      </c>
      <c r="D1120" s="5" t="s">
        <v>1142</v>
      </c>
      <c r="E1120" s="6" t="str">
        <f>HYPERLINK("https://twitter.com/sergio_fajardo/status/1280682403229511681","1280682403229511681")</f>
        <v>1280682403229511681</v>
      </c>
      <c r="F1120" s="7" t="s">
        <v>17</v>
      </c>
      <c r="G1120" s="7">
        <v>1543726</v>
      </c>
      <c r="H1120" s="7">
        <v>371</v>
      </c>
      <c r="I1120" s="7">
        <v>16</v>
      </c>
      <c r="J1120" s="7">
        <v>66</v>
      </c>
      <c r="K1120" s="7" t="s">
        <v>18</v>
      </c>
      <c r="L1120" s="8">
        <v>39891.213356481479</v>
      </c>
      <c r="M1120" s="9" t="s">
        <v>19</v>
      </c>
      <c r="N1120" s="9" t="s">
        <v>22</v>
      </c>
      <c r="O1120" s="6" t="str">
        <f>HYPERLINK("https://pbs.twimg.com/profile_images/988971255679324162/jrqiIYf__normal.jpg","View")</f>
        <v>View</v>
      </c>
      <c r="P1120" s="7"/>
    </row>
    <row r="1121" spans="1:16">
      <c r="A1121" s="3">
        <v>44020.311747685184</v>
      </c>
      <c r="B1121" s="4" t="str">
        <f>HYPERLINK("https://twitter.com/sergio_fajardo","@sergio_fajardo")</f>
        <v>@sergio_fajardo</v>
      </c>
      <c r="C1121" s="5" t="s">
        <v>16</v>
      </c>
      <c r="D1121" s="5" t="s">
        <v>1143</v>
      </c>
      <c r="E1121" s="6" t="str">
        <f>HYPERLINK("https://twitter.com/sergio_fajardo/status/1280682747871232001","1280682747871232001")</f>
        <v>1280682747871232001</v>
      </c>
      <c r="F1121" s="7" t="s">
        <v>17</v>
      </c>
      <c r="G1121" s="7">
        <v>1543726</v>
      </c>
      <c r="H1121" s="7">
        <v>371</v>
      </c>
      <c r="I1121" s="7">
        <v>8</v>
      </c>
      <c r="J1121" s="7">
        <v>41</v>
      </c>
      <c r="K1121" s="7" t="s">
        <v>18</v>
      </c>
      <c r="L1121" s="8">
        <v>39891.213356481479</v>
      </c>
      <c r="M1121" s="9" t="s">
        <v>19</v>
      </c>
      <c r="N1121" s="9" t="s">
        <v>22</v>
      </c>
      <c r="O1121" s="6" t="str">
        <f>HYPERLINK("https://pbs.twimg.com/profile_images/988971255679324162/jrqiIYf__normal.jpg","View")</f>
        <v>View</v>
      </c>
      <c r="P1121" s="7"/>
    </row>
    <row r="1122" spans="1:16">
      <c r="A1122" s="3">
        <v>44020.31554398148</v>
      </c>
      <c r="B1122" s="4" t="str">
        <f>HYPERLINK("https://twitter.com/sergio_fajardo","@sergio_fajardo")</f>
        <v>@sergio_fajardo</v>
      </c>
      <c r="C1122" s="5" t="s">
        <v>16</v>
      </c>
      <c r="D1122" s="5" t="s">
        <v>1144</v>
      </c>
      <c r="E1122" s="6" t="str">
        <f>HYPERLINK("https://twitter.com/sergio_fajardo/status/1280684122298613761","1280684122298613761")</f>
        <v>1280684122298613761</v>
      </c>
      <c r="F1122" s="7" t="s">
        <v>17</v>
      </c>
      <c r="G1122" s="7">
        <v>1543726</v>
      </c>
      <c r="H1122" s="7">
        <v>371</v>
      </c>
      <c r="I1122" s="7">
        <v>12</v>
      </c>
      <c r="J1122" s="7">
        <v>70</v>
      </c>
      <c r="K1122" s="7" t="s">
        <v>18</v>
      </c>
      <c r="L1122" s="8">
        <v>39891.213356481479</v>
      </c>
      <c r="M1122" s="9" t="s">
        <v>19</v>
      </c>
      <c r="N1122" s="9" t="s">
        <v>22</v>
      </c>
      <c r="O1122" s="6" t="str">
        <f>HYPERLINK("https://pbs.twimg.com/profile_images/988971255679324162/jrqiIYf__normal.jpg","View")</f>
        <v>View</v>
      </c>
      <c r="P1122" s="7"/>
    </row>
    <row r="1123" spans="1:16">
      <c r="A1123" s="3">
        <v>44020.319131944445</v>
      </c>
      <c r="B1123" s="4" t="str">
        <f>HYPERLINK("https://twitter.com/sergio_fajardo","@sergio_fajardo")</f>
        <v>@sergio_fajardo</v>
      </c>
      <c r="C1123" s="5" t="s">
        <v>16</v>
      </c>
      <c r="D1123" s="5" t="s">
        <v>1145</v>
      </c>
      <c r="E1123" s="6" t="str">
        <f>HYPERLINK("https://twitter.com/sergio_fajardo/status/1280685425032597505","1280685425032597505")</f>
        <v>1280685425032597505</v>
      </c>
      <c r="F1123" s="7" t="s">
        <v>17</v>
      </c>
      <c r="G1123" s="7">
        <v>1543726</v>
      </c>
      <c r="H1123" s="7">
        <v>371</v>
      </c>
      <c r="I1123" s="7">
        <v>12</v>
      </c>
      <c r="J1123" s="7">
        <v>33</v>
      </c>
      <c r="K1123" s="7" t="s">
        <v>18</v>
      </c>
      <c r="L1123" s="8">
        <v>39891.213356481479</v>
      </c>
      <c r="M1123" s="9" t="s">
        <v>19</v>
      </c>
      <c r="N1123" s="9" t="s">
        <v>22</v>
      </c>
      <c r="O1123" s="6" t="str">
        <f>HYPERLINK("https://pbs.twimg.com/profile_images/988971255679324162/jrqiIYf__normal.jpg","View")</f>
        <v>View</v>
      </c>
      <c r="P1123" s="7"/>
    </row>
    <row r="1124" spans="1:16">
      <c r="A1124" s="3">
        <v>44020.704375000001</v>
      </c>
      <c r="B1124" s="4" t="str">
        <f>HYPERLINK("https://twitter.com/sergio_fajardo","@sergio_fajardo")</f>
        <v>@sergio_fajardo</v>
      </c>
      <c r="C1124" s="5" t="s">
        <v>16</v>
      </c>
      <c r="D1124" s="5" t="s">
        <v>1146</v>
      </c>
      <c r="E1124" s="6" t="str">
        <f>HYPERLINK("https://twitter.com/sergio_fajardo/status/1280825029547171840","1280825029547171840")</f>
        <v>1280825029547171840</v>
      </c>
      <c r="F1124" s="7" t="s">
        <v>17</v>
      </c>
      <c r="G1124" s="7">
        <v>1543642</v>
      </c>
      <c r="H1124" s="7">
        <v>371</v>
      </c>
      <c r="I1124" s="7">
        <v>2</v>
      </c>
      <c r="J1124" s="7">
        <v>16</v>
      </c>
      <c r="K1124" s="7" t="s">
        <v>18</v>
      </c>
      <c r="L1124" s="8">
        <v>39891.213356481479</v>
      </c>
      <c r="M1124" s="9" t="s">
        <v>19</v>
      </c>
      <c r="N1124" s="9" t="s">
        <v>22</v>
      </c>
      <c r="O1124" s="6" t="str">
        <f>HYPERLINK("https://pbs.twimg.com/profile_images/988971255679324162/jrqiIYf__normal.jpg","View")</f>
        <v>View</v>
      </c>
      <c r="P1124" s="7"/>
    </row>
    <row r="1125" spans="1:16">
      <c r="A1125" s="3">
        <v>44020.712106481486</v>
      </c>
      <c r="B1125" s="4" t="str">
        <f>HYPERLINK("https://twitter.com/sergio_fajardo","@sergio_fajardo")</f>
        <v>@sergio_fajardo</v>
      </c>
      <c r="C1125" s="5" t="s">
        <v>16</v>
      </c>
      <c r="D1125" s="5" t="s">
        <v>1147</v>
      </c>
      <c r="E1125" s="6" t="str">
        <f>HYPERLINK("https://twitter.com/sergio_fajardo/status/1280827834332741634","1280827834332741634")</f>
        <v>1280827834332741634</v>
      </c>
      <c r="F1125" s="7" t="s">
        <v>17</v>
      </c>
      <c r="G1125" s="7">
        <v>1543642</v>
      </c>
      <c r="H1125" s="7">
        <v>371</v>
      </c>
      <c r="I1125" s="7">
        <v>2</v>
      </c>
      <c r="J1125" s="7">
        <v>4</v>
      </c>
      <c r="K1125" s="7" t="s">
        <v>18</v>
      </c>
      <c r="L1125" s="8">
        <v>39891.213356481479</v>
      </c>
      <c r="M1125" s="9" t="s">
        <v>19</v>
      </c>
      <c r="N1125" s="9" t="s">
        <v>22</v>
      </c>
      <c r="O1125" s="6" t="str">
        <f>HYPERLINK("https://pbs.twimg.com/profile_images/988971255679324162/jrqiIYf__normal.jpg","View")</f>
        <v>View</v>
      </c>
      <c r="P1125" s="7"/>
    </row>
    <row r="1126" spans="1:16">
      <c r="A1126" s="3">
        <v>44020.715243055558</v>
      </c>
      <c r="B1126" s="4" t="str">
        <f>HYPERLINK("https://twitter.com/sergio_fajardo","@sergio_fajardo")</f>
        <v>@sergio_fajardo</v>
      </c>
      <c r="C1126" s="5" t="s">
        <v>16</v>
      </c>
      <c r="D1126" s="5" t="s">
        <v>1148</v>
      </c>
      <c r="E1126" s="6" t="str">
        <f>HYPERLINK("https://twitter.com/sergio_fajardo/status/1280828969642872832","1280828969642872832")</f>
        <v>1280828969642872832</v>
      </c>
      <c r="F1126" s="7" t="s">
        <v>17</v>
      </c>
      <c r="G1126" s="7">
        <v>1543642</v>
      </c>
      <c r="H1126" s="7">
        <v>371</v>
      </c>
      <c r="I1126" s="7">
        <v>2</v>
      </c>
      <c r="J1126" s="7">
        <v>9</v>
      </c>
      <c r="K1126" s="7" t="s">
        <v>18</v>
      </c>
      <c r="L1126" s="8">
        <v>39891.213356481479</v>
      </c>
      <c r="M1126" s="9" t="s">
        <v>19</v>
      </c>
      <c r="N1126" s="9" t="s">
        <v>22</v>
      </c>
      <c r="O1126" s="6" t="str">
        <f>HYPERLINK("https://pbs.twimg.com/profile_images/988971255679324162/jrqiIYf__normal.jpg","View")</f>
        <v>View</v>
      </c>
      <c r="P1126" s="7"/>
    </row>
    <row r="1127" spans="1:16">
      <c r="A1127" s="3">
        <v>44020.716458333336</v>
      </c>
      <c r="B1127" s="4" t="str">
        <f>HYPERLINK("https://twitter.com/sergio_fajardo","@sergio_fajardo")</f>
        <v>@sergio_fajardo</v>
      </c>
      <c r="C1127" s="5" t="s">
        <v>16</v>
      </c>
      <c r="D1127" s="5" t="s">
        <v>1149</v>
      </c>
      <c r="E1127" s="6" t="str">
        <f>HYPERLINK("https://twitter.com/sergio_fajardo/status/1280829408975208448","1280829408975208448")</f>
        <v>1280829408975208448</v>
      </c>
      <c r="F1127" s="7" t="s">
        <v>17</v>
      </c>
      <c r="G1127" s="7">
        <v>1543642</v>
      </c>
      <c r="H1127" s="7">
        <v>371</v>
      </c>
      <c r="I1127" s="7">
        <v>5</v>
      </c>
      <c r="J1127" s="7">
        <v>16</v>
      </c>
      <c r="K1127" s="7" t="s">
        <v>18</v>
      </c>
      <c r="L1127" s="8">
        <v>39891.213356481479</v>
      </c>
      <c r="M1127" s="9" t="s">
        <v>19</v>
      </c>
      <c r="N1127" s="9" t="s">
        <v>22</v>
      </c>
      <c r="O1127" s="6" t="str">
        <f>HYPERLINK("https://pbs.twimg.com/profile_images/988971255679324162/jrqiIYf__normal.jpg","View")</f>
        <v>View</v>
      </c>
      <c r="P1127" s="7"/>
    </row>
    <row r="1128" spans="1:16">
      <c r="A1128" s="3">
        <v>44020.718159722222</v>
      </c>
      <c r="B1128" s="4" t="str">
        <f>HYPERLINK("https://twitter.com/sergio_fajardo","@sergio_fajardo")</f>
        <v>@sergio_fajardo</v>
      </c>
      <c r="C1128" s="5" t="s">
        <v>16</v>
      </c>
      <c r="D1128" s="5" t="s">
        <v>1150</v>
      </c>
      <c r="E1128" s="6" t="str">
        <f>HYPERLINK("https://twitter.com/sergio_fajardo/status/1280830024573165568","1280830024573165568")</f>
        <v>1280830024573165568</v>
      </c>
      <c r="F1128" s="7" t="s">
        <v>17</v>
      </c>
      <c r="G1128" s="7">
        <v>1543642</v>
      </c>
      <c r="H1128" s="7">
        <v>371</v>
      </c>
      <c r="I1128" s="7">
        <v>2</v>
      </c>
      <c r="J1128" s="7">
        <v>11</v>
      </c>
      <c r="K1128" s="7" t="s">
        <v>18</v>
      </c>
      <c r="L1128" s="8">
        <v>39891.213356481479</v>
      </c>
      <c r="M1128" s="9" t="s">
        <v>19</v>
      </c>
      <c r="N1128" s="9" t="s">
        <v>22</v>
      </c>
      <c r="O1128" s="6" t="str">
        <f>HYPERLINK("https://pbs.twimg.com/profile_images/988971255679324162/jrqiIYf__normal.jpg","View")</f>
        <v>View</v>
      </c>
      <c r="P1128" s="7"/>
    </row>
    <row r="1129" spans="1:16">
      <c r="A1129" s="3">
        <v>44020.721655092595</v>
      </c>
      <c r="B1129" s="4" t="str">
        <f>HYPERLINK("https://twitter.com/sergio_fajardo","@sergio_fajardo")</f>
        <v>@sergio_fajardo</v>
      </c>
      <c r="C1129" s="5" t="s">
        <v>16</v>
      </c>
      <c r="D1129" s="5" t="s">
        <v>1151</v>
      </c>
      <c r="E1129" s="6" t="str">
        <f>HYPERLINK("https://twitter.com/sergio_fajardo/status/1280831290862981120","1280831290862981120")</f>
        <v>1280831290862981120</v>
      </c>
      <c r="F1129" s="7" t="s">
        <v>17</v>
      </c>
      <c r="G1129" s="7">
        <v>1543614</v>
      </c>
      <c r="H1129" s="7">
        <v>371</v>
      </c>
      <c r="I1129" s="7">
        <v>30</v>
      </c>
      <c r="J1129" s="7">
        <v>173</v>
      </c>
      <c r="K1129" s="7" t="s">
        <v>18</v>
      </c>
      <c r="L1129" s="8">
        <v>39891.213356481479</v>
      </c>
      <c r="M1129" s="9" t="s">
        <v>19</v>
      </c>
      <c r="N1129" s="9" t="s">
        <v>22</v>
      </c>
      <c r="O1129" s="6" t="str">
        <f>HYPERLINK("https://pbs.twimg.com/profile_images/988971255679324162/jrqiIYf__normal.jpg","View")</f>
        <v>View</v>
      </c>
      <c r="P1129" s="7"/>
    </row>
    <row r="1130" spans="1:16">
      <c r="A1130" s="3">
        <v>44020.754363425927</v>
      </c>
      <c r="B1130" s="4" t="str">
        <f>HYPERLINK("https://twitter.com/sergio_fajardo","@sergio_fajardo")</f>
        <v>@sergio_fajardo</v>
      </c>
      <c r="C1130" s="5" t="s">
        <v>16</v>
      </c>
      <c r="D1130" s="5" t="s">
        <v>1152</v>
      </c>
      <c r="E1130" s="6" t="str">
        <f>HYPERLINK("https://twitter.com/sergio_fajardo/status/1280843145387933696","1280843145387933696")</f>
        <v>1280843145387933696</v>
      </c>
      <c r="F1130" s="7" t="s">
        <v>17</v>
      </c>
      <c r="G1130" s="7">
        <v>1543599</v>
      </c>
      <c r="H1130" s="7">
        <v>371</v>
      </c>
      <c r="I1130" s="7">
        <v>0</v>
      </c>
      <c r="J1130" s="7">
        <v>5</v>
      </c>
      <c r="K1130" s="7" t="s">
        <v>18</v>
      </c>
      <c r="L1130" s="8">
        <v>39891.213356481479</v>
      </c>
      <c r="M1130" s="9" t="s">
        <v>19</v>
      </c>
      <c r="N1130" s="9" t="s">
        <v>22</v>
      </c>
      <c r="O1130" s="6" t="str">
        <f>HYPERLINK("https://pbs.twimg.com/profile_images/988971255679324162/jrqiIYf__normal.jpg","View")</f>
        <v>View</v>
      </c>
      <c r="P1130" s="7"/>
    </row>
    <row r="1131" spans="1:16">
      <c r="A1131" s="3">
        <v>44020.77275462963</v>
      </c>
      <c r="B1131" s="4" t="str">
        <f>HYPERLINK("https://twitter.com/sergio_fajardo","@sergio_fajardo")</f>
        <v>@sergio_fajardo</v>
      </c>
      <c r="C1131" s="5" t="s">
        <v>16</v>
      </c>
      <c r="D1131" s="5" t="s">
        <v>1153</v>
      </c>
      <c r="E1131" s="6" t="str">
        <f>HYPERLINK("https://twitter.com/sergio_fajardo/status/1280849811835625474","1280849811835625474")</f>
        <v>1280849811835625474</v>
      </c>
      <c r="F1131" s="7" t="s">
        <v>17</v>
      </c>
      <c r="G1131" s="7">
        <v>1543595</v>
      </c>
      <c r="H1131" s="7">
        <v>371</v>
      </c>
      <c r="I1131" s="7">
        <v>73</v>
      </c>
      <c r="J1131" s="7">
        <v>0</v>
      </c>
      <c r="K1131" s="7" t="s">
        <v>18</v>
      </c>
      <c r="L1131" s="8">
        <v>39891.213356481479</v>
      </c>
      <c r="M1131" s="9" t="s">
        <v>19</v>
      </c>
      <c r="N1131" s="9" t="s">
        <v>22</v>
      </c>
      <c r="O1131" s="6" t="str">
        <f>HYPERLINK("https://pbs.twimg.com/profile_images/988971255679324162/jrqiIYf__normal.jpg","View")</f>
        <v>View</v>
      </c>
      <c r="P1131" s="7"/>
    </row>
    <row r="1132" spans="1:16">
      <c r="A1132" s="3">
        <v>44020.801805555559</v>
      </c>
      <c r="B1132" s="4" t="str">
        <f>HYPERLINK("https://twitter.com/sergio_fajardo","@sergio_fajardo")</f>
        <v>@sergio_fajardo</v>
      </c>
      <c r="C1132" s="5" t="s">
        <v>16</v>
      </c>
      <c r="D1132" s="5" t="s">
        <v>1154</v>
      </c>
      <c r="E1132" s="6" t="str">
        <f>HYPERLINK("https://twitter.com/sergio_fajardo/status/1280860339723276288","1280860339723276288")</f>
        <v>1280860339723276288</v>
      </c>
      <c r="F1132" s="7" t="s">
        <v>17</v>
      </c>
      <c r="G1132" s="7">
        <v>1543593</v>
      </c>
      <c r="H1132" s="7">
        <v>371</v>
      </c>
      <c r="I1132" s="7">
        <v>1</v>
      </c>
      <c r="J1132" s="7">
        <v>3</v>
      </c>
      <c r="K1132" s="7" t="s">
        <v>18</v>
      </c>
      <c r="L1132" s="8">
        <v>39891.213356481479</v>
      </c>
      <c r="M1132" s="9" t="s">
        <v>19</v>
      </c>
      <c r="N1132" s="9" t="s">
        <v>22</v>
      </c>
      <c r="O1132" s="6" t="str">
        <f>HYPERLINK("https://pbs.twimg.com/profile_images/988971255679324162/jrqiIYf__normal.jpg","View")</f>
        <v>View</v>
      </c>
      <c r="P1132" s="7"/>
    </row>
    <row r="1133" spans="1:16">
      <c r="A1133" s="3">
        <v>44020.980543981481</v>
      </c>
      <c r="B1133" s="4" t="str">
        <f>HYPERLINK("https://twitter.com/sergio_fajardo","@sergio_fajardo")</f>
        <v>@sergio_fajardo</v>
      </c>
      <c r="C1133" s="5" t="s">
        <v>16</v>
      </c>
      <c r="D1133" s="5" t="s">
        <v>1155</v>
      </c>
      <c r="E1133" s="6" t="str">
        <f>HYPERLINK("https://twitter.com/sergio_fajardo/status/1280925109453234179","1280925109453234179")</f>
        <v>1280925109453234179</v>
      </c>
      <c r="F1133" s="7" t="s">
        <v>17</v>
      </c>
      <c r="G1133" s="7">
        <v>1543598</v>
      </c>
      <c r="H1133" s="7">
        <v>371</v>
      </c>
      <c r="I1133" s="7">
        <v>10</v>
      </c>
      <c r="J1133" s="7">
        <v>0</v>
      </c>
      <c r="K1133" s="7" t="s">
        <v>18</v>
      </c>
      <c r="L1133" s="8">
        <v>39891.213356481479</v>
      </c>
      <c r="M1133" s="9" t="s">
        <v>19</v>
      </c>
      <c r="N1133" s="9" t="s">
        <v>22</v>
      </c>
      <c r="O1133" s="6" t="str">
        <f>HYPERLINK("https://pbs.twimg.com/profile_images/988971255679324162/jrqiIYf__normal.jpg","View")</f>
        <v>View</v>
      </c>
      <c r="P1133" s="7"/>
    </row>
    <row r="1134" spans="1:16">
      <c r="A1134" s="3">
        <v>44021.238310185188</v>
      </c>
      <c r="B1134" s="4" t="str">
        <f>HYPERLINK("https://twitter.com/sergio_fajardo","@sergio_fajardo")</f>
        <v>@sergio_fajardo</v>
      </c>
      <c r="C1134" s="5" t="s">
        <v>16</v>
      </c>
      <c r="D1134" s="5" t="s">
        <v>1156</v>
      </c>
      <c r="E1134" s="6" t="str">
        <f>HYPERLINK("https://twitter.com/sergio_fajardo/status/1281018522727038979","1281018522727038979")</f>
        <v>1281018522727038979</v>
      </c>
      <c r="F1134" s="7" t="s">
        <v>17</v>
      </c>
      <c r="G1134" s="7">
        <v>1543576</v>
      </c>
      <c r="H1134" s="7">
        <v>372</v>
      </c>
      <c r="I1134" s="7">
        <v>1</v>
      </c>
      <c r="J1134" s="7">
        <v>19</v>
      </c>
      <c r="K1134" s="7" t="s">
        <v>18</v>
      </c>
      <c r="L1134" s="8">
        <v>39891.213356481479</v>
      </c>
      <c r="M1134" s="9" t="s">
        <v>19</v>
      </c>
      <c r="N1134" s="9" t="s">
        <v>22</v>
      </c>
      <c r="O1134" s="6" t="str">
        <f>HYPERLINK("https://pbs.twimg.com/profile_images/988971255679324162/jrqiIYf__normal.jpg","View")</f>
        <v>View</v>
      </c>
      <c r="P1134" s="7"/>
    </row>
    <row r="1135" spans="1:16">
      <c r="A1135" s="3">
        <v>44021.876898148148</v>
      </c>
      <c r="B1135" s="4" t="str">
        <f>HYPERLINK("https://twitter.com/sergio_fajardo","@sergio_fajardo")</f>
        <v>@sergio_fajardo</v>
      </c>
      <c r="C1135" s="5" t="s">
        <v>16</v>
      </c>
      <c r="D1135" s="5" t="s">
        <v>1157</v>
      </c>
      <c r="E1135" s="6" t="str">
        <f>HYPERLINK("https://twitter.com/sergio_fajardo/status/1281249937699811329","1281249937699811329")</f>
        <v>1281249937699811329</v>
      </c>
      <c r="F1135" s="7" t="s">
        <v>17</v>
      </c>
      <c r="G1135" s="7">
        <v>1543622</v>
      </c>
      <c r="H1135" s="7">
        <v>372</v>
      </c>
      <c r="I1135" s="7">
        <v>4</v>
      </c>
      <c r="J1135" s="7">
        <v>0</v>
      </c>
      <c r="K1135" s="7" t="s">
        <v>18</v>
      </c>
      <c r="L1135" s="8">
        <v>39891.213356481479</v>
      </c>
      <c r="M1135" s="9" t="s">
        <v>19</v>
      </c>
      <c r="N1135" s="9" t="s">
        <v>22</v>
      </c>
      <c r="O1135" s="6" t="str">
        <f>HYPERLINK("https://pbs.twimg.com/profile_images/988971255679324162/jrqiIYf__normal.jpg","View")</f>
        <v>View</v>
      </c>
      <c r="P1135" s="7"/>
    </row>
    <row r="1136" spans="1:16">
      <c r="A1136" s="3">
        <v>44022.035370370373</v>
      </c>
      <c r="B1136" s="4" t="str">
        <f>HYPERLINK("https://twitter.com/sergio_fajardo","@sergio_fajardo")</f>
        <v>@sergio_fajardo</v>
      </c>
      <c r="C1136" s="5" t="s">
        <v>16</v>
      </c>
      <c r="D1136" s="5" t="s">
        <v>1158</v>
      </c>
      <c r="E1136" s="6" t="str">
        <f>HYPERLINK("https://twitter.com/sergio_fajardo/status/1281307368983277568","1281307368983277568")</f>
        <v>1281307368983277568</v>
      </c>
      <c r="F1136" s="7" t="s">
        <v>17</v>
      </c>
      <c r="G1136" s="7">
        <v>1543631</v>
      </c>
      <c r="H1136" s="7">
        <v>372</v>
      </c>
      <c r="I1136" s="7">
        <v>8</v>
      </c>
      <c r="J1136" s="7">
        <v>0</v>
      </c>
      <c r="K1136" s="7" t="s">
        <v>18</v>
      </c>
      <c r="L1136" s="8">
        <v>39891.213356481479</v>
      </c>
      <c r="M1136" s="9" t="s">
        <v>19</v>
      </c>
      <c r="N1136" s="9" t="s">
        <v>22</v>
      </c>
      <c r="O1136" s="6" t="str">
        <f>HYPERLINK("https://pbs.twimg.com/profile_images/988971255679324162/jrqiIYf__normal.jpg","View")</f>
        <v>View</v>
      </c>
      <c r="P1136" s="7"/>
    </row>
    <row r="1137" spans="1:16">
      <c r="A1137" s="3">
        <v>44022.145370370374</v>
      </c>
      <c r="B1137" s="4" t="str">
        <f>HYPERLINK("https://twitter.com/sergio_fajardo","@sergio_fajardo")</f>
        <v>@sergio_fajardo</v>
      </c>
      <c r="C1137" s="5" t="s">
        <v>16</v>
      </c>
      <c r="D1137" s="5" t="s">
        <v>1159</v>
      </c>
      <c r="E1137" s="6" t="str">
        <f>HYPERLINK("https://twitter.com/sergio_fajardo/status/1281347229261889541","1281347229261889541")</f>
        <v>1281347229261889541</v>
      </c>
      <c r="F1137" s="7" t="s">
        <v>17</v>
      </c>
      <c r="G1137" s="7">
        <v>1543647</v>
      </c>
      <c r="H1137" s="7">
        <v>372</v>
      </c>
      <c r="I1137" s="7">
        <v>5</v>
      </c>
      <c r="J1137" s="7">
        <v>20</v>
      </c>
      <c r="K1137" s="7" t="s">
        <v>18</v>
      </c>
      <c r="L1137" s="8">
        <v>39891.213356481479</v>
      </c>
      <c r="M1137" s="9" t="s">
        <v>19</v>
      </c>
      <c r="N1137" s="9" t="s">
        <v>22</v>
      </c>
      <c r="O1137" s="6" t="str">
        <f>HYPERLINK("https://pbs.twimg.com/profile_images/988971255679324162/jrqiIYf__normal.jpg","View")</f>
        <v>View</v>
      </c>
      <c r="P1137" s="7"/>
    </row>
    <row r="1138" spans="1:16">
      <c r="A1138" s="3">
        <v>44022.230451388888</v>
      </c>
      <c r="B1138" s="4" t="str">
        <f>HYPERLINK("https://twitter.com/sergio_fajardo","@sergio_fajardo")</f>
        <v>@sergio_fajardo</v>
      </c>
      <c r="C1138" s="5" t="s">
        <v>16</v>
      </c>
      <c r="D1138" s="5" t="s">
        <v>1160</v>
      </c>
      <c r="E1138" s="6" t="str">
        <f>HYPERLINK("https://twitter.com/sergio_fajardo/status/1281378063096451074","1281378063096451074")</f>
        <v>1281378063096451074</v>
      </c>
      <c r="F1138" s="7" t="s">
        <v>17</v>
      </c>
      <c r="G1138" s="7">
        <v>1543648</v>
      </c>
      <c r="H1138" s="7">
        <v>372</v>
      </c>
      <c r="I1138" s="7">
        <v>7</v>
      </c>
      <c r="J1138" s="7">
        <v>18</v>
      </c>
      <c r="K1138" s="7" t="s">
        <v>18</v>
      </c>
      <c r="L1138" s="8">
        <v>39891.213356481479</v>
      </c>
      <c r="M1138" s="9" t="s">
        <v>19</v>
      </c>
      <c r="N1138" s="9" t="s">
        <v>22</v>
      </c>
      <c r="O1138" s="6" t="str">
        <f>HYPERLINK("https://pbs.twimg.com/profile_images/988971255679324162/jrqiIYf__normal.jpg","View")</f>
        <v>View</v>
      </c>
      <c r="P1138" s="7"/>
    </row>
    <row r="1139" spans="1:16">
      <c r="A1139" s="3">
        <v>44022.268229166672</v>
      </c>
      <c r="B1139" s="4" t="str">
        <f>HYPERLINK("https://twitter.com/sergio_fajardo","@sergio_fajardo")</f>
        <v>@sergio_fajardo</v>
      </c>
      <c r="C1139" s="5" t="s">
        <v>16</v>
      </c>
      <c r="D1139" s="5" t="s">
        <v>1161</v>
      </c>
      <c r="E1139" s="6" t="str">
        <f>HYPERLINK("https://twitter.com/sergio_fajardo/status/1281391754298753025","1281391754298753025")</f>
        <v>1281391754298753025</v>
      </c>
      <c r="F1139" s="7" t="s">
        <v>17</v>
      </c>
      <c r="G1139" s="7">
        <v>1543649</v>
      </c>
      <c r="H1139" s="7">
        <v>372</v>
      </c>
      <c r="I1139" s="7">
        <v>4</v>
      </c>
      <c r="J1139" s="7">
        <v>49</v>
      </c>
      <c r="K1139" s="7" t="s">
        <v>18</v>
      </c>
      <c r="L1139" s="8">
        <v>39891.213356481479</v>
      </c>
      <c r="M1139" s="9" t="s">
        <v>19</v>
      </c>
      <c r="N1139" s="9" t="s">
        <v>22</v>
      </c>
      <c r="O1139" s="6" t="str">
        <f>HYPERLINK("https://pbs.twimg.com/profile_images/988971255679324162/jrqiIYf__normal.jpg","View")</f>
        <v>View</v>
      </c>
      <c r="P1139" s="7"/>
    </row>
    <row r="1140" spans="1:16">
      <c r="A1140" s="3">
        <v>44022.274467592593</v>
      </c>
      <c r="B1140" s="4" t="str">
        <f>HYPERLINK("https://twitter.com/sergio_fajardo","@sergio_fajardo")</f>
        <v>@sergio_fajardo</v>
      </c>
      <c r="C1140" s="5" t="s">
        <v>16</v>
      </c>
      <c r="D1140" s="5" t="s">
        <v>1162</v>
      </c>
      <c r="E1140" s="6" t="str">
        <f>HYPERLINK("https://twitter.com/sergio_fajardo/status/1281394013334052864","1281394013334052864")</f>
        <v>1281394013334052864</v>
      </c>
      <c r="F1140" s="7" t="s">
        <v>17</v>
      </c>
      <c r="G1140" s="7">
        <v>1543649</v>
      </c>
      <c r="H1140" s="7">
        <v>372</v>
      </c>
      <c r="I1140" s="7">
        <v>2</v>
      </c>
      <c r="J1140" s="7">
        <v>0</v>
      </c>
      <c r="K1140" s="7" t="s">
        <v>18</v>
      </c>
      <c r="L1140" s="8">
        <v>39891.213356481479</v>
      </c>
      <c r="M1140" s="9" t="s">
        <v>19</v>
      </c>
      <c r="N1140" s="9" t="s">
        <v>22</v>
      </c>
      <c r="O1140" s="6" t="str">
        <f>HYPERLINK("https://pbs.twimg.com/profile_images/988971255679324162/jrqiIYf__normal.jpg","View")</f>
        <v>View</v>
      </c>
      <c r="P1140" s="7"/>
    </row>
    <row r="1141" spans="1:16">
      <c r="A1141" s="3">
        <v>44022.274583333332</v>
      </c>
      <c r="B1141" s="4" t="str">
        <f>HYPERLINK("https://twitter.com/sergio_fajardo","@sergio_fajardo")</f>
        <v>@sergio_fajardo</v>
      </c>
      <c r="C1141" s="5" t="s">
        <v>16</v>
      </c>
      <c r="D1141" s="5" t="s">
        <v>1163</v>
      </c>
      <c r="E1141" s="6" t="str">
        <f>HYPERLINK("https://twitter.com/sergio_fajardo/status/1281394056560619524","1281394056560619524")</f>
        <v>1281394056560619524</v>
      </c>
      <c r="F1141" s="7" t="s">
        <v>17</v>
      </c>
      <c r="G1141" s="7">
        <v>1543649</v>
      </c>
      <c r="H1141" s="7">
        <v>372</v>
      </c>
      <c r="I1141" s="7">
        <v>3</v>
      </c>
      <c r="J1141" s="7">
        <v>0</v>
      </c>
      <c r="K1141" s="7" t="s">
        <v>18</v>
      </c>
      <c r="L1141" s="8">
        <v>39891.213356481479</v>
      </c>
      <c r="M1141" s="9" t="s">
        <v>19</v>
      </c>
      <c r="N1141" s="9" t="s">
        <v>22</v>
      </c>
      <c r="O1141" s="6" t="str">
        <f>HYPERLINK("https://pbs.twimg.com/profile_images/988971255679324162/jrqiIYf__normal.jpg","View")</f>
        <v>View</v>
      </c>
      <c r="P1141" s="7"/>
    </row>
    <row r="1142" spans="1:16">
      <c r="A1142" s="3">
        <v>44022.277812500004</v>
      </c>
      <c r="B1142" s="4" t="str">
        <f>HYPERLINK("https://twitter.com/sergio_fajardo","@sergio_fajardo")</f>
        <v>@sergio_fajardo</v>
      </c>
      <c r="C1142" s="5" t="s">
        <v>16</v>
      </c>
      <c r="D1142" s="5" t="s">
        <v>1164</v>
      </c>
      <c r="E1142" s="6" t="str">
        <f>HYPERLINK("https://twitter.com/sergio_fajardo/status/1281395226737815552","1281395226737815552")</f>
        <v>1281395226737815552</v>
      </c>
      <c r="F1142" s="7" t="s">
        <v>17</v>
      </c>
      <c r="G1142" s="7">
        <v>1543649</v>
      </c>
      <c r="H1142" s="7">
        <v>372</v>
      </c>
      <c r="I1142" s="7">
        <v>2</v>
      </c>
      <c r="J1142" s="7">
        <v>0</v>
      </c>
      <c r="K1142" s="7" t="s">
        <v>18</v>
      </c>
      <c r="L1142" s="8">
        <v>39891.213356481479</v>
      </c>
      <c r="M1142" s="9" t="s">
        <v>19</v>
      </c>
      <c r="N1142" s="9" t="s">
        <v>22</v>
      </c>
      <c r="O1142" s="6" t="str">
        <f>HYPERLINK("https://pbs.twimg.com/profile_images/988971255679324162/jrqiIYf__normal.jpg","View")</f>
        <v>View</v>
      </c>
      <c r="P1142" s="7"/>
    </row>
    <row r="1143" spans="1:16">
      <c r="A1143" s="3">
        <v>44022.277962962966</v>
      </c>
      <c r="B1143" s="4" t="str">
        <f>HYPERLINK("https://twitter.com/sergio_fajardo","@sergio_fajardo")</f>
        <v>@sergio_fajardo</v>
      </c>
      <c r="C1143" s="5" t="s">
        <v>16</v>
      </c>
      <c r="D1143" s="5" t="s">
        <v>1165</v>
      </c>
      <c r="E1143" s="6" t="str">
        <f>HYPERLINK("https://twitter.com/sergio_fajardo/status/1281395279481233409","1281395279481233409")</f>
        <v>1281395279481233409</v>
      </c>
      <c r="F1143" s="7" t="s">
        <v>17</v>
      </c>
      <c r="G1143" s="7">
        <v>1543649</v>
      </c>
      <c r="H1143" s="7">
        <v>372</v>
      </c>
      <c r="I1143" s="7">
        <v>2</v>
      </c>
      <c r="J1143" s="7">
        <v>0</v>
      </c>
      <c r="K1143" s="7" t="s">
        <v>18</v>
      </c>
      <c r="L1143" s="8">
        <v>39891.213356481479</v>
      </c>
      <c r="M1143" s="9" t="s">
        <v>19</v>
      </c>
      <c r="N1143" s="9" t="s">
        <v>22</v>
      </c>
      <c r="O1143" s="6" t="str">
        <f>HYPERLINK("https://pbs.twimg.com/profile_images/988971255679324162/jrqiIYf__normal.jpg","View")</f>
        <v>View</v>
      </c>
      <c r="P1143" s="7"/>
    </row>
    <row r="1144" spans="1:16">
      <c r="A1144" s="3">
        <v>44022.278680555552</v>
      </c>
      <c r="B1144" s="4" t="str">
        <f>HYPERLINK("https://twitter.com/sergio_fajardo","@sergio_fajardo")</f>
        <v>@sergio_fajardo</v>
      </c>
      <c r="C1144" s="5" t="s">
        <v>16</v>
      </c>
      <c r="D1144" s="5" t="s">
        <v>1166</v>
      </c>
      <c r="E1144" s="6" t="str">
        <f>HYPERLINK("https://twitter.com/sergio_fajardo/status/1281395540446654466","1281395540446654466")</f>
        <v>1281395540446654466</v>
      </c>
      <c r="F1144" s="7" t="s">
        <v>17</v>
      </c>
      <c r="G1144" s="7">
        <v>1543649</v>
      </c>
      <c r="H1144" s="7">
        <v>372</v>
      </c>
      <c r="I1144" s="7">
        <v>2</v>
      </c>
      <c r="J1144" s="7">
        <v>0</v>
      </c>
      <c r="K1144" s="7" t="s">
        <v>18</v>
      </c>
      <c r="L1144" s="8">
        <v>39891.213356481479</v>
      </c>
      <c r="M1144" s="9" t="s">
        <v>19</v>
      </c>
      <c r="N1144" s="9" t="s">
        <v>22</v>
      </c>
      <c r="O1144" s="6" t="str">
        <f>HYPERLINK("https://pbs.twimg.com/profile_images/988971255679324162/jrqiIYf__normal.jpg","View")</f>
        <v>View</v>
      </c>
      <c r="P1144" s="7"/>
    </row>
    <row r="1145" spans="1:16">
      <c r="A1145" s="3">
        <v>44022.280162037037</v>
      </c>
      <c r="B1145" s="4" t="str">
        <f>HYPERLINK("https://twitter.com/sergio_fajardo","@sergio_fajardo")</f>
        <v>@sergio_fajardo</v>
      </c>
      <c r="C1145" s="5" t="s">
        <v>16</v>
      </c>
      <c r="D1145" s="5" t="s">
        <v>1167</v>
      </c>
      <c r="E1145" s="6" t="str">
        <f>HYPERLINK("https://twitter.com/sergio_fajardo/status/1281396078542237696","1281396078542237696")</f>
        <v>1281396078542237696</v>
      </c>
      <c r="F1145" s="7" t="s">
        <v>17</v>
      </c>
      <c r="G1145" s="7">
        <v>1543649</v>
      </c>
      <c r="H1145" s="7">
        <v>372</v>
      </c>
      <c r="I1145" s="7">
        <v>2</v>
      </c>
      <c r="J1145" s="7">
        <v>0</v>
      </c>
      <c r="K1145" s="7" t="s">
        <v>18</v>
      </c>
      <c r="L1145" s="8">
        <v>39891.213356481479</v>
      </c>
      <c r="M1145" s="9" t="s">
        <v>19</v>
      </c>
      <c r="N1145" s="9" t="s">
        <v>22</v>
      </c>
      <c r="O1145" s="6" t="str">
        <f>HYPERLINK("https://pbs.twimg.com/profile_images/988971255679324162/jrqiIYf__normal.jpg","View")</f>
        <v>View</v>
      </c>
      <c r="P1145" s="7"/>
    </row>
    <row r="1146" spans="1:16">
      <c r="A1146" s="3">
        <v>44022.280185185184</v>
      </c>
      <c r="B1146" s="4" t="str">
        <f>HYPERLINK("https://twitter.com/sergio_fajardo","@sergio_fajardo")</f>
        <v>@sergio_fajardo</v>
      </c>
      <c r="C1146" s="5" t="s">
        <v>16</v>
      </c>
      <c r="D1146" s="5" t="s">
        <v>1168</v>
      </c>
      <c r="E1146" s="6" t="str">
        <f>HYPERLINK("https://twitter.com/sergio_fajardo/status/1281396086305968129","1281396086305968129")</f>
        <v>1281396086305968129</v>
      </c>
      <c r="F1146" s="7" t="s">
        <v>17</v>
      </c>
      <c r="G1146" s="7">
        <v>1543649</v>
      </c>
      <c r="H1146" s="7">
        <v>372</v>
      </c>
      <c r="I1146" s="7">
        <v>1</v>
      </c>
      <c r="J1146" s="7">
        <v>0</v>
      </c>
      <c r="K1146" s="7" t="s">
        <v>18</v>
      </c>
      <c r="L1146" s="8">
        <v>39891.213356481479</v>
      </c>
      <c r="M1146" s="9" t="s">
        <v>19</v>
      </c>
      <c r="N1146" s="9" t="s">
        <v>22</v>
      </c>
      <c r="O1146" s="6" t="str">
        <f>HYPERLINK("https://pbs.twimg.com/profile_images/988971255679324162/jrqiIYf__normal.jpg","View")</f>
        <v>View</v>
      </c>
      <c r="P1146" s="7"/>
    </row>
    <row r="1147" spans="1:16">
      <c r="A1147" s="3">
        <v>44022.281481481477</v>
      </c>
      <c r="B1147" s="4" t="str">
        <f>HYPERLINK("https://twitter.com/sergio_fajardo","@sergio_fajardo")</f>
        <v>@sergio_fajardo</v>
      </c>
      <c r="C1147" s="5" t="s">
        <v>16</v>
      </c>
      <c r="D1147" s="5" t="s">
        <v>1169</v>
      </c>
      <c r="E1147" s="6" t="str">
        <f>HYPERLINK("https://twitter.com/sergio_fajardo/status/1281396552905510917","1281396552905510917")</f>
        <v>1281396552905510917</v>
      </c>
      <c r="F1147" s="7" t="s">
        <v>17</v>
      </c>
      <c r="G1147" s="7">
        <v>1543649</v>
      </c>
      <c r="H1147" s="7">
        <v>372</v>
      </c>
      <c r="I1147" s="7">
        <v>1</v>
      </c>
      <c r="J1147" s="7">
        <v>0</v>
      </c>
      <c r="K1147" s="7" t="s">
        <v>18</v>
      </c>
      <c r="L1147" s="8">
        <v>39891.213356481479</v>
      </c>
      <c r="M1147" s="9" t="s">
        <v>19</v>
      </c>
      <c r="N1147" s="9" t="s">
        <v>22</v>
      </c>
      <c r="O1147" s="6" t="str">
        <f>HYPERLINK("https://pbs.twimg.com/profile_images/988971255679324162/jrqiIYf__normal.jpg","View")</f>
        <v>View</v>
      </c>
      <c r="P1147" s="7"/>
    </row>
    <row r="1148" spans="1:16">
      <c r="A1148" s="3">
        <v>44022.284467592588</v>
      </c>
      <c r="B1148" s="4" t="str">
        <f>HYPERLINK("https://twitter.com/sergio_fajardo","@sergio_fajardo")</f>
        <v>@sergio_fajardo</v>
      </c>
      <c r="C1148" s="5" t="s">
        <v>16</v>
      </c>
      <c r="D1148" s="5" t="s">
        <v>1170</v>
      </c>
      <c r="E1148" s="6" t="str">
        <f>HYPERLINK("https://twitter.com/sergio_fajardo/status/1281397637715918848","1281397637715918848")</f>
        <v>1281397637715918848</v>
      </c>
      <c r="F1148" s="7" t="s">
        <v>17</v>
      </c>
      <c r="G1148" s="7">
        <v>1543645</v>
      </c>
      <c r="H1148" s="7">
        <v>372</v>
      </c>
      <c r="I1148" s="7">
        <v>18</v>
      </c>
      <c r="J1148" s="7">
        <v>74</v>
      </c>
      <c r="K1148" s="7" t="s">
        <v>18</v>
      </c>
      <c r="L1148" s="8">
        <v>39891.213356481479</v>
      </c>
      <c r="M1148" s="9" t="s">
        <v>19</v>
      </c>
      <c r="N1148" s="9" t="s">
        <v>22</v>
      </c>
      <c r="O1148" s="6" t="str">
        <f>HYPERLINK("https://pbs.twimg.com/profile_images/988971255679324162/jrqiIYf__normal.jpg","View")</f>
        <v>View</v>
      </c>
      <c r="P1148" s="7"/>
    </row>
    <row r="1149" spans="1:16">
      <c r="A1149" s="3">
        <v>44022.713831018518</v>
      </c>
      <c r="B1149" s="4" t="str">
        <f>HYPERLINK("https://twitter.com/sergio_fajardo","@sergio_fajardo")</f>
        <v>@sergio_fajardo</v>
      </c>
      <c r="C1149" s="5" t="s">
        <v>16</v>
      </c>
      <c r="D1149" s="5" t="s">
        <v>1171</v>
      </c>
      <c r="E1149" s="6" t="str">
        <f>HYPERLINK("https://twitter.com/sergio_fajardo/status/1281553234226798600","1281553234226798600")</f>
        <v>1281553234226798600</v>
      </c>
      <c r="F1149" s="7" t="s">
        <v>17</v>
      </c>
      <c r="G1149" s="7">
        <v>1543628</v>
      </c>
      <c r="H1149" s="7">
        <v>372</v>
      </c>
      <c r="I1149" s="7">
        <v>11</v>
      </c>
      <c r="J1149" s="7">
        <v>27</v>
      </c>
      <c r="K1149" s="7" t="s">
        <v>18</v>
      </c>
      <c r="L1149" s="8">
        <v>39891.213356481479</v>
      </c>
      <c r="M1149" s="9" t="s">
        <v>19</v>
      </c>
      <c r="N1149" s="9" t="s">
        <v>22</v>
      </c>
      <c r="O1149" s="6" t="str">
        <f>HYPERLINK("https://pbs.twimg.com/profile_images/988971255679324162/jrqiIYf__normal.jpg","View")</f>
        <v>View</v>
      </c>
      <c r="P1149" s="7"/>
    </row>
    <row r="1150" spans="1:16">
      <c r="A1150" s="3">
        <v>44022.945335648154</v>
      </c>
      <c r="B1150" s="4" t="str">
        <f>HYPERLINK("https://twitter.com/sergio_fajardo","@sergio_fajardo")</f>
        <v>@sergio_fajardo</v>
      </c>
      <c r="C1150" s="5" t="s">
        <v>16</v>
      </c>
      <c r="D1150" s="5" t="s">
        <v>1172</v>
      </c>
      <c r="E1150" s="6" t="str">
        <f>HYPERLINK("https://twitter.com/sergio_fajardo/status/1281637125516136450","1281637125516136450")</f>
        <v>1281637125516136450</v>
      </c>
      <c r="F1150" s="7" t="s">
        <v>17</v>
      </c>
      <c r="G1150" s="7">
        <v>1543649</v>
      </c>
      <c r="H1150" s="7">
        <v>372</v>
      </c>
      <c r="I1150" s="7">
        <v>6</v>
      </c>
      <c r="J1150" s="7">
        <v>11</v>
      </c>
      <c r="K1150" s="7" t="s">
        <v>18</v>
      </c>
      <c r="L1150" s="8">
        <v>39891.213356481479</v>
      </c>
      <c r="M1150" s="9" t="s">
        <v>19</v>
      </c>
      <c r="N1150" s="9" t="s">
        <v>22</v>
      </c>
      <c r="O1150" s="6" t="str">
        <f>HYPERLINK("https://pbs.twimg.com/profile_images/988971255679324162/jrqiIYf__normal.jpg","View")</f>
        <v>View</v>
      </c>
      <c r="P1150" s="7"/>
    </row>
    <row r="1151" spans="1:16">
      <c r="A1151" s="3">
        <v>44023.821851851855</v>
      </c>
      <c r="B1151" s="4" t="str">
        <f>HYPERLINK("https://twitter.com/sergio_fajardo","@sergio_fajardo")</f>
        <v>@sergio_fajardo</v>
      </c>
      <c r="C1151" s="5" t="s">
        <v>16</v>
      </c>
      <c r="D1151" s="5" t="s">
        <v>1173</v>
      </c>
      <c r="E1151" s="6" t="str">
        <f>HYPERLINK("https://twitter.com/sergio_fajardo/status/1281954766676000769","1281954766676000769")</f>
        <v>1281954766676000769</v>
      </c>
      <c r="F1151" s="7" t="s">
        <v>17</v>
      </c>
      <c r="G1151" s="7">
        <v>1543633</v>
      </c>
      <c r="H1151" s="7">
        <v>372</v>
      </c>
      <c r="I1151" s="7">
        <v>3</v>
      </c>
      <c r="J1151" s="7">
        <v>0</v>
      </c>
      <c r="K1151" s="7" t="s">
        <v>18</v>
      </c>
      <c r="L1151" s="8">
        <v>39891.213356481479</v>
      </c>
      <c r="M1151" s="9" t="s">
        <v>19</v>
      </c>
      <c r="N1151" s="9" t="s">
        <v>22</v>
      </c>
      <c r="O1151" s="6" t="str">
        <f>HYPERLINK("https://pbs.twimg.com/profile_images/988971255679324162/jrqiIYf__normal.jpg","View")</f>
        <v>View</v>
      </c>
      <c r="P1151" s="7"/>
    </row>
    <row r="1152" spans="1:16">
      <c r="A1152" s="3">
        <v>44023.859027777777</v>
      </c>
      <c r="B1152" s="4" t="str">
        <f>HYPERLINK("https://twitter.com/sergio_fajardo","@sergio_fajardo")</f>
        <v>@sergio_fajardo</v>
      </c>
      <c r="C1152" s="5" t="s">
        <v>16</v>
      </c>
      <c r="D1152" s="5" t="s">
        <v>1174</v>
      </c>
      <c r="E1152" s="6" t="str">
        <f>HYPERLINK("https://twitter.com/sergio_fajardo/status/1281968237371166720","1281968237371166720")</f>
        <v>1281968237371166720</v>
      </c>
      <c r="F1152" s="7" t="s">
        <v>17</v>
      </c>
      <c r="G1152" s="7">
        <v>1543635</v>
      </c>
      <c r="H1152" s="7">
        <v>372</v>
      </c>
      <c r="I1152" s="7">
        <v>10</v>
      </c>
      <c r="J1152" s="7">
        <v>27</v>
      </c>
      <c r="K1152" s="7" t="s">
        <v>18</v>
      </c>
      <c r="L1152" s="8">
        <v>39891.213356481479</v>
      </c>
      <c r="M1152" s="9" t="s">
        <v>19</v>
      </c>
      <c r="N1152" s="9" t="s">
        <v>22</v>
      </c>
      <c r="O1152" s="6" t="str">
        <f>HYPERLINK("https://pbs.twimg.com/profile_images/988971255679324162/jrqiIYf__normal.jpg","View")</f>
        <v>View</v>
      </c>
      <c r="P1152" s="7"/>
    </row>
    <row r="1153" spans="1:16">
      <c r="A1153" s="3">
        <v>44023.875821759255</v>
      </c>
      <c r="B1153" s="4" t="str">
        <f>HYPERLINK("https://twitter.com/sergio_fajardo","@sergio_fajardo")</f>
        <v>@sergio_fajardo</v>
      </c>
      <c r="C1153" s="5" t="s">
        <v>16</v>
      </c>
      <c r="D1153" s="5" t="s">
        <v>1175</v>
      </c>
      <c r="E1153" s="6" t="str">
        <f>HYPERLINK("https://twitter.com/sergio_fajardo/status/1281974325726400514","1281974325726400514")</f>
        <v>1281974325726400514</v>
      </c>
      <c r="F1153" s="7" t="s">
        <v>17</v>
      </c>
      <c r="G1153" s="7">
        <v>1543638</v>
      </c>
      <c r="H1153" s="7">
        <v>372</v>
      </c>
      <c r="I1153" s="7">
        <v>11</v>
      </c>
      <c r="J1153" s="7">
        <v>32</v>
      </c>
      <c r="K1153" s="7" t="s">
        <v>18</v>
      </c>
      <c r="L1153" s="8">
        <v>39891.213356481479</v>
      </c>
      <c r="M1153" s="9" t="s">
        <v>19</v>
      </c>
      <c r="N1153" s="9" t="s">
        <v>22</v>
      </c>
      <c r="O1153" s="6" t="str">
        <f>HYPERLINK("https://pbs.twimg.com/profile_images/988971255679324162/jrqiIYf__normal.jpg","View")</f>
        <v>View</v>
      </c>
      <c r="P1153" s="7"/>
    </row>
    <row r="1154" spans="1:16">
      <c r="A1154" s="3">
        <v>44023.887465277774</v>
      </c>
      <c r="B1154" s="4" t="str">
        <f>HYPERLINK("https://twitter.com/sergio_fajardo","@sergio_fajardo")</f>
        <v>@sergio_fajardo</v>
      </c>
      <c r="C1154" s="5" t="s">
        <v>16</v>
      </c>
      <c r="D1154" s="5" t="s">
        <v>1176</v>
      </c>
      <c r="E1154" s="6" t="str">
        <f>HYPERLINK("https://twitter.com/sergio_fajardo/status/1281978542906118151","1281978542906118151")</f>
        <v>1281978542906118151</v>
      </c>
      <c r="F1154" s="7" t="s">
        <v>17</v>
      </c>
      <c r="G1154" s="7">
        <v>1543638</v>
      </c>
      <c r="H1154" s="7">
        <v>372</v>
      </c>
      <c r="I1154" s="7">
        <v>0</v>
      </c>
      <c r="J1154" s="7">
        <v>1</v>
      </c>
      <c r="K1154" s="7" t="s">
        <v>18</v>
      </c>
      <c r="L1154" s="8">
        <v>39891.213356481479</v>
      </c>
      <c r="M1154" s="9" t="s">
        <v>19</v>
      </c>
      <c r="N1154" s="9" t="s">
        <v>22</v>
      </c>
      <c r="O1154" s="6" t="str">
        <f>HYPERLINK("https://pbs.twimg.com/profile_images/988971255679324162/jrqiIYf__normal.jpg","View")</f>
        <v>View</v>
      </c>
      <c r="P1154" s="7"/>
    </row>
    <row r="1155" spans="1:16">
      <c r="A1155" s="3">
        <v>44023.898969907408</v>
      </c>
      <c r="B1155" s="4" t="str">
        <f>HYPERLINK("https://twitter.com/sergio_fajardo","@sergio_fajardo")</f>
        <v>@sergio_fajardo</v>
      </c>
      <c r="C1155" s="5" t="s">
        <v>16</v>
      </c>
      <c r="D1155" s="5" t="s">
        <v>1177</v>
      </c>
      <c r="E1155" s="6" t="str">
        <f>HYPERLINK("https://twitter.com/sergio_fajardo/status/1281982712694353921","1281982712694353921")</f>
        <v>1281982712694353921</v>
      </c>
      <c r="F1155" s="7" t="s">
        <v>17</v>
      </c>
      <c r="G1155" s="7">
        <v>1543635</v>
      </c>
      <c r="H1155" s="7">
        <v>372</v>
      </c>
      <c r="I1155" s="7">
        <v>10</v>
      </c>
      <c r="J1155" s="7">
        <v>0</v>
      </c>
      <c r="K1155" s="7" t="s">
        <v>18</v>
      </c>
      <c r="L1155" s="8">
        <v>39891.213356481479</v>
      </c>
      <c r="M1155" s="9" t="s">
        <v>19</v>
      </c>
      <c r="N1155" s="9" t="s">
        <v>22</v>
      </c>
      <c r="O1155" s="6" t="str">
        <f>HYPERLINK("https://pbs.twimg.com/profile_images/988971255679324162/jrqiIYf__normal.jpg","View")</f>
        <v>View</v>
      </c>
      <c r="P1155" s="7"/>
    </row>
    <row r="1156" spans="1:16">
      <c r="A1156" s="3">
        <v>44023.899282407408</v>
      </c>
      <c r="B1156" s="4" t="str">
        <f>HYPERLINK("https://twitter.com/sergio_fajardo","@sergio_fajardo")</f>
        <v>@sergio_fajardo</v>
      </c>
      <c r="C1156" s="5" t="s">
        <v>16</v>
      </c>
      <c r="D1156" s="5" t="s">
        <v>1178</v>
      </c>
      <c r="E1156" s="6" t="str">
        <f>HYPERLINK("https://twitter.com/sergio_fajardo/status/1281982827089862658","1281982827089862658")</f>
        <v>1281982827089862658</v>
      </c>
      <c r="F1156" s="7" t="s">
        <v>17</v>
      </c>
      <c r="G1156" s="7">
        <v>1543635</v>
      </c>
      <c r="H1156" s="7">
        <v>372</v>
      </c>
      <c r="I1156" s="7">
        <v>4</v>
      </c>
      <c r="J1156" s="7">
        <v>0</v>
      </c>
      <c r="K1156" s="7" t="s">
        <v>18</v>
      </c>
      <c r="L1156" s="8">
        <v>39891.213356481479</v>
      </c>
      <c r="M1156" s="9" t="s">
        <v>19</v>
      </c>
      <c r="N1156" s="9" t="s">
        <v>22</v>
      </c>
      <c r="O1156" s="6" t="str">
        <f>HYPERLINK("https://pbs.twimg.com/profile_images/988971255679324162/jrqiIYf__normal.jpg","View")</f>
        <v>View</v>
      </c>
      <c r="P1156" s="7"/>
    </row>
    <row r="1157" spans="1:16">
      <c r="A1157" s="3">
        <v>44023.902395833335</v>
      </c>
      <c r="B1157" s="4" t="str">
        <f>HYPERLINK("https://twitter.com/sergio_fajardo","@sergio_fajardo")</f>
        <v>@sergio_fajardo</v>
      </c>
      <c r="C1157" s="5" t="s">
        <v>16</v>
      </c>
      <c r="D1157" s="5" t="s">
        <v>1179</v>
      </c>
      <c r="E1157" s="6" t="str">
        <f>HYPERLINK("https://twitter.com/sergio_fajardo/status/1281983952543199232","1281983952543199232")</f>
        <v>1281983952543199232</v>
      </c>
      <c r="F1157" s="7" t="s">
        <v>17</v>
      </c>
      <c r="G1157" s="7">
        <v>1543635</v>
      </c>
      <c r="H1157" s="7">
        <v>372</v>
      </c>
      <c r="I1157" s="7">
        <v>5</v>
      </c>
      <c r="J1157" s="7">
        <v>0</v>
      </c>
      <c r="K1157" s="7" t="s">
        <v>18</v>
      </c>
      <c r="L1157" s="8">
        <v>39891.213356481479</v>
      </c>
      <c r="M1157" s="9" t="s">
        <v>19</v>
      </c>
      <c r="N1157" s="9" t="s">
        <v>22</v>
      </c>
      <c r="O1157" s="6" t="str">
        <f>HYPERLINK("https://pbs.twimg.com/profile_images/988971255679324162/jrqiIYf__normal.jpg","View")</f>
        <v>View</v>
      </c>
      <c r="P1157" s="7"/>
    </row>
    <row r="1158" spans="1:16">
      <c r="A1158" s="3">
        <v>44023.904409722221</v>
      </c>
      <c r="B1158" s="4" t="str">
        <f>HYPERLINK("https://twitter.com/sergio_fajardo","@sergio_fajardo")</f>
        <v>@sergio_fajardo</v>
      </c>
      <c r="C1158" s="5" t="s">
        <v>16</v>
      </c>
      <c r="D1158" s="5" t="s">
        <v>1180</v>
      </c>
      <c r="E1158" s="6" t="str">
        <f>HYPERLINK("https://twitter.com/sergio_fajardo/status/1281984682289242120","1281984682289242120")</f>
        <v>1281984682289242120</v>
      </c>
      <c r="F1158" s="7" t="s">
        <v>17</v>
      </c>
      <c r="G1158" s="7">
        <v>1543635</v>
      </c>
      <c r="H1158" s="7">
        <v>372</v>
      </c>
      <c r="I1158" s="7">
        <v>3</v>
      </c>
      <c r="J1158" s="7">
        <v>0</v>
      </c>
      <c r="K1158" s="7" t="s">
        <v>18</v>
      </c>
      <c r="L1158" s="8">
        <v>39891.213356481479</v>
      </c>
      <c r="M1158" s="9" t="s">
        <v>19</v>
      </c>
      <c r="N1158" s="9" t="s">
        <v>22</v>
      </c>
      <c r="O1158" s="6" t="str">
        <f>HYPERLINK("https://pbs.twimg.com/profile_images/988971255679324162/jrqiIYf__normal.jpg","View")</f>
        <v>View</v>
      </c>
      <c r="P1158" s="7"/>
    </row>
    <row r="1159" spans="1:16">
      <c r="A1159" s="3">
        <v>44023.908263888894</v>
      </c>
      <c r="B1159" s="4" t="str">
        <f>HYPERLINK("https://twitter.com/sergio_fajardo","@sergio_fajardo")</f>
        <v>@sergio_fajardo</v>
      </c>
      <c r="C1159" s="5" t="s">
        <v>16</v>
      </c>
      <c r="D1159" s="5" t="s">
        <v>1181</v>
      </c>
      <c r="E1159" s="6" t="str">
        <f>HYPERLINK("https://twitter.com/sergio_fajardo/status/1281986081613914114","1281986081613914114")</f>
        <v>1281986081613914114</v>
      </c>
      <c r="F1159" s="7" t="s">
        <v>17</v>
      </c>
      <c r="G1159" s="7">
        <v>1543635</v>
      </c>
      <c r="H1159" s="7">
        <v>372</v>
      </c>
      <c r="I1159" s="7">
        <v>1</v>
      </c>
      <c r="J1159" s="7">
        <v>2</v>
      </c>
      <c r="K1159" s="7" t="s">
        <v>18</v>
      </c>
      <c r="L1159" s="8">
        <v>39891.213356481479</v>
      </c>
      <c r="M1159" s="9" t="s">
        <v>19</v>
      </c>
      <c r="N1159" s="9" t="s">
        <v>22</v>
      </c>
      <c r="O1159" s="6" t="str">
        <f>HYPERLINK("https://pbs.twimg.com/profile_images/988971255679324162/jrqiIYf__normal.jpg","View")</f>
        <v>View</v>
      </c>
      <c r="P1159" s="7"/>
    </row>
    <row r="1160" spans="1:16">
      <c r="A1160" s="3">
        <v>44023.913356481484</v>
      </c>
      <c r="B1160" s="4" t="str">
        <f>HYPERLINK("https://twitter.com/sergio_fajardo","@sergio_fajardo")</f>
        <v>@sergio_fajardo</v>
      </c>
      <c r="C1160" s="5" t="s">
        <v>16</v>
      </c>
      <c r="D1160" s="5" t="s">
        <v>1182</v>
      </c>
      <c r="E1160" s="6" t="str">
        <f>HYPERLINK("https://twitter.com/sergio_fajardo/status/1281987927304818694","1281987927304818694")</f>
        <v>1281987927304818694</v>
      </c>
      <c r="F1160" s="7" t="s">
        <v>17</v>
      </c>
      <c r="G1160" s="7">
        <v>1543627</v>
      </c>
      <c r="H1160" s="7">
        <v>372</v>
      </c>
      <c r="I1160" s="7">
        <v>4</v>
      </c>
      <c r="J1160" s="7">
        <v>0</v>
      </c>
      <c r="K1160" s="7" t="s">
        <v>18</v>
      </c>
      <c r="L1160" s="8">
        <v>39891.213356481479</v>
      </c>
      <c r="M1160" s="9" t="s">
        <v>19</v>
      </c>
      <c r="N1160" s="9" t="s">
        <v>22</v>
      </c>
      <c r="O1160" s="6" t="str">
        <f>HYPERLINK("https://pbs.twimg.com/profile_images/988971255679324162/jrqiIYf__normal.jpg","View")</f>
        <v>View</v>
      </c>
      <c r="P1160" s="7"/>
    </row>
    <row r="1161" spans="1:16">
      <c r="A1161" s="3">
        <v>44023.924097222218</v>
      </c>
      <c r="B1161" s="4" t="str">
        <f>HYPERLINK("https://twitter.com/sergio_fajardo","@sergio_fajardo")</f>
        <v>@sergio_fajardo</v>
      </c>
      <c r="C1161" s="5" t="s">
        <v>16</v>
      </c>
      <c r="D1161" s="5" t="s">
        <v>1183</v>
      </c>
      <c r="E1161" s="6" t="str">
        <f>HYPERLINK("https://twitter.com/sergio_fajardo/status/1281991820113780739","1281991820113780739")</f>
        <v>1281991820113780739</v>
      </c>
      <c r="F1161" s="7" t="s">
        <v>17</v>
      </c>
      <c r="G1161" s="7">
        <v>1543627</v>
      </c>
      <c r="H1161" s="7">
        <v>372</v>
      </c>
      <c r="I1161" s="7">
        <v>23</v>
      </c>
      <c r="J1161" s="7">
        <v>56</v>
      </c>
      <c r="K1161" s="7" t="s">
        <v>18</v>
      </c>
      <c r="L1161" s="8">
        <v>39891.213356481479</v>
      </c>
      <c r="M1161" s="9" t="s">
        <v>19</v>
      </c>
      <c r="N1161" s="9" t="s">
        <v>22</v>
      </c>
      <c r="O1161" s="6" t="str">
        <f>HYPERLINK("https://pbs.twimg.com/profile_images/988971255679324162/jrqiIYf__normal.jpg","View")</f>
        <v>View</v>
      </c>
      <c r="P1161" s="7"/>
    </row>
    <row r="1162" spans="1:16">
      <c r="A1162" s="3">
        <v>44024.0621412037</v>
      </c>
      <c r="B1162" s="4" t="str">
        <f>HYPERLINK("https://twitter.com/sergio_fajardo","@sergio_fajardo")</f>
        <v>@sergio_fajardo</v>
      </c>
      <c r="C1162" s="5" t="s">
        <v>16</v>
      </c>
      <c r="D1162" s="5" t="s">
        <v>1184</v>
      </c>
      <c r="E1162" s="6" t="str">
        <f>HYPERLINK("https://twitter.com/sergio_fajardo/status/1282041844365434881","1282041844365434881")</f>
        <v>1282041844365434881</v>
      </c>
      <c r="F1162" s="7" t="s">
        <v>17</v>
      </c>
      <c r="G1162" s="7">
        <v>1543632</v>
      </c>
      <c r="H1162" s="7">
        <v>372</v>
      </c>
      <c r="I1162" s="7">
        <v>15</v>
      </c>
      <c r="J1162" s="7">
        <v>46</v>
      </c>
      <c r="K1162" s="7" t="s">
        <v>18</v>
      </c>
      <c r="L1162" s="8">
        <v>39891.213356481479</v>
      </c>
      <c r="M1162" s="9" t="s">
        <v>19</v>
      </c>
      <c r="N1162" s="9" t="s">
        <v>22</v>
      </c>
      <c r="O1162" s="6" t="str">
        <f>HYPERLINK("https://pbs.twimg.com/profile_images/988971255679324162/jrqiIYf__normal.jpg","View")</f>
        <v>View</v>
      </c>
      <c r="P1162" s="7"/>
    </row>
    <row r="1163" spans="1:16">
      <c r="A1163" s="3">
        <v>44024.113912037035</v>
      </c>
      <c r="B1163" s="4" t="str">
        <f>HYPERLINK("https://twitter.com/sergio_fajardo","@sergio_fajardo")</f>
        <v>@sergio_fajardo</v>
      </c>
      <c r="C1163" s="5" t="s">
        <v>16</v>
      </c>
      <c r="D1163" s="5" t="s">
        <v>1185</v>
      </c>
      <c r="E1163" s="6" t="str">
        <f>HYPERLINK("https://twitter.com/sergio_fajardo/status/1282060606418358279","1282060606418358279")</f>
        <v>1282060606418358279</v>
      </c>
      <c r="F1163" s="7" t="s">
        <v>17</v>
      </c>
      <c r="G1163" s="7">
        <v>1543631</v>
      </c>
      <c r="H1163" s="7">
        <v>372</v>
      </c>
      <c r="I1163" s="7">
        <v>108</v>
      </c>
      <c r="J1163" s="7">
        <v>0</v>
      </c>
      <c r="K1163" s="7" t="s">
        <v>18</v>
      </c>
      <c r="L1163" s="8">
        <v>39891.213356481479</v>
      </c>
      <c r="M1163" s="9" t="s">
        <v>19</v>
      </c>
      <c r="N1163" s="9" t="s">
        <v>22</v>
      </c>
      <c r="O1163" s="6" t="str">
        <f>HYPERLINK("https://pbs.twimg.com/profile_images/988971255679324162/jrqiIYf__normal.jpg","View")</f>
        <v>View</v>
      </c>
      <c r="P1163" s="7"/>
    </row>
    <row r="1164" spans="1:16">
      <c r="A1164" s="3">
        <v>44024.737893518519</v>
      </c>
      <c r="B1164" s="4" t="str">
        <f>HYPERLINK("https://twitter.com/sergio_fajardo","@sergio_fajardo")</f>
        <v>@sergio_fajardo</v>
      </c>
      <c r="C1164" s="5" t="s">
        <v>16</v>
      </c>
      <c r="D1164" s="5" t="s">
        <v>1186</v>
      </c>
      <c r="E1164" s="6" t="str">
        <f>HYPERLINK("https://twitter.com/sergio_fajardo/status/1282286730075410439","1282286730075410439")</f>
        <v>1282286730075410439</v>
      </c>
      <c r="F1164" s="7" t="s">
        <v>17</v>
      </c>
      <c r="G1164" s="7">
        <v>1543619</v>
      </c>
      <c r="H1164" s="7">
        <v>372</v>
      </c>
      <c r="I1164" s="7">
        <v>1</v>
      </c>
      <c r="J1164" s="7">
        <v>5</v>
      </c>
      <c r="K1164" s="7" t="s">
        <v>18</v>
      </c>
      <c r="L1164" s="8">
        <v>39891.213356481479</v>
      </c>
      <c r="M1164" s="9" t="s">
        <v>19</v>
      </c>
      <c r="N1164" s="9" t="s">
        <v>22</v>
      </c>
      <c r="O1164" s="6" t="str">
        <f>HYPERLINK("https://pbs.twimg.com/profile_images/988971255679324162/jrqiIYf__normal.jpg","View")</f>
        <v>View</v>
      </c>
      <c r="P1164" s="7"/>
    </row>
    <row r="1165" spans="1:16">
      <c r="A1165" s="3">
        <v>44024.74083333333</v>
      </c>
      <c r="B1165" s="4" t="str">
        <f>HYPERLINK("https://twitter.com/sergio_fajardo","@sergio_fajardo")</f>
        <v>@sergio_fajardo</v>
      </c>
      <c r="C1165" s="5" t="s">
        <v>16</v>
      </c>
      <c r="D1165" s="5" t="s">
        <v>1187</v>
      </c>
      <c r="E1165" s="6" t="str">
        <f>HYPERLINK("https://twitter.com/sergio_fajardo/status/1282287793767686144","1282287793767686144")</f>
        <v>1282287793767686144</v>
      </c>
      <c r="F1165" s="7" t="s">
        <v>17</v>
      </c>
      <c r="G1165" s="7">
        <v>1543619</v>
      </c>
      <c r="H1165" s="7">
        <v>372</v>
      </c>
      <c r="I1165" s="7">
        <v>53</v>
      </c>
      <c r="J1165" s="7">
        <v>0</v>
      </c>
      <c r="K1165" s="7" t="s">
        <v>18</v>
      </c>
      <c r="L1165" s="8">
        <v>39891.213356481479</v>
      </c>
      <c r="M1165" s="9" t="s">
        <v>19</v>
      </c>
      <c r="N1165" s="9" t="s">
        <v>22</v>
      </c>
      <c r="O1165" s="6" t="str">
        <f>HYPERLINK("https://pbs.twimg.com/profile_images/988971255679324162/jrqiIYf__normal.jpg","View")</f>
        <v>View</v>
      </c>
      <c r="P1165" s="7"/>
    </row>
    <row r="1166" spans="1:16">
      <c r="A1166" s="3">
        <v>44024.755208333328</v>
      </c>
      <c r="B1166" s="4" t="str">
        <f>HYPERLINK("https://twitter.com/sergio_fajardo","@sergio_fajardo")</f>
        <v>@sergio_fajardo</v>
      </c>
      <c r="C1166" s="5" t="s">
        <v>16</v>
      </c>
      <c r="D1166" s="5" t="s">
        <v>1188</v>
      </c>
      <c r="E1166" s="6" t="str">
        <f>HYPERLINK("https://twitter.com/sergio_fajardo/status/1282293002594062341","1282293002594062341")</f>
        <v>1282293002594062341</v>
      </c>
      <c r="F1166" s="7" t="s">
        <v>17</v>
      </c>
      <c r="G1166" s="7">
        <v>1543623</v>
      </c>
      <c r="H1166" s="7">
        <v>372</v>
      </c>
      <c r="I1166" s="7">
        <v>25</v>
      </c>
      <c r="J1166" s="7">
        <v>0</v>
      </c>
      <c r="K1166" s="7" t="s">
        <v>18</v>
      </c>
      <c r="L1166" s="8">
        <v>39891.213356481479</v>
      </c>
      <c r="M1166" s="9" t="s">
        <v>19</v>
      </c>
      <c r="N1166" s="9" t="s">
        <v>22</v>
      </c>
      <c r="O1166" s="6" t="str">
        <f>HYPERLINK("https://pbs.twimg.com/profile_images/988971255679324162/jrqiIYf__normal.jpg","View")</f>
        <v>View</v>
      </c>
      <c r="P1166" s="7"/>
    </row>
    <row r="1167" spans="1:16">
      <c r="A1167" s="3">
        <v>44024.891342592593</v>
      </c>
      <c r="B1167" s="4" t="str">
        <f>HYPERLINK("https://twitter.com/sergio_fajardo","@sergio_fajardo")</f>
        <v>@sergio_fajardo</v>
      </c>
      <c r="C1167" s="5" t="s">
        <v>16</v>
      </c>
      <c r="D1167" s="5" t="s">
        <v>1189</v>
      </c>
      <c r="E1167" s="6" t="str">
        <f>HYPERLINK("https://twitter.com/sergio_fajardo/status/1282342336853422080","1282342336853422080")</f>
        <v>1282342336853422080</v>
      </c>
      <c r="F1167" s="7" t="s">
        <v>17</v>
      </c>
      <c r="G1167" s="7">
        <v>1543644</v>
      </c>
      <c r="H1167" s="7">
        <v>372</v>
      </c>
      <c r="I1167" s="7">
        <v>17</v>
      </c>
      <c r="J1167" s="7">
        <v>39</v>
      </c>
      <c r="K1167" s="7" t="s">
        <v>18</v>
      </c>
      <c r="L1167" s="8">
        <v>39891.213356481479</v>
      </c>
      <c r="M1167" s="9" t="s">
        <v>19</v>
      </c>
      <c r="N1167" s="9" t="s">
        <v>22</v>
      </c>
      <c r="O1167" s="6" t="str">
        <f>HYPERLINK("https://pbs.twimg.com/profile_images/988971255679324162/jrqiIYf__normal.jpg","View")</f>
        <v>View</v>
      </c>
      <c r="P1167" s="7"/>
    </row>
    <row r="1168" spans="1:16">
      <c r="A1168" s="3">
        <v>44024.913437499999</v>
      </c>
      <c r="B1168" s="4" t="str">
        <f>HYPERLINK("https://twitter.com/sergio_fajardo","@sergio_fajardo")</f>
        <v>@sergio_fajardo</v>
      </c>
      <c r="C1168" s="5" t="s">
        <v>16</v>
      </c>
      <c r="D1168" s="5" t="s">
        <v>1190</v>
      </c>
      <c r="E1168" s="6" t="str">
        <f>HYPERLINK("https://twitter.com/sergio_fajardo/status/1282350343259590656","1282350343259590656")</f>
        <v>1282350343259590656</v>
      </c>
      <c r="F1168" s="7" t="s">
        <v>17</v>
      </c>
      <c r="G1168" s="7">
        <v>1543649</v>
      </c>
      <c r="H1168" s="7">
        <v>372</v>
      </c>
      <c r="I1168" s="7">
        <v>5</v>
      </c>
      <c r="J1168" s="7">
        <v>0</v>
      </c>
      <c r="K1168" s="7" t="s">
        <v>18</v>
      </c>
      <c r="L1168" s="8">
        <v>39891.213356481479</v>
      </c>
      <c r="M1168" s="9" t="s">
        <v>19</v>
      </c>
      <c r="N1168" s="9" t="s">
        <v>22</v>
      </c>
      <c r="O1168" s="6" t="str">
        <f>HYPERLINK("https://pbs.twimg.com/profile_images/988971255679324162/jrqiIYf__normal.jpg","View")</f>
        <v>View</v>
      </c>
      <c r="P1168" s="7"/>
    </row>
    <row r="1169" spans="1:16">
      <c r="A1169" s="3">
        <v>44024.919027777782</v>
      </c>
      <c r="B1169" s="4" t="str">
        <f>HYPERLINK("https://twitter.com/sergio_fajardo","@sergio_fajardo")</f>
        <v>@sergio_fajardo</v>
      </c>
      <c r="C1169" s="5" t="s">
        <v>16</v>
      </c>
      <c r="D1169" s="5" t="s">
        <v>1191</v>
      </c>
      <c r="E1169" s="6" t="str">
        <f>HYPERLINK("https://twitter.com/sergio_fajardo/status/1282352369288740867","1282352369288740867")</f>
        <v>1282352369288740867</v>
      </c>
      <c r="F1169" s="7" t="s">
        <v>17</v>
      </c>
      <c r="G1169" s="7">
        <v>1543649</v>
      </c>
      <c r="H1169" s="7">
        <v>372</v>
      </c>
      <c r="I1169" s="7">
        <v>81</v>
      </c>
      <c r="J1169" s="7">
        <v>0</v>
      </c>
      <c r="K1169" s="7" t="s">
        <v>18</v>
      </c>
      <c r="L1169" s="8">
        <v>39891.213356481479</v>
      </c>
      <c r="M1169" s="9" t="s">
        <v>19</v>
      </c>
      <c r="N1169" s="9" t="s">
        <v>22</v>
      </c>
      <c r="O1169" s="6" t="str">
        <f>HYPERLINK("https://pbs.twimg.com/profile_images/988971255679324162/jrqiIYf__normal.jpg","View")</f>
        <v>View</v>
      </c>
      <c r="P1169" s="7"/>
    </row>
    <row r="1170" spans="1:16">
      <c r="A1170" s="3">
        <v>44024.930810185186</v>
      </c>
      <c r="B1170" s="4" t="str">
        <f>HYPERLINK("https://twitter.com/sergio_fajardo","@sergio_fajardo")</f>
        <v>@sergio_fajardo</v>
      </c>
      <c r="C1170" s="5" t="s">
        <v>16</v>
      </c>
      <c r="D1170" s="5" t="s">
        <v>1192</v>
      </c>
      <c r="E1170" s="6" t="str">
        <f>HYPERLINK("https://twitter.com/sergio_fajardo/status/1282356640575102978","1282356640575102978")</f>
        <v>1282356640575102978</v>
      </c>
      <c r="F1170" s="7" t="s">
        <v>17</v>
      </c>
      <c r="G1170" s="7">
        <v>1543638</v>
      </c>
      <c r="H1170" s="7">
        <v>372</v>
      </c>
      <c r="I1170" s="7">
        <v>5</v>
      </c>
      <c r="J1170" s="7">
        <v>12</v>
      </c>
      <c r="K1170" s="7" t="s">
        <v>18</v>
      </c>
      <c r="L1170" s="8">
        <v>39891.213356481479</v>
      </c>
      <c r="M1170" s="9" t="s">
        <v>19</v>
      </c>
      <c r="N1170" s="9" t="s">
        <v>22</v>
      </c>
      <c r="O1170" s="6" t="str">
        <f>HYPERLINK("https://pbs.twimg.com/profile_images/988971255679324162/jrqiIYf__normal.jpg","View")</f>
        <v>View</v>
      </c>
      <c r="P1170" s="7"/>
    </row>
    <row r="1171" spans="1:16">
      <c r="A1171" s="3">
        <v>44025.081111111111</v>
      </c>
      <c r="B1171" s="4" t="str">
        <f>HYPERLINK("https://twitter.com/sergio_fajardo","@sergio_fajardo")</f>
        <v>@sergio_fajardo</v>
      </c>
      <c r="C1171" s="5" t="s">
        <v>16</v>
      </c>
      <c r="D1171" s="5" t="s">
        <v>1193</v>
      </c>
      <c r="E1171" s="6" t="str">
        <f>HYPERLINK("https://twitter.com/sergio_fajardo/status/1282411106305179648","1282411106305179648")</f>
        <v>1282411106305179648</v>
      </c>
      <c r="F1171" s="7" t="s">
        <v>17</v>
      </c>
      <c r="G1171" s="7">
        <v>1543659</v>
      </c>
      <c r="H1171" s="7">
        <v>372</v>
      </c>
      <c r="I1171" s="7">
        <v>7</v>
      </c>
      <c r="J1171" s="7">
        <v>0</v>
      </c>
      <c r="K1171" s="7" t="s">
        <v>18</v>
      </c>
      <c r="L1171" s="8">
        <v>39891.213356481479</v>
      </c>
      <c r="M1171" s="9" t="s">
        <v>19</v>
      </c>
      <c r="N1171" s="9" t="s">
        <v>22</v>
      </c>
      <c r="O1171" s="6" t="str">
        <f>HYPERLINK("https://pbs.twimg.com/profile_images/988971255679324162/jrqiIYf__normal.jpg","View")</f>
        <v>View</v>
      </c>
      <c r="P1171" s="7"/>
    </row>
    <row r="1172" spans="1:16">
      <c r="A1172" s="3">
        <v>44025.664837962962</v>
      </c>
      <c r="B1172" s="4" t="str">
        <f>HYPERLINK("https://twitter.com/sergio_fajardo","@sergio_fajardo")</f>
        <v>@sergio_fajardo</v>
      </c>
      <c r="C1172" s="5" t="s">
        <v>16</v>
      </c>
      <c r="D1172" s="5" t="s">
        <v>1194</v>
      </c>
      <c r="E1172" s="6" t="str">
        <f>HYPERLINK("https://twitter.com/sergio_fajardo/status/1282622642302980096","1282622642302980096")</f>
        <v>1282622642302980096</v>
      </c>
      <c r="F1172" s="7" t="s">
        <v>17</v>
      </c>
      <c r="G1172" s="7">
        <v>1543614</v>
      </c>
      <c r="H1172" s="7">
        <v>372</v>
      </c>
      <c r="I1172" s="7">
        <v>2</v>
      </c>
      <c r="J1172" s="7">
        <v>11</v>
      </c>
      <c r="K1172" s="7" t="s">
        <v>18</v>
      </c>
      <c r="L1172" s="8">
        <v>39891.213356481479</v>
      </c>
      <c r="M1172" s="9" t="s">
        <v>19</v>
      </c>
      <c r="N1172" s="9" t="s">
        <v>22</v>
      </c>
      <c r="O1172" s="6" t="str">
        <f>HYPERLINK("https://pbs.twimg.com/profile_images/988971255679324162/jrqiIYf__normal.jpg","View")</f>
        <v>View</v>
      </c>
      <c r="P1172" s="7"/>
    </row>
    <row r="1173" spans="1:16">
      <c r="A1173" s="3">
        <v>44025.728796296295</v>
      </c>
      <c r="B1173" s="4" t="str">
        <f>HYPERLINK("https://twitter.com/sergio_fajardo","@sergio_fajardo")</f>
        <v>@sergio_fajardo</v>
      </c>
      <c r="C1173" s="5" t="s">
        <v>16</v>
      </c>
      <c r="D1173" s="5" t="s">
        <v>1195</v>
      </c>
      <c r="E1173" s="6" t="str">
        <f>HYPERLINK("https://twitter.com/sergio_fajardo/status/1282645821855596546","1282645821855596546")</f>
        <v>1282645821855596546</v>
      </c>
      <c r="F1173" s="7" t="s">
        <v>17</v>
      </c>
      <c r="G1173" s="7">
        <v>1543608</v>
      </c>
      <c r="H1173" s="7">
        <v>372</v>
      </c>
      <c r="I1173" s="7">
        <v>6</v>
      </c>
      <c r="J1173" s="7">
        <v>93</v>
      </c>
      <c r="K1173" s="7" t="s">
        <v>18</v>
      </c>
      <c r="L1173" s="8">
        <v>39891.213356481479</v>
      </c>
      <c r="M1173" s="9" t="s">
        <v>19</v>
      </c>
      <c r="N1173" s="9" t="s">
        <v>22</v>
      </c>
      <c r="O1173" s="6" t="str">
        <f>HYPERLINK("https://pbs.twimg.com/profile_images/988971255679324162/jrqiIYf__normal.jpg","View")</f>
        <v>View</v>
      </c>
      <c r="P1173" s="7"/>
    </row>
    <row r="1174" spans="1:16">
      <c r="A1174" s="3">
        <v>44025.73164351852</v>
      </c>
      <c r="B1174" s="4" t="str">
        <f>HYPERLINK("https://twitter.com/sergio_fajardo","@sergio_fajardo")</f>
        <v>@sergio_fajardo</v>
      </c>
      <c r="C1174" s="5" t="s">
        <v>16</v>
      </c>
      <c r="D1174" s="5" t="s">
        <v>1196</v>
      </c>
      <c r="E1174" s="6" t="str">
        <f>HYPERLINK("https://twitter.com/sergio_fajardo/status/1282646851188068358","1282646851188068358")</f>
        <v>1282646851188068358</v>
      </c>
      <c r="F1174" s="7" t="s">
        <v>17</v>
      </c>
      <c r="G1174" s="7">
        <v>1543608</v>
      </c>
      <c r="H1174" s="7">
        <v>372</v>
      </c>
      <c r="I1174" s="7">
        <v>7</v>
      </c>
      <c r="J1174" s="7">
        <v>0</v>
      </c>
      <c r="K1174" s="7" t="s">
        <v>18</v>
      </c>
      <c r="L1174" s="8">
        <v>39891.213356481479</v>
      </c>
      <c r="M1174" s="9" t="s">
        <v>19</v>
      </c>
      <c r="N1174" s="9" t="s">
        <v>22</v>
      </c>
      <c r="O1174" s="6" t="str">
        <f>HYPERLINK("https://pbs.twimg.com/profile_images/988971255679324162/jrqiIYf__normal.jpg","View")</f>
        <v>View</v>
      </c>
      <c r="P1174" s="7"/>
    </row>
    <row r="1175" spans="1:16">
      <c r="A1175" s="3">
        <v>44025.993344907409</v>
      </c>
      <c r="B1175" s="4" t="str">
        <f>HYPERLINK("https://twitter.com/sergio_fajardo","@sergio_fajardo")</f>
        <v>@sergio_fajardo</v>
      </c>
      <c r="C1175" s="5" t="s">
        <v>16</v>
      </c>
      <c r="D1175" s="5" t="s">
        <v>1197</v>
      </c>
      <c r="E1175" s="6" t="str">
        <f>HYPERLINK("https://twitter.com/sergio_fajardo/status/1282741690848219136","1282741690848219136")</f>
        <v>1282741690848219136</v>
      </c>
      <c r="F1175" s="7" t="s">
        <v>17</v>
      </c>
      <c r="G1175" s="7">
        <v>1543628</v>
      </c>
      <c r="H1175" s="7">
        <v>372</v>
      </c>
      <c r="I1175" s="7">
        <v>11</v>
      </c>
      <c r="J1175" s="7">
        <v>0</v>
      </c>
      <c r="K1175" s="7" t="s">
        <v>18</v>
      </c>
      <c r="L1175" s="8">
        <v>39891.213356481479</v>
      </c>
      <c r="M1175" s="9" t="s">
        <v>19</v>
      </c>
      <c r="N1175" s="9" t="s">
        <v>22</v>
      </c>
      <c r="O1175" s="6" t="str">
        <f>HYPERLINK("https://pbs.twimg.com/profile_images/988971255679324162/jrqiIYf__normal.jpg","View")</f>
        <v>View</v>
      </c>
      <c r="P1175" s="7"/>
    </row>
    <row r="1176" spans="1:16">
      <c r="A1176" s="3">
        <v>44026.03056712963</v>
      </c>
      <c r="B1176" s="4" t="str">
        <f>HYPERLINK("https://twitter.com/sergio_fajardo","@sergio_fajardo")</f>
        <v>@sergio_fajardo</v>
      </c>
      <c r="C1176" s="5" t="s">
        <v>16</v>
      </c>
      <c r="D1176" s="5" t="s">
        <v>1198</v>
      </c>
      <c r="E1176" s="6" t="str">
        <f>HYPERLINK("https://twitter.com/sergio_fajardo/status/1282755178723237889","1282755178723237889")</f>
        <v>1282755178723237889</v>
      </c>
      <c r="F1176" s="7" t="s">
        <v>17</v>
      </c>
      <c r="G1176" s="7">
        <v>1543630</v>
      </c>
      <c r="H1176" s="7">
        <v>372</v>
      </c>
      <c r="I1176" s="7">
        <v>8</v>
      </c>
      <c r="J1176" s="7">
        <v>25</v>
      </c>
      <c r="K1176" s="7" t="s">
        <v>18</v>
      </c>
      <c r="L1176" s="8">
        <v>39891.213356481479</v>
      </c>
      <c r="M1176" s="9" t="s">
        <v>19</v>
      </c>
      <c r="N1176" s="9" t="s">
        <v>22</v>
      </c>
      <c r="O1176" s="6" t="str">
        <f>HYPERLINK("https://pbs.twimg.com/profile_images/988971255679324162/jrqiIYf__normal.jpg","View")</f>
        <v>View</v>
      </c>
      <c r="P1176" s="7"/>
    </row>
    <row r="1177" spans="1:16">
      <c r="A1177" s="3">
        <v>44026.03707175926</v>
      </c>
      <c r="B1177" s="4" t="str">
        <f>HYPERLINK("https://twitter.com/sergio_fajardo","@sergio_fajardo")</f>
        <v>@sergio_fajardo</v>
      </c>
      <c r="C1177" s="5" t="s">
        <v>16</v>
      </c>
      <c r="D1177" s="5" t="s">
        <v>25</v>
      </c>
      <c r="E1177" s="6" t="str">
        <f>HYPERLINK("https://twitter.com/sergio_fajardo/status/1282757535938809862","1282757535938809862")</f>
        <v>1282757535938809862</v>
      </c>
      <c r="F1177" s="7" t="s">
        <v>17</v>
      </c>
      <c r="G1177" s="7">
        <v>1543630</v>
      </c>
      <c r="H1177" s="7">
        <v>372</v>
      </c>
      <c r="I1177" s="7">
        <v>522</v>
      </c>
      <c r="J1177" s="7">
        <v>0</v>
      </c>
      <c r="K1177" s="7" t="s">
        <v>18</v>
      </c>
      <c r="L1177" s="8">
        <v>39891.213356481479</v>
      </c>
      <c r="M1177" s="9" t="s">
        <v>19</v>
      </c>
      <c r="N1177" s="9" t="s">
        <v>22</v>
      </c>
      <c r="O1177" s="6" t="str">
        <f>HYPERLINK("https://pbs.twimg.com/profile_images/988971255679324162/jrqiIYf__normal.jpg","View")</f>
        <v>View</v>
      </c>
      <c r="P1177" s="7"/>
    </row>
    <row r="1178" spans="1:16">
      <c r="A1178" s="3">
        <v>44026.116898148146</v>
      </c>
      <c r="B1178" s="4" t="str">
        <f>HYPERLINK("https://twitter.com/sergio_fajardo","@sergio_fajardo")</f>
        <v>@sergio_fajardo</v>
      </c>
      <c r="C1178" s="5" t="s">
        <v>16</v>
      </c>
      <c r="D1178" s="5" t="s">
        <v>1199</v>
      </c>
      <c r="E1178" s="6" t="str">
        <f>HYPERLINK("https://twitter.com/sergio_fajardo/status/1282786464208752640","1282786464208752640")</f>
        <v>1282786464208752640</v>
      </c>
      <c r="F1178" s="7" t="s">
        <v>17</v>
      </c>
      <c r="G1178" s="7">
        <v>1543659</v>
      </c>
      <c r="H1178" s="7">
        <v>372</v>
      </c>
      <c r="I1178" s="7">
        <v>18</v>
      </c>
      <c r="J1178" s="7">
        <v>0</v>
      </c>
      <c r="K1178" s="7" t="s">
        <v>18</v>
      </c>
      <c r="L1178" s="8">
        <v>39891.213356481479</v>
      </c>
      <c r="M1178" s="9" t="s">
        <v>19</v>
      </c>
      <c r="N1178" s="9" t="s">
        <v>22</v>
      </c>
      <c r="O1178" s="6" t="str">
        <f>HYPERLINK("https://pbs.twimg.com/profile_images/988971255679324162/jrqiIYf__normal.jpg","View")</f>
        <v>View</v>
      </c>
      <c r="P1178" s="7"/>
    </row>
    <row r="1179" spans="1:16">
      <c r="A1179" s="3">
        <v>44026.659386574072</v>
      </c>
      <c r="B1179" s="4" t="str">
        <f>HYPERLINK("https://twitter.com/sergio_fajardo","@sergio_fajardo")</f>
        <v>@sergio_fajardo</v>
      </c>
      <c r="C1179" s="5" t="s">
        <v>16</v>
      </c>
      <c r="D1179" s="5" t="s">
        <v>1200</v>
      </c>
      <c r="E1179" s="6" t="str">
        <f>HYPERLINK("https://twitter.com/sergio_fajardo/status/1282983054798200833","1282983054798200833")</f>
        <v>1282983054798200833</v>
      </c>
      <c r="F1179" s="7" t="s">
        <v>17</v>
      </c>
      <c r="G1179" s="7">
        <v>1543706</v>
      </c>
      <c r="H1179" s="7">
        <v>372</v>
      </c>
      <c r="I1179" s="7">
        <v>4</v>
      </c>
      <c r="J1179" s="7">
        <v>24</v>
      </c>
      <c r="K1179" s="7" t="s">
        <v>18</v>
      </c>
      <c r="L1179" s="8">
        <v>39891.213356481479</v>
      </c>
      <c r="M1179" s="9" t="s">
        <v>19</v>
      </c>
      <c r="N1179" s="9" t="s">
        <v>22</v>
      </c>
      <c r="O1179" s="6" t="str">
        <f>HYPERLINK("https://pbs.twimg.com/profile_images/988971255679324162/jrqiIYf__normal.jpg","View")</f>
        <v>View</v>
      </c>
      <c r="P1179" s="7"/>
    </row>
    <row r="1180" spans="1:16">
      <c r="A1180" s="3">
        <v>44026.879444444443</v>
      </c>
      <c r="B1180" s="4" t="str">
        <f>HYPERLINK("https://twitter.com/sergio_fajardo","@sergio_fajardo")</f>
        <v>@sergio_fajardo</v>
      </c>
      <c r="C1180" s="5" t="s">
        <v>16</v>
      </c>
      <c r="D1180" s="5" t="s">
        <v>1201</v>
      </c>
      <c r="E1180" s="6" t="str">
        <f>HYPERLINK("https://twitter.com/sergio_fajardo/status/1283062802157101063","1283062802157101063")</f>
        <v>1283062802157101063</v>
      </c>
      <c r="F1180" s="7" t="s">
        <v>17</v>
      </c>
      <c r="G1180" s="7">
        <v>1543726</v>
      </c>
      <c r="H1180" s="7">
        <v>372</v>
      </c>
      <c r="I1180" s="7">
        <v>5</v>
      </c>
      <c r="J1180" s="7">
        <v>17</v>
      </c>
      <c r="K1180" s="7" t="s">
        <v>18</v>
      </c>
      <c r="L1180" s="8">
        <v>39891.213356481479</v>
      </c>
      <c r="M1180" s="9" t="s">
        <v>19</v>
      </c>
      <c r="N1180" s="9" t="s">
        <v>22</v>
      </c>
      <c r="O1180" s="6" t="str">
        <f>HYPERLINK("https://pbs.twimg.com/profile_images/988971255679324162/jrqiIYf__normal.jpg","View")</f>
        <v>View</v>
      </c>
      <c r="P1180" s="7"/>
    </row>
    <row r="1181" spans="1:16">
      <c r="A1181" s="3">
        <v>44027.109918981485</v>
      </c>
      <c r="B1181" s="4" t="str">
        <f>HYPERLINK("https://twitter.com/sergio_fajardo","@sergio_fajardo")</f>
        <v>@sergio_fajardo</v>
      </c>
      <c r="C1181" s="5" t="s">
        <v>16</v>
      </c>
      <c r="D1181" s="5" t="s">
        <v>1202</v>
      </c>
      <c r="E1181" s="6" t="str">
        <f>HYPERLINK("https://twitter.com/sergio_fajardo/status/1283146322497933314","1283146322497933314")</f>
        <v>1283146322497933314</v>
      </c>
      <c r="F1181" s="7" t="s">
        <v>17</v>
      </c>
      <c r="G1181" s="7">
        <v>1543755</v>
      </c>
      <c r="H1181" s="7">
        <v>372</v>
      </c>
      <c r="I1181" s="7">
        <v>2</v>
      </c>
      <c r="J1181" s="7">
        <v>0</v>
      </c>
      <c r="K1181" s="7" t="s">
        <v>18</v>
      </c>
      <c r="L1181" s="8">
        <v>39891.213356481479</v>
      </c>
      <c r="M1181" s="9" t="s">
        <v>19</v>
      </c>
      <c r="N1181" s="9" t="s">
        <v>22</v>
      </c>
      <c r="O1181" s="6" t="str">
        <f>HYPERLINK("https://pbs.twimg.com/profile_images/988971255679324162/jrqiIYf__normal.jpg","View")</f>
        <v>View</v>
      </c>
      <c r="P1181" s="7"/>
    </row>
    <row r="1182" spans="1:16">
      <c r="A1182" s="3">
        <v>44027.112766203703</v>
      </c>
      <c r="B1182" s="4" t="str">
        <f>HYPERLINK("https://twitter.com/sergio_fajardo","@sergio_fajardo")</f>
        <v>@sergio_fajardo</v>
      </c>
      <c r="C1182" s="5" t="s">
        <v>16</v>
      </c>
      <c r="D1182" s="5" t="s">
        <v>1203</v>
      </c>
      <c r="E1182" s="6" t="str">
        <f>HYPERLINK("https://twitter.com/sergio_fajardo/status/1283147354674204673","1283147354674204673")</f>
        <v>1283147354674204673</v>
      </c>
      <c r="F1182" s="7" t="s">
        <v>17</v>
      </c>
      <c r="G1182" s="7">
        <v>1543755</v>
      </c>
      <c r="H1182" s="7">
        <v>372</v>
      </c>
      <c r="I1182" s="7">
        <v>2</v>
      </c>
      <c r="J1182" s="7">
        <v>0</v>
      </c>
      <c r="K1182" s="7" t="s">
        <v>18</v>
      </c>
      <c r="L1182" s="8">
        <v>39891.213356481479</v>
      </c>
      <c r="M1182" s="9" t="s">
        <v>19</v>
      </c>
      <c r="N1182" s="9" t="s">
        <v>22</v>
      </c>
      <c r="O1182" s="6" t="str">
        <f>HYPERLINK("https://pbs.twimg.com/profile_images/988971255679324162/jrqiIYf__normal.jpg","View")</f>
        <v>View</v>
      </c>
      <c r="P1182" s="7"/>
    </row>
    <row r="1183" spans="1:16">
      <c r="A1183" s="3">
        <v>44027.128865740742</v>
      </c>
      <c r="B1183" s="4" t="str">
        <f>HYPERLINK("https://twitter.com/sergio_fajardo","@sergio_fajardo")</f>
        <v>@sergio_fajardo</v>
      </c>
      <c r="C1183" s="5" t="s">
        <v>16</v>
      </c>
      <c r="D1183" s="5" t="s">
        <v>1204</v>
      </c>
      <c r="E1183" s="6" t="str">
        <f>HYPERLINK("https://twitter.com/sergio_fajardo/status/1283153186468106240","1283153186468106240")</f>
        <v>1283153186468106240</v>
      </c>
      <c r="F1183" s="7" t="s">
        <v>17</v>
      </c>
      <c r="G1183" s="7">
        <v>1543759</v>
      </c>
      <c r="H1183" s="7">
        <v>372</v>
      </c>
      <c r="I1183" s="7">
        <v>8</v>
      </c>
      <c r="J1183" s="7">
        <v>0</v>
      </c>
      <c r="K1183" s="7" t="s">
        <v>18</v>
      </c>
      <c r="L1183" s="8">
        <v>39891.213356481479</v>
      </c>
      <c r="M1183" s="9" t="s">
        <v>19</v>
      </c>
      <c r="N1183" s="9" t="s">
        <v>22</v>
      </c>
      <c r="O1183" s="6" t="str">
        <f>HYPERLINK("https://pbs.twimg.com/profile_images/988971255679324162/jrqiIYf__normal.jpg","View")</f>
        <v>View</v>
      </c>
      <c r="P1183" s="7"/>
    </row>
    <row r="1184" spans="1:16">
      <c r="A1184" s="3">
        <v>44027.131226851852</v>
      </c>
      <c r="B1184" s="4" t="str">
        <f>HYPERLINK("https://twitter.com/sergio_fajardo","@sergio_fajardo")</f>
        <v>@sergio_fajardo</v>
      </c>
      <c r="C1184" s="5" t="s">
        <v>16</v>
      </c>
      <c r="D1184" s="5" t="s">
        <v>1205</v>
      </c>
      <c r="E1184" s="6" t="str">
        <f>HYPERLINK("https://twitter.com/sergio_fajardo/status/1283154042328420352","1283154042328420352")</f>
        <v>1283154042328420352</v>
      </c>
      <c r="F1184" s="7" t="s">
        <v>17</v>
      </c>
      <c r="G1184" s="7">
        <v>1543759</v>
      </c>
      <c r="H1184" s="7">
        <v>372</v>
      </c>
      <c r="I1184" s="7">
        <v>648</v>
      </c>
      <c r="J1184" s="7">
        <v>0</v>
      </c>
      <c r="K1184" s="7" t="s">
        <v>18</v>
      </c>
      <c r="L1184" s="8">
        <v>39891.213356481479</v>
      </c>
      <c r="M1184" s="9" t="s">
        <v>19</v>
      </c>
      <c r="N1184" s="9" t="s">
        <v>22</v>
      </c>
      <c r="O1184" s="6" t="str">
        <f>HYPERLINK("https://pbs.twimg.com/profile_images/988971255679324162/jrqiIYf__normal.jpg","View")</f>
        <v>View</v>
      </c>
      <c r="P1184" s="7"/>
    </row>
    <row r="1185" spans="1:16">
      <c r="A1185" s="3">
        <v>44027.131736111114</v>
      </c>
      <c r="B1185" s="4" t="str">
        <f>HYPERLINK("https://twitter.com/sergio_fajardo","@sergio_fajardo")</f>
        <v>@sergio_fajardo</v>
      </c>
      <c r="C1185" s="5" t="s">
        <v>16</v>
      </c>
      <c r="D1185" s="5" t="s">
        <v>1206</v>
      </c>
      <c r="E1185" s="6" t="str">
        <f>HYPERLINK("https://twitter.com/sergio_fajardo/status/1283154229411155969","1283154229411155969")</f>
        <v>1283154229411155969</v>
      </c>
      <c r="F1185" s="7" t="s">
        <v>17</v>
      </c>
      <c r="G1185" s="7">
        <v>1543759</v>
      </c>
      <c r="H1185" s="7">
        <v>372</v>
      </c>
      <c r="I1185" s="7">
        <v>160</v>
      </c>
      <c r="J1185" s="7">
        <v>0</v>
      </c>
      <c r="K1185" s="7" t="s">
        <v>18</v>
      </c>
      <c r="L1185" s="8">
        <v>39891.213356481479</v>
      </c>
      <c r="M1185" s="9" t="s">
        <v>19</v>
      </c>
      <c r="N1185" s="9" t="s">
        <v>22</v>
      </c>
      <c r="O1185" s="6" t="str">
        <f>HYPERLINK("https://pbs.twimg.com/profile_images/988971255679324162/jrqiIYf__normal.jpg","View")</f>
        <v>View</v>
      </c>
      <c r="P1185" s="7"/>
    </row>
    <row r="1186" spans="1:16">
      <c r="A1186" s="3">
        <v>44027.142534722225</v>
      </c>
      <c r="B1186" s="4" t="str">
        <f>HYPERLINK("https://twitter.com/sergio_fajardo","@sergio_fajardo")</f>
        <v>@sergio_fajardo</v>
      </c>
      <c r="C1186" s="5" t="s">
        <v>16</v>
      </c>
      <c r="D1186" s="5" t="s">
        <v>1207</v>
      </c>
      <c r="E1186" s="6" t="str">
        <f>HYPERLINK("https://twitter.com/sergio_fajardo/status/1283158140142399488","1283158140142399488")</f>
        <v>1283158140142399488</v>
      </c>
      <c r="F1186" s="7" t="s">
        <v>17</v>
      </c>
      <c r="G1186" s="7">
        <v>1543757</v>
      </c>
      <c r="H1186" s="7">
        <v>372</v>
      </c>
      <c r="I1186" s="7">
        <v>17</v>
      </c>
      <c r="J1186" s="7">
        <v>67</v>
      </c>
      <c r="K1186" s="7" t="s">
        <v>18</v>
      </c>
      <c r="L1186" s="8">
        <v>39891.213356481479</v>
      </c>
      <c r="M1186" s="9" t="s">
        <v>19</v>
      </c>
      <c r="N1186" s="9" t="s">
        <v>22</v>
      </c>
      <c r="O1186" s="6" t="str">
        <f>HYPERLINK("https://pbs.twimg.com/profile_images/988971255679324162/jrqiIYf__normal.jpg","View")</f>
        <v>View</v>
      </c>
      <c r="P1186" s="7"/>
    </row>
    <row r="1187" spans="1:16">
      <c r="A1187" s="3">
        <v>44027.191423611112</v>
      </c>
      <c r="B1187" s="4" t="str">
        <f>HYPERLINK("https://twitter.com/sergio_fajardo","@sergio_fajardo")</f>
        <v>@sergio_fajardo</v>
      </c>
      <c r="C1187" s="5" t="s">
        <v>16</v>
      </c>
      <c r="D1187" s="5" t="s">
        <v>1208</v>
      </c>
      <c r="E1187" s="6" t="str">
        <f>HYPERLINK("https://twitter.com/sergio_fajardo/status/1283175857918550016","1283175857918550016")</f>
        <v>1283175857918550016</v>
      </c>
      <c r="F1187" s="7" t="s">
        <v>17</v>
      </c>
      <c r="G1187" s="7">
        <v>1543756</v>
      </c>
      <c r="H1187" s="7">
        <v>372</v>
      </c>
      <c r="I1187" s="7">
        <v>12</v>
      </c>
      <c r="J1187" s="7">
        <v>0</v>
      </c>
      <c r="K1187" s="7" t="s">
        <v>18</v>
      </c>
      <c r="L1187" s="8">
        <v>39891.213356481479</v>
      </c>
      <c r="M1187" s="9" t="s">
        <v>19</v>
      </c>
      <c r="N1187" s="9" t="s">
        <v>22</v>
      </c>
      <c r="O1187" s="6" t="str">
        <f>HYPERLINK("https://pbs.twimg.com/profile_images/988971255679324162/jrqiIYf__normal.jpg","View")</f>
        <v>View</v>
      </c>
      <c r="P1187" s="7"/>
    </row>
    <row r="1188" spans="1:16">
      <c r="A1188" s="3">
        <v>44027.199108796296</v>
      </c>
      <c r="B1188" s="4" t="str">
        <f>HYPERLINK("https://twitter.com/sergio_fajardo","@sergio_fajardo")</f>
        <v>@sergio_fajardo</v>
      </c>
      <c r="C1188" s="5" t="s">
        <v>16</v>
      </c>
      <c r="D1188" s="5" t="s">
        <v>1209</v>
      </c>
      <c r="E1188" s="6" t="str">
        <f>HYPERLINK("https://twitter.com/sergio_fajardo/status/1283178644710490112","1283178644710490112")</f>
        <v>1283178644710490112</v>
      </c>
      <c r="F1188" s="7" t="s">
        <v>17</v>
      </c>
      <c r="G1188" s="7">
        <v>1543756</v>
      </c>
      <c r="H1188" s="7">
        <v>372</v>
      </c>
      <c r="I1188" s="7">
        <v>4</v>
      </c>
      <c r="J1188" s="7">
        <v>0</v>
      </c>
      <c r="K1188" s="7" t="s">
        <v>18</v>
      </c>
      <c r="L1188" s="8">
        <v>39891.213356481479</v>
      </c>
      <c r="M1188" s="9" t="s">
        <v>19</v>
      </c>
      <c r="N1188" s="9" t="s">
        <v>22</v>
      </c>
      <c r="O1188" s="6" t="str">
        <f>HYPERLINK("https://pbs.twimg.com/profile_images/988971255679324162/jrqiIYf__normal.jpg","View")</f>
        <v>View</v>
      </c>
      <c r="P1188" s="7"/>
    </row>
    <row r="1189" spans="1:16">
      <c r="A1189" s="3">
        <v>44027.262025462958</v>
      </c>
      <c r="B1189" s="4" t="str">
        <f>HYPERLINK("https://twitter.com/sergio_fajardo","@sergio_fajardo")</f>
        <v>@sergio_fajardo</v>
      </c>
      <c r="C1189" s="5" t="s">
        <v>16</v>
      </c>
      <c r="D1189" s="5" t="s">
        <v>1210</v>
      </c>
      <c r="E1189" s="6" t="str">
        <f>HYPERLINK("https://twitter.com/sergio_fajardo/status/1283201442707374080","1283201442707374080")</f>
        <v>1283201442707374080</v>
      </c>
      <c r="F1189" s="7" t="s">
        <v>17</v>
      </c>
      <c r="G1189" s="7">
        <v>1543752</v>
      </c>
      <c r="H1189" s="7">
        <v>372</v>
      </c>
      <c r="I1189" s="7">
        <v>19</v>
      </c>
      <c r="J1189" s="7">
        <v>0</v>
      </c>
      <c r="K1189" s="7" t="s">
        <v>18</v>
      </c>
      <c r="L1189" s="8">
        <v>39891.213356481479</v>
      </c>
      <c r="M1189" s="9" t="s">
        <v>19</v>
      </c>
      <c r="N1189" s="9" t="s">
        <v>22</v>
      </c>
      <c r="O1189" s="6" t="str">
        <f>HYPERLINK("https://pbs.twimg.com/profile_images/988971255679324162/jrqiIYf__normal.jpg","View")</f>
        <v>View</v>
      </c>
      <c r="P1189" s="7"/>
    </row>
    <row r="1190" spans="1:16">
      <c r="A1190" s="3">
        <v>44027.274861111116</v>
      </c>
      <c r="B1190" s="4" t="str">
        <f>HYPERLINK("https://twitter.com/sergio_fajardo","@sergio_fajardo")</f>
        <v>@sergio_fajardo</v>
      </c>
      <c r="C1190" s="5" t="s">
        <v>16</v>
      </c>
      <c r="D1190" s="5" t="s">
        <v>1211</v>
      </c>
      <c r="E1190" s="6" t="str">
        <f>HYPERLINK("https://twitter.com/sergio_fajardo/status/1283206096224690179","1283206096224690179")</f>
        <v>1283206096224690179</v>
      </c>
      <c r="F1190" s="7" t="s">
        <v>17</v>
      </c>
      <c r="G1190" s="7">
        <v>1543750</v>
      </c>
      <c r="H1190" s="7">
        <v>372</v>
      </c>
      <c r="I1190" s="7">
        <v>4</v>
      </c>
      <c r="J1190" s="7">
        <v>26</v>
      </c>
      <c r="K1190" s="7" t="s">
        <v>18</v>
      </c>
      <c r="L1190" s="8">
        <v>39891.213356481479</v>
      </c>
      <c r="M1190" s="9" t="s">
        <v>19</v>
      </c>
      <c r="N1190" s="9" t="s">
        <v>22</v>
      </c>
      <c r="O1190" s="6" t="str">
        <f>HYPERLINK("https://pbs.twimg.com/profile_images/988971255679324162/jrqiIYf__normal.jpg","View")</f>
        <v>View</v>
      </c>
      <c r="P1190" s="7"/>
    </row>
    <row r="1191" spans="1:16">
      <c r="A1191" s="3">
        <v>44027.275462962964</v>
      </c>
      <c r="B1191" s="4" t="str">
        <f>HYPERLINK("https://twitter.com/sergio_fajardo","@sergio_fajardo")</f>
        <v>@sergio_fajardo</v>
      </c>
      <c r="C1191" s="5" t="s">
        <v>16</v>
      </c>
      <c r="D1191" s="5" t="s">
        <v>1212</v>
      </c>
      <c r="E1191" s="6" t="str">
        <f>HYPERLINK("https://twitter.com/sergio_fajardo/status/1283206311455465474","1283206311455465474")</f>
        <v>1283206311455465474</v>
      </c>
      <c r="F1191" s="7" t="s">
        <v>17</v>
      </c>
      <c r="G1191" s="7">
        <v>1543750</v>
      </c>
      <c r="H1191" s="7">
        <v>372</v>
      </c>
      <c r="I1191" s="7">
        <v>4</v>
      </c>
      <c r="J1191" s="7">
        <v>0</v>
      </c>
      <c r="K1191" s="7" t="s">
        <v>18</v>
      </c>
      <c r="L1191" s="8">
        <v>39891.213356481479</v>
      </c>
      <c r="M1191" s="9" t="s">
        <v>19</v>
      </c>
      <c r="N1191" s="9" t="s">
        <v>22</v>
      </c>
      <c r="O1191" s="6" t="str">
        <f>HYPERLINK("https://pbs.twimg.com/profile_images/988971255679324162/jrqiIYf__normal.jpg","View")</f>
        <v>View</v>
      </c>
      <c r="P1191" s="7"/>
    </row>
    <row r="1192" spans="1:16">
      <c r="A1192" s="3">
        <v>44027.28324074074</v>
      </c>
      <c r="B1192" s="4" t="str">
        <f>HYPERLINK("https://twitter.com/sergio_fajardo","@sergio_fajardo")</f>
        <v>@sergio_fajardo</v>
      </c>
      <c r="C1192" s="5" t="s">
        <v>16</v>
      </c>
      <c r="D1192" s="5" t="s">
        <v>1213</v>
      </c>
      <c r="E1192" s="6" t="str">
        <f>HYPERLINK("https://twitter.com/sergio_fajardo/status/1283209129704783877","1283209129704783877")</f>
        <v>1283209129704783877</v>
      </c>
      <c r="F1192" s="7" t="s">
        <v>17</v>
      </c>
      <c r="G1192" s="7">
        <v>1543750</v>
      </c>
      <c r="H1192" s="7">
        <v>372</v>
      </c>
      <c r="I1192" s="7">
        <v>0</v>
      </c>
      <c r="J1192" s="7">
        <v>0</v>
      </c>
      <c r="K1192" s="7" t="s">
        <v>18</v>
      </c>
      <c r="L1192" s="8">
        <v>39891.213356481479</v>
      </c>
      <c r="M1192" s="9" t="s">
        <v>19</v>
      </c>
      <c r="N1192" s="9" t="s">
        <v>22</v>
      </c>
      <c r="O1192" s="6" t="str">
        <f>HYPERLINK("https://pbs.twimg.com/profile_images/988971255679324162/jrqiIYf__normal.jpg","View")</f>
        <v>View</v>
      </c>
      <c r="P1192" s="7"/>
    </row>
    <row r="1193" spans="1:16">
      <c r="A1193" s="3">
        <v>44027.290763888886</v>
      </c>
      <c r="B1193" s="4" t="str">
        <f>HYPERLINK("https://twitter.com/sergio_fajardo","@sergio_fajardo")</f>
        <v>@sergio_fajardo</v>
      </c>
      <c r="C1193" s="5" t="s">
        <v>16</v>
      </c>
      <c r="D1193" s="5" t="s">
        <v>1214</v>
      </c>
      <c r="E1193" s="6" t="str">
        <f>HYPERLINK("https://twitter.com/sergio_fajardo/status/1283211856044265478","1283211856044265478")</f>
        <v>1283211856044265478</v>
      </c>
      <c r="F1193" s="7" t="s">
        <v>17</v>
      </c>
      <c r="G1193" s="7">
        <v>1543743</v>
      </c>
      <c r="H1193" s="7">
        <v>372</v>
      </c>
      <c r="I1193" s="7">
        <v>9</v>
      </c>
      <c r="J1193" s="7">
        <v>0</v>
      </c>
      <c r="K1193" s="7" t="s">
        <v>18</v>
      </c>
      <c r="L1193" s="8">
        <v>39891.213356481479</v>
      </c>
      <c r="M1193" s="9" t="s">
        <v>19</v>
      </c>
      <c r="N1193" s="9" t="s">
        <v>22</v>
      </c>
      <c r="O1193" s="6" t="str">
        <f>HYPERLINK("https://pbs.twimg.com/profile_images/988971255679324162/jrqiIYf__normal.jpg","View")</f>
        <v>View</v>
      </c>
      <c r="P1193" s="7"/>
    </row>
    <row r="1194" spans="1:16">
      <c r="A1194" s="3">
        <v>44027.292766203704</v>
      </c>
      <c r="B1194" s="4" t="str">
        <f>HYPERLINK("https://twitter.com/sergio_fajardo","@sergio_fajardo")</f>
        <v>@sergio_fajardo</v>
      </c>
      <c r="C1194" s="5" t="s">
        <v>16</v>
      </c>
      <c r="D1194" s="5" t="s">
        <v>1215</v>
      </c>
      <c r="E1194" s="6" t="str">
        <f>HYPERLINK("https://twitter.com/sergio_fajardo/status/1283212584087367685","1283212584087367685")</f>
        <v>1283212584087367685</v>
      </c>
      <c r="F1194" s="7" t="s">
        <v>17</v>
      </c>
      <c r="G1194" s="7">
        <v>1543743</v>
      </c>
      <c r="H1194" s="7">
        <v>372</v>
      </c>
      <c r="I1194" s="7">
        <v>21</v>
      </c>
      <c r="J1194" s="7">
        <v>60</v>
      </c>
      <c r="K1194" s="7" t="s">
        <v>18</v>
      </c>
      <c r="L1194" s="8">
        <v>39891.213356481479</v>
      </c>
      <c r="M1194" s="9" t="s">
        <v>19</v>
      </c>
      <c r="N1194" s="9" t="s">
        <v>22</v>
      </c>
      <c r="O1194" s="6" t="str">
        <f>HYPERLINK("https://pbs.twimg.com/profile_images/988971255679324162/jrqiIYf__normal.jpg","View")</f>
        <v>View</v>
      </c>
      <c r="P1194" s="7"/>
    </row>
    <row r="1195" spans="1:16">
      <c r="A1195" s="3">
        <v>44027.294166666667</v>
      </c>
      <c r="B1195" s="4" t="str">
        <f>HYPERLINK("https://twitter.com/sergio_fajardo","@sergio_fajardo")</f>
        <v>@sergio_fajardo</v>
      </c>
      <c r="C1195" s="5" t="s">
        <v>16</v>
      </c>
      <c r="D1195" s="5" t="s">
        <v>1216</v>
      </c>
      <c r="E1195" s="6" t="str">
        <f>HYPERLINK("https://twitter.com/sergio_fajardo/status/1283213091237502979","1283213091237502979")</f>
        <v>1283213091237502979</v>
      </c>
      <c r="F1195" s="7" t="s">
        <v>17</v>
      </c>
      <c r="G1195" s="7">
        <v>1543743</v>
      </c>
      <c r="H1195" s="7">
        <v>372</v>
      </c>
      <c r="I1195" s="7">
        <v>22</v>
      </c>
      <c r="J1195" s="7">
        <v>155</v>
      </c>
      <c r="K1195" s="7" t="s">
        <v>18</v>
      </c>
      <c r="L1195" s="8">
        <v>39891.213356481479</v>
      </c>
      <c r="M1195" s="9" t="s">
        <v>19</v>
      </c>
      <c r="N1195" s="9" t="s">
        <v>22</v>
      </c>
      <c r="O1195" s="6" t="str">
        <f>HYPERLINK("https://pbs.twimg.com/profile_images/988971255679324162/jrqiIYf__normal.jpg","View")</f>
        <v>View</v>
      </c>
      <c r="P1195" s="7"/>
    </row>
    <row r="1196" spans="1:16">
      <c r="A1196" s="3">
        <v>44027.296215277776</v>
      </c>
      <c r="B1196" s="4" t="str">
        <f>HYPERLINK("https://twitter.com/sergio_fajardo","@sergio_fajardo")</f>
        <v>@sergio_fajardo</v>
      </c>
      <c r="C1196" s="5" t="s">
        <v>16</v>
      </c>
      <c r="D1196" s="5" t="s">
        <v>1217</v>
      </c>
      <c r="E1196" s="6" t="str">
        <f>HYPERLINK("https://twitter.com/sergio_fajardo/status/1283213832601636865","1283213832601636865")</f>
        <v>1283213832601636865</v>
      </c>
      <c r="F1196" s="7" t="s">
        <v>17</v>
      </c>
      <c r="G1196" s="7">
        <v>1543743</v>
      </c>
      <c r="H1196" s="7">
        <v>372</v>
      </c>
      <c r="I1196" s="7">
        <v>5</v>
      </c>
      <c r="J1196" s="7">
        <v>0</v>
      </c>
      <c r="K1196" s="7" t="s">
        <v>18</v>
      </c>
      <c r="L1196" s="8">
        <v>39891.213356481479</v>
      </c>
      <c r="M1196" s="9" t="s">
        <v>19</v>
      </c>
      <c r="N1196" s="9" t="s">
        <v>22</v>
      </c>
      <c r="O1196" s="6" t="str">
        <f>HYPERLINK("https://pbs.twimg.com/profile_images/988971255679324162/jrqiIYf__normal.jpg","View")</f>
        <v>View</v>
      </c>
      <c r="P1196" s="7"/>
    </row>
    <row r="1197" spans="1:16">
      <c r="A1197" s="3">
        <v>44027.296377314815</v>
      </c>
      <c r="B1197" s="4" t="str">
        <f>HYPERLINK("https://twitter.com/sergio_fajardo","@sergio_fajardo")</f>
        <v>@sergio_fajardo</v>
      </c>
      <c r="C1197" s="5" t="s">
        <v>16</v>
      </c>
      <c r="D1197" s="5" t="s">
        <v>1218</v>
      </c>
      <c r="E1197" s="6" t="str">
        <f>HYPERLINK("https://twitter.com/sergio_fajardo/status/1283213893121257472","1283213893121257472")</f>
        <v>1283213893121257472</v>
      </c>
      <c r="F1197" s="7" t="s">
        <v>17</v>
      </c>
      <c r="G1197" s="7">
        <v>1543743</v>
      </c>
      <c r="H1197" s="7">
        <v>372</v>
      </c>
      <c r="I1197" s="7">
        <v>6</v>
      </c>
      <c r="J1197" s="7">
        <v>0</v>
      </c>
      <c r="K1197" s="7" t="s">
        <v>18</v>
      </c>
      <c r="L1197" s="8">
        <v>39891.213356481479</v>
      </c>
      <c r="M1197" s="9" t="s">
        <v>19</v>
      </c>
      <c r="N1197" s="9" t="s">
        <v>22</v>
      </c>
      <c r="O1197" s="6" t="str">
        <f>HYPERLINK("https://pbs.twimg.com/profile_images/988971255679324162/jrqiIYf__normal.jpg","View")</f>
        <v>View</v>
      </c>
      <c r="P1197" s="7"/>
    </row>
    <row r="1198" spans="1:16">
      <c r="A1198" s="3">
        <v>44027.296643518523</v>
      </c>
      <c r="B1198" s="4" t="str">
        <f>HYPERLINK("https://twitter.com/sergio_fajardo","@sergio_fajardo")</f>
        <v>@sergio_fajardo</v>
      </c>
      <c r="C1198" s="5" t="s">
        <v>16</v>
      </c>
      <c r="D1198" s="5" t="s">
        <v>1219</v>
      </c>
      <c r="E1198" s="6" t="str">
        <f>HYPERLINK("https://twitter.com/sergio_fajardo/status/1283213990559010816","1283213990559010816")</f>
        <v>1283213990559010816</v>
      </c>
      <c r="F1198" s="7" t="s">
        <v>17</v>
      </c>
      <c r="G1198" s="7">
        <v>1543743</v>
      </c>
      <c r="H1198" s="7">
        <v>372</v>
      </c>
      <c r="I1198" s="7">
        <v>7</v>
      </c>
      <c r="J1198" s="7">
        <v>0</v>
      </c>
      <c r="K1198" s="7" t="s">
        <v>18</v>
      </c>
      <c r="L1198" s="8">
        <v>39891.213356481479</v>
      </c>
      <c r="M1198" s="9" t="s">
        <v>19</v>
      </c>
      <c r="N1198" s="9" t="s">
        <v>22</v>
      </c>
      <c r="O1198" s="6" t="str">
        <f>HYPERLINK("https://pbs.twimg.com/profile_images/988971255679324162/jrqiIYf__normal.jpg","View")</f>
        <v>View</v>
      </c>
      <c r="P1198" s="7"/>
    </row>
    <row r="1199" spans="1:16">
      <c r="A1199" s="3">
        <v>44027.298414351855</v>
      </c>
      <c r="B1199" s="4" t="str">
        <f>HYPERLINK("https://twitter.com/sergio_fajardo","@sergio_fajardo")</f>
        <v>@sergio_fajardo</v>
      </c>
      <c r="C1199" s="5" t="s">
        <v>16</v>
      </c>
      <c r="D1199" s="5" t="s">
        <v>1220</v>
      </c>
      <c r="E1199" s="6" t="str">
        <f>HYPERLINK("https://twitter.com/sergio_fajardo/status/1283214631696314375","1283214631696314375")</f>
        <v>1283214631696314375</v>
      </c>
      <c r="F1199" s="7" t="s">
        <v>17</v>
      </c>
      <c r="G1199" s="7">
        <v>1543743</v>
      </c>
      <c r="H1199" s="7">
        <v>372</v>
      </c>
      <c r="I1199" s="7">
        <v>5</v>
      </c>
      <c r="J1199" s="7">
        <v>37</v>
      </c>
      <c r="K1199" s="7" t="s">
        <v>18</v>
      </c>
      <c r="L1199" s="8">
        <v>39891.213356481479</v>
      </c>
      <c r="M1199" s="9" t="s">
        <v>19</v>
      </c>
      <c r="N1199" s="9" t="s">
        <v>22</v>
      </c>
      <c r="O1199" s="6" t="str">
        <f>HYPERLINK("https://pbs.twimg.com/profile_images/988971255679324162/jrqiIYf__normal.jpg","View")</f>
        <v>View</v>
      </c>
      <c r="P1199" s="7"/>
    </row>
    <row r="1200" spans="1:16">
      <c r="A1200" s="3">
        <v>44027.300578703704</v>
      </c>
      <c r="B1200" s="4" t="str">
        <f>HYPERLINK("https://twitter.com/sergio_fajardo","@sergio_fajardo")</f>
        <v>@sergio_fajardo</v>
      </c>
      <c r="C1200" s="5" t="s">
        <v>16</v>
      </c>
      <c r="D1200" s="5" t="s">
        <v>1221</v>
      </c>
      <c r="E1200" s="6" t="str">
        <f>HYPERLINK("https://twitter.com/sergio_fajardo/status/1283215412776308738","1283215412776308738")</f>
        <v>1283215412776308738</v>
      </c>
      <c r="F1200" s="7" t="s">
        <v>17</v>
      </c>
      <c r="G1200" s="7">
        <v>1543743</v>
      </c>
      <c r="H1200" s="7">
        <v>372</v>
      </c>
      <c r="I1200" s="7">
        <v>3</v>
      </c>
      <c r="J1200" s="7">
        <v>0</v>
      </c>
      <c r="K1200" s="7" t="s">
        <v>18</v>
      </c>
      <c r="L1200" s="8">
        <v>39891.213356481479</v>
      </c>
      <c r="M1200" s="9" t="s">
        <v>19</v>
      </c>
      <c r="N1200" s="9" t="s">
        <v>22</v>
      </c>
      <c r="O1200" s="6" t="str">
        <f>HYPERLINK("https://pbs.twimg.com/profile_images/988971255679324162/jrqiIYf__normal.jpg","View")</f>
        <v>View</v>
      </c>
      <c r="P1200" s="7"/>
    </row>
    <row r="1201" spans="1:16">
      <c r="A1201" s="3">
        <v>44027.300763888888</v>
      </c>
      <c r="B1201" s="4" t="str">
        <f>HYPERLINK("https://twitter.com/sergio_fajardo","@sergio_fajardo")</f>
        <v>@sergio_fajardo</v>
      </c>
      <c r="C1201" s="5" t="s">
        <v>16</v>
      </c>
      <c r="D1201" s="5" t="s">
        <v>1222</v>
      </c>
      <c r="E1201" s="6" t="str">
        <f>HYPERLINK("https://twitter.com/sergio_fajardo/status/1283215483752394759","1283215483752394759")</f>
        <v>1283215483752394759</v>
      </c>
      <c r="F1201" s="7" t="s">
        <v>17</v>
      </c>
      <c r="G1201" s="7">
        <v>1543743</v>
      </c>
      <c r="H1201" s="7">
        <v>372</v>
      </c>
      <c r="I1201" s="7">
        <v>5</v>
      </c>
      <c r="J1201" s="7">
        <v>0</v>
      </c>
      <c r="K1201" s="7" t="s">
        <v>18</v>
      </c>
      <c r="L1201" s="8">
        <v>39891.213356481479</v>
      </c>
      <c r="M1201" s="9" t="s">
        <v>19</v>
      </c>
      <c r="N1201" s="9" t="s">
        <v>22</v>
      </c>
      <c r="O1201" s="6" t="str">
        <f>HYPERLINK("https://pbs.twimg.com/profile_images/988971255679324162/jrqiIYf__normal.jpg","View")</f>
        <v>View</v>
      </c>
      <c r="P1201" s="7"/>
    </row>
    <row r="1202" spans="1:16">
      <c r="A1202" s="3">
        <v>44027.301111111112</v>
      </c>
      <c r="B1202" s="4" t="str">
        <f>HYPERLINK("https://twitter.com/sergio_fajardo","@sergio_fajardo")</f>
        <v>@sergio_fajardo</v>
      </c>
      <c r="C1202" s="5" t="s">
        <v>16</v>
      </c>
      <c r="D1202" s="5" t="s">
        <v>1223</v>
      </c>
      <c r="E1202" s="6" t="str">
        <f>HYPERLINK("https://twitter.com/sergio_fajardo/status/1283215606788104194","1283215606788104194")</f>
        <v>1283215606788104194</v>
      </c>
      <c r="F1202" s="7" t="s">
        <v>17</v>
      </c>
      <c r="G1202" s="7">
        <v>1543743</v>
      </c>
      <c r="H1202" s="7">
        <v>372</v>
      </c>
      <c r="I1202" s="7">
        <v>6</v>
      </c>
      <c r="J1202" s="7">
        <v>0</v>
      </c>
      <c r="K1202" s="7" t="s">
        <v>18</v>
      </c>
      <c r="L1202" s="8">
        <v>39891.213356481479</v>
      </c>
      <c r="M1202" s="9" t="s">
        <v>19</v>
      </c>
      <c r="N1202" s="9" t="s">
        <v>22</v>
      </c>
      <c r="O1202" s="6" t="str">
        <f>HYPERLINK("https://pbs.twimg.com/profile_images/988971255679324162/jrqiIYf__normal.jpg","View")</f>
        <v>View</v>
      </c>
      <c r="P1202" s="7"/>
    </row>
    <row r="1203" spans="1:16">
      <c r="A1203" s="3">
        <v>44027.305879629625</v>
      </c>
      <c r="B1203" s="4" t="str">
        <f>HYPERLINK("https://twitter.com/sergio_fajardo","@sergio_fajardo")</f>
        <v>@sergio_fajardo</v>
      </c>
      <c r="C1203" s="5" t="s">
        <v>16</v>
      </c>
      <c r="D1203" s="5" t="s">
        <v>1224</v>
      </c>
      <c r="E1203" s="6" t="str">
        <f>HYPERLINK("https://twitter.com/sergio_fajardo/status/1283217336816865280","1283217336816865280")</f>
        <v>1283217336816865280</v>
      </c>
      <c r="F1203" s="7" t="s">
        <v>17</v>
      </c>
      <c r="G1203" s="7">
        <v>1543731</v>
      </c>
      <c r="H1203" s="7">
        <v>372</v>
      </c>
      <c r="I1203" s="7">
        <v>73</v>
      </c>
      <c r="J1203" s="7">
        <v>430</v>
      </c>
      <c r="K1203" s="7" t="s">
        <v>18</v>
      </c>
      <c r="L1203" s="8">
        <v>39891.213356481479</v>
      </c>
      <c r="M1203" s="9" t="s">
        <v>19</v>
      </c>
      <c r="N1203" s="9" t="s">
        <v>22</v>
      </c>
      <c r="O1203" s="6" t="str">
        <f>HYPERLINK("https://pbs.twimg.com/profile_images/988971255679324162/jrqiIYf__normal.jpg","View")</f>
        <v>View</v>
      </c>
      <c r="P1203" s="7"/>
    </row>
    <row r="1204" spans="1:16">
      <c r="A1204" s="3">
        <v>44027.306423611109</v>
      </c>
      <c r="B1204" s="4" t="str">
        <f>HYPERLINK("https://twitter.com/sergio_fajardo","@sergio_fajardo")</f>
        <v>@sergio_fajardo</v>
      </c>
      <c r="C1204" s="5" t="s">
        <v>16</v>
      </c>
      <c r="D1204" s="5" t="s">
        <v>1225</v>
      </c>
      <c r="E1204" s="6" t="str">
        <f>HYPERLINK("https://twitter.com/sergio_fajardo/status/1283217531633901570","1283217531633901570")</f>
        <v>1283217531633901570</v>
      </c>
      <c r="F1204" s="7" t="s">
        <v>17</v>
      </c>
      <c r="G1204" s="7">
        <v>1543731</v>
      </c>
      <c r="H1204" s="7">
        <v>372</v>
      </c>
      <c r="I1204" s="7">
        <v>5</v>
      </c>
      <c r="J1204" s="7">
        <v>0</v>
      </c>
      <c r="K1204" s="7" t="s">
        <v>18</v>
      </c>
      <c r="L1204" s="8">
        <v>39891.213356481479</v>
      </c>
      <c r="M1204" s="9" t="s">
        <v>19</v>
      </c>
      <c r="N1204" s="9" t="s">
        <v>22</v>
      </c>
      <c r="O1204" s="6" t="str">
        <f>HYPERLINK("https://pbs.twimg.com/profile_images/988971255679324162/jrqiIYf__normal.jpg","View")</f>
        <v>View</v>
      </c>
      <c r="P1204" s="7"/>
    </row>
    <row r="1205" spans="1:16">
      <c r="A1205" s="3">
        <v>44027.322002314817</v>
      </c>
      <c r="B1205" s="4" t="str">
        <f>HYPERLINK("https://twitter.com/sergio_fajardo","@sergio_fajardo")</f>
        <v>@sergio_fajardo</v>
      </c>
      <c r="C1205" s="5" t="s">
        <v>16</v>
      </c>
      <c r="D1205" s="5" t="s">
        <v>1226</v>
      </c>
      <c r="E1205" s="6" t="str">
        <f>HYPERLINK("https://twitter.com/sergio_fajardo/status/1283223177003511813","1283223177003511813")</f>
        <v>1283223177003511813</v>
      </c>
      <c r="F1205" s="7" t="s">
        <v>17</v>
      </c>
      <c r="G1205" s="7">
        <v>1543731</v>
      </c>
      <c r="H1205" s="7">
        <v>372</v>
      </c>
      <c r="I1205" s="7">
        <v>8</v>
      </c>
      <c r="J1205" s="7">
        <v>28</v>
      </c>
      <c r="K1205" s="7" t="s">
        <v>18</v>
      </c>
      <c r="L1205" s="8">
        <v>39891.213356481479</v>
      </c>
      <c r="M1205" s="9" t="s">
        <v>19</v>
      </c>
      <c r="N1205" s="9" t="s">
        <v>22</v>
      </c>
      <c r="O1205" s="6" t="str">
        <f>HYPERLINK("https://pbs.twimg.com/profile_images/988971255679324162/jrqiIYf__normal.jpg","View")</f>
        <v>View</v>
      </c>
      <c r="P1205" s="7"/>
    </row>
    <row r="1206" spans="1:16">
      <c r="A1206" s="3">
        <v>44027.322384259256</v>
      </c>
      <c r="B1206" s="4" t="str">
        <f>HYPERLINK("https://twitter.com/sergio_fajardo","@sergio_fajardo")</f>
        <v>@sergio_fajardo</v>
      </c>
      <c r="C1206" s="5" t="s">
        <v>16</v>
      </c>
      <c r="D1206" s="5" t="s">
        <v>1227</v>
      </c>
      <c r="E1206" s="6" t="str">
        <f>HYPERLINK("https://twitter.com/sergio_fajardo/status/1283223317818806273","1283223317818806273")</f>
        <v>1283223317818806273</v>
      </c>
      <c r="F1206" s="7" t="s">
        <v>17</v>
      </c>
      <c r="G1206" s="7">
        <v>1543731</v>
      </c>
      <c r="H1206" s="7">
        <v>372</v>
      </c>
      <c r="I1206" s="7">
        <v>6</v>
      </c>
      <c r="J1206" s="7">
        <v>0</v>
      </c>
      <c r="K1206" s="7" t="s">
        <v>18</v>
      </c>
      <c r="L1206" s="8">
        <v>39891.213356481479</v>
      </c>
      <c r="M1206" s="9" t="s">
        <v>19</v>
      </c>
      <c r="N1206" s="9" t="s">
        <v>22</v>
      </c>
      <c r="O1206" s="6" t="str">
        <f>HYPERLINK("https://pbs.twimg.com/profile_images/988971255679324162/jrqiIYf__normal.jpg","View")</f>
        <v>View</v>
      </c>
      <c r="P1206" s="7"/>
    </row>
    <row r="1207" spans="1:16">
      <c r="A1207" s="3">
        <v>44027.702743055561</v>
      </c>
      <c r="B1207" s="4" t="str">
        <f>HYPERLINK("https://twitter.com/sergio_fajardo","@sergio_fajardo")</f>
        <v>@sergio_fajardo</v>
      </c>
      <c r="C1207" s="5" t="s">
        <v>16</v>
      </c>
      <c r="D1207" s="5" t="s">
        <v>1228</v>
      </c>
      <c r="E1207" s="6" t="str">
        <f>HYPERLINK("https://twitter.com/sergio_fajardo/status/1283361152945266691","1283361152945266691")</f>
        <v>1283361152945266691</v>
      </c>
      <c r="F1207" s="7" t="s">
        <v>17</v>
      </c>
      <c r="G1207" s="7">
        <v>1543715</v>
      </c>
      <c r="H1207" s="7">
        <v>372</v>
      </c>
      <c r="I1207" s="7">
        <v>61</v>
      </c>
      <c r="J1207" s="7">
        <v>0</v>
      </c>
      <c r="K1207" s="7" t="s">
        <v>18</v>
      </c>
      <c r="L1207" s="8">
        <v>39891.213356481479</v>
      </c>
      <c r="M1207" s="9" t="s">
        <v>19</v>
      </c>
      <c r="N1207" s="9" t="s">
        <v>22</v>
      </c>
      <c r="O1207" s="6" t="str">
        <f>HYPERLINK("https://pbs.twimg.com/profile_images/988971255679324162/jrqiIYf__normal.jpg","View")</f>
        <v>View</v>
      </c>
      <c r="P1207" s="7"/>
    </row>
    <row r="1208" spans="1:16">
      <c r="A1208" s="3">
        <v>44027.702835648146</v>
      </c>
      <c r="B1208" s="4" t="str">
        <f>HYPERLINK("https://twitter.com/sergio_fajardo","@sergio_fajardo")</f>
        <v>@sergio_fajardo</v>
      </c>
      <c r="C1208" s="5" t="s">
        <v>16</v>
      </c>
      <c r="D1208" s="5" t="s">
        <v>1229</v>
      </c>
      <c r="E1208" s="6" t="str">
        <f>HYPERLINK("https://twitter.com/sergio_fajardo/status/1283361187263139846","1283361187263139846")</f>
        <v>1283361187263139846</v>
      </c>
      <c r="F1208" s="7" t="s">
        <v>17</v>
      </c>
      <c r="G1208" s="7">
        <v>1543715</v>
      </c>
      <c r="H1208" s="7">
        <v>372</v>
      </c>
      <c r="I1208" s="7">
        <v>133</v>
      </c>
      <c r="J1208" s="7">
        <v>0</v>
      </c>
      <c r="K1208" s="7" t="s">
        <v>18</v>
      </c>
      <c r="L1208" s="8">
        <v>39891.213356481479</v>
      </c>
      <c r="M1208" s="9" t="s">
        <v>19</v>
      </c>
      <c r="N1208" s="9" t="s">
        <v>22</v>
      </c>
      <c r="O1208" s="6" t="str">
        <f>HYPERLINK("https://pbs.twimg.com/profile_images/988971255679324162/jrqiIYf__normal.jpg","View")</f>
        <v>View</v>
      </c>
      <c r="P1208" s="7"/>
    </row>
    <row r="1209" spans="1:16">
      <c r="A1209" s="3">
        <v>44027.775023148148</v>
      </c>
      <c r="B1209" s="4" t="str">
        <f>HYPERLINK("https://twitter.com/sergio_fajardo","@sergio_fajardo")</f>
        <v>@sergio_fajardo</v>
      </c>
      <c r="C1209" s="5" t="s">
        <v>16</v>
      </c>
      <c r="D1209" s="5" t="s">
        <v>1230</v>
      </c>
      <c r="E1209" s="6" t="str">
        <f>HYPERLINK("https://twitter.com/sergio_fajardo/status/1283387349305524227","1283387349305524227")</f>
        <v>1283387349305524227</v>
      </c>
      <c r="F1209" s="7" t="s">
        <v>17</v>
      </c>
      <c r="G1209" s="7">
        <v>1543739</v>
      </c>
      <c r="H1209" s="7">
        <v>372</v>
      </c>
      <c r="I1209" s="7">
        <v>65</v>
      </c>
      <c r="J1209" s="7">
        <v>0</v>
      </c>
      <c r="K1209" s="7" t="s">
        <v>18</v>
      </c>
      <c r="L1209" s="8">
        <v>39891.213356481479</v>
      </c>
      <c r="M1209" s="9" t="s">
        <v>19</v>
      </c>
      <c r="N1209" s="9" t="s">
        <v>22</v>
      </c>
      <c r="O1209" s="6" t="str">
        <f>HYPERLINK("https://pbs.twimg.com/profile_images/988971255679324162/jrqiIYf__normal.jpg","View")</f>
        <v>View</v>
      </c>
      <c r="P1209" s="7"/>
    </row>
    <row r="1210" spans="1:16">
      <c r="A1210" s="3">
        <v>44027.894895833335</v>
      </c>
      <c r="B1210" s="4" t="str">
        <f>HYPERLINK("https://twitter.com/sergio_fajardo","@sergio_fajardo")</f>
        <v>@sergio_fajardo</v>
      </c>
      <c r="C1210" s="5" t="s">
        <v>16</v>
      </c>
      <c r="D1210" s="5" t="s">
        <v>1231</v>
      </c>
      <c r="E1210" s="6" t="str">
        <f>HYPERLINK("https://twitter.com/sergio_fajardo/status/1283430787011018752","1283430787011018752")</f>
        <v>1283430787011018752</v>
      </c>
      <c r="F1210" s="7" t="s">
        <v>17</v>
      </c>
      <c r="G1210" s="7">
        <v>1543762</v>
      </c>
      <c r="H1210" s="7">
        <v>372</v>
      </c>
      <c r="I1210" s="7">
        <v>12</v>
      </c>
      <c r="J1210" s="7">
        <v>37</v>
      </c>
      <c r="K1210" s="7" t="s">
        <v>18</v>
      </c>
      <c r="L1210" s="8">
        <v>39891.213356481479</v>
      </c>
      <c r="M1210" s="9" t="s">
        <v>19</v>
      </c>
      <c r="N1210" s="9" t="s">
        <v>22</v>
      </c>
      <c r="O1210" s="6" t="str">
        <f>HYPERLINK("https://pbs.twimg.com/profile_images/988971255679324162/jrqiIYf__normal.jpg","View")</f>
        <v>View</v>
      </c>
      <c r="P1210" s="7"/>
    </row>
    <row r="1211" spans="1:16">
      <c r="A1211" s="3">
        <v>44027.911273148144</v>
      </c>
      <c r="B1211" s="4" t="str">
        <f>HYPERLINK("https://twitter.com/sergio_fajardo","@sergio_fajardo")</f>
        <v>@sergio_fajardo</v>
      </c>
      <c r="C1211" s="5" t="s">
        <v>16</v>
      </c>
      <c r="D1211" s="5" t="s">
        <v>1232</v>
      </c>
      <c r="E1211" s="6" t="str">
        <f>HYPERLINK("https://twitter.com/sergio_fajardo/status/1283436723767214092","1283436723767214092")</f>
        <v>1283436723767214092</v>
      </c>
      <c r="F1211" s="7" t="s">
        <v>23</v>
      </c>
      <c r="G1211" s="7">
        <v>1543754</v>
      </c>
      <c r="H1211" s="7">
        <v>371</v>
      </c>
      <c r="I1211" s="7">
        <v>13</v>
      </c>
      <c r="J1211" s="7">
        <v>0</v>
      </c>
      <c r="K1211" s="7" t="s">
        <v>18</v>
      </c>
      <c r="L1211" s="8">
        <v>39891.213356481479</v>
      </c>
      <c r="M1211" s="9" t="s">
        <v>19</v>
      </c>
      <c r="N1211" s="9" t="s">
        <v>22</v>
      </c>
      <c r="O1211" s="6" t="str">
        <f>HYPERLINK("https://pbs.twimg.com/profile_images/988971255679324162/jrqiIYf__normal.jpg","View")</f>
        <v>View</v>
      </c>
      <c r="P1211" s="7"/>
    </row>
    <row r="1212" spans="1:16">
      <c r="A1212" s="3">
        <v>44027.915196759262</v>
      </c>
      <c r="B1212" s="4" t="str">
        <f>HYPERLINK("https://twitter.com/sergio_fajardo","@sergio_fajardo")</f>
        <v>@sergio_fajardo</v>
      </c>
      <c r="C1212" s="5" t="s">
        <v>16</v>
      </c>
      <c r="D1212" s="5" t="s">
        <v>1233</v>
      </c>
      <c r="E1212" s="6" t="str">
        <f>HYPERLINK("https://twitter.com/sergio_fajardo/status/1283438145695109122","1283438145695109122")</f>
        <v>1283438145695109122</v>
      </c>
      <c r="F1212" s="7" t="s">
        <v>17</v>
      </c>
      <c r="G1212" s="7">
        <v>1543754</v>
      </c>
      <c r="H1212" s="7">
        <v>371</v>
      </c>
      <c r="I1212" s="7">
        <v>8</v>
      </c>
      <c r="J1212" s="7">
        <v>20</v>
      </c>
      <c r="K1212" s="7" t="s">
        <v>18</v>
      </c>
      <c r="L1212" s="8">
        <v>39891.213356481479</v>
      </c>
      <c r="M1212" s="9" t="s">
        <v>19</v>
      </c>
      <c r="N1212" s="9" t="s">
        <v>22</v>
      </c>
      <c r="O1212" s="6" t="str">
        <f>HYPERLINK("https://pbs.twimg.com/profile_images/988971255679324162/jrqiIYf__normal.jpg","View")</f>
        <v>View</v>
      </c>
      <c r="P1212" s="7"/>
    </row>
    <row r="1213" spans="1:16">
      <c r="A1213" s="3">
        <v>44028.058483796296</v>
      </c>
      <c r="B1213" s="4" t="str">
        <f>HYPERLINK("https://twitter.com/sergio_fajardo","@sergio_fajardo")</f>
        <v>@sergio_fajardo</v>
      </c>
      <c r="C1213" s="5" t="s">
        <v>16</v>
      </c>
      <c r="D1213" s="5" t="s">
        <v>1234</v>
      </c>
      <c r="E1213" s="6" t="str">
        <f>HYPERLINK("https://twitter.com/sergio_fajardo/status/1283490069907677186","1283490069907677186")</f>
        <v>1283490069907677186</v>
      </c>
      <c r="F1213" s="7" t="s">
        <v>17</v>
      </c>
      <c r="G1213" s="7">
        <v>1543775</v>
      </c>
      <c r="H1213" s="7">
        <v>371</v>
      </c>
      <c r="I1213" s="7">
        <v>2</v>
      </c>
      <c r="J1213" s="7">
        <v>0</v>
      </c>
      <c r="K1213" s="7" t="s">
        <v>18</v>
      </c>
      <c r="L1213" s="8">
        <v>39891.213356481479</v>
      </c>
      <c r="M1213" s="9" t="s">
        <v>19</v>
      </c>
      <c r="N1213" s="9" t="s">
        <v>22</v>
      </c>
      <c r="O1213" s="6" t="str">
        <f>HYPERLINK("https://pbs.twimg.com/profile_images/988971255679324162/jrqiIYf__normal.jpg","View")</f>
        <v>View</v>
      </c>
      <c r="P1213" s="7"/>
    </row>
    <row r="1214" spans="1:16">
      <c r="A1214" s="3">
        <v>44028.063263888893</v>
      </c>
      <c r="B1214" s="4" t="str">
        <f>HYPERLINK("https://twitter.com/sergio_fajardo","@sergio_fajardo")</f>
        <v>@sergio_fajardo</v>
      </c>
      <c r="C1214" s="5" t="s">
        <v>16</v>
      </c>
      <c r="D1214" s="5" t="s">
        <v>1235</v>
      </c>
      <c r="E1214" s="6" t="str">
        <f>HYPERLINK("https://twitter.com/sergio_fajardo/status/1283491802297913351","1283491802297913351")</f>
        <v>1283491802297913351</v>
      </c>
      <c r="F1214" s="7" t="s">
        <v>17</v>
      </c>
      <c r="G1214" s="7">
        <v>1543775</v>
      </c>
      <c r="H1214" s="7">
        <v>371</v>
      </c>
      <c r="I1214" s="7">
        <v>2</v>
      </c>
      <c r="J1214" s="7">
        <v>3</v>
      </c>
      <c r="K1214" s="7" t="s">
        <v>18</v>
      </c>
      <c r="L1214" s="8">
        <v>39891.213356481479</v>
      </c>
      <c r="M1214" s="9" t="s">
        <v>19</v>
      </c>
      <c r="N1214" s="9" t="s">
        <v>22</v>
      </c>
      <c r="O1214" s="6" t="str">
        <f>HYPERLINK("https://pbs.twimg.com/profile_images/988971255679324162/jrqiIYf__normal.jpg","View")</f>
        <v>View</v>
      </c>
      <c r="P1214" s="7"/>
    </row>
    <row r="1215" spans="1:16">
      <c r="A1215" s="3">
        <v>44028.063912037032</v>
      </c>
      <c r="B1215" s="4" t="str">
        <f>HYPERLINK("https://twitter.com/sergio_fajardo","@sergio_fajardo")</f>
        <v>@sergio_fajardo</v>
      </c>
      <c r="C1215" s="5" t="s">
        <v>16</v>
      </c>
      <c r="D1215" s="5" t="s">
        <v>1236</v>
      </c>
      <c r="E1215" s="6" t="str">
        <f>HYPERLINK("https://twitter.com/sergio_fajardo/status/1283492036059029505","1283492036059029505")</f>
        <v>1283492036059029505</v>
      </c>
      <c r="F1215" s="7" t="s">
        <v>17</v>
      </c>
      <c r="G1215" s="7">
        <v>1543775</v>
      </c>
      <c r="H1215" s="7">
        <v>371</v>
      </c>
      <c r="I1215" s="7">
        <v>5</v>
      </c>
      <c r="J1215" s="7">
        <v>0</v>
      </c>
      <c r="K1215" s="7" t="s">
        <v>18</v>
      </c>
      <c r="L1215" s="8">
        <v>39891.213356481479</v>
      </c>
      <c r="M1215" s="9" t="s">
        <v>19</v>
      </c>
      <c r="N1215" s="9" t="s">
        <v>22</v>
      </c>
      <c r="O1215" s="6" t="str">
        <f>HYPERLINK("https://pbs.twimg.com/profile_images/988971255679324162/jrqiIYf__normal.jpg","View")</f>
        <v>View</v>
      </c>
      <c r="P1215" s="7"/>
    </row>
    <row r="1216" spans="1:16">
      <c r="A1216" s="3">
        <v>44028.256770833337</v>
      </c>
      <c r="B1216" s="4" t="str">
        <f>HYPERLINK("https://twitter.com/sergio_fajardo","@sergio_fajardo")</f>
        <v>@sergio_fajardo</v>
      </c>
      <c r="C1216" s="5" t="s">
        <v>16</v>
      </c>
      <c r="D1216" s="5" t="s">
        <v>1237</v>
      </c>
      <c r="E1216" s="6" t="str">
        <f>HYPERLINK("https://twitter.com/sergio_fajardo/status/1283561925822078978","1283561925822078978")</f>
        <v>1283561925822078978</v>
      </c>
      <c r="F1216" s="7" t="s">
        <v>17</v>
      </c>
      <c r="G1216" s="7">
        <v>1543827</v>
      </c>
      <c r="H1216" s="7">
        <v>371</v>
      </c>
      <c r="I1216" s="7">
        <v>1</v>
      </c>
      <c r="J1216" s="7">
        <v>3</v>
      </c>
      <c r="K1216" s="7" t="s">
        <v>18</v>
      </c>
      <c r="L1216" s="8">
        <v>39891.213356481479</v>
      </c>
      <c r="M1216" s="9" t="s">
        <v>19</v>
      </c>
      <c r="N1216" s="9" t="s">
        <v>22</v>
      </c>
      <c r="O1216" s="6" t="str">
        <f>HYPERLINK("https://pbs.twimg.com/profile_images/988971255679324162/jrqiIYf__normal.jpg","View")</f>
        <v>View</v>
      </c>
      <c r="P1216" s="7"/>
    </row>
    <row r="1217" spans="1:16">
      <c r="A1217" s="3">
        <v>44028.772418981476</v>
      </c>
      <c r="B1217" s="4" t="str">
        <f>HYPERLINK("https://twitter.com/sergio_fajardo","@sergio_fajardo")</f>
        <v>@sergio_fajardo</v>
      </c>
      <c r="C1217" s="5" t="s">
        <v>16</v>
      </c>
      <c r="D1217" s="5" t="s">
        <v>1238</v>
      </c>
      <c r="E1217" s="6" t="str">
        <f>HYPERLINK("https://twitter.com/sergio_fajardo/status/1283748791972241408","1283748791972241408")</f>
        <v>1283748791972241408</v>
      </c>
      <c r="F1217" s="7" t="s">
        <v>17</v>
      </c>
      <c r="G1217" s="7">
        <v>1543864</v>
      </c>
      <c r="H1217" s="7">
        <v>371</v>
      </c>
      <c r="I1217" s="7">
        <v>3</v>
      </c>
      <c r="J1217" s="7">
        <v>0</v>
      </c>
      <c r="K1217" s="7" t="s">
        <v>18</v>
      </c>
      <c r="L1217" s="8">
        <v>39891.213356481479</v>
      </c>
      <c r="M1217" s="9" t="s">
        <v>19</v>
      </c>
      <c r="N1217" s="9" t="s">
        <v>22</v>
      </c>
      <c r="O1217" s="6" t="str">
        <f>HYPERLINK("https://pbs.twimg.com/profile_images/988971255679324162/jrqiIYf__normal.jpg","View")</f>
        <v>View</v>
      </c>
      <c r="P1217" s="7"/>
    </row>
    <row r="1218" spans="1:16">
      <c r="A1218" s="3">
        <v>44028.84951388889</v>
      </c>
      <c r="B1218" s="4" t="str">
        <f>HYPERLINK("https://twitter.com/sergio_fajardo","@sergio_fajardo")</f>
        <v>@sergio_fajardo</v>
      </c>
      <c r="C1218" s="5" t="s">
        <v>16</v>
      </c>
      <c r="D1218" s="5" t="s">
        <v>1239</v>
      </c>
      <c r="E1218" s="6" t="str">
        <f>HYPERLINK("https://twitter.com/sergio_fajardo/status/1283776730054918145","1283776730054918145")</f>
        <v>1283776730054918145</v>
      </c>
      <c r="F1218" s="7" t="s">
        <v>17</v>
      </c>
      <c r="G1218" s="7">
        <v>1543860</v>
      </c>
      <c r="H1218" s="7">
        <v>371</v>
      </c>
      <c r="I1218" s="7">
        <v>27</v>
      </c>
      <c r="J1218" s="7">
        <v>0</v>
      </c>
      <c r="K1218" s="7" t="s">
        <v>18</v>
      </c>
      <c r="L1218" s="8">
        <v>39891.213356481479</v>
      </c>
      <c r="M1218" s="9" t="s">
        <v>19</v>
      </c>
      <c r="N1218" s="9" t="s">
        <v>22</v>
      </c>
      <c r="O1218" s="6" t="str">
        <f>HYPERLINK("https://pbs.twimg.com/profile_images/988971255679324162/jrqiIYf__normal.jpg","View")</f>
        <v>View</v>
      </c>
      <c r="P1218" s="7"/>
    </row>
    <row r="1219" spans="1:16">
      <c r="A1219" s="3">
        <v>44028.88998842593</v>
      </c>
      <c r="B1219" s="4" t="str">
        <f>HYPERLINK("https://twitter.com/sergio_fajardo","@sergio_fajardo")</f>
        <v>@sergio_fajardo</v>
      </c>
      <c r="C1219" s="5" t="s">
        <v>16</v>
      </c>
      <c r="D1219" s="5" t="s">
        <v>1240</v>
      </c>
      <c r="E1219" s="6" t="str">
        <f>HYPERLINK("https://twitter.com/sergio_fajardo/status/1283791396567121925","1283791396567121925")</f>
        <v>1283791396567121925</v>
      </c>
      <c r="F1219" s="7" t="s">
        <v>23</v>
      </c>
      <c r="G1219" s="7">
        <v>1543871</v>
      </c>
      <c r="H1219" s="7">
        <v>371</v>
      </c>
      <c r="I1219" s="7">
        <v>58</v>
      </c>
      <c r="J1219" s="7">
        <v>0</v>
      </c>
      <c r="K1219" s="7" t="s">
        <v>18</v>
      </c>
      <c r="L1219" s="8">
        <v>39891.213356481479</v>
      </c>
      <c r="M1219" s="9" t="s">
        <v>19</v>
      </c>
      <c r="N1219" s="9" t="s">
        <v>22</v>
      </c>
      <c r="O1219" s="6" t="str">
        <f>HYPERLINK("https://pbs.twimg.com/profile_images/988971255679324162/jrqiIYf__normal.jpg","View")</f>
        <v>View</v>
      </c>
      <c r="P1219" s="7"/>
    </row>
    <row r="1220" spans="1:16">
      <c r="A1220" s="3">
        <v>44028.977476851855</v>
      </c>
      <c r="B1220" s="4" t="str">
        <f>HYPERLINK("https://twitter.com/sergio_fajardo","@sergio_fajardo")</f>
        <v>@sergio_fajardo</v>
      </c>
      <c r="C1220" s="5" t="s">
        <v>16</v>
      </c>
      <c r="D1220" s="5" t="s">
        <v>1241</v>
      </c>
      <c r="E1220" s="6" t="str">
        <f>HYPERLINK("https://twitter.com/sergio_fajardo/status/1283823101483122691","1283823101483122691")</f>
        <v>1283823101483122691</v>
      </c>
      <c r="F1220" s="7" t="s">
        <v>17</v>
      </c>
      <c r="G1220" s="7">
        <v>1543889</v>
      </c>
      <c r="H1220" s="7">
        <v>371</v>
      </c>
      <c r="I1220" s="7">
        <v>7</v>
      </c>
      <c r="J1220" s="7">
        <v>0</v>
      </c>
      <c r="K1220" s="7" t="s">
        <v>18</v>
      </c>
      <c r="L1220" s="8">
        <v>39891.213356481479</v>
      </c>
      <c r="M1220" s="9" t="s">
        <v>19</v>
      </c>
      <c r="N1220" s="9" t="s">
        <v>22</v>
      </c>
      <c r="O1220" s="6" t="str">
        <f>HYPERLINK("https://pbs.twimg.com/profile_images/988971255679324162/jrqiIYf__normal.jpg","View")</f>
        <v>View</v>
      </c>
      <c r="P1220" s="7"/>
    </row>
    <row r="1221" spans="1:16">
      <c r="A1221" s="3">
        <v>44028.979247685187</v>
      </c>
      <c r="B1221" s="4" t="str">
        <f>HYPERLINK("https://twitter.com/sergio_fajardo","@sergio_fajardo")</f>
        <v>@sergio_fajardo</v>
      </c>
      <c r="C1221" s="5" t="s">
        <v>16</v>
      </c>
      <c r="D1221" s="5" t="s">
        <v>1242</v>
      </c>
      <c r="E1221" s="6" t="str">
        <f>HYPERLINK("https://twitter.com/sergio_fajardo/status/1283823745510055936","1283823745510055936")</f>
        <v>1283823745510055936</v>
      </c>
      <c r="F1221" s="7" t="s">
        <v>17</v>
      </c>
      <c r="G1221" s="7">
        <v>1543889</v>
      </c>
      <c r="H1221" s="7">
        <v>371</v>
      </c>
      <c r="I1221" s="7">
        <v>17</v>
      </c>
      <c r="J1221" s="7">
        <v>69</v>
      </c>
      <c r="K1221" s="7" t="s">
        <v>18</v>
      </c>
      <c r="L1221" s="8">
        <v>39891.213356481479</v>
      </c>
      <c r="M1221" s="9" t="s">
        <v>19</v>
      </c>
      <c r="N1221" s="9" t="s">
        <v>22</v>
      </c>
      <c r="O1221" s="6" t="str">
        <f>HYPERLINK("https://pbs.twimg.com/profile_images/988971255679324162/jrqiIYf__normal.jpg","View")</f>
        <v>View</v>
      </c>
      <c r="P1221" s="7"/>
    </row>
    <row r="1222" spans="1:16">
      <c r="A1222" s="3">
        <v>44029.043472222227</v>
      </c>
      <c r="B1222" s="4" t="str">
        <f>HYPERLINK("https://twitter.com/sergio_fajardo","@sergio_fajardo")</f>
        <v>@sergio_fajardo</v>
      </c>
      <c r="C1222" s="5" t="s">
        <v>16</v>
      </c>
      <c r="D1222" s="5" t="s">
        <v>1243</v>
      </c>
      <c r="E1222" s="6" t="str">
        <f>HYPERLINK("https://twitter.com/sergio_fajardo/status/1283847016490119169","1283847016490119169")</f>
        <v>1283847016490119169</v>
      </c>
      <c r="F1222" s="7" t="s">
        <v>17</v>
      </c>
      <c r="G1222" s="7">
        <v>1543891</v>
      </c>
      <c r="H1222" s="7">
        <v>371</v>
      </c>
      <c r="I1222" s="7">
        <v>5</v>
      </c>
      <c r="J1222" s="7">
        <v>0</v>
      </c>
      <c r="K1222" s="7" t="s">
        <v>18</v>
      </c>
      <c r="L1222" s="8">
        <v>39891.213356481479</v>
      </c>
      <c r="M1222" s="9" t="s">
        <v>19</v>
      </c>
      <c r="N1222" s="9" t="s">
        <v>22</v>
      </c>
      <c r="O1222" s="6" t="str">
        <f>HYPERLINK("https://pbs.twimg.com/profile_images/988971255679324162/jrqiIYf__normal.jpg","View")</f>
        <v>View</v>
      </c>
      <c r="P1222" s="7"/>
    </row>
    <row r="1223" spans="1:16">
      <c r="A1223" s="3">
        <v>44029.075509259259</v>
      </c>
      <c r="B1223" s="4" t="str">
        <f>HYPERLINK("https://twitter.com/sergio_fajardo","@sergio_fajardo")</f>
        <v>@sergio_fajardo</v>
      </c>
      <c r="C1223" s="5" t="s">
        <v>16</v>
      </c>
      <c r="D1223" s="5" t="s">
        <v>1244</v>
      </c>
      <c r="E1223" s="6" t="str">
        <f>HYPERLINK("https://twitter.com/sergio_fajardo/status/1283858629045690399","1283858629045690399")</f>
        <v>1283858629045690399</v>
      </c>
      <c r="F1223" s="7" t="s">
        <v>17</v>
      </c>
      <c r="G1223" s="7">
        <v>1543896</v>
      </c>
      <c r="H1223" s="7">
        <v>371</v>
      </c>
      <c r="I1223" s="7">
        <v>35</v>
      </c>
      <c r="J1223" s="7">
        <v>60</v>
      </c>
      <c r="K1223" s="7" t="s">
        <v>18</v>
      </c>
      <c r="L1223" s="8">
        <v>39891.213356481479</v>
      </c>
      <c r="M1223" s="9" t="s">
        <v>19</v>
      </c>
      <c r="N1223" s="9" t="s">
        <v>22</v>
      </c>
      <c r="O1223" s="6" t="str">
        <f>HYPERLINK("https://pbs.twimg.com/profile_images/988971255679324162/jrqiIYf__normal.jpg","View")</f>
        <v>View</v>
      </c>
      <c r="P1223" s="7"/>
    </row>
    <row r="1224" spans="1:16">
      <c r="A1224" s="3">
        <v>44029.109259259261</v>
      </c>
      <c r="B1224" s="4" t="str">
        <f>HYPERLINK("https://twitter.com/sergio_fajardo","@sergio_fajardo")</f>
        <v>@sergio_fajardo</v>
      </c>
      <c r="C1224" s="5" t="s">
        <v>16</v>
      </c>
      <c r="D1224" s="5" t="s">
        <v>1245</v>
      </c>
      <c r="E1224" s="6" t="str">
        <f>HYPERLINK("https://twitter.com/sergio_fajardo/status/1283870859296481281","1283870859296481281")</f>
        <v>1283870859296481281</v>
      </c>
      <c r="F1224" s="7" t="s">
        <v>17</v>
      </c>
      <c r="G1224" s="7">
        <v>1543895</v>
      </c>
      <c r="H1224" s="7">
        <v>371</v>
      </c>
      <c r="I1224" s="7">
        <v>1</v>
      </c>
      <c r="J1224" s="7">
        <v>7</v>
      </c>
      <c r="K1224" s="7" t="s">
        <v>18</v>
      </c>
      <c r="L1224" s="8">
        <v>39891.213356481479</v>
      </c>
      <c r="M1224" s="9" t="s">
        <v>19</v>
      </c>
      <c r="N1224" s="9" t="s">
        <v>22</v>
      </c>
      <c r="O1224" s="6" t="str">
        <f>HYPERLINK("https://pbs.twimg.com/profile_images/988971255679324162/jrqiIYf__normal.jpg","View")</f>
        <v>View</v>
      </c>
      <c r="P1224" s="7"/>
    </row>
    <row r="1225" spans="1:16">
      <c r="A1225" s="3">
        <v>44029.133252314816</v>
      </c>
      <c r="B1225" s="4" t="str">
        <f>HYPERLINK("https://twitter.com/sergio_fajardo","@sergio_fajardo")</f>
        <v>@sergio_fajardo</v>
      </c>
      <c r="C1225" s="5" t="s">
        <v>16</v>
      </c>
      <c r="D1225" s="5" t="s">
        <v>1246</v>
      </c>
      <c r="E1225" s="6" t="str">
        <f>HYPERLINK("https://twitter.com/sergio_fajardo/status/1283879554130612229","1283879554130612229")</f>
        <v>1283879554130612229</v>
      </c>
      <c r="F1225" s="7" t="s">
        <v>17</v>
      </c>
      <c r="G1225" s="7">
        <v>1543899</v>
      </c>
      <c r="H1225" s="7">
        <v>371</v>
      </c>
      <c r="I1225" s="7">
        <v>4</v>
      </c>
      <c r="J1225" s="7">
        <v>0</v>
      </c>
      <c r="K1225" s="7" t="s">
        <v>18</v>
      </c>
      <c r="L1225" s="8">
        <v>39891.213356481479</v>
      </c>
      <c r="M1225" s="9" t="s">
        <v>19</v>
      </c>
      <c r="N1225" s="9" t="s">
        <v>22</v>
      </c>
      <c r="O1225" s="6" t="str">
        <f>HYPERLINK("https://pbs.twimg.com/profile_images/988971255679324162/jrqiIYf__normal.jpg","View")</f>
        <v>View</v>
      </c>
      <c r="P1225" s="7"/>
    </row>
    <row r="1226" spans="1:16">
      <c r="A1226" s="3">
        <v>44029.186215277776</v>
      </c>
      <c r="B1226" s="4" t="str">
        <f>HYPERLINK("https://twitter.com/sergio_fajardo","@sergio_fajardo")</f>
        <v>@sergio_fajardo</v>
      </c>
      <c r="C1226" s="5" t="s">
        <v>16</v>
      </c>
      <c r="D1226" s="5" t="s">
        <v>1247</v>
      </c>
      <c r="E1226" s="6" t="str">
        <f>HYPERLINK("https://twitter.com/sergio_fajardo/status/1283898747005665281","1283898747005665281")</f>
        <v>1283898747005665281</v>
      </c>
      <c r="F1226" s="7" t="s">
        <v>17</v>
      </c>
      <c r="G1226" s="7">
        <v>1543909</v>
      </c>
      <c r="H1226" s="7">
        <v>371</v>
      </c>
      <c r="I1226" s="7">
        <v>27</v>
      </c>
      <c r="J1226" s="7">
        <v>85</v>
      </c>
      <c r="K1226" s="7" t="s">
        <v>18</v>
      </c>
      <c r="L1226" s="8">
        <v>39891.213356481479</v>
      </c>
      <c r="M1226" s="9" t="s">
        <v>19</v>
      </c>
      <c r="N1226" s="9" t="s">
        <v>22</v>
      </c>
      <c r="O1226" s="6" t="str">
        <f>HYPERLINK("https://pbs.twimg.com/profile_images/988971255679324162/jrqiIYf__normal.jpg","View")</f>
        <v>View</v>
      </c>
      <c r="P1226" s="7"/>
    </row>
    <row r="1227" spans="1:16">
      <c r="A1227" s="3">
        <v>44029.84756944445</v>
      </c>
      <c r="B1227" s="4" t="str">
        <f>HYPERLINK("https://twitter.com/sergio_fajardo","@sergio_fajardo")</f>
        <v>@sergio_fajardo</v>
      </c>
      <c r="C1227" s="5" t="s">
        <v>16</v>
      </c>
      <c r="D1227" s="5" t="s">
        <v>1248</v>
      </c>
      <c r="E1227" s="6" t="str">
        <f>HYPERLINK("https://twitter.com/sergio_fajardo/status/1284138415181766656","1284138415181766656")</f>
        <v>1284138415181766656</v>
      </c>
      <c r="F1227" s="7" t="s">
        <v>17</v>
      </c>
      <c r="G1227" s="7">
        <v>1543934</v>
      </c>
      <c r="H1227" s="7">
        <v>371</v>
      </c>
      <c r="I1227" s="7">
        <v>5</v>
      </c>
      <c r="J1227" s="7">
        <v>23</v>
      </c>
      <c r="K1227" s="7" t="s">
        <v>18</v>
      </c>
      <c r="L1227" s="8">
        <v>39891.213356481479</v>
      </c>
      <c r="M1227" s="9" t="s">
        <v>19</v>
      </c>
      <c r="N1227" s="9" t="s">
        <v>22</v>
      </c>
      <c r="O1227" s="6" t="str">
        <f>HYPERLINK("https://pbs.twimg.com/profile_images/988971255679324162/jrqiIYf__normal.jpg","View")</f>
        <v>View</v>
      </c>
      <c r="P1227" s="7"/>
    </row>
    <row r="1228" spans="1:16">
      <c r="A1228" s="3">
        <v>44029.851597222223</v>
      </c>
      <c r="B1228" s="4" t="str">
        <f>HYPERLINK("https://twitter.com/sergio_fajardo","@sergio_fajardo")</f>
        <v>@sergio_fajardo</v>
      </c>
      <c r="C1228" s="5" t="s">
        <v>16</v>
      </c>
      <c r="D1228" s="5" t="s">
        <v>1249</v>
      </c>
      <c r="E1228" s="6" t="str">
        <f>HYPERLINK("https://twitter.com/sergio_fajardo/status/1284139871158906880","1284139871158906880")</f>
        <v>1284139871158906880</v>
      </c>
      <c r="F1228" s="7" t="s">
        <v>17</v>
      </c>
      <c r="G1228" s="7">
        <v>1543934</v>
      </c>
      <c r="H1228" s="7">
        <v>371</v>
      </c>
      <c r="I1228" s="7">
        <v>2</v>
      </c>
      <c r="J1228" s="7">
        <v>13</v>
      </c>
      <c r="K1228" s="7" t="s">
        <v>18</v>
      </c>
      <c r="L1228" s="8">
        <v>39891.213356481479</v>
      </c>
      <c r="M1228" s="9" t="s">
        <v>19</v>
      </c>
      <c r="N1228" s="9" t="s">
        <v>22</v>
      </c>
      <c r="O1228" s="6" t="str">
        <f>HYPERLINK("https://pbs.twimg.com/profile_images/988971255679324162/jrqiIYf__normal.jpg","View")</f>
        <v>View</v>
      </c>
      <c r="P1228" s="7"/>
    </row>
    <row r="1229" spans="1:16">
      <c r="A1229" s="3">
        <v>44029.931898148148</v>
      </c>
      <c r="B1229" s="4" t="str">
        <f>HYPERLINK("https://twitter.com/sergio_fajardo","@sergio_fajardo")</f>
        <v>@sergio_fajardo</v>
      </c>
      <c r="C1229" s="5" t="s">
        <v>16</v>
      </c>
      <c r="D1229" s="5" t="s">
        <v>1250</v>
      </c>
      <c r="E1229" s="6" t="str">
        <f>HYPERLINK("https://twitter.com/sergio_fajardo/status/1284168974398349312","1284168974398349312")</f>
        <v>1284168974398349312</v>
      </c>
      <c r="F1229" s="7" t="s">
        <v>17</v>
      </c>
      <c r="G1229" s="7">
        <v>1543943</v>
      </c>
      <c r="H1229" s="7">
        <v>371</v>
      </c>
      <c r="I1229" s="7">
        <v>499</v>
      </c>
      <c r="J1229" s="7">
        <v>0</v>
      </c>
      <c r="K1229" s="7" t="s">
        <v>18</v>
      </c>
      <c r="L1229" s="8">
        <v>39891.213356481479</v>
      </c>
      <c r="M1229" s="9" t="s">
        <v>19</v>
      </c>
      <c r="N1229" s="9" t="s">
        <v>22</v>
      </c>
      <c r="O1229" s="6" t="str">
        <f>HYPERLINK("https://pbs.twimg.com/profile_images/988971255679324162/jrqiIYf__normal.jpg","View")</f>
        <v>View</v>
      </c>
      <c r="P1229" s="7"/>
    </row>
    <row r="1230" spans="1:16">
      <c r="A1230" s="3">
        <v>44029.954444444447</v>
      </c>
      <c r="B1230" s="4" t="str">
        <f>HYPERLINK("https://twitter.com/sergio_fajardo","@sergio_fajardo")</f>
        <v>@sergio_fajardo</v>
      </c>
      <c r="C1230" s="5" t="s">
        <v>16</v>
      </c>
      <c r="D1230" s="5" t="s">
        <v>1251</v>
      </c>
      <c r="E1230" s="6" t="str">
        <f>HYPERLINK("https://twitter.com/sergio_fajardo/status/1284177145015742467","1284177145015742467")</f>
        <v>1284177145015742467</v>
      </c>
      <c r="F1230" s="7" t="s">
        <v>17</v>
      </c>
      <c r="G1230" s="7">
        <v>1543942</v>
      </c>
      <c r="H1230" s="7">
        <v>371</v>
      </c>
      <c r="I1230" s="7">
        <v>932</v>
      </c>
      <c r="J1230" s="7">
        <v>0</v>
      </c>
      <c r="K1230" s="7" t="s">
        <v>18</v>
      </c>
      <c r="L1230" s="8">
        <v>39891.213356481479</v>
      </c>
      <c r="M1230" s="9" t="s">
        <v>19</v>
      </c>
      <c r="N1230" s="9" t="s">
        <v>22</v>
      </c>
      <c r="O1230" s="6" t="str">
        <f>HYPERLINK("https://pbs.twimg.com/profile_images/988971255679324162/jrqiIYf__normal.jpg","View")</f>
        <v>View</v>
      </c>
      <c r="P1230" s="7"/>
    </row>
    <row r="1231" spans="1:16">
      <c r="A1231" s="3">
        <v>44029.956562499996</v>
      </c>
      <c r="B1231" s="4" t="str">
        <f>HYPERLINK("https://twitter.com/sergio_fajardo","@sergio_fajardo")</f>
        <v>@sergio_fajardo</v>
      </c>
      <c r="C1231" s="5" t="s">
        <v>16</v>
      </c>
      <c r="D1231" s="5" t="s">
        <v>1252</v>
      </c>
      <c r="E1231" s="6" t="str">
        <f>HYPERLINK("https://twitter.com/sergio_fajardo/status/1284177911323537413","1284177911323537413")</f>
        <v>1284177911323537413</v>
      </c>
      <c r="F1231" s="7" t="s">
        <v>17</v>
      </c>
      <c r="G1231" s="7">
        <v>1543942</v>
      </c>
      <c r="H1231" s="7">
        <v>371</v>
      </c>
      <c r="I1231" s="7">
        <v>21</v>
      </c>
      <c r="J1231" s="7">
        <v>0</v>
      </c>
      <c r="K1231" s="7" t="s">
        <v>18</v>
      </c>
      <c r="L1231" s="8">
        <v>39891.213356481479</v>
      </c>
      <c r="M1231" s="9" t="s">
        <v>19</v>
      </c>
      <c r="N1231" s="9" t="s">
        <v>22</v>
      </c>
      <c r="O1231" s="6" t="str">
        <f>HYPERLINK("https://pbs.twimg.com/profile_images/988971255679324162/jrqiIYf__normal.jpg","View")</f>
        <v>View</v>
      </c>
      <c r="P1231" s="7"/>
    </row>
    <row r="1232" spans="1:16">
      <c r="A1232" s="3">
        <v>44029.956759259258</v>
      </c>
      <c r="B1232" s="4" t="str">
        <f>HYPERLINK("https://twitter.com/sergio_fajardo","@sergio_fajardo")</f>
        <v>@sergio_fajardo</v>
      </c>
      <c r="C1232" s="5" t="s">
        <v>16</v>
      </c>
      <c r="D1232" s="5" t="s">
        <v>1253</v>
      </c>
      <c r="E1232" s="6" t="str">
        <f>HYPERLINK("https://twitter.com/sergio_fajardo/status/1284177982047780864","1284177982047780864")</f>
        <v>1284177982047780864</v>
      </c>
      <c r="F1232" s="7" t="s">
        <v>17</v>
      </c>
      <c r="G1232" s="7">
        <v>1543942</v>
      </c>
      <c r="H1232" s="7">
        <v>371</v>
      </c>
      <c r="I1232" s="7">
        <v>4</v>
      </c>
      <c r="J1232" s="7">
        <v>0</v>
      </c>
      <c r="K1232" s="7" t="s">
        <v>18</v>
      </c>
      <c r="L1232" s="8">
        <v>39891.213356481479</v>
      </c>
      <c r="M1232" s="9" t="s">
        <v>19</v>
      </c>
      <c r="N1232" s="9" t="s">
        <v>22</v>
      </c>
      <c r="O1232" s="6" t="str">
        <f>HYPERLINK("https://pbs.twimg.com/profile_images/988971255679324162/jrqiIYf__normal.jpg","View")</f>
        <v>View</v>
      </c>
      <c r="P1232" s="7"/>
    </row>
    <row r="1233" spans="1:16">
      <c r="A1233" s="3">
        <v>44029.957268518519</v>
      </c>
      <c r="B1233" s="4" t="str">
        <f>HYPERLINK("https://twitter.com/sergio_fajardo","@sergio_fajardo")</f>
        <v>@sergio_fajardo</v>
      </c>
      <c r="C1233" s="5" t="s">
        <v>16</v>
      </c>
      <c r="D1233" s="5" t="s">
        <v>1254</v>
      </c>
      <c r="E1233" s="6" t="str">
        <f>HYPERLINK("https://twitter.com/sergio_fajardo/status/1284178167675211778","1284178167675211778")</f>
        <v>1284178167675211778</v>
      </c>
      <c r="F1233" s="7" t="s">
        <v>17</v>
      </c>
      <c r="G1233" s="7">
        <v>1543942</v>
      </c>
      <c r="H1233" s="7">
        <v>371</v>
      </c>
      <c r="I1233" s="7">
        <v>143</v>
      </c>
      <c r="J1233" s="7">
        <v>0</v>
      </c>
      <c r="K1233" s="7" t="s">
        <v>18</v>
      </c>
      <c r="L1233" s="8">
        <v>39891.213356481479</v>
      </c>
      <c r="M1233" s="9" t="s">
        <v>19</v>
      </c>
      <c r="N1233" s="9" t="s">
        <v>22</v>
      </c>
      <c r="O1233" s="6" t="str">
        <f>HYPERLINK("https://pbs.twimg.com/profile_images/988971255679324162/jrqiIYf__normal.jpg","View")</f>
        <v>View</v>
      </c>
      <c r="P1233" s="7"/>
    </row>
    <row r="1234" spans="1:16">
      <c r="A1234" s="3">
        <v>44029.959837962961</v>
      </c>
      <c r="B1234" s="4" t="str">
        <f>HYPERLINK("https://twitter.com/sergio_fajardo","@sergio_fajardo")</f>
        <v>@sergio_fajardo</v>
      </c>
      <c r="C1234" s="5" t="s">
        <v>16</v>
      </c>
      <c r="D1234" s="5" t="s">
        <v>1255</v>
      </c>
      <c r="E1234" s="6" t="str">
        <f>HYPERLINK("https://twitter.com/sergio_fajardo/status/1284179098424750080","1284179098424750080")</f>
        <v>1284179098424750080</v>
      </c>
      <c r="F1234" s="7" t="s">
        <v>17</v>
      </c>
      <c r="G1234" s="7">
        <v>1543942</v>
      </c>
      <c r="H1234" s="7">
        <v>371</v>
      </c>
      <c r="I1234" s="7">
        <v>18</v>
      </c>
      <c r="J1234" s="7">
        <v>0</v>
      </c>
      <c r="K1234" s="7" t="s">
        <v>18</v>
      </c>
      <c r="L1234" s="8">
        <v>39891.213356481479</v>
      </c>
      <c r="M1234" s="9" t="s">
        <v>19</v>
      </c>
      <c r="N1234" s="9" t="s">
        <v>22</v>
      </c>
      <c r="O1234" s="6" t="str">
        <f>HYPERLINK("https://pbs.twimg.com/profile_images/988971255679324162/jrqiIYf__normal.jpg","View")</f>
        <v>View</v>
      </c>
      <c r="P1234" s="7"/>
    </row>
    <row r="1235" spans="1:16">
      <c r="A1235" s="3">
        <v>44030.080625000002</v>
      </c>
      <c r="B1235" s="4" t="str">
        <f>HYPERLINK("https://twitter.com/sergio_fajardo","@sergio_fajardo")</f>
        <v>@sergio_fajardo</v>
      </c>
      <c r="C1235" s="5" t="s">
        <v>16</v>
      </c>
      <c r="D1235" s="5" t="s">
        <v>1256</v>
      </c>
      <c r="E1235" s="6" t="str">
        <f>HYPERLINK("https://twitter.com/sergio_fajardo/status/1284222869610934273","1284222869610934273")</f>
        <v>1284222869610934273</v>
      </c>
      <c r="F1235" s="7" t="s">
        <v>17</v>
      </c>
      <c r="G1235" s="7">
        <v>1543943</v>
      </c>
      <c r="H1235" s="7">
        <v>371</v>
      </c>
      <c r="I1235" s="7">
        <v>8</v>
      </c>
      <c r="J1235" s="7">
        <v>0</v>
      </c>
      <c r="K1235" s="7" t="s">
        <v>18</v>
      </c>
      <c r="L1235" s="8">
        <v>39891.213356481479</v>
      </c>
      <c r="M1235" s="9" t="s">
        <v>19</v>
      </c>
      <c r="N1235" s="9" t="s">
        <v>22</v>
      </c>
      <c r="O1235" s="6" t="str">
        <f>HYPERLINK("https://pbs.twimg.com/profile_images/988971255679324162/jrqiIYf__normal.jpg","View")</f>
        <v>View</v>
      </c>
      <c r="P1235" s="7"/>
    </row>
    <row r="1236" spans="1:16">
      <c r="A1236" s="3">
        <v>44030.394247685181</v>
      </c>
      <c r="B1236" s="4" t="str">
        <f>HYPERLINK("https://twitter.com/sergio_fajardo","@sergio_fajardo")</f>
        <v>@sergio_fajardo</v>
      </c>
      <c r="C1236" s="5" t="s">
        <v>16</v>
      </c>
      <c r="D1236" s="5" t="s">
        <v>1257</v>
      </c>
      <c r="E1236" s="6" t="str">
        <f>HYPERLINK("https://twitter.com/sergio_fajardo/status/1284336522116956161","1284336522116956161")</f>
        <v>1284336522116956161</v>
      </c>
      <c r="F1236" s="7" t="s">
        <v>17</v>
      </c>
      <c r="G1236" s="7">
        <v>1543976</v>
      </c>
      <c r="H1236" s="7">
        <v>371</v>
      </c>
      <c r="I1236" s="7">
        <v>71</v>
      </c>
      <c r="J1236" s="7">
        <v>0</v>
      </c>
      <c r="K1236" s="7" t="s">
        <v>18</v>
      </c>
      <c r="L1236" s="8">
        <v>39891.213356481479</v>
      </c>
      <c r="M1236" s="9" t="s">
        <v>19</v>
      </c>
      <c r="N1236" s="9" t="s">
        <v>22</v>
      </c>
      <c r="O1236" s="6" t="str">
        <f>HYPERLINK("https://pbs.twimg.com/profile_images/988971255679324162/jrqiIYf__normal.jpg","View")</f>
        <v>View</v>
      </c>
      <c r="P1236" s="7"/>
    </row>
    <row r="1237" spans="1:16">
      <c r="A1237" s="3">
        <v>44030.661319444444</v>
      </c>
      <c r="B1237" s="4" t="str">
        <f>HYPERLINK("https://twitter.com/sergio_fajardo","@sergio_fajardo")</f>
        <v>@sergio_fajardo</v>
      </c>
      <c r="C1237" s="5" t="s">
        <v>16</v>
      </c>
      <c r="D1237" s="5" t="s">
        <v>1258</v>
      </c>
      <c r="E1237" s="6" t="str">
        <f>HYPERLINK("https://twitter.com/sergio_fajardo/status/1284433305039970304","1284433305039970304")</f>
        <v>1284433305039970304</v>
      </c>
      <c r="F1237" s="7" t="s">
        <v>17</v>
      </c>
      <c r="G1237" s="7">
        <v>1543941</v>
      </c>
      <c r="H1237" s="7">
        <v>371</v>
      </c>
      <c r="I1237" s="7">
        <v>1</v>
      </c>
      <c r="J1237" s="7">
        <v>5</v>
      </c>
      <c r="K1237" s="7" t="s">
        <v>18</v>
      </c>
      <c r="L1237" s="8">
        <v>39891.213356481479</v>
      </c>
      <c r="M1237" s="9" t="s">
        <v>19</v>
      </c>
      <c r="N1237" s="9" t="s">
        <v>22</v>
      </c>
      <c r="O1237" s="6" t="str">
        <f>HYPERLINK("https://pbs.twimg.com/profile_images/988971255679324162/jrqiIYf__normal.jpg","View")</f>
        <v>View</v>
      </c>
      <c r="P1237" s="7"/>
    </row>
    <row r="1238" spans="1:16">
      <c r="A1238" s="3">
        <v>44030.728125000001</v>
      </c>
      <c r="B1238" s="4" t="str">
        <f>HYPERLINK("https://twitter.com/sergio_fajardo","@sergio_fajardo")</f>
        <v>@sergio_fajardo</v>
      </c>
      <c r="C1238" s="5" t="s">
        <v>16</v>
      </c>
      <c r="D1238" s="4" t="s">
        <v>1259</v>
      </c>
      <c r="E1238" s="6" t="str">
        <f>HYPERLINK("https://twitter.com/sergio_fajardo/status/1284457515913302016","1284457515913302016")</f>
        <v>1284457515913302016</v>
      </c>
      <c r="F1238" s="7" t="s">
        <v>17</v>
      </c>
      <c r="G1238" s="7">
        <v>1543951</v>
      </c>
      <c r="H1238" s="7">
        <v>371</v>
      </c>
      <c r="I1238" s="7">
        <v>2</v>
      </c>
      <c r="J1238" s="7">
        <v>6</v>
      </c>
      <c r="K1238" s="7" t="s">
        <v>18</v>
      </c>
      <c r="L1238" s="8">
        <v>39891.213356481479</v>
      </c>
      <c r="M1238" s="9" t="s">
        <v>19</v>
      </c>
      <c r="N1238" s="9" t="s">
        <v>22</v>
      </c>
      <c r="O1238" s="6" t="str">
        <f>HYPERLINK("https://pbs.twimg.com/profile_images/988971255679324162/jrqiIYf__normal.jpg","View")</f>
        <v>View</v>
      </c>
      <c r="P1238" s="7"/>
    </row>
    <row r="1239" spans="1:16">
      <c r="A1239" s="3">
        <v>44030.803113425922</v>
      </c>
      <c r="B1239" s="4" t="str">
        <f>HYPERLINK("https://twitter.com/sergio_fajardo","@sergio_fajardo")</f>
        <v>@sergio_fajardo</v>
      </c>
      <c r="C1239" s="5" t="s">
        <v>16</v>
      </c>
      <c r="D1239" s="5" t="s">
        <v>1260</v>
      </c>
      <c r="E1239" s="6" t="str">
        <f>HYPERLINK("https://twitter.com/sergio_fajardo/status/1284484690934738944","1284484690934738944")</f>
        <v>1284484690934738944</v>
      </c>
      <c r="F1239" s="7" t="s">
        <v>20</v>
      </c>
      <c r="G1239" s="7">
        <v>1543959</v>
      </c>
      <c r="H1239" s="7">
        <v>371</v>
      </c>
      <c r="I1239" s="7">
        <v>1</v>
      </c>
      <c r="J1239" s="7">
        <v>7</v>
      </c>
      <c r="K1239" s="7" t="s">
        <v>18</v>
      </c>
      <c r="L1239" s="8">
        <v>39891.213356481479</v>
      </c>
      <c r="M1239" s="9" t="s">
        <v>19</v>
      </c>
      <c r="N1239" s="9" t="s">
        <v>22</v>
      </c>
      <c r="O1239" s="6" t="str">
        <f>HYPERLINK("https://pbs.twimg.com/profile_images/988971255679324162/jrqiIYf__normal.jpg","View")</f>
        <v>View</v>
      </c>
      <c r="P1239" s="7"/>
    </row>
    <row r="1240" spans="1:16">
      <c r="A1240" s="3">
        <v>44031.272893518515</v>
      </c>
      <c r="B1240" s="4" t="str">
        <f>HYPERLINK("https://twitter.com/sergio_fajardo","@sergio_fajardo")</f>
        <v>@sergio_fajardo</v>
      </c>
      <c r="C1240" s="5" t="s">
        <v>16</v>
      </c>
      <c r="D1240" s="5" t="s">
        <v>1261</v>
      </c>
      <c r="E1240" s="6" t="str">
        <f>HYPERLINK("https://twitter.com/sergio_fajardo/status/1284654933866958850","1284654933866958850")</f>
        <v>1284654933866958850</v>
      </c>
      <c r="F1240" s="7" t="s">
        <v>17</v>
      </c>
      <c r="G1240" s="7">
        <v>1543951</v>
      </c>
      <c r="H1240" s="7">
        <v>371</v>
      </c>
      <c r="I1240" s="7">
        <v>20</v>
      </c>
      <c r="J1240" s="7">
        <v>0</v>
      </c>
      <c r="K1240" s="7" t="s">
        <v>18</v>
      </c>
      <c r="L1240" s="8">
        <v>39891.213356481479</v>
      </c>
      <c r="M1240" s="9" t="s">
        <v>19</v>
      </c>
      <c r="N1240" s="9" t="s">
        <v>22</v>
      </c>
      <c r="O1240" s="6" t="str">
        <f>HYPERLINK("https://pbs.twimg.com/profile_images/988971255679324162/jrqiIYf__normal.jpg","View")</f>
        <v>View</v>
      </c>
      <c r="P1240" s="7"/>
    </row>
    <row r="1241" spans="1:16">
      <c r="A1241" s="3">
        <v>44032.007488425923</v>
      </c>
      <c r="B1241" s="4" t="str">
        <f>HYPERLINK("https://twitter.com/sergio_fajardo","@sergio_fajardo")</f>
        <v>@sergio_fajardo</v>
      </c>
      <c r="C1241" s="5" t="s">
        <v>16</v>
      </c>
      <c r="D1241" s="5" t="s">
        <v>1262</v>
      </c>
      <c r="E1241" s="6" t="str">
        <f>HYPERLINK("https://twitter.com/sergio_fajardo/status/1284921140880826368","1284921140880826368")</f>
        <v>1284921140880826368</v>
      </c>
      <c r="F1241" s="7" t="s">
        <v>17</v>
      </c>
      <c r="G1241" s="7">
        <v>1543954</v>
      </c>
      <c r="H1241" s="7">
        <v>371</v>
      </c>
      <c r="I1241" s="7">
        <v>679</v>
      </c>
      <c r="J1241" s="7">
        <v>0</v>
      </c>
      <c r="K1241" s="7" t="s">
        <v>18</v>
      </c>
      <c r="L1241" s="8">
        <v>39891.213356481479</v>
      </c>
      <c r="M1241" s="9" t="s">
        <v>19</v>
      </c>
      <c r="N1241" s="9" t="s">
        <v>22</v>
      </c>
      <c r="O1241" s="6" t="str">
        <f>HYPERLINK("https://pbs.twimg.com/profile_images/988971255679324162/jrqiIYf__normal.jpg","View")</f>
        <v>View</v>
      </c>
      <c r="P1241" s="7"/>
    </row>
    <row r="1242" spans="1:16">
      <c r="A1242" s="3">
        <v>44032.880324074074</v>
      </c>
      <c r="B1242" s="4" t="str">
        <f>HYPERLINK("https://twitter.com/sergio_fajardo","@sergio_fajardo")</f>
        <v>@sergio_fajardo</v>
      </c>
      <c r="C1242" s="5" t="s">
        <v>16</v>
      </c>
      <c r="D1242" s="5" t="s">
        <v>1263</v>
      </c>
      <c r="E1242" s="6" t="str">
        <f>HYPERLINK("https://twitter.com/sergio_fajardo/status/1285237444640673798","1285237444640673798")</f>
        <v>1285237444640673798</v>
      </c>
      <c r="F1242" s="7" t="s">
        <v>17</v>
      </c>
      <c r="G1242" s="7">
        <v>1543962</v>
      </c>
      <c r="H1242" s="7">
        <v>371</v>
      </c>
      <c r="I1242" s="7">
        <v>7</v>
      </c>
      <c r="J1242" s="7">
        <v>0</v>
      </c>
      <c r="K1242" s="7" t="s">
        <v>18</v>
      </c>
      <c r="L1242" s="8">
        <v>39891.213356481479</v>
      </c>
      <c r="M1242" s="9" t="s">
        <v>19</v>
      </c>
      <c r="N1242" s="9" t="s">
        <v>22</v>
      </c>
      <c r="O1242" s="6" t="str">
        <f>HYPERLINK("https://pbs.twimg.com/profile_images/988971255679324162/jrqiIYf__normal.jpg","View")</f>
        <v>View</v>
      </c>
      <c r="P1242" s="7"/>
    </row>
    <row r="1243" spans="1:16">
      <c r="A1243" s="3">
        <v>44032.883993055555</v>
      </c>
      <c r="B1243" s="4" t="str">
        <f>HYPERLINK("https://twitter.com/sergio_fajardo","@sergio_fajardo")</f>
        <v>@sergio_fajardo</v>
      </c>
      <c r="C1243" s="5" t="s">
        <v>16</v>
      </c>
      <c r="D1243" s="5" t="s">
        <v>1264</v>
      </c>
      <c r="E1243" s="6" t="str">
        <f>HYPERLINK("https://twitter.com/sergio_fajardo/status/1285238775803674627","1285238775803674627")</f>
        <v>1285238775803674627</v>
      </c>
      <c r="F1243" s="7" t="s">
        <v>17</v>
      </c>
      <c r="G1243" s="7">
        <v>1543962</v>
      </c>
      <c r="H1243" s="7">
        <v>371</v>
      </c>
      <c r="I1243" s="7">
        <v>23</v>
      </c>
      <c r="J1243" s="7">
        <v>0</v>
      </c>
      <c r="K1243" s="7" t="s">
        <v>18</v>
      </c>
      <c r="L1243" s="8">
        <v>39891.213356481479</v>
      </c>
      <c r="M1243" s="9" t="s">
        <v>19</v>
      </c>
      <c r="N1243" s="9" t="s">
        <v>22</v>
      </c>
      <c r="O1243" s="6" t="str">
        <f>HYPERLINK("https://pbs.twimg.com/profile_images/988971255679324162/jrqiIYf__normal.jpg","View")</f>
        <v>View</v>
      </c>
      <c r="P1243" s="7"/>
    </row>
    <row r="1244" spans="1:16">
      <c r="A1244" s="3">
        <v>44032.934606481482</v>
      </c>
      <c r="B1244" s="4" t="str">
        <f>HYPERLINK("https://twitter.com/sergio_fajardo","@sergio_fajardo")</f>
        <v>@sergio_fajardo</v>
      </c>
      <c r="C1244" s="5" t="s">
        <v>16</v>
      </c>
      <c r="D1244" s="5" t="s">
        <v>1265</v>
      </c>
      <c r="E1244" s="6" t="str">
        <f>HYPERLINK("https://twitter.com/sergio_fajardo/status/1285257117428064258","1285257117428064258")</f>
        <v>1285257117428064258</v>
      </c>
      <c r="F1244" s="7" t="s">
        <v>17</v>
      </c>
      <c r="G1244" s="7">
        <v>1543971</v>
      </c>
      <c r="H1244" s="7">
        <v>371</v>
      </c>
      <c r="I1244" s="7">
        <v>45</v>
      </c>
      <c r="J1244" s="7">
        <v>139</v>
      </c>
      <c r="K1244" s="7" t="s">
        <v>18</v>
      </c>
      <c r="L1244" s="8">
        <v>39891.213356481479</v>
      </c>
      <c r="M1244" s="9" t="s">
        <v>19</v>
      </c>
      <c r="N1244" s="9" t="s">
        <v>22</v>
      </c>
      <c r="O1244" s="6" t="str">
        <f>HYPERLINK("https://pbs.twimg.com/profile_images/988971255679324162/jrqiIYf__normal.jpg","View")</f>
        <v>View</v>
      </c>
      <c r="P1244" s="7"/>
    </row>
    <row r="1245" spans="1:16">
      <c r="A1245" s="3">
        <v>44032.935312500005</v>
      </c>
      <c r="B1245" s="4" t="str">
        <f>HYPERLINK("https://twitter.com/sergio_fajardo","@sergio_fajardo")</f>
        <v>@sergio_fajardo</v>
      </c>
      <c r="C1245" s="5" t="s">
        <v>16</v>
      </c>
      <c r="D1245" s="5" t="s">
        <v>1266</v>
      </c>
      <c r="E1245" s="6" t="str">
        <f>HYPERLINK("https://twitter.com/sergio_fajardo/status/1285257374379454464","1285257374379454464")</f>
        <v>1285257374379454464</v>
      </c>
      <c r="F1245" s="7" t="s">
        <v>17</v>
      </c>
      <c r="G1245" s="7">
        <v>1543971</v>
      </c>
      <c r="H1245" s="7">
        <v>371</v>
      </c>
      <c r="I1245" s="7">
        <v>244</v>
      </c>
      <c r="J1245" s="7">
        <v>0</v>
      </c>
      <c r="K1245" s="7" t="s">
        <v>18</v>
      </c>
      <c r="L1245" s="8">
        <v>39891.213356481479</v>
      </c>
      <c r="M1245" s="9" t="s">
        <v>19</v>
      </c>
      <c r="N1245" s="9" t="s">
        <v>22</v>
      </c>
      <c r="O1245" s="6" t="str">
        <f>HYPERLINK("https://pbs.twimg.com/profile_images/988971255679324162/jrqiIYf__normal.jpg","View")</f>
        <v>View</v>
      </c>
      <c r="P1245" s="7"/>
    </row>
    <row r="1246" spans="1:16">
      <c r="A1246" s="3">
        <v>44033.189907407403</v>
      </c>
      <c r="B1246" s="4" t="str">
        <f>HYPERLINK("https://twitter.com/sergio_fajardo","@sergio_fajardo")</f>
        <v>@sergio_fajardo</v>
      </c>
      <c r="C1246" s="5" t="s">
        <v>16</v>
      </c>
      <c r="D1246" s="5" t="s">
        <v>1267</v>
      </c>
      <c r="E1246" s="6" t="str">
        <f>HYPERLINK("https://twitter.com/sergio_fajardo/status/1285349637289906183","1285349637289906183")</f>
        <v>1285349637289906183</v>
      </c>
      <c r="F1246" s="7" t="s">
        <v>23</v>
      </c>
      <c r="G1246" s="7">
        <v>1543976</v>
      </c>
      <c r="H1246" s="7">
        <v>371</v>
      </c>
      <c r="I1246" s="7">
        <v>38</v>
      </c>
      <c r="J1246" s="7">
        <v>109</v>
      </c>
      <c r="K1246" s="7" t="s">
        <v>18</v>
      </c>
      <c r="L1246" s="8">
        <v>39891.213356481479</v>
      </c>
      <c r="M1246" s="9" t="s">
        <v>19</v>
      </c>
      <c r="N1246" s="9" t="s">
        <v>22</v>
      </c>
      <c r="O1246" s="6" t="str">
        <f>HYPERLINK("https://pbs.twimg.com/profile_images/988971255679324162/jrqiIYf__normal.jpg","View")</f>
        <v>View</v>
      </c>
      <c r="P1246" s="7"/>
    </row>
    <row r="1247" spans="1:16">
      <c r="A1247" s="3">
        <v>44033.307939814811</v>
      </c>
      <c r="B1247" s="4" t="str">
        <f>HYPERLINK("https://twitter.com/sergio_fajardo","@sergio_fajardo")</f>
        <v>@sergio_fajardo</v>
      </c>
      <c r="C1247" s="5" t="s">
        <v>16</v>
      </c>
      <c r="D1247" s="5" t="s">
        <v>1268</v>
      </c>
      <c r="E1247" s="6" t="str">
        <f>HYPERLINK("https://twitter.com/sergio_fajardo/status/1285392408683978752","1285392408683978752")</f>
        <v>1285392408683978752</v>
      </c>
      <c r="F1247" s="7" t="s">
        <v>17</v>
      </c>
      <c r="G1247" s="7">
        <v>1544000</v>
      </c>
      <c r="H1247" s="7">
        <v>371</v>
      </c>
      <c r="I1247" s="7">
        <v>84</v>
      </c>
      <c r="J1247" s="7">
        <v>0</v>
      </c>
      <c r="K1247" s="7" t="s">
        <v>18</v>
      </c>
      <c r="L1247" s="8">
        <v>39891.213356481479</v>
      </c>
      <c r="M1247" s="9" t="s">
        <v>19</v>
      </c>
      <c r="N1247" s="9" t="s">
        <v>22</v>
      </c>
      <c r="O1247" s="6" t="str">
        <f>HYPERLINK("https://pbs.twimg.com/profile_images/988971255679324162/jrqiIYf__normal.jpg","View")</f>
        <v>View</v>
      </c>
      <c r="P1247" s="7"/>
    </row>
    <row r="1248" spans="1:16">
      <c r="A1248" s="3">
        <v>44033.692708333328</v>
      </c>
      <c r="B1248" s="4" t="str">
        <f>HYPERLINK("https://twitter.com/sergio_fajardo","@sergio_fajardo")</f>
        <v>@sergio_fajardo</v>
      </c>
      <c r="C1248" s="5" t="s">
        <v>16</v>
      </c>
      <c r="D1248" s="5" t="s">
        <v>1269</v>
      </c>
      <c r="E1248" s="6" t="str">
        <f>HYPERLINK("https://twitter.com/sergio_fajardo/status/1285531843635404802","1285531843635404802")</f>
        <v>1285531843635404802</v>
      </c>
      <c r="F1248" s="7" t="s">
        <v>17</v>
      </c>
      <c r="G1248" s="7">
        <v>1543988</v>
      </c>
      <c r="H1248" s="7">
        <v>371</v>
      </c>
      <c r="I1248" s="7">
        <v>10</v>
      </c>
      <c r="J1248" s="7">
        <v>41</v>
      </c>
      <c r="K1248" s="7" t="s">
        <v>18</v>
      </c>
      <c r="L1248" s="8">
        <v>39891.213356481479</v>
      </c>
      <c r="M1248" s="9" t="s">
        <v>19</v>
      </c>
      <c r="N1248" s="9" t="s">
        <v>22</v>
      </c>
      <c r="O1248" s="6" t="str">
        <f>HYPERLINK("https://pbs.twimg.com/profile_images/988971255679324162/jrqiIYf__normal.jpg","View")</f>
        <v>View</v>
      </c>
      <c r="P1248" s="7"/>
    </row>
    <row r="1249" spans="1:16">
      <c r="A1249" s="3">
        <v>44033.723969907413</v>
      </c>
      <c r="B1249" s="4" t="str">
        <f>HYPERLINK("https://twitter.com/sergio_fajardo","@sergio_fajardo")</f>
        <v>@sergio_fajardo</v>
      </c>
      <c r="C1249" s="5" t="s">
        <v>16</v>
      </c>
      <c r="D1249" s="4" t="s">
        <v>1270</v>
      </c>
      <c r="E1249" s="6" t="str">
        <f>HYPERLINK("https://twitter.com/sergio_fajardo/status/1285543173746495488","1285543173746495488")</f>
        <v>1285543173746495488</v>
      </c>
      <c r="F1249" s="7" t="s">
        <v>17</v>
      </c>
      <c r="G1249" s="7">
        <v>1543990</v>
      </c>
      <c r="H1249" s="7">
        <v>371</v>
      </c>
      <c r="I1249" s="7">
        <v>10</v>
      </c>
      <c r="J1249" s="7">
        <v>25</v>
      </c>
      <c r="K1249" s="7" t="s">
        <v>18</v>
      </c>
      <c r="L1249" s="8">
        <v>39891.213356481479</v>
      </c>
      <c r="M1249" s="9" t="s">
        <v>19</v>
      </c>
      <c r="N1249" s="9" t="s">
        <v>22</v>
      </c>
      <c r="O1249" s="6" t="str">
        <f>HYPERLINK("https://pbs.twimg.com/profile_images/988971255679324162/jrqiIYf__normal.jpg","View")</f>
        <v>View</v>
      </c>
      <c r="P1249" s="7"/>
    </row>
    <row r="1250" spans="1:16">
      <c r="A1250" s="3">
        <v>44033.728090277778</v>
      </c>
      <c r="B1250" s="4" t="str">
        <f>HYPERLINK("https://twitter.com/sergio_fajardo","@sergio_fajardo")</f>
        <v>@sergio_fajardo</v>
      </c>
      <c r="C1250" s="5" t="s">
        <v>16</v>
      </c>
      <c r="D1250" s="5" t="s">
        <v>1271</v>
      </c>
      <c r="E1250" s="6" t="str">
        <f>HYPERLINK("https://twitter.com/sergio_fajardo/status/1285544668927856640","1285544668927856640")</f>
        <v>1285544668927856640</v>
      </c>
      <c r="F1250" s="7" t="s">
        <v>17</v>
      </c>
      <c r="G1250" s="7">
        <v>1543990</v>
      </c>
      <c r="H1250" s="7">
        <v>371</v>
      </c>
      <c r="I1250" s="7">
        <v>7</v>
      </c>
      <c r="J1250" s="7">
        <v>0</v>
      </c>
      <c r="K1250" s="7" t="s">
        <v>18</v>
      </c>
      <c r="L1250" s="8">
        <v>39891.213356481479</v>
      </c>
      <c r="M1250" s="9" t="s">
        <v>19</v>
      </c>
      <c r="N1250" s="9" t="s">
        <v>22</v>
      </c>
      <c r="O1250" s="6" t="str">
        <f>HYPERLINK("https://pbs.twimg.com/profile_images/988971255679324162/jrqiIYf__normal.jpg","View")</f>
        <v>View</v>
      </c>
      <c r="P1250" s="7"/>
    </row>
    <row r="1251" spans="1:16">
      <c r="A1251" s="3">
        <v>44033.932534722218</v>
      </c>
      <c r="B1251" s="4" t="str">
        <f>HYPERLINK("https://twitter.com/sergio_fajardo","@sergio_fajardo")</f>
        <v>@sergio_fajardo</v>
      </c>
      <c r="C1251" s="5" t="s">
        <v>16</v>
      </c>
      <c r="D1251" s="5" t="s">
        <v>1272</v>
      </c>
      <c r="E1251" s="6" t="str">
        <f>HYPERLINK("https://twitter.com/sergio_fajardo/status/1285618754253094913","1285618754253094913")</f>
        <v>1285618754253094913</v>
      </c>
      <c r="F1251" s="7" t="s">
        <v>17</v>
      </c>
      <c r="G1251" s="7">
        <v>1544036</v>
      </c>
      <c r="H1251" s="7">
        <v>371</v>
      </c>
      <c r="I1251" s="7">
        <v>17</v>
      </c>
      <c r="J1251" s="7">
        <v>0</v>
      </c>
      <c r="K1251" s="7" t="s">
        <v>18</v>
      </c>
      <c r="L1251" s="8">
        <v>39891.213356481479</v>
      </c>
      <c r="M1251" s="9" t="s">
        <v>19</v>
      </c>
      <c r="N1251" s="9" t="s">
        <v>22</v>
      </c>
      <c r="O1251" s="6" t="str">
        <f>HYPERLINK("https://pbs.twimg.com/profile_images/988971255679324162/jrqiIYf__normal.jpg","View")</f>
        <v>View</v>
      </c>
      <c r="P1251" s="7"/>
    </row>
    <row r="1252" spans="1:16">
      <c r="A1252" s="3">
        <v>44033.953240740739</v>
      </c>
      <c r="B1252" s="4" t="str">
        <f>HYPERLINK("https://twitter.com/sergio_fajardo","@sergio_fajardo")</f>
        <v>@sergio_fajardo</v>
      </c>
      <c r="C1252" s="5" t="s">
        <v>16</v>
      </c>
      <c r="D1252" s="5" t="s">
        <v>1273</v>
      </c>
      <c r="E1252" s="6" t="str">
        <f>HYPERLINK("https://twitter.com/sergio_fajardo/status/1285626260388012033","1285626260388012033")</f>
        <v>1285626260388012033</v>
      </c>
      <c r="F1252" s="7" t="s">
        <v>17</v>
      </c>
      <c r="G1252" s="7">
        <v>1544040</v>
      </c>
      <c r="H1252" s="7">
        <v>371</v>
      </c>
      <c r="I1252" s="7">
        <v>6</v>
      </c>
      <c r="J1252" s="7">
        <v>0</v>
      </c>
      <c r="K1252" s="7" t="s">
        <v>18</v>
      </c>
      <c r="L1252" s="8">
        <v>39891.213356481479</v>
      </c>
      <c r="M1252" s="9" t="s">
        <v>19</v>
      </c>
      <c r="N1252" s="9" t="s">
        <v>22</v>
      </c>
      <c r="O1252" s="6" t="str">
        <f>HYPERLINK("https://pbs.twimg.com/profile_images/988971255679324162/jrqiIYf__normal.jpg","View")</f>
        <v>View</v>
      </c>
      <c r="P1252" s="7"/>
    </row>
    <row r="1253" spans="1:16">
      <c r="A1253" s="3">
        <v>44033.974988425922</v>
      </c>
      <c r="B1253" s="4" t="str">
        <f>HYPERLINK("https://twitter.com/sergio_fajardo","@sergio_fajardo")</f>
        <v>@sergio_fajardo</v>
      </c>
      <c r="C1253" s="5" t="s">
        <v>16</v>
      </c>
      <c r="D1253" s="5" t="s">
        <v>1274</v>
      </c>
      <c r="E1253" s="6" t="str">
        <f>HYPERLINK("https://twitter.com/sergio_fajardo/status/1285634139727724545","1285634139727724545")</f>
        <v>1285634139727724545</v>
      </c>
      <c r="F1253" s="7" t="s">
        <v>17</v>
      </c>
      <c r="G1253" s="7">
        <v>1544045</v>
      </c>
      <c r="H1253" s="7">
        <v>371</v>
      </c>
      <c r="I1253" s="7">
        <v>4</v>
      </c>
      <c r="J1253" s="7">
        <v>0</v>
      </c>
      <c r="K1253" s="7" t="s">
        <v>18</v>
      </c>
      <c r="L1253" s="8">
        <v>39891.213356481479</v>
      </c>
      <c r="M1253" s="9" t="s">
        <v>19</v>
      </c>
      <c r="N1253" s="9" t="s">
        <v>22</v>
      </c>
      <c r="O1253" s="6" t="str">
        <f>HYPERLINK("https://pbs.twimg.com/profile_images/988971255679324162/jrqiIYf__normal.jpg","View")</f>
        <v>View</v>
      </c>
      <c r="P1253" s="7"/>
    </row>
    <row r="1254" spans="1:16">
      <c r="A1254" s="3">
        <v>44034.035821759258</v>
      </c>
      <c r="B1254" s="4" t="str">
        <f>HYPERLINK("https://twitter.com/sergio_fajardo","@sergio_fajardo")</f>
        <v>@sergio_fajardo</v>
      </c>
      <c r="C1254" s="5" t="s">
        <v>16</v>
      </c>
      <c r="D1254" s="5" t="s">
        <v>1275</v>
      </c>
      <c r="E1254" s="6" t="str">
        <f>HYPERLINK("https://twitter.com/sergio_fajardo/status/1285656186726088712","1285656186726088712")</f>
        <v>1285656186726088712</v>
      </c>
      <c r="F1254" s="7" t="s">
        <v>17</v>
      </c>
      <c r="G1254" s="7">
        <v>1544053</v>
      </c>
      <c r="H1254" s="7">
        <v>371</v>
      </c>
      <c r="I1254" s="7">
        <v>11</v>
      </c>
      <c r="J1254" s="7">
        <v>140</v>
      </c>
      <c r="K1254" s="7" t="s">
        <v>18</v>
      </c>
      <c r="L1254" s="8">
        <v>39891.213356481479</v>
      </c>
      <c r="M1254" s="9" t="s">
        <v>19</v>
      </c>
      <c r="N1254" s="9" t="s">
        <v>22</v>
      </c>
      <c r="O1254" s="6" t="str">
        <f>HYPERLINK("https://pbs.twimg.com/profile_images/988971255679324162/jrqiIYf__normal.jpg","View")</f>
        <v>View</v>
      </c>
      <c r="P1254" s="7"/>
    </row>
    <row r="1255" spans="1:16">
      <c r="A1255" s="3">
        <v>44034.0705787037</v>
      </c>
      <c r="B1255" s="4" t="str">
        <f>HYPERLINK("https://twitter.com/sergio_fajardo","@sergio_fajardo")</f>
        <v>@sergio_fajardo</v>
      </c>
      <c r="C1255" s="5" t="s">
        <v>16</v>
      </c>
      <c r="D1255" s="5" t="s">
        <v>1276</v>
      </c>
      <c r="E1255" s="6" t="str">
        <f>HYPERLINK("https://twitter.com/sergio_fajardo/status/1285668782464262145","1285668782464262145")</f>
        <v>1285668782464262145</v>
      </c>
      <c r="F1255" s="7" t="s">
        <v>17</v>
      </c>
      <c r="G1255" s="7">
        <v>1544054</v>
      </c>
      <c r="H1255" s="7">
        <v>371</v>
      </c>
      <c r="I1255" s="7">
        <v>0</v>
      </c>
      <c r="J1255" s="7">
        <v>7</v>
      </c>
      <c r="K1255" s="7" t="s">
        <v>18</v>
      </c>
      <c r="L1255" s="8">
        <v>39891.213356481479</v>
      </c>
      <c r="M1255" s="9" t="s">
        <v>19</v>
      </c>
      <c r="N1255" s="9" t="s">
        <v>22</v>
      </c>
      <c r="O1255" s="6" t="str">
        <f>HYPERLINK("https://pbs.twimg.com/profile_images/988971255679324162/jrqiIYf__normal.jpg","View")</f>
        <v>View</v>
      </c>
      <c r="P1255" s="7"/>
    </row>
    <row r="1256" spans="1:16">
      <c r="A1256" s="3">
        <v>44034.072199074071</v>
      </c>
      <c r="B1256" s="4" t="str">
        <f>HYPERLINK("https://twitter.com/sergio_fajardo","@sergio_fajardo")</f>
        <v>@sergio_fajardo</v>
      </c>
      <c r="C1256" s="5" t="s">
        <v>16</v>
      </c>
      <c r="D1256" s="4" t="s">
        <v>1277</v>
      </c>
      <c r="E1256" s="6" t="str">
        <f>HYPERLINK("https://twitter.com/sergio_fajardo/status/1285669367397720067","1285669367397720067")</f>
        <v>1285669367397720067</v>
      </c>
      <c r="F1256" s="7" t="s">
        <v>17</v>
      </c>
      <c r="G1256" s="7">
        <v>1544054</v>
      </c>
      <c r="H1256" s="7">
        <v>371</v>
      </c>
      <c r="I1256" s="7">
        <v>0</v>
      </c>
      <c r="J1256" s="7">
        <v>0</v>
      </c>
      <c r="K1256" s="7" t="s">
        <v>18</v>
      </c>
      <c r="L1256" s="8">
        <v>39891.213356481479</v>
      </c>
      <c r="M1256" s="9" t="s">
        <v>19</v>
      </c>
      <c r="N1256" s="9" t="s">
        <v>22</v>
      </c>
      <c r="O1256" s="6" t="str">
        <f>HYPERLINK("https://pbs.twimg.com/profile_images/988971255679324162/jrqiIYf__normal.jpg","View")</f>
        <v>View</v>
      </c>
      <c r="P1256" s="7"/>
    </row>
    <row r="1257" spans="1:16">
      <c r="A1257" s="3">
        <v>44034.318738425922</v>
      </c>
      <c r="B1257" s="4" t="str">
        <f>HYPERLINK("https://twitter.com/sergio_fajardo","@sergio_fajardo")</f>
        <v>@sergio_fajardo</v>
      </c>
      <c r="C1257" s="5" t="s">
        <v>16</v>
      </c>
      <c r="D1257" s="5" t="s">
        <v>1278</v>
      </c>
      <c r="E1257" s="6" t="str">
        <f>HYPERLINK("https://twitter.com/sergio_fajardo/status/1285758711437328384","1285758711437328384")</f>
        <v>1285758711437328384</v>
      </c>
      <c r="F1257" s="7" t="s">
        <v>17</v>
      </c>
      <c r="G1257" s="7">
        <v>1544049</v>
      </c>
      <c r="H1257" s="7">
        <v>371</v>
      </c>
      <c r="I1257" s="7">
        <v>5</v>
      </c>
      <c r="J1257" s="7">
        <v>20</v>
      </c>
      <c r="K1257" s="7" t="s">
        <v>18</v>
      </c>
      <c r="L1257" s="8">
        <v>39891.213356481479</v>
      </c>
      <c r="M1257" s="9" t="s">
        <v>19</v>
      </c>
      <c r="N1257" s="9" t="s">
        <v>22</v>
      </c>
      <c r="O1257" s="6" t="str">
        <f>HYPERLINK("https://pbs.twimg.com/profile_images/988971255679324162/jrqiIYf__normal.jpg","View")</f>
        <v>View</v>
      </c>
      <c r="P1257" s="7"/>
    </row>
    <row r="1258" spans="1:16">
      <c r="A1258" s="3">
        <v>44034.32975694444</v>
      </c>
      <c r="B1258" s="4" t="str">
        <f>HYPERLINK("https://twitter.com/sergio_fajardo","@sergio_fajardo")</f>
        <v>@sergio_fajardo</v>
      </c>
      <c r="C1258" s="5" t="s">
        <v>16</v>
      </c>
      <c r="D1258" s="5" t="s">
        <v>1279</v>
      </c>
      <c r="E1258" s="6" t="str">
        <f>HYPERLINK("https://twitter.com/sergio_fajardo/status/1285762704934920198","1285762704934920198")</f>
        <v>1285762704934920198</v>
      </c>
      <c r="F1258" s="7" t="s">
        <v>17</v>
      </c>
      <c r="G1258" s="7">
        <v>1544042</v>
      </c>
      <c r="H1258" s="7">
        <v>371</v>
      </c>
      <c r="I1258" s="7">
        <v>55</v>
      </c>
      <c r="J1258" s="7">
        <v>306</v>
      </c>
      <c r="K1258" s="7" t="s">
        <v>18</v>
      </c>
      <c r="L1258" s="8">
        <v>39891.213356481479</v>
      </c>
      <c r="M1258" s="9" t="s">
        <v>19</v>
      </c>
      <c r="N1258" s="9" t="s">
        <v>22</v>
      </c>
      <c r="O1258" s="6" t="str">
        <f>HYPERLINK("https://pbs.twimg.com/profile_images/988971255679324162/jrqiIYf__normal.jpg","View")</f>
        <v>View</v>
      </c>
      <c r="P1258" s="7"/>
    </row>
    <row r="1259" spans="1:16">
      <c r="A1259" s="3">
        <v>44034.339178240742</v>
      </c>
      <c r="B1259" s="4" t="str">
        <f>HYPERLINK("https://twitter.com/sergio_fajardo","@sergio_fajardo")</f>
        <v>@sergio_fajardo</v>
      </c>
      <c r="C1259" s="5" t="s">
        <v>16</v>
      </c>
      <c r="D1259" s="5" t="s">
        <v>1280</v>
      </c>
      <c r="E1259" s="6" t="str">
        <f>HYPERLINK("https://twitter.com/sergio_fajardo/status/1285766119018684416","1285766119018684416")</f>
        <v>1285766119018684416</v>
      </c>
      <c r="F1259" s="7" t="s">
        <v>17</v>
      </c>
      <c r="G1259" s="7">
        <v>1544042</v>
      </c>
      <c r="H1259" s="7">
        <v>371</v>
      </c>
      <c r="I1259" s="7">
        <v>13</v>
      </c>
      <c r="J1259" s="7">
        <v>84</v>
      </c>
      <c r="K1259" s="7" t="s">
        <v>18</v>
      </c>
      <c r="L1259" s="8">
        <v>39891.213356481479</v>
      </c>
      <c r="M1259" s="9" t="s">
        <v>19</v>
      </c>
      <c r="N1259" s="9" t="s">
        <v>22</v>
      </c>
      <c r="O1259" s="6" t="str">
        <f>HYPERLINK("https://pbs.twimg.com/profile_images/988971255679324162/jrqiIYf__normal.jpg","View")</f>
        <v>View</v>
      </c>
      <c r="P1259" s="7"/>
    </row>
    <row r="1260" spans="1:16">
      <c r="A1260" s="3">
        <v>44034.344895833332</v>
      </c>
      <c r="B1260" s="4" t="str">
        <f>HYPERLINK("https://twitter.com/sergio_fajardo","@sergio_fajardo")</f>
        <v>@sergio_fajardo</v>
      </c>
      <c r="C1260" s="5" t="s">
        <v>16</v>
      </c>
      <c r="D1260" s="5" t="s">
        <v>1281</v>
      </c>
      <c r="E1260" s="6" t="str">
        <f>HYPERLINK("https://twitter.com/sergio_fajardo/status/1285768190656688129","1285768190656688129")</f>
        <v>1285768190656688129</v>
      </c>
      <c r="F1260" s="7" t="s">
        <v>17</v>
      </c>
      <c r="G1260" s="7">
        <v>1544042</v>
      </c>
      <c r="H1260" s="7">
        <v>371</v>
      </c>
      <c r="I1260" s="7">
        <v>3</v>
      </c>
      <c r="J1260" s="7">
        <v>12</v>
      </c>
      <c r="K1260" s="7" t="s">
        <v>18</v>
      </c>
      <c r="L1260" s="8">
        <v>39891.213356481479</v>
      </c>
      <c r="M1260" s="9" t="s">
        <v>19</v>
      </c>
      <c r="N1260" s="9" t="s">
        <v>22</v>
      </c>
      <c r="O1260" s="6" t="str">
        <f>HYPERLINK("https://pbs.twimg.com/profile_images/988971255679324162/jrqiIYf__normal.jpg","View")</f>
        <v>View</v>
      </c>
      <c r="P1260" s="7"/>
    </row>
    <row r="1261" spans="1:16">
      <c r="A1261" s="3">
        <v>44034.950613425928</v>
      </c>
      <c r="B1261" s="4" t="str">
        <f>HYPERLINK("https://twitter.com/sergio_fajardo","@sergio_fajardo")</f>
        <v>@sergio_fajardo</v>
      </c>
      <c r="C1261" s="5" t="s">
        <v>16</v>
      </c>
      <c r="D1261" s="5" t="s">
        <v>1282</v>
      </c>
      <c r="E1261" s="6" t="str">
        <f>HYPERLINK("https://twitter.com/sergio_fajardo/status/1285987694133293056","1285987694133293056")</f>
        <v>1285987694133293056</v>
      </c>
      <c r="F1261" s="7" t="s">
        <v>20</v>
      </c>
      <c r="G1261" s="7">
        <v>1544030</v>
      </c>
      <c r="H1261" s="7">
        <v>371</v>
      </c>
      <c r="I1261" s="7">
        <v>8</v>
      </c>
      <c r="J1261" s="7">
        <v>0</v>
      </c>
      <c r="K1261" s="7" t="s">
        <v>18</v>
      </c>
      <c r="L1261" s="8">
        <v>39891.213356481479</v>
      </c>
      <c r="M1261" s="9" t="s">
        <v>19</v>
      </c>
      <c r="N1261" s="9" t="s">
        <v>22</v>
      </c>
      <c r="O1261" s="6" t="str">
        <f>HYPERLINK("https://pbs.twimg.com/profile_images/988971255679324162/jrqiIYf__normal.jpg","View")</f>
        <v>View</v>
      </c>
      <c r="P1261" s="7"/>
    </row>
    <row r="1262" spans="1:16">
      <c r="A1262" s="3">
        <v>44034.950682870374</v>
      </c>
      <c r="B1262" s="4" t="str">
        <f>HYPERLINK("https://twitter.com/sergio_fajardo","@sergio_fajardo")</f>
        <v>@sergio_fajardo</v>
      </c>
      <c r="C1262" s="5" t="s">
        <v>16</v>
      </c>
      <c r="D1262" s="5" t="s">
        <v>1283</v>
      </c>
      <c r="E1262" s="6" t="str">
        <f>HYPERLINK("https://twitter.com/sergio_fajardo/status/1285987721639591939","1285987721639591939")</f>
        <v>1285987721639591939</v>
      </c>
      <c r="F1262" s="7" t="s">
        <v>20</v>
      </c>
      <c r="G1262" s="7">
        <v>1544030</v>
      </c>
      <c r="H1262" s="7">
        <v>371</v>
      </c>
      <c r="I1262" s="7">
        <v>19</v>
      </c>
      <c r="J1262" s="7">
        <v>0</v>
      </c>
      <c r="K1262" s="7" t="s">
        <v>18</v>
      </c>
      <c r="L1262" s="8">
        <v>39891.213356481479</v>
      </c>
      <c r="M1262" s="9" t="s">
        <v>19</v>
      </c>
      <c r="N1262" s="9" t="s">
        <v>22</v>
      </c>
      <c r="O1262" s="6" t="str">
        <f>HYPERLINK("https://pbs.twimg.com/profile_images/988971255679324162/jrqiIYf__normal.jpg","View")</f>
        <v>View</v>
      </c>
      <c r="P1262" s="7"/>
    </row>
    <row r="1263" spans="1:16">
      <c r="A1263" s="3">
        <v>44035.03833333333</v>
      </c>
      <c r="B1263" s="4" t="str">
        <f>HYPERLINK("https://twitter.com/sergio_fajardo","@sergio_fajardo")</f>
        <v>@sergio_fajardo</v>
      </c>
      <c r="C1263" s="5" t="s">
        <v>16</v>
      </c>
      <c r="D1263" s="5" t="s">
        <v>1284</v>
      </c>
      <c r="E1263" s="6" t="str">
        <f>HYPERLINK("https://twitter.com/sergio_fajardo/status/1286019483040206851","1286019483040206851")</f>
        <v>1286019483040206851</v>
      </c>
      <c r="F1263" s="7" t="s">
        <v>17</v>
      </c>
      <c r="G1263" s="7">
        <v>1544048</v>
      </c>
      <c r="H1263" s="7">
        <v>371</v>
      </c>
      <c r="I1263" s="7">
        <v>3054</v>
      </c>
      <c r="J1263" s="7">
        <v>0</v>
      </c>
      <c r="K1263" s="7" t="s">
        <v>18</v>
      </c>
      <c r="L1263" s="8">
        <v>39891.213356481479</v>
      </c>
      <c r="M1263" s="9" t="s">
        <v>19</v>
      </c>
      <c r="N1263" s="9" t="s">
        <v>22</v>
      </c>
      <c r="O1263" s="6" t="str">
        <f>HYPERLINK("https://pbs.twimg.com/profile_images/988971255679324162/jrqiIYf__normal.jpg","View")</f>
        <v>View</v>
      </c>
      <c r="P1263" s="7"/>
    </row>
    <row r="1264" spans="1:16">
      <c r="A1264" s="3">
        <v>44035.127604166672</v>
      </c>
      <c r="B1264" s="4" t="str">
        <f>HYPERLINK("https://twitter.com/sergio_fajardo","@sergio_fajardo")</f>
        <v>@sergio_fajardo</v>
      </c>
      <c r="C1264" s="5" t="s">
        <v>16</v>
      </c>
      <c r="D1264" s="5" t="s">
        <v>1285</v>
      </c>
      <c r="E1264" s="6" t="str">
        <f>HYPERLINK("https://twitter.com/sergio_fajardo/status/1286051832503115777","1286051832503115777")</f>
        <v>1286051832503115777</v>
      </c>
      <c r="F1264" s="7" t="s">
        <v>17</v>
      </c>
      <c r="G1264" s="7">
        <v>1544064</v>
      </c>
      <c r="H1264" s="7">
        <v>371</v>
      </c>
      <c r="I1264" s="7">
        <v>1</v>
      </c>
      <c r="J1264" s="7">
        <v>0</v>
      </c>
      <c r="K1264" s="7" t="s">
        <v>18</v>
      </c>
      <c r="L1264" s="8">
        <v>39891.213356481479</v>
      </c>
      <c r="M1264" s="9" t="s">
        <v>19</v>
      </c>
      <c r="N1264" s="9" t="s">
        <v>22</v>
      </c>
      <c r="O1264" s="6" t="str">
        <f>HYPERLINK("https://pbs.twimg.com/profile_images/988971255679324162/jrqiIYf__normal.jpg","View")</f>
        <v>View</v>
      </c>
      <c r="P1264" s="7"/>
    </row>
    <row r="1265" spans="1:16">
      <c r="A1265" s="3">
        <v>44035.288518518515</v>
      </c>
      <c r="B1265" s="4" t="str">
        <f>HYPERLINK("https://twitter.com/sergio_fajardo","@sergio_fajardo")</f>
        <v>@sergio_fajardo</v>
      </c>
      <c r="C1265" s="5" t="s">
        <v>16</v>
      </c>
      <c r="D1265" s="5" t="s">
        <v>1286</v>
      </c>
      <c r="E1265" s="6" t="str">
        <f>HYPERLINK("https://twitter.com/sergio_fajardo/status/1286110147887149056","1286110147887149056")</f>
        <v>1286110147887149056</v>
      </c>
      <c r="F1265" s="7" t="s">
        <v>17</v>
      </c>
      <c r="G1265" s="7">
        <v>1544100</v>
      </c>
      <c r="H1265" s="7">
        <v>371</v>
      </c>
      <c r="I1265" s="7">
        <v>29</v>
      </c>
      <c r="J1265" s="7">
        <v>0</v>
      </c>
      <c r="K1265" s="7" t="s">
        <v>18</v>
      </c>
      <c r="L1265" s="8">
        <v>39891.213356481479</v>
      </c>
      <c r="M1265" s="9" t="s">
        <v>19</v>
      </c>
      <c r="N1265" s="9" t="s">
        <v>22</v>
      </c>
      <c r="O1265" s="6" t="str">
        <f>HYPERLINK("https://pbs.twimg.com/profile_images/988971255679324162/jrqiIYf__normal.jpg","View")</f>
        <v>View</v>
      </c>
      <c r="P1265" s="7"/>
    </row>
    <row r="1266" spans="1:16">
      <c r="A1266" s="3">
        <v>44035.2890625</v>
      </c>
      <c r="B1266" s="4" t="str">
        <f>HYPERLINK("https://twitter.com/sergio_fajardo","@sergio_fajardo")</f>
        <v>@sergio_fajardo</v>
      </c>
      <c r="C1266" s="5" t="s">
        <v>16</v>
      </c>
      <c r="D1266" s="5" t="s">
        <v>1287</v>
      </c>
      <c r="E1266" s="6" t="str">
        <f>HYPERLINK("https://twitter.com/sergio_fajardo/status/1286110343845023744","1286110343845023744")</f>
        <v>1286110343845023744</v>
      </c>
      <c r="F1266" s="7" t="s">
        <v>17</v>
      </c>
      <c r="G1266" s="7">
        <v>1544100</v>
      </c>
      <c r="H1266" s="7">
        <v>371</v>
      </c>
      <c r="I1266" s="7">
        <v>2</v>
      </c>
      <c r="J1266" s="7">
        <v>0</v>
      </c>
      <c r="K1266" s="7" t="s">
        <v>18</v>
      </c>
      <c r="L1266" s="8">
        <v>39891.213356481479</v>
      </c>
      <c r="M1266" s="9" t="s">
        <v>19</v>
      </c>
      <c r="N1266" s="9" t="s">
        <v>22</v>
      </c>
      <c r="O1266" s="6" t="str">
        <f>HYPERLINK("https://pbs.twimg.com/profile_images/988971255679324162/jrqiIYf__normal.jpg","View")</f>
        <v>View</v>
      </c>
      <c r="P1266" s="7"/>
    </row>
    <row r="1267" spans="1:16">
      <c r="A1267" s="3">
        <v>44035.2893287037</v>
      </c>
      <c r="B1267" s="4" t="str">
        <f>HYPERLINK("https://twitter.com/sergio_fajardo","@sergio_fajardo")</f>
        <v>@sergio_fajardo</v>
      </c>
      <c r="C1267" s="5" t="s">
        <v>16</v>
      </c>
      <c r="D1267" s="5" t="s">
        <v>1288</v>
      </c>
      <c r="E1267" s="6" t="str">
        <f>HYPERLINK("https://twitter.com/sergio_fajardo/status/1286110442411175936","1286110442411175936")</f>
        <v>1286110442411175936</v>
      </c>
      <c r="F1267" s="7" t="s">
        <v>17</v>
      </c>
      <c r="G1267" s="7">
        <v>1544100</v>
      </c>
      <c r="H1267" s="7">
        <v>371</v>
      </c>
      <c r="I1267" s="7">
        <v>8</v>
      </c>
      <c r="J1267" s="7">
        <v>0</v>
      </c>
      <c r="K1267" s="7" t="s">
        <v>18</v>
      </c>
      <c r="L1267" s="8">
        <v>39891.213356481479</v>
      </c>
      <c r="M1267" s="9" t="s">
        <v>19</v>
      </c>
      <c r="N1267" s="9" t="s">
        <v>22</v>
      </c>
      <c r="O1267" s="6" t="str">
        <f>HYPERLINK("https://pbs.twimg.com/profile_images/988971255679324162/jrqiIYf__normal.jpg","View")</f>
        <v>View</v>
      </c>
      <c r="P1267" s="7"/>
    </row>
    <row r="1268" spans="1:16">
      <c r="A1268" s="3">
        <v>44035.813425925924</v>
      </c>
      <c r="B1268" s="4" t="str">
        <f>HYPERLINK("https://twitter.com/sergio_fajardo","@sergio_fajardo")</f>
        <v>@sergio_fajardo</v>
      </c>
      <c r="C1268" s="5" t="s">
        <v>16</v>
      </c>
      <c r="D1268" s="5" t="s">
        <v>1289</v>
      </c>
      <c r="E1268" s="6" t="str">
        <f>HYPERLINK("https://twitter.com/sergio_fajardo/status/1286300365458214912","1286300365458214912")</f>
        <v>1286300365458214912</v>
      </c>
      <c r="F1268" s="7" t="s">
        <v>17</v>
      </c>
      <c r="G1268" s="7">
        <v>1544097</v>
      </c>
      <c r="H1268" s="7">
        <v>371</v>
      </c>
      <c r="I1268" s="7">
        <v>37</v>
      </c>
      <c r="J1268" s="7">
        <v>153</v>
      </c>
      <c r="K1268" s="7" t="s">
        <v>18</v>
      </c>
      <c r="L1268" s="8">
        <v>39891.213356481479</v>
      </c>
      <c r="M1268" s="9" t="s">
        <v>19</v>
      </c>
      <c r="N1268" s="9" t="s">
        <v>22</v>
      </c>
      <c r="O1268" s="6" t="str">
        <f>HYPERLINK("https://pbs.twimg.com/profile_images/988971255679324162/jrqiIYf__normal.jpg","View")</f>
        <v>View</v>
      </c>
      <c r="P1268" s="7"/>
    </row>
    <row r="1269" spans="1:16">
      <c r="A1269" s="3">
        <v>44035.902812500004</v>
      </c>
      <c r="B1269" s="4" t="str">
        <f>HYPERLINK("https://twitter.com/sergio_fajardo","@sergio_fajardo")</f>
        <v>@sergio_fajardo</v>
      </c>
      <c r="C1269" s="5" t="s">
        <v>16</v>
      </c>
      <c r="D1269" s="5" t="s">
        <v>1290</v>
      </c>
      <c r="E1269" s="6" t="str">
        <f>HYPERLINK("https://twitter.com/sergio_fajardo/status/1286332757707313153","1286332757707313153")</f>
        <v>1286332757707313153</v>
      </c>
      <c r="F1269" s="7" t="s">
        <v>17</v>
      </c>
      <c r="G1269" s="7">
        <v>1544106</v>
      </c>
      <c r="H1269" s="7">
        <v>371</v>
      </c>
      <c r="I1269" s="7">
        <v>50</v>
      </c>
      <c r="J1269" s="7">
        <v>0</v>
      </c>
      <c r="K1269" s="7" t="s">
        <v>18</v>
      </c>
      <c r="L1269" s="8">
        <v>39891.213356481479</v>
      </c>
      <c r="M1269" s="9" t="s">
        <v>19</v>
      </c>
      <c r="N1269" s="9" t="s">
        <v>22</v>
      </c>
      <c r="O1269" s="6" t="str">
        <f>HYPERLINK("https://pbs.twimg.com/profile_images/988971255679324162/jrqiIYf__normal.jpg","View")</f>
        <v>View</v>
      </c>
      <c r="P1269" s="7"/>
    </row>
    <row r="1270" spans="1:16">
      <c r="A1270" s="3">
        <v>44036.128807870366</v>
      </c>
      <c r="B1270" s="4" t="str">
        <f>HYPERLINK("https://twitter.com/sergio_fajardo","@sergio_fajardo")</f>
        <v>@sergio_fajardo</v>
      </c>
      <c r="C1270" s="5" t="s">
        <v>16</v>
      </c>
      <c r="D1270" s="5" t="s">
        <v>1291</v>
      </c>
      <c r="E1270" s="6" t="str">
        <f>HYPERLINK("https://twitter.com/sergio_fajardo/status/1286414659667533824","1286414659667533824")</f>
        <v>1286414659667533824</v>
      </c>
      <c r="F1270" s="7" t="s">
        <v>20</v>
      </c>
      <c r="G1270" s="7">
        <v>1544115</v>
      </c>
      <c r="H1270" s="7">
        <v>371</v>
      </c>
      <c r="I1270" s="7">
        <v>4</v>
      </c>
      <c r="J1270" s="7">
        <v>26</v>
      </c>
      <c r="K1270" s="7" t="s">
        <v>18</v>
      </c>
      <c r="L1270" s="8">
        <v>39891.213356481479</v>
      </c>
      <c r="M1270" s="9" t="s">
        <v>19</v>
      </c>
      <c r="N1270" s="9" t="s">
        <v>22</v>
      </c>
      <c r="O1270" s="6" t="str">
        <f>HYPERLINK("https://pbs.twimg.com/profile_images/988971255679324162/jrqiIYf__normal.jpg","View")</f>
        <v>View</v>
      </c>
      <c r="P1270" s="7"/>
    </row>
    <row r="1271" spans="1:16">
      <c r="A1271" s="3">
        <v>44036.141967592594</v>
      </c>
      <c r="B1271" s="4" t="str">
        <f>HYPERLINK("https://twitter.com/sergio_fajardo","@sergio_fajardo")</f>
        <v>@sergio_fajardo</v>
      </c>
      <c r="C1271" s="5" t="s">
        <v>16</v>
      </c>
      <c r="D1271" s="5" t="s">
        <v>1292</v>
      </c>
      <c r="E1271" s="6" t="str">
        <f>HYPERLINK("https://twitter.com/sergio_fajardo/status/1286419425961312257","1286419425961312257")</f>
        <v>1286419425961312257</v>
      </c>
      <c r="F1271" s="7" t="s">
        <v>17</v>
      </c>
      <c r="G1271" s="7">
        <v>1544121</v>
      </c>
      <c r="H1271" s="7">
        <v>371</v>
      </c>
      <c r="I1271" s="7">
        <v>60</v>
      </c>
      <c r="J1271" s="7">
        <v>0</v>
      </c>
      <c r="K1271" s="7" t="s">
        <v>18</v>
      </c>
      <c r="L1271" s="8">
        <v>39891.213356481479</v>
      </c>
      <c r="M1271" s="9" t="s">
        <v>19</v>
      </c>
      <c r="N1271" s="9" t="s">
        <v>22</v>
      </c>
      <c r="O1271" s="6" t="str">
        <f>HYPERLINK("https://pbs.twimg.com/profile_images/988971255679324162/jrqiIYf__normal.jpg","View")</f>
        <v>View</v>
      </c>
      <c r="P1271" s="7"/>
    </row>
    <row r="1272" spans="1:16">
      <c r="A1272" s="3">
        <v>44036.143159722225</v>
      </c>
      <c r="B1272" s="4" t="str">
        <f>HYPERLINK("https://twitter.com/sergio_fajardo","@sergio_fajardo")</f>
        <v>@sergio_fajardo</v>
      </c>
      <c r="C1272" s="5" t="s">
        <v>16</v>
      </c>
      <c r="D1272" s="5" t="s">
        <v>1293</v>
      </c>
      <c r="E1272" s="6" t="str">
        <f>HYPERLINK("https://twitter.com/sergio_fajardo/status/1286419859363037184","1286419859363037184")</f>
        <v>1286419859363037184</v>
      </c>
      <c r="F1272" s="7" t="s">
        <v>17</v>
      </c>
      <c r="G1272" s="7">
        <v>1544121</v>
      </c>
      <c r="H1272" s="7">
        <v>371</v>
      </c>
      <c r="I1272" s="7">
        <v>74</v>
      </c>
      <c r="J1272" s="7">
        <v>0</v>
      </c>
      <c r="K1272" s="7" t="s">
        <v>18</v>
      </c>
      <c r="L1272" s="8">
        <v>39891.213356481479</v>
      </c>
      <c r="M1272" s="9" t="s">
        <v>19</v>
      </c>
      <c r="N1272" s="9" t="s">
        <v>22</v>
      </c>
      <c r="O1272" s="6" t="str">
        <f>HYPERLINK("https://pbs.twimg.com/profile_images/988971255679324162/jrqiIYf__normal.jpg","View")</f>
        <v>View</v>
      </c>
      <c r="P1272" s="7"/>
    </row>
    <row r="1273" spans="1:16">
      <c r="A1273" s="3">
        <v>44036.279097222221</v>
      </c>
      <c r="B1273" s="4" t="str">
        <f>HYPERLINK("https://twitter.com/sergio_fajardo","@sergio_fajardo")</f>
        <v>@sergio_fajardo</v>
      </c>
      <c r="C1273" s="5" t="s">
        <v>16</v>
      </c>
      <c r="D1273" s="5" t="s">
        <v>1294</v>
      </c>
      <c r="E1273" s="6" t="str">
        <f>HYPERLINK("https://twitter.com/sergio_fajardo/status/1286469121849397249","1286469121849397249")</f>
        <v>1286469121849397249</v>
      </c>
      <c r="F1273" s="7" t="s">
        <v>17</v>
      </c>
      <c r="G1273" s="7">
        <v>1544106</v>
      </c>
      <c r="H1273" s="7">
        <v>371</v>
      </c>
      <c r="I1273" s="7">
        <v>8</v>
      </c>
      <c r="J1273" s="7">
        <v>0</v>
      </c>
      <c r="K1273" s="7" t="s">
        <v>18</v>
      </c>
      <c r="L1273" s="8">
        <v>39891.213356481479</v>
      </c>
      <c r="M1273" s="9" t="s">
        <v>19</v>
      </c>
      <c r="N1273" s="9" t="s">
        <v>22</v>
      </c>
      <c r="O1273" s="6" t="str">
        <f>HYPERLINK("https://pbs.twimg.com/profile_images/988971255679324162/jrqiIYf__normal.jpg","View")</f>
        <v>View</v>
      </c>
      <c r="P1273" s="7"/>
    </row>
    <row r="1274" spans="1:16">
      <c r="A1274" s="3">
        <v>44036.373611111107</v>
      </c>
      <c r="B1274" s="4" t="str">
        <f>HYPERLINK("https://twitter.com/sergio_fajardo","@sergio_fajardo")</f>
        <v>@sergio_fajardo</v>
      </c>
      <c r="C1274" s="5" t="s">
        <v>16</v>
      </c>
      <c r="D1274" s="5" t="s">
        <v>1295</v>
      </c>
      <c r="E1274" s="6" t="str">
        <f>HYPERLINK("https://twitter.com/sergio_fajardo/status/1286503372552577029","1286503372552577029")</f>
        <v>1286503372552577029</v>
      </c>
      <c r="F1274" s="7" t="s">
        <v>17</v>
      </c>
      <c r="G1274" s="7">
        <v>1544102</v>
      </c>
      <c r="H1274" s="7">
        <v>371</v>
      </c>
      <c r="I1274" s="7">
        <v>5</v>
      </c>
      <c r="J1274" s="7">
        <v>0</v>
      </c>
      <c r="K1274" s="7" t="s">
        <v>18</v>
      </c>
      <c r="L1274" s="8">
        <v>39891.213356481479</v>
      </c>
      <c r="M1274" s="9" t="s">
        <v>19</v>
      </c>
      <c r="N1274" s="9" t="s">
        <v>22</v>
      </c>
      <c r="O1274" s="6" t="str">
        <f>HYPERLINK("https://pbs.twimg.com/profile_images/988971255679324162/jrqiIYf__normal.jpg","View")</f>
        <v>View</v>
      </c>
      <c r="P1274" s="7"/>
    </row>
    <row r="1275" spans="1:16">
      <c r="A1275" s="3">
        <v>44036.375324074077</v>
      </c>
      <c r="B1275" s="4" t="str">
        <f>HYPERLINK("https://twitter.com/sergio_fajardo","@sergio_fajardo")</f>
        <v>@sergio_fajardo</v>
      </c>
      <c r="C1275" s="5" t="s">
        <v>16</v>
      </c>
      <c r="D1275" s="5" t="s">
        <v>1296</v>
      </c>
      <c r="E1275" s="6" t="str">
        <f>HYPERLINK("https://twitter.com/sergio_fajardo/status/1286503990562304000","1286503990562304000")</f>
        <v>1286503990562304000</v>
      </c>
      <c r="F1275" s="7" t="s">
        <v>17</v>
      </c>
      <c r="G1275" s="7">
        <v>1544102</v>
      </c>
      <c r="H1275" s="7">
        <v>371</v>
      </c>
      <c r="I1275" s="7">
        <v>7</v>
      </c>
      <c r="J1275" s="7">
        <v>21</v>
      </c>
      <c r="K1275" s="7" t="s">
        <v>18</v>
      </c>
      <c r="L1275" s="8">
        <v>39891.213356481479</v>
      </c>
      <c r="M1275" s="9" t="s">
        <v>19</v>
      </c>
      <c r="N1275" s="9" t="s">
        <v>22</v>
      </c>
      <c r="O1275" s="6" t="str">
        <f>HYPERLINK("https://pbs.twimg.com/profile_images/988971255679324162/jrqiIYf__normal.jpg","View")</f>
        <v>View</v>
      </c>
      <c r="P1275" s="7"/>
    </row>
    <row r="1276" spans="1:16">
      <c r="A1276" s="3">
        <v>44036.872210648144</v>
      </c>
      <c r="B1276" s="4" t="str">
        <f>HYPERLINK("https://twitter.com/sergio_fajardo","@sergio_fajardo")</f>
        <v>@sergio_fajardo</v>
      </c>
      <c r="C1276" s="5" t="s">
        <v>16</v>
      </c>
      <c r="D1276" s="5" t="s">
        <v>1297</v>
      </c>
      <c r="E1276" s="6" t="str">
        <f>HYPERLINK("https://twitter.com/sergio_fajardo/status/1286684058915704833","1286684058915704833")</f>
        <v>1286684058915704833</v>
      </c>
      <c r="F1276" s="7" t="s">
        <v>17</v>
      </c>
      <c r="G1276" s="7">
        <v>1544099</v>
      </c>
      <c r="H1276" s="7">
        <v>371</v>
      </c>
      <c r="I1276" s="7">
        <v>61</v>
      </c>
      <c r="J1276" s="7">
        <v>0</v>
      </c>
      <c r="K1276" s="7" t="s">
        <v>18</v>
      </c>
      <c r="L1276" s="8">
        <v>39891.213356481479</v>
      </c>
      <c r="M1276" s="9" t="s">
        <v>19</v>
      </c>
      <c r="N1276" s="9" t="s">
        <v>22</v>
      </c>
      <c r="O1276" s="6" t="str">
        <f>HYPERLINK("https://pbs.twimg.com/profile_images/988971255679324162/jrqiIYf__normal.jpg","View")</f>
        <v>View</v>
      </c>
      <c r="P1276" s="7"/>
    </row>
    <row r="1277" spans="1:16">
      <c r="A1277" s="3">
        <v>44036.904097222221</v>
      </c>
      <c r="B1277" s="4" t="str">
        <f>HYPERLINK("https://twitter.com/sergio_fajardo","@sergio_fajardo")</f>
        <v>@sergio_fajardo</v>
      </c>
      <c r="C1277" s="5" t="s">
        <v>16</v>
      </c>
      <c r="D1277" s="5" t="s">
        <v>1298</v>
      </c>
      <c r="E1277" s="6" t="str">
        <f>HYPERLINK("https://twitter.com/sergio_fajardo/status/1286695613455892480","1286695613455892480")</f>
        <v>1286695613455892480</v>
      </c>
      <c r="F1277" s="7" t="s">
        <v>17</v>
      </c>
      <c r="G1277" s="7">
        <v>1544092</v>
      </c>
      <c r="H1277" s="7">
        <v>371</v>
      </c>
      <c r="I1277" s="7">
        <v>345</v>
      </c>
      <c r="J1277" s="7">
        <v>0</v>
      </c>
      <c r="K1277" s="7" t="s">
        <v>18</v>
      </c>
      <c r="L1277" s="8">
        <v>39891.213356481479</v>
      </c>
      <c r="M1277" s="9" t="s">
        <v>19</v>
      </c>
      <c r="N1277" s="9" t="s">
        <v>22</v>
      </c>
      <c r="O1277" s="6" t="str">
        <f>HYPERLINK("https://pbs.twimg.com/profile_images/988971255679324162/jrqiIYf__normal.jpg","View")</f>
        <v>View</v>
      </c>
      <c r="P1277" s="7"/>
    </row>
    <row r="1278" spans="1:16">
      <c r="A1278" s="3">
        <v>44036.911979166667</v>
      </c>
      <c r="B1278" s="4" t="str">
        <f>HYPERLINK("https://twitter.com/sergio_fajardo","@sergio_fajardo")</f>
        <v>@sergio_fajardo</v>
      </c>
      <c r="C1278" s="5" t="s">
        <v>16</v>
      </c>
      <c r="D1278" s="5" t="s">
        <v>1299</v>
      </c>
      <c r="E1278" s="6" t="str">
        <f>HYPERLINK("https://twitter.com/sergio_fajardo/status/1286698470146019330","1286698470146019330")</f>
        <v>1286698470146019330</v>
      </c>
      <c r="F1278" s="7" t="s">
        <v>17</v>
      </c>
      <c r="G1278" s="7">
        <v>1544100</v>
      </c>
      <c r="H1278" s="7">
        <v>371</v>
      </c>
      <c r="I1278" s="7">
        <v>10</v>
      </c>
      <c r="J1278" s="7">
        <v>0</v>
      </c>
      <c r="K1278" s="7" t="s">
        <v>18</v>
      </c>
      <c r="L1278" s="8">
        <v>39891.213356481479</v>
      </c>
      <c r="M1278" s="9" t="s">
        <v>19</v>
      </c>
      <c r="N1278" s="9" t="s">
        <v>22</v>
      </c>
      <c r="O1278" s="6" t="str">
        <f>HYPERLINK("https://pbs.twimg.com/profile_images/988971255679324162/jrqiIYf__normal.jpg","View")</f>
        <v>View</v>
      </c>
      <c r="P1278" s="7"/>
    </row>
    <row r="1279" spans="1:16">
      <c r="A1279" s="3">
        <v>44036.989178240736</v>
      </c>
      <c r="B1279" s="4" t="str">
        <f>HYPERLINK("https://twitter.com/sergio_fajardo","@sergio_fajardo")</f>
        <v>@sergio_fajardo</v>
      </c>
      <c r="C1279" s="5" t="s">
        <v>16</v>
      </c>
      <c r="D1279" s="5" t="s">
        <v>1300</v>
      </c>
      <c r="E1279" s="6" t="str">
        <f>HYPERLINK("https://twitter.com/sergio_fajardo/status/1286726444203290625","1286726444203290625")</f>
        <v>1286726444203290625</v>
      </c>
      <c r="F1279" s="7" t="s">
        <v>17</v>
      </c>
      <c r="G1279" s="7">
        <v>1544112</v>
      </c>
      <c r="H1279" s="7">
        <v>371</v>
      </c>
      <c r="I1279" s="7">
        <v>1</v>
      </c>
      <c r="J1279" s="7">
        <v>1</v>
      </c>
      <c r="K1279" s="7" t="s">
        <v>18</v>
      </c>
      <c r="L1279" s="8">
        <v>39891.213356481479</v>
      </c>
      <c r="M1279" s="9" t="s">
        <v>19</v>
      </c>
      <c r="N1279" s="9" t="s">
        <v>22</v>
      </c>
      <c r="O1279" s="6" t="str">
        <f>HYPERLINK("https://pbs.twimg.com/profile_images/988971255679324162/jrqiIYf__normal.jpg","View")</f>
        <v>View</v>
      </c>
      <c r="P1279" s="7"/>
    </row>
    <row r="1280" spans="1:16">
      <c r="A1280" s="3">
        <v>44037.76829861111</v>
      </c>
      <c r="B1280" s="4" t="str">
        <f>HYPERLINK("https://twitter.com/sergio_fajardo","@sergio_fajardo")</f>
        <v>@sergio_fajardo</v>
      </c>
      <c r="C1280" s="5" t="s">
        <v>16</v>
      </c>
      <c r="D1280" s="5" t="s">
        <v>1301</v>
      </c>
      <c r="E1280" s="6" t="str">
        <f>HYPERLINK("https://twitter.com/sergio_fajardo/status/1287008790433406976","1287008790433406976")</f>
        <v>1287008790433406976</v>
      </c>
      <c r="F1280" s="7" t="s">
        <v>20</v>
      </c>
      <c r="G1280" s="7">
        <v>1544119</v>
      </c>
      <c r="H1280" s="7">
        <v>371</v>
      </c>
      <c r="I1280" s="7">
        <v>2</v>
      </c>
      <c r="J1280" s="7">
        <v>25</v>
      </c>
      <c r="K1280" s="7" t="s">
        <v>18</v>
      </c>
      <c r="L1280" s="8">
        <v>39891.213356481479</v>
      </c>
      <c r="M1280" s="9" t="s">
        <v>19</v>
      </c>
      <c r="N1280" s="9" t="s">
        <v>22</v>
      </c>
      <c r="O1280" s="6" t="str">
        <f>HYPERLINK("https://pbs.twimg.com/profile_images/988971255679324162/jrqiIYf__normal.jpg","View")</f>
        <v>View</v>
      </c>
      <c r="P1280" s="7"/>
    </row>
    <row r="1281" spans="1:16">
      <c r="A1281" s="3">
        <v>44037.93105324074</v>
      </c>
      <c r="B1281" s="4" t="str">
        <f>HYPERLINK("https://twitter.com/sergio_fajardo","@sergio_fajardo")</f>
        <v>@sergio_fajardo</v>
      </c>
      <c r="C1281" s="5" t="s">
        <v>16</v>
      </c>
      <c r="D1281" s="5" t="s">
        <v>1302</v>
      </c>
      <c r="E1281" s="6" t="str">
        <f>HYPERLINK("https://twitter.com/sergio_fajardo/status/1287067770266570753","1287067770266570753")</f>
        <v>1287067770266570753</v>
      </c>
      <c r="F1281" s="7" t="s">
        <v>17</v>
      </c>
      <c r="G1281" s="7">
        <v>1544136</v>
      </c>
      <c r="H1281" s="7">
        <v>371</v>
      </c>
      <c r="I1281" s="7">
        <v>6</v>
      </c>
      <c r="J1281" s="7">
        <v>0</v>
      </c>
      <c r="K1281" s="7" t="s">
        <v>18</v>
      </c>
      <c r="L1281" s="8">
        <v>39891.213356481479</v>
      </c>
      <c r="M1281" s="9" t="s">
        <v>19</v>
      </c>
      <c r="N1281" s="9" t="s">
        <v>22</v>
      </c>
      <c r="O1281" s="6" t="str">
        <f>HYPERLINK("https://pbs.twimg.com/profile_images/988971255679324162/jrqiIYf__normal.jpg","View")</f>
        <v>View</v>
      </c>
      <c r="P1281" s="7"/>
    </row>
    <row r="1282" spans="1:16">
      <c r="A1282" s="3">
        <v>44037.93372685185</v>
      </c>
      <c r="B1282" s="4" t="str">
        <f>HYPERLINK("https://twitter.com/sergio_fajardo","@sergio_fajardo")</f>
        <v>@sergio_fajardo</v>
      </c>
      <c r="C1282" s="5" t="s">
        <v>16</v>
      </c>
      <c r="D1282" s="5" t="s">
        <v>1303</v>
      </c>
      <c r="E1282" s="6" t="str">
        <f>HYPERLINK("https://twitter.com/sergio_fajardo/status/1287068740039974913","1287068740039974913")</f>
        <v>1287068740039974913</v>
      </c>
      <c r="F1282" s="7" t="s">
        <v>17</v>
      </c>
      <c r="G1282" s="7">
        <v>1544136</v>
      </c>
      <c r="H1282" s="7">
        <v>371</v>
      </c>
      <c r="I1282" s="7">
        <v>4</v>
      </c>
      <c r="J1282" s="7">
        <v>0</v>
      </c>
      <c r="K1282" s="7" t="s">
        <v>18</v>
      </c>
      <c r="L1282" s="8">
        <v>39891.213356481479</v>
      </c>
      <c r="M1282" s="9" t="s">
        <v>19</v>
      </c>
      <c r="N1282" s="9" t="s">
        <v>22</v>
      </c>
      <c r="O1282" s="6" t="str">
        <f>HYPERLINK("https://pbs.twimg.com/profile_images/988971255679324162/jrqiIYf__normal.jpg","View")</f>
        <v>View</v>
      </c>
      <c r="P1282" s="7"/>
    </row>
    <row r="1283" spans="1:16">
      <c r="A1283" s="3">
        <v>44038.274421296301</v>
      </c>
      <c r="B1283" s="4" t="str">
        <f>HYPERLINK("https://twitter.com/sergio_fajardo","@sergio_fajardo")</f>
        <v>@sergio_fajardo</v>
      </c>
      <c r="C1283" s="5" t="s">
        <v>16</v>
      </c>
      <c r="D1283" s="5" t="s">
        <v>1304</v>
      </c>
      <c r="E1283" s="6" t="str">
        <f>HYPERLINK("https://twitter.com/sergio_fajardo/status/1287192203782217733","1287192203782217733")</f>
        <v>1287192203782217733</v>
      </c>
      <c r="F1283" s="7" t="s">
        <v>17</v>
      </c>
      <c r="G1283" s="7">
        <v>1544177</v>
      </c>
      <c r="H1283" s="7">
        <v>371</v>
      </c>
      <c r="I1283" s="7">
        <v>1</v>
      </c>
      <c r="J1283" s="7">
        <v>0</v>
      </c>
      <c r="K1283" s="7" t="s">
        <v>18</v>
      </c>
      <c r="L1283" s="8">
        <v>39891.213356481479</v>
      </c>
      <c r="M1283" s="9" t="s">
        <v>19</v>
      </c>
      <c r="N1283" s="9" t="s">
        <v>22</v>
      </c>
      <c r="O1283" s="6" t="str">
        <f>HYPERLINK("https://pbs.twimg.com/profile_images/988971255679324162/jrqiIYf__normal.jpg","View")</f>
        <v>View</v>
      </c>
      <c r="P1283" s="7"/>
    </row>
    <row r="1284" spans="1:16">
      <c r="A1284" s="3">
        <v>44038.866388888884</v>
      </c>
      <c r="B1284" s="4" t="str">
        <f>HYPERLINK("https://twitter.com/sergio_fajardo","@sergio_fajardo")</f>
        <v>@sergio_fajardo</v>
      </c>
      <c r="C1284" s="5" t="s">
        <v>16</v>
      </c>
      <c r="D1284" s="5" t="s">
        <v>1305</v>
      </c>
      <c r="E1284" s="6" t="str">
        <f>HYPERLINK("https://twitter.com/sergio_fajardo/status/1287406722110414848","1287406722110414848")</f>
        <v>1287406722110414848</v>
      </c>
      <c r="F1284" s="7" t="s">
        <v>17</v>
      </c>
      <c r="G1284" s="7">
        <v>1544212</v>
      </c>
      <c r="H1284" s="7">
        <v>371</v>
      </c>
      <c r="I1284" s="7">
        <v>62</v>
      </c>
      <c r="J1284" s="7">
        <v>0</v>
      </c>
      <c r="K1284" s="7" t="s">
        <v>18</v>
      </c>
      <c r="L1284" s="8">
        <v>39891.213356481479</v>
      </c>
      <c r="M1284" s="9" t="s">
        <v>19</v>
      </c>
      <c r="N1284" s="9" t="s">
        <v>22</v>
      </c>
      <c r="O1284" s="6" t="str">
        <f>HYPERLINK("https://pbs.twimg.com/profile_images/988971255679324162/jrqiIYf__normal.jpg","View")</f>
        <v>View</v>
      </c>
      <c r="P1284" s="7"/>
    </row>
    <row r="1285" spans="1:16">
      <c r="A1285" s="3">
        <v>44039.146747685183</v>
      </c>
      <c r="B1285" s="4" t="str">
        <f>HYPERLINK("https://twitter.com/sergio_fajardo","@sergio_fajardo")</f>
        <v>@sergio_fajardo</v>
      </c>
      <c r="C1285" s="5" t="s">
        <v>16</v>
      </c>
      <c r="D1285" s="5" t="s">
        <v>1306</v>
      </c>
      <c r="E1285" s="6" t="str">
        <f>HYPERLINK("https://twitter.com/sergio_fajardo/status/1287508320572575745","1287508320572575745")</f>
        <v>1287508320572575745</v>
      </c>
      <c r="F1285" s="7" t="s">
        <v>20</v>
      </c>
      <c r="G1285" s="7">
        <v>1544225</v>
      </c>
      <c r="H1285" s="7">
        <v>370</v>
      </c>
      <c r="I1285" s="7">
        <v>2</v>
      </c>
      <c r="J1285" s="7">
        <v>9</v>
      </c>
      <c r="K1285" s="7" t="s">
        <v>18</v>
      </c>
      <c r="L1285" s="8">
        <v>39891.213356481479</v>
      </c>
      <c r="M1285" s="9" t="s">
        <v>19</v>
      </c>
      <c r="N1285" s="9" t="s">
        <v>22</v>
      </c>
      <c r="O1285" s="6" t="str">
        <f>HYPERLINK("https://pbs.twimg.com/profile_images/988971255679324162/jrqiIYf__normal.jpg","View")</f>
        <v>View</v>
      </c>
      <c r="P1285" s="7"/>
    </row>
    <row r="1286" spans="1:16">
      <c r="A1286" s="3">
        <v>44039.244768518518</v>
      </c>
      <c r="B1286" s="4" t="str">
        <f>HYPERLINK("https://twitter.com/sergio_fajardo","@sergio_fajardo")</f>
        <v>@sergio_fajardo</v>
      </c>
      <c r="C1286" s="5" t="s">
        <v>16</v>
      </c>
      <c r="D1286" s="5" t="s">
        <v>1307</v>
      </c>
      <c r="E1286" s="6" t="str">
        <f>HYPERLINK("https://twitter.com/sergio_fajardo/status/1287543845119496194","1287543845119496194")</f>
        <v>1287543845119496194</v>
      </c>
      <c r="F1286" s="7" t="s">
        <v>23</v>
      </c>
      <c r="G1286" s="7">
        <v>1544245</v>
      </c>
      <c r="H1286" s="7">
        <v>370</v>
      </c>
      <c r="I1286" s="7">
        <v>20</v>
      </c>
      <c r="J1286" s="7">
        <v>58</v>
      </c>
      <c r="K1286" s="7" t="s">
        <v>18</v>
      </c>
      <c r="L1286" s="8">
        <v>39891.213356481479</v>
      </c>
      <c r="M1286" s="9" t="s">
        <v>19</v>
      </c>
      <c r="N1286" s="9" t="s">
        <v>22</v>
      </c>
      <c r="O1286" s="6" t="str">
        <f>HYPERLINK("https://pbs.twimg.com/profile_images/988971255679324162/jrqiIYf__normal.jpg","View")</f>
        <v>View</v>
      </c>
      <c r="P1286" s="7"/>
    </row>
    <row r="1287" spans="1:16">
      <c r="A1287" s="3">
        <v>44040.022939814815</v>
      </c>
      <c r="B1287" s="4" t="str">
        <f>HYPERLINK("https://twitter.com/sergio_fajardo","@sergio_fajardo")</f>
        <v>@sergio_fajardo</v>
      </c>
      <c r="C1287" s="5" t="s">
        <v>16</v>
      </c>
      <c r="D1287" s="5" t="s">
        <v>1308</v>
      </c>
      <c r="E1287" s="6" t="str">
        <f>HYPERLINK("https://twitter.com/sergio_fajardo/status/1287825842014478336","1287825842014478336")</f>
        <v>1287825842014478336</v>
      </c>
      <c r="F1287" s="7" t="s">
        <v>17</v>
      </c>
      <c r="G1287" s="7">
        <v>1544302</v>
      </c>
      <c r="H1287" s="7">
        <v>370</v>
      </c>
      <c r="I1287" s="7">
        <v>8</v>
      </c>
      <c r="J1287" s="7">
        <v>24</v>
      </c>
      <c r="K1287" s="7" t="s">
        <v>18</v>
      </c>
      <c r="L1287" s="8">
        <v>39891.213356481479</v>
      </c>
      <c r="M1287" s="9" t="s">
        <v>19</v>
      </c>
      <c r="N1287" s="9" t="s">
        <v>22</v>
      </c>
      <c r="O1287" s="6" t="str">
        <f>HYPERLINK("https://pbs.twimg.com/profile_images/988971255679324162/jrqiIYf__normal.jpg","View")</f>
        <v>View</v>
      </c>
      <c r="P1287" s="7"/>
    </row>
    <row r="1288" spans="1:16">
      <c r="A1288" s="3">
        <v>44040.051736111112</v>
      </c>
      <c r="B1288" s="4" t="str">
        <f>HYPERLINK("https://twitter.com/sergio_fajardo","@sergio_fajardo")</f>
        <v>@sergio_fajardo</v>
      </c>
      <c r="C1288" s="5" t="s">
        <v>16</v>
      </c>
      <c r="D1288" s="5" t="s">
        <v>1309</v>
      </c>
      <c r="E1288" s="6" t="str">
        <f>HYPERLINK("https://twitter.com/sergio_fajardo/status/1287836278864609281","1287836278864609281")</f>
        <v>1287836278864609281</v>
      </c>
      <c r="F1288" s="7" t="s">
        <v>17</v>
      </c>
      <c r="G1288" s="7">
        <v>1544301</v>
      </c>
      <c r="H1288" s="7">
        <v>370</v>
      </c>
      <c r="I1288" s="7">
        <v>7</v>
      </c>
      <c r="J1288" s="7">
        <v>0</v>
      </c>
      <c r="K1288" s="7" t="s">
        <v>18</v>
      </c>
      <c r="L1288" s="8">
        <v>39891.213356481479</v>
      </c>
      <c r="M1288" s="9" t="s">
        <v>19</v>
      </c>
      <c r="N1288" s="9" t="s">
        <v>22</v>
      </c>
      <c r="O1288" s="6" t="str">
        <f>HYPERLINK("https://pbs.twimg.com/profile_images/988971255679324162/jrqiIYf__normal.jpg","View")</f>
        <v>View</v>
      </c>
      <c r="P1288" s="7"/>
    </row>
    <row r="1289" spans="1:16">
      <c r="A1289" s="3">
        <v>44040.262465277774</v>
      </c>
      <c r="B1289" s="4" t="str">
        <f>HYPERLINK("https://twitter.com/sergio_fajardo","@sergio_fajardo")</f>
        <v>@sergio_fajardo</v>
      </c>
      <c r="C1289" s="5" t="s">
        <v>16</v>
      </c>
      <c r="D1289" s="5" t="s">
        <v>1310</v>
      </c>
      <c r="E1289" s="6" t="str">
        <f>HYPERLINK("https://twitter.com/sergio_fajardo/status/1287912644695949312","1287912644695949312")</f>
        <v>1287912644695949312</v>
      </c>
      <c r="F1289" s="7" t="s">
        <v>17</v>
      </c>
      <c r="G1289" s="7">
        <v>1544327</v>
      </c>
      <c r="H1289" s="7">
        <v>370</v>
      </c>
      <c r="I1289" s="7">
        <v>7</v>
      </c>
      <c r="J1289" s="7">
        <v>33</v>
      </c>
      <c r="K1289" s="7" t="s">
        <v>18</v>
      </c>
      <c r="L1289" s="8">
        <v>39891.213356481479</v>
      </c>
      <c r="M1289" s="9" t="s">
        <v>19</v>
      </c>
      <c r="N1289" s="9" t="s">
        <v>22</v>
      </c>
      <c r="O1289" s="6" t="str">
        <f>HYPERLINK("https://pbs.twimg.com/profile_images/988971255679324162/jrqiIYf__normal.jpg","View")</f>
        <v>View</v>
      </c>
      <c r="P1289" s="7"/>
    </row>
    <row r="1290" spans="1:16">
      <c r="A1290" s="3">
        <v>44040.291643518518</v>
      </c>
      <c r="B1290" s="4" t="str">
        <f>HYPERLINK("https://twitter.com/sergio_fajardo","@sergio_fajardo")</f>
        <v>@sergio_fajardo</v>
      </c>
      <c r="C1290" s="5" t="s">
        <v>16</v>
      </c>
      <c r="D1290" s="5" t="s">
        <v>1311</v>
      </c>
      <c r="E1290" s="6" t="str">
        <f>HYPERLINK("https://twitter.com/sergio_fajardo/status/1287923219077517317","1287923219077517317")</f>
        <v>1287923219077517317</v>
      </c>
      <c r="F1290" s="7" t="s">
        <v>23</v>
      </c>
      <c r="G1290" s="7">
        <v>1544328</v>
      </c>
      <c r="H1290" s="7">
        <v>370</v>
      </c>
      <c r="I1290" s="7">
        <v>6</v>
      </c>
      <c r="J1290" s="7">
        <v>26</v>
      </c>
      <c r="K1290" s="7" t="s">
        <v>18</v>
      </c>
      <c r="L1290" s="8">
        <v>39891.213356481479</v>
      </c>
      <c r="M1290" s="9" t="s">
        <v>19</v>
      </c>
      <c r="N1290" s="9" t="s">
        <v>22</v>
      </c>
      <c r="O1290" s="6" t="str">
        <f>HYPERLINK("https://pbs.twimg.com/profile_images/988971255679324162/jrqiIYf__normal.jpg","View")</f>
        <v>View</v>
      </c>
      <c r="P1290" s="7"/>
    </row>
    <row r="1291" spans="1:16">
      <c r="A1291" s="3">
        <v>44040.304837962962</v>
      </c>
      <c r="B1291" s="4" t="str">
        <f>HYPERLINK("https://twitter.com/sergio_fajardo","@sergio_fajardo")</f>
        <v>@sergio_fajardo</v>
      </c>
      <c r="C1291" s="5" t="s">
        <v>16</v>
      </c>
      <c r="D1291" s="5" t="s">
        <v>1312</v>
      </c>
      <c r="E1291" s="6" t="str">
        <f>HYPERLINK("https://twitter.com/sergio_fajardo/status/1287928000227553284","1287928000227553284")</f>
        <v>1287928000227553284</v>
      </c>
      <c r="F1291" s="7" t="s">
        <v>23</v>
      </c>
      <c r="G1291" s="7">
        <v>1544319</v>
      </c>
      <c r="H1291" s="7">
        <v>370</v>
      </c>
      <c r="I1291" s="7">
        <v>23</v>
      </c>
      <c r="J1291" s="7">
        <v>89</v>
      </c>
      <c r="K1291" s="7" t="s">
        <v>18</v>
      </c>
      <c r="L1291" s="8">
        <v>39891.213356481479</v>
      </c>
      <c r="M1291" s="9" t="s">
        <v>19</v>
      </c>
      <c r="N1291" s="9" t="s">
        <v>22</v>
      </c>
      <c r="O1291" s="6" t="str">
        <f>HYPERLINK("https://pbs.twimg.com/profile_images/988971255679324162/jrqiIYf__normal.jpg","View")</f>
        <v>View</v>
      </c>
      <c r="P1291" s="7"/>
    </row>
    <row r="1292" spans="1:16">
      <c r="A1292" s="3">
        <v>44040.755729166667</v>
      </c>
      <c r="B1292" s="4" t="str">
        <f>HYPERLINK("https://twitter.com/sergio_fajardo","@sergio_fajardo")</f>
        <v>@sergio_fajardo</v>
      </c>
      <c r="C1292" s="5" t="s">
        <v>16</v>
      </c>
      <c r="D1292" s="5" t="s">
        <v>1313</v>
      </c>
      <c r="E1292" s="6" t="str">
        <f>HYPERLINK("https://twitter.com/sergio_fajardo/status/1288091396134625282","1288091396134625282")</f>
        <v>1288091396134625282</v>
      </c>
      <c r="F1292" s="7" t="s">
        <v>20</v>
      </c>
      <c r="G1292" s="7">
        <v>1544253</v>
      </c>
      <c r="H1292" s="7">
        <v>370</v>
      </c>
      <c r="I1292" s="7">
        <v>5</v>
      </c>
      <c r="J1292" s="7">
        <v>17</v>
      </c>
      <c r="K1292" s="7" t="s">
        <v>18</v>
      </c>
      <c r="L1292" s="8">
        <v>39891.213356481479</v>
      </c>
      <c r="M1292" s="9" t="s">
        <v>19</v>
      </c>
      <c r="N1292" s="9" t="s">
        <v>22</v>
      </c>
      <c r="O1292" s="6" t="str">
        <f>HYPERLINK("https://pbs.twimg.com/profile_images/988971255679324162/jrqiIYf__normal.jpg","View")</f>
        <v>View</v>
      </c>
      <c r="P1292" s="7"/>
    </row>
    <row r="1293" spans="1:16">
      <c r="A1293" s="3">
        <v>44040.914814814816</v>
      </c>
      <c r="B1293" s="4" t="str">
        <f>HYPERLINK("https://twitter.com/sergio_fajardo","@sergio_fajardo")</f>
        <v>@sergio_fajardo</v>
      </c>
      <c r="C1293" s="5" t="s">
        <v>16</v>
      </c>
      <c r="D1293" s="5" t="s">
        <v>1314</v>
      </c>
      <c r="E1293" s="6" t="str">
        <f>HYPERLINK("https://twitter.com/sergio_fajardo/status/1288149048688611330","1288149048688611330")</f>
        <v>1288149048688611330</v>
      </c>
      <c r="F1293" s="7" t="s">
        <v>17</v>
      </c>
      <c r="G1293" s="7">
        <v>1544242</v>
      </c>
      <c r="H1293" s="7">
        <v>370</v>
      </c>
      <c r="I1293" s="7">
        <v>13</v>
      </c>
      <c r="J1293" s="7">
        <v>0</v>
      </c>
      <c r="K1293" s="7" t="s">
        <v>18</v>
      </c>
      <c r="L1293" s="8">
        <v>39891.213356481479</v>
      </c>
      <c r="M1293" s="9" t="s">
        <v>19</v>
      </c>
      <c r="N1293" s="9" t="s">
        <v>22</v>
      </c>
      <c r="O1293" s="6" t="str">
        <f>HYPERLINK("https://pbs.twimg.com/profile_images/988971255679324162/jrqiIYf__normal.jpg","View")</f>
        <v>View</v>
      </c>
      <c r="P1293" s="7"/>
    </row>
    <row r="1294" spans="1:16">
      <c r="A1294" s="3">
        <v>44041.844768518524</v>
      </c>
      <c r="B1294" s="4" t="str">
        <f>HYPERLINK("https://twitter.com/sergio_fajardo","@sergio_fajardo")</f>
        <v>@sergio_fajardo</v>
      </c>
      <c r="C1294" s="5" t="s">
        <v>16</v>
      </c>
      <c r="D1294" s="4" t="s">
        <v>1315</v>
      </c>
      <c r="E1294" s="6" t="str">
        <f>HYPERLINK("https://twitter.com/sergio_fajardo/status/1288486051837812739","1288486051837812739")</f>
        <v>1288486051837812739</v>
      </c>
      <c r="F1294" s="7" t="s">
        <v>17</v>
      </c>
      <c r="G1294" s="7">
        <v>1544292</v>
      </c>
      <c r="H1294" s="7">
        <v>370</v>
      </c>
      <c r="I1294" s="7">
        <v>0</v>
      </c>
      <c r="J1294" s="7">
        <v>0</v>
      </c>
      <c r="K1294" s="7" t="s">
        <v>18</v>
      </c>
      <c r="L1294" s="8">
        <v>39891.213356481479</v>
      </c>
      <c r="M1294" s="9" t="s">
        <v>19</v>
      </c>
      <c r="N1294" s="9" t="s">
        <v>22</v>
      </c>
      <c r="O1294" s="6" t="str">
        <f>HYPERLINK("https://pbs.twimg.com/profile_images/988971255679324162/jrqiIYf__normal.jpg","View")</f>
        <v>View</v>
      </c>
      <c r="P1294" s="7"/>
    </row>
    <row r="1295" spans="1:16">
      <c r="A1295" s="3">
        <v>44041.93246527778</v>
      </c>
      <c r="B1295" s="4" t="str">
        <f>HYPERLINK("https://twitter.com/sergio_fajardo","@sergio_fajardo")</f>
        <v>@sergio_fajardo</v>
      </c>
      <c r="C1295" s="5" t="s">
        <v>16</v>
      </c>
      <c r="D1295" s="4" t="s">
        <v>1316</v>
      </c>
      <c r="E1295" s="6" t="str">
        <f>HYPERLINK("https://twitter.com/sergio_fajardo/status/1288517833131991040","1288517833131991040")</f>
        <v>1288517833131991040</v>
      </c>
      <c r="F1295" s="7" t="s">
        <v>17</v>
      </c>
      <c r="G1295" s="7">
        <v>1544296</v>
      </c>
      <c r="H1295" s="7">
        <v>370</v>
      </c>
      <c r="I1295" s="7">
        <v>0</v>
      </c>
      <c r="J1295" s="7">
        <v>5</v>
      </c>
      <c r="K1295" s="7" t="s">
        <v>18</v>
      </c>
      <c r="L1295" s="8">
        <v>39891.213356481479</v>
      </c>
      <c r="M1295" s="9" t="s">
        <v>19</v>
      </c>
      <c r="N1295" s="9" t="s">
        <v>22</v>
      </c>
      <c r="O1295" s="6" t="str">
        <f>HYPERLINK("https://pbs.twimg.com/profile_images/988971255679324162/jrqiIYf__normal.jpg","View")</f>
        <v>View</v>
      </c>
      <c r="P1295" s="7"/>
    </row>
    <row r="1296" spans="1:16">
      <c r="A1296" s="3">
        <v>44042.234479166669</v>
      </c>
      <c r="B1296" s="4" t="str">
        <f>HYPERLINK("https://twitter.com/sergio_fajardo","@sergio_fajardo")</f>
        <v>@sergio_fajardo</v>
      </c>
      <c r="C1296" s="5" t="s">
        <v>16</v>
      </c>
      <c r="D1296" s="5" t="s">
        <v>1317</v>
      </c>
      <c r="E1296" s="6" t="str">
        <f>HYPERLINK("https://twitter.com/sergio_fajardo/status/1288627278289739779","1288627278289739779")</f>
        <v>1288627278289739779</v>
      </c>
      <c r="F1296" s="7" t="s">
        <v>23</v>
      </c>
      <c r="G1296" s="7">
        <v>1544313</v>
      </c>
      <c r="H1296" s="7">
        <v>376</v>
      </c>
      <c r="I1296" s="7">
        <v>18</v>
      </c>
      <c r="J1296" s="7">
        <v>68</v>
      </c>
      <c r="K1296" s="7" t="s">
        <v>18</v>
      </c>
      <c r="L1296" s="8">
        <v>39891.213356481479</v>
      </c>
      <c r="M1296" s="9" t="s">
        <v>19</v>
      </c>
      <c r="N1296" s="9" t="s">
        <v>22</v>
      </c>
      <c r="O1296" s="6" t="str">
        <f>HYPERLINK("https://pbs.twimg.com/profile_images/988971255679324162/jrqiIYf__normal.jpg","View")</f>
        <v>View</v>
      </c>
      <c r="P1296" s="7"/>
    </row>
    <row r="1297" spans="1:16">
      <c r="A1297" s="3">
        <v>44042.762002314819</v>
      </c>
      <c r="B1297" s="4" t="str">
        <f>HYPERLINK("https://twitter.com/sergio_fajardo","@sergio_fajardo")</f>
        <v>@sergio_fajardo</v>
      </c>
      <c r="C1297" s="5" t="s">
        <v>16</v>
      </c>
      <c r="D1297" s="5" t="s">
        <v>1318</v>
      </c>
      <c r="E1297" s="6" t="str">
        <f>HYPERLINK("https://twitter.com/sergio_fajardo/status/1288818447091224578","1288818447091224578")</f>
        <v>1288818447091224578</v>
      </c>
      <c r="F1297" s="7" t="s">
        <v>23</v>
      </c>
      <c r="G1297" s="7">
        <v>1544311</v>
      </c>
      <c r="H1297" s="7">
        <v>388</v>
      </c>
      <c r="I1297" s="7">
        <v>0</v>
      </c>
      <c r="J1297" s="7">
        <v>0</v>
      </c>
      <c r="K1297" s="7" t="s">
        <v>18</v>
      </c>
      <c r="L1297" s="8">
        <v>39891.213356481479</v>
      </c>
      <c r="M1297" s="9" t="s">
        <v>19</v>
      </c>
      <c r="N1297" s="9" t="s">
        <v>22</v>
      </c>
      <c r="O1297" s="6" t="str">
        <f>HYPERLINK("https://pbs.twimg.com/profile_images/988971255679324162/jrqiIYf__normal.jpg","View")</f>
        <v>View</v>
      </c>
      <c r="P1297" s="7"/>
    </row>
    <row r="1298" spans="1:16">
      <c r="A1298" s="3">
        <v>44042.762835648144</v>
      </c>
      <c r="B1298" s="4" t="str">
        <f>HYPERLINK("https://twitter.com/sergio_fajardo","@sergio_fajardo")</f>
        <v>@sergio_fajardo</v>
      </c>
      <c r="C1298" s="5" t="s">
        <v>16</v>
      </c>
      <c r="D1298" s="5" t="s">
        <v>1319</v>
      </c>
      <c r="E1298" s="6" t="str">
        <f>HYPERLINK("https://twitter.com/sergio_fajardo/status/1288818750767210496","1288818750767210496")</f>
        <v>1288818750767210496</v>
      </c>
      <c r="F1298" s="7" t="s">
        <v>23</v>
      </c>
      <c r="G1298" s="7">
        <v>1544311</v>
      </c>
      <c r="H1298" s="7">
        <v>388</v>
      </c>
      <c r="I1298" s="7">
        <v>6</v>
      </c>
      <c r="J1298" s="7">
        <v>35</v>
      </c>
      <c r="K1298" s="7" t="s">
        <v>18</v>
      </c>
      <c r="L1298" s="8">
        <v>39891.213356481479</v>
      </c>
      <c r="M1298" s="9" t="s">
        <v>19</v>
      </c>
      <c r="N1298" s="9" t="s">
        <v>22</v>
      </c>
      <c r="O1298" s="6" t="str">
        <f>HYPERLINK("https://pbs.twimg.com/profile_images/988971255679324162/jrqiIYf__normal.jpg","View")</f>
        <v>View</v>
      </c>
      <c r="P1298" s="7"/>
    </row>
    <row r="1299" spans="1:16">
      <c r="A1299" s="3">
        <v>44042.808564814812</v>
      </c>
      <c r="B1299" s="4" t="str">
        <f>HYPERLINK("https://twitter.com/sergio_fajardo","@sergio_fajardo")</f>
        <v>@sergio_fajardo</v>
      </c>
      <c r="C1299" s="5" t="s">
        <v>16</v>
      </c>
      <c r="D1299" s="5" t="s">
        <v>1320</v>
      </c>
      <c r="E1299" s="6" t="str">
        <f>HYPERLINK("https://twitter.com/sergio_fajardo/status/1288835319140360194","1288835319140360194")</f>
        <v>1288835319140360194</v>
      </c>
      <c r="F1299" s="7" t="s">
        <v>20</v>
      </c>
      <c r="G1299" s="7">
        <v>1544316</v>
      </c>
      <c r="H1299" s="7">
        <v>388</v>
      </c>
      <c r="I1299" s="7">
        <v>10</v>
      </c>
      <c r="J1299" s="7">
        <v>0</v>
      </c>
      <c r="K1299" s="7" t="s">
        <v>18</v>
      </c>
      <c r="L1299" s="8">
        <v>39891.213356481479</v>
      </c>
      <c r="M1299" s="9" t="s">
        <v>19</v>
      </c>
      <c r="N1299" s="9" t="s">
        <v>22</v>
      </c>
      <c r="O1299" s="6" t="str">
        <f>HYPERLINK("https://pbs.twimg.com/profile_images/988971255679324162/jrqiIYf__normal.jpg","View")</f>
        <v>View</v>
      </c>
      <c r="P1299" s="7"/>
    </row>
    <row r="1300" spans="1:16">
      <c r="A1300" s="3">
        <v>44043.205891203703</v>
      </c>
      <c r="B1300" s="4" t="str">
        <f>HYPERLINK("https://twitter.com/sergio_fajardo","@sergio_fajardo")</f>
        <v>@sergio_fajardo</v>
      </c>
      <c r="C1300" s="5" t="s">
        <v>16</v>
      </c>
      <c r="D1300" s="5" t="s">
        <v>1321</v>
      </c>
      <c r="E1300" s="6" t="str">
        <f>HYPERLINK("https://twitter.com/sergio_fajardo/status/1288979306505555968","1288979306505555968")</f>
        <v>1288979306505555968</v>
      </c>
      <c r="F1300" s="7" t="s">
        <v>23</v>
      </c>
      <c r="G1300" s="7">
        <v>1544351</v>
      </c>
      <c r="H1300" s="7">
        <v>388</v>
      </c>
      <c r="I1300" s="7">
        <v>3</v>
      </c>
      <c r="J1300" s="7">
        <v>7</v>
      </c>
      <c r="K1300" s="7" t="s">
        <v>18</v>
      </c>
      <c r="L1300" s="8">
        <v>39891.213356481479</v>
      </c>
      <c r="M1300" s="9" t="s">
        <v>19</v>
      </c>
      <c r="N1300" s="9" t="s">
        <v>22</v>
      </c>
      <c r="O1300" s="6" t="str">
        <f>HYPERLINK("https://pbs.twimg.com/profile_images/988971255679324162/jrqiIYf__normal.jpg","View")</f>
        <v>View</v>
      </c>
      <c r="P1300" s="7"/>
    </row>
    <row r="1301" spans="1:16">
      <c r="A1301" s="3">
        <v>44043.212673611109</v>
      </c>
      <c r="B1301" s="4" t="str">
        <f>HYPERLINK("https://twitter.com/sergio_fajardo","@sergio_fajardo")</f>
        <v>@sergio_fajardo</v>
      </c>
      <c r="C1301" s="5" t="s">
        <v>16</v>
      </c>
      <c r="D1301" s="5" t="s">
        <v>1322</v>
      </c>
      <c r="E1301" s="6" t="str">
        <f>HYPERLINK("https://twitter.com/sergio_fajardo/status/1288981765848215556","1288981765848215556")</f>
        <v>1288981765848215556</v>
      </c>
      <c r="F1301" s="7" t="s">
        <v>23</v>
      </c>
      <c r="G1301" s="7">
        <v>1544355</v>
      </c>
      <c r="H1301" s="7">
        <v>388</v>
      </c>
      <c r="I1301" s="7">
        <v>5</v>
      </c>
      <c r="J1301" s="7">
        <v>31</v>
      </c>
      <c r="K1301" s="7" t="s">
        <v>18</v>
      </c>
      <c r="L1301" s="8">
        <v>39891.213356481479</v>
      </c>
      <c r="M1301" s="9" t="s">
        <v>19</v>
      </c>
      <c r="N1301" s="9" t="s">
        <v>22</v>
      </c>
      <c r="O1301" s="6" t="str">
        <f>HYPERLINK("https://pbs.twimg.com/profile_images/988971255679324162/jrqiIYf__normal.jpg","View")</f>
        <v>View</v>
      </c>
      <c r="P1301" s="7"/>
    </row>
    <row r="1302" spans="1:16">
      <c r="A1302" s="3">
        <v>44044.079560185186</v>
      </c>
      <c r="B1302" s="4" t="str">
        <f>HYPERLINK("https://twitter.com/sergio_fajardo","@sergio_fajardo")</f>
        <v>@sergio_fajardo</v>
      </c>
      <c r="C1302" s="5" t="s">
        <v>16</v>
      </c>
      <c r="D1302" s="5" t="s">
        <v>1323</v>
      </c>
      <c r="E1302" s="6" t="str">
        <f>HYPERLINK("https://twitter.com/sergio_fajardo/status/1289295912825573377","1289295912825573377")</f>
        <v>1289295912825573377</v>
      </c>
      <c r="F1302" s="7" t="s">
        <v>23</v>
      </c>
      <c r="G1302" s="7">
        <v>1544431</v>
      </c>
      <c r="H1302" s="7">
        <v>389</v>
      </c>
      <c r="I1302" s="7">
        <v>6</v>
      </c>
      <c r="J1302" s="7">
        <v>40</v>
      </c>
      <c r="K1302" s="7" t="s">
        <v>18</v>
      </c>
      <c r="L1302" s="8">
        <v>39891.213356481479</v>
      </c>
      <c r="M1302" s="9" t="s">
        <v>19</v>
      </c>
      <c r="N1302" s="9" t="s">
        <v>22</v>
      </c>
      <c r="O1302" s="6" t="str">
        <f>HYPERLINK("https://pbs.twimg.com/profile_images/988971255679324162/jrqiIYf__normal.jpg","View")</f>
        <v>View</v>
      </c>
      <c r="P1302" s="7"/>
    </row>
    <row r="1303" spans="1:16">
      <c r="A1303" s="3">
        <v>44044.104212962964</v>
      </c>
      <c r="B1303" s="4" t="str">
        <f>HYPERLINK("https://twitter.com/sergio_fajardo","@sergio_fajardo")</f>
        <v>@sergio_fajardo</v>
      </c>
      <c r="C1303" s="5" t="s">
        <v>16</v>
      </c>
      <c r="D1303" s="5" t="s">
        <v>1324</v>
      </c>
      <c r="E1303" s="6" t="str">
        <f>HYPERLINK("https://twitter.com/sergio_fajardo/status/1289304846059941888","1289304846059941888")</f>
        <v>1289304846059941888</v>
      </c>
      <c r="F1303" s="7" t="s">
        <v>17</v>
      </c>
      <c r="G1303" s="7">
        <v>1544426</v>
      </c>
      <c r="H1303" s="7">
        <v>389</v>
      </c>
      <c r="I1303" s="7">
        <v>1934</v>
      </c>
      <c r="J1303" s="7">
        <v>0</v>
      </c>
      <c r="K1303" s="7" t="s">
        <v>18</v>
      </c>
      <c r="L1303" s="8">
        <v>39891.213356481479</v>
      </c>
      <c r="M1303" s="9" t="s">
        <v>19</v>
      </c>
      <c r="N1303" s="9" t="s">
        <v>22</v>
      </c>
      <c r="O1303" s="6" t="str">
        <f>HYPERLINK("https://pbs.twimg.com/profile_images/988971255679324162/jrqiIYf__normal.jpg","View")</f>
        <v>View</v>
      </c>
      <c r="P1303" s="7"/>
    </row>
    <row r="1304" spans="1:16">
      <c r="A1304" s="3">
        <v>44044.930810185186</v>
      </c>
      <c r="B1304" s="4" t="str">
        <f>HYPERLINK("https://twitter.com/sergio_fajardo","@sergio_fajardo")</f>
        <v>@sergio_fajardo</v>
      </c>
      <c r="C1304" s="5" t="s">
        <v>16</v>
      </c>
      <c r="D1304" s="5" t="s">
        <v>1325</v>
      </c>
      <c r="E1304" s="6" t="str">
        <f>HYPERLINK("https://twitter.com/sergio_fajardo/status/1289604398457344004","1289604398457344004")</f>
        <v>1289604398457344004</v>
      </c>
      <c r="F1304" s="7" t="s">
        <v>17</v>
      </c>
      <c r="G1304" s="7">
        <v>1544455</v>
      </c>
      <c r="H1304" s="7">
        <v>389</v>
      </c>
      <c r="I1304" s="7">
        <v>369</v>
      </c>
      <c r="J1304" s="7">
        <v>0</v>
      </c>
      <c r="K1304" s="7" t="s">
        <v>18</v>
      </c>
      <c r="L1304" s="8">
        <v>39891.213356481479</v>
      </c>
      <c r="M1304" s="9" t="s">
        <v>19</v>
      </c>
      <c r="N1304" s="9" t="s">
        <v>22</v>
      </c>
      <c r="O1304" s="6" t="str">
        <f>HYPERLINK("https://pbs.twimg.com/profile_images/988971255679324162/jrqiIYf__normal.jpg","View")</f>
        <v>View</v>
      </c>
      <c r="P1304" s="7"/>
    </row>
    <row r="1305" spans="1:16">
      <c r="A1305" s="3">
        <v>44046.13208333333</v>
      </c>
      <c r="B1305" s="4" t="str">
        <f>HYPERLINK("https://twitter.com/sergio_fajardo","@sergio_fajardo")</f>
        <v>@sergio_fajardo</v>
      </c>
      <c r="C1305" s="5" t="s">
        <v>16</v>
      </c>
      <c r="D1305" s="5" t="s">
        <v>1326</v>
      </c>
      <c r="E1305" s="6" t="str">
        <f>HYPERLINK("https://twitter.com/sergio_fajardo/status/1290039723335929857","1290039723335929857")</f>
        <v>1290039723335929857</v>
      </c>
      <c r="F1305" s="7" t="s">
        <v>17</v>
      </c>
      <c r="G1305" s="7">
        <v>1544479</v>
      </c>
      <c r="H1305" s="7">
        <v>389</v>
      </c>
      <c r="I1305" s="7">
        <v>40</v>
      </c>
      <c r="J1305" s="7">
        <v>0</v>
      </c>
      <c r="K1305" s="7" t="s">
        <v>18</v>
      </c>
      <c r="L1305" s="8">
        <v>39891.213356481479</v>
      </c>
      <c r="M1305" s="9" t="s">
        <v>19</v>
      </c>
      <c r="N1305" s="9" t="s">
        <v>22</v>
      </c>
      <c r="O1305" s="6" t="str">
        <f>HYPERLINK("https://pbs.twimg.com/profile_images/988971255679324162/jrqiIYf__normal.jpg","View")</f>
        <v>View</v>
      </c>
      <c r="P1305" s="7"/>
    </row>
    <row r="1306" spans="1:16">
      <c r="A1306" s="3">
        <v>44046.18478009259</v>
      </c>
      <c r="B1306" s="4" t="str">
        <f>HYPERLINK("https://twitter.com/sergio_fajardo","@sergio_fajardo")</f>
        <v>@sergio_fajardo</v>
      </c>
      <c r="C1306" s="5" t="s">
        <v>16</v>
      </c>
      <c r="D1306" s="5" t="s">
        <v>1327</v>
      </c>
      <c r="E1306" s="6" t="str">
        <f>HYPERLINK("https://twitter.com/sergio_fajardo/status/1290058819779747840","1290058819779747840")</f>
        <v>1290058819779747840</v>
      </c>
      <c r="F1306" s="7" t="s">
        <v>17</v>
      </c>
      <c r="G1306" s="7">
        <v>1544486</v>
      </c>
      <c r="H1306" s="7">
        <v>389</v>
      </c>
      <c r="I1306" s="7">
        <v>12</v>
      </c>
      <c r="J1306" s="7">
        <v>47</v>
      </c>
      <c r="K1306" s="7" t="s">
        <v>18</v>
      </c>
      <c r="L1306" s="8">
        <v>39891.213356481479</v>
      </c>
      <c r="M1306" s="9" t="s">
        <v>19</v>
      </c>
      <c r="N1306" s="9" t="s">
        <v>22</v>
      </c>
      <c r="O1306" s="6" t="str">
        <f>HYPERLINK("https://pbs.twimg.com/profile_images/988971255679324162/jrqiIYf__normal.jpg","View")</f>
        <v>View</v>
      </c>
      <c r="P1306" s="7"/>
    </row>
    <row r="1307" spans="1:16">
      <c r="A1307" s="3">
        <v>44046.324432870373</v>
      </c>
      <c r="B1307" s="4" t="str">
        <f>HYPERLINK("https://twitter.com/sergio_fajardo","@sergio_fajardo")</f>
        <v>@sergio_fajardo</v>
      </c>
      <c r="C1307" s="5" t="s">
        <v>16</v>
      </c>
      <c r="D1307" s="5" t="s">
        <v>1328</v>
      </c>
      <c r="E1307" s="6" t="str">
        <f>HYPERLINK("https://twitter.com/sergio_fajardo/status/1290109430604812288","1290109430604812288")</f>
        <v>1290109430604812288</v>
      </c>
      <c r="F1307" s="7" t="s">
        <v>17</v>
      </c>
      <c r="G1307" s="7">
        <v>1544499</v>
      </c>
      <c r="H1307" s="7">
        <v>389</v>
      </c>
      <c r="I1307" s="7">
        <v>19</v>
      </c>
      <c r="J1307" s="7">
        <v>63</v>
      </c>
      <c r="K1307" s="7" t="s">
        <v>18</v>
      </c>
      <c r="L1307" s="8">
        <v>39891.213356481479</v>
      </c>
      <c r="M1307" s="9" t="s">
        <v>19</v>
      </c>
      <c r="N1307" s="9" t="s">
        <v>22</v>
      </c>
      <c r="O1307" s="6" t="str">
        <f>HYPERLINK("https://pbs.twimg.com/profile_images/988971255679324162/jrqiIYf__normal.jpg","View")</f>
        <v>View</v>
      </c>
      <c r="P1307" s="7"/>
    </row>
    <row r="1308" spans="1:16">
      <c r="A1308" s="3">
        <v>44046.959872685184</v>
      </c>
      <c r="B1308" s="4" t="str">
        <f>HYPERLINK("https://twitter.com/sergio_fajardo","@sergio_fajardo")</f>
        <v>@sergio_fajardo</v>
      </c>
      <c r="C1308" s="5" t="s">
        <v>16</v>
      </c>
      <c r="D1308" s="5" t="s">
        <v>1329</v>
      </c>
      <c r="E1308" s="6" t="str">
        <f>HYPERLINK("https://twitter.com/sergio_fajardo/status/1290339705855315968","1290339705855315968")</f>
        <v>1290339705855315968</v>
      </c>
      <c r="F1308" s="7" t="s">
        <v>17</v>
      </c>
      <c r="G1308" s="7">
        <v>1544544</v>
      </c>
      <c r="H1308" s="7">
        <v>389</v>
      </c>
      <c r="I1308" s="7">
        <v>11</v>
      </c>
      <c r="J1308" s="7">
        <v>0</v>
      </c>
      <c r="K1308" s="7" t="s">
        <v>18</v>
      </c>
      <c r="L1308" s="8">
        <v>39891.213356481479</v>
      </c>
      <c r="M1308" s="9" t="s">
        <v>19</v>
      </c>
      <c r="N1308" s="9" t="s">
        <v>22</v>
      </c>
      <c r="O1308" s="6" t="str">
        <f>HYPERLINK("https://pbs.twimg.com/profile_images/988971255679324162/jrqiIYf__normal.jpg","View")</f>
        <v>View</v>
      </c>
      <c r="P1308" s="7"/>
    </row>
    <row r="1309" spans="1:16">
      <c r="A1309" s="3">
        <v>44047.145578703705</v>
      </c>
      <c r="B1309" s="4" t="str">
        <f>HYPERLINK("https://twitter.com/sergio_fajardo","@sergio_fajardo")</f>
        <v>@sergio_fajardo</v>
      </c>
      <c r="C1309" s="5" t="s">
        <v>16</v>
      </c>
      <c r="D1309" s="5" t="s">
        <v>1330</v>
      </c>
      <c r="E1309" s="6" t="str">
        <f>HYPERLINK("https://twitter.com/sergio_fajardo/status/1290407001823027201","1290407001823027201")</f>
        <v>1290407001823027201</v>
      </c>
      <c r="F1309" s="7" t="s">
        <v>17</v>
      </c>
      <c r="G1309" s="7">
        <v>1544548</v>
      </c>
      <c r="H1309" s="7">
        <v>389</v>
      </c>
      <c r="I1309" s="7">
        <v>5</v>
      </c>
      <c r="J1309" s="7">
        <v>0</v>
      </c>
      <c r="K1309" s="7" t="s">
        <v>18</v>
      </c>
      <c r="L1309" s="8">
        <v>39891.213356481479</v>
      </c>
      <c r="M1309" s="9" t="s">
        <v>19</v>
      </c>
      <c r="N1309" s="9" t="s">
        <v>22</v>
      </c>
      <c r="O1309" s="6" t="str">
        <f>HYPERLINK("https://pbs.twimg.com/profile_images/988971255679324162/jrqiIYf__normal.jpg","View")</f>
        <v>View</v>
      </c>
      <c r="P1309" s="7"/>
    </row>
    <row r="1310" spans="1:16">
      <c r="A1310" s="3">
        <v>44047.284039351856</v>
      </c>
      <c r="B1310" s="4" t="str">
        <f>HYPERLINK("https://twitter.com/sergio_fajardo","@sergio_fajardo")</f>
        <v>@sergio_fajardo</v>
      </c>
      <c r="C1310" s="5" t="s">
        <v>16</v>
      </c>
      <c r="D1310" s="5" t="s">
        <v>1331</v>
      </c>
      <c r="E1310" s="6" t="str">
        <f>HYPERLINK("https://twitter.com/sergio_fajardo/status/1290457178575339520","1290457178575339520")</f>
        <v>1290457178575339520</v>
      </c>
      <c r="F1310" s="7" t="s">
        <v>17</v>
      </c>
      <c r="G1310" s="7">
        <v>1544567</v>
      </c>
      <c r="H1310" s="7">
        <v>389</v>
      </c>
      <c r="I1310" s="7">
        <v>4</v>
      </c>
      <c r="J1310" s="7">
        <v>0</v>
      </c>
      <c r="K1310" s="7" t="s">
        <v>18</v>
      </c>
      <c r="L1310" s="8">
        <v>39891.213356481479</v>
      </c>
      <c r="M1310" s="9" t="s">
        <v>19</v>
      </c>
      <c r="N1310" s="9" t="s">
        <v>22</v>
      </c>
      <c r="O1310" s="6" t="str">
        <f>HYPERLINK("https://pbs.twimg.com/profile_images/988971255679324162/jrqiIYf__normal.jpg","View")</f>
        <v>View</v>
      </c>
      <c r="P1310" s="7"/>
    </row>
    <row r="1311" spans="1:16">
      <c r="A1311" s="3">
        <v>44047.284201388888</v>
      </c>
      <c r="B1311" s="4" t="str">
        <f>HYPERLINK("https://twitter.com/sergio_fajardo","@sergio_fajardo")</f>
        <v>@sergio_fajardo</v>
      </c>
      <c r="C1311" s="5" t="s">
        <v>16</v>
      </c>
      <c r="D1311" s="5" t="s">
        <v>1332</v>
      </c>
      <c r="E1311" s="6" t="str">
        <f>HYPERLINK("https://twitter.com/sergio_fajardo/status/1290457236406513665","1290457236406513665")</f>
        <v>1290457236406513665</v>
      </c>
      <c r="F1311" s="7" t="s">
        <v>17</v>
      </c>
      <c r="G1311" s="7">
        <v>1544567</v>
      </c>
      <c r="H1311" s="7">
        <v>389</v>
      </c>
      <c r="I1311" s="7">
        <v>4</v>
      </c>
      <c r="J1311" s="7">
        <v>0</v>
      </c>
      <c r="K1311" s="7" t="s">
        <v>18</v>
      </c>
      <c r="L1311" s="8">
        <v>39891.213356481479</v>
      </c>
      <c r="M1311" s="9" t="s">
        <v>19</v>
      </c>
      <c r="N1311" s="9" t="s">
        <v>22</v>
      </c>
      <c r="O1311" s="6" t="str">
        <f>HYPERLINK("https://pbs.twimg.com/profile_images/988971255679324162/jrqiIYf__normal.jpg","View")</f>
        <v>View</v>
      </c>
      <c r="P1311" s="7"/>
    </row>
    <row r="1312" spans="1:16">
      <c r="A1312" s="3">
        <v>44047.739432870367</v>
      </c>
      <c r="B1312" s="4" t="str">
        <f>HYPERLINK("https://twitter.com/sergio_fajardo","@sergio_fajardo")</f>
        <v>@sergio_fajardo</v>
      </c>
      <c r="C1312" s="5" t="s">
        <v>16</v>
      </c>
      <c r="D1312" s="5" t="s">
        <v>1333</v>
      </c>
      <c r="E1312" s="6" t="str">
        <f>HYPERLINK("https://twitter.com/sergio_fajardo/status/1290622206888861697","1290622206888861697")</f>
        <v>1290622206888861697</v>
      </c>
      <c r="F1312" s="7" t="s">
        <v>17</v>
      </c>
      <c r="G1312" s="7">
        <v>1544561</v>
      </c>
      <c r="H1312" s="7">
        <v>389</v>
      </c>
      <c r="I1312" s="7">
        <v>1</v>
      </c>
      <c r="J1312" s="7">
        <v>0</v>
      </c>
      <c r="K1312" s="7" t="s">
        <v>18</v>
      </c>
      <c r="L1312" s="8">
        <v>39891.213356481479</v>
      </c>
      <c r="M1312" s="9" t="s">
        <v>19</v>
      </c>
      <c r="N1312" s="9" t="s">
        <v>22</v>
      </c>
      <c r="O1312" s="6" t="str">
        <f>HYPERLINK("https://pbs.twimg.com/profile_images/988971255679324162/jrqiIYf__normal.jpg","View")</f>
        <v>View</v>
      </c>
      <c r="P1312" s="7"/>
    </row>
    <row r="1313" spans="1:16">
      <c r="A1313" s="3">
        <v>44047.813923611116</v>
      </c>
      <c r="B1313" s="4" t="str">
        <f>HYPERLINK("https://twitter.com/sergio_fajardo","@sergio_fajardo")</f>
        <v>@sergio_fajardo</v>
      </c>
      <c r="C1313" s="5" t="s">
        <v>16</v>
      </c>
      <c r="D1313" s="5" t="s">
        <v>1334</v>
      </c>
      <c r="E1313" s="6" t="str">
        <f>HYPERLINK("https://twitter.com/sergio_fajardo/status/1290649203971174403","1290649203971174403")</f>
        <v>1290649203971174403</v>
      </c>
      <c r="F1313" s="7" t="s">
        <v>20</v>
      </c>
      <c r="G1313" s="7">
        <v>1544565</v>
      </c>
      <c r="H1313" s="7">
        <v>389</v>
      </c>
      <c r="I1313" s="7">
        <v>9</v>
      </c>
      <c r="J1313" s="7">
        <v>0</v>
      </c>
      <c r="K1313" s="7" t="s">
        <v>18</v>
      </c>
      <c r="L1313" s="8">
        <v>39891.213356481479</v>
      </c>
      <c r="M1313" s="9" t="s">
        <v>19</v>
      </c>
      <c r="N1313" s="9" t="s">
        <v>22</v>
      </c>
      <c r="O1313" s="6" t="str">
        <f>HYPERLINK("https://pbs.twimg.com/profile_images/988971255679324162/jrqiIYf__normal.jpg","View")</f>
        <v>View</v>
      </c>
      <c r="P1313" s="7"/>
    </row>
    <row r="1314" spans="1:16">
      <c r="A1314" s="3">
        <v>44047.903171296297</v>
      </c>
      <c r="B1314" s="4" t="str">
        <f>HYPERLINK("https://twitter.com/sergio_fajardo","@sergio_fajardo")</f>
        <v>@sergio_fajardo</v>
      </c>
      <c r="C1314" s="5" t="s">
        <v>16</v>
      </c>
      <c r="D1314" s="5" t="s">
        <v>1335</v>
      </c>
      <c r="E1314" s="6" t="str">
        <f>HYPERLINK("https://twitter.com/sergio_fajardo/status/1290681545251074049","1290681545251074049")</f>
        <v>1290681545251074049</v>
      </c>
      <c r="F1314" s="7" t="s">
        <v>20</v>
      </c>
      <c r="G1314" s="7">
        <v>1544582</v>
      </c>
      <c r="H1314" s="7">
        <v>389</v>
      </c>
      <c r="I1314" s="7">
        <v>8</v>
      </c>
      <c r="J1314" s="7">
        <v>0</v>
      </c>
      <c r="K1314" s="7" t="s">
        <v>18</v>
      </c>
      <c r="L1314" s="8">
        <v>39891.213356481479</v>
      </c>
      <c r="M1314" s="9" t="s">
        <v>19</v>
      </c>
      <c r="N1314" s="9" t="s">
        <v>22</v>
      </c>
      <c r="O1314" s="6" t="str">
        <f>HYPERLINK("https://pbs.twimg.com/profile_images/988971255679324162/jrqiIYf__normal.jpg","View")</f>
        <v>View</v>
      </c>
      <c r="P1314" s="7"/>
    </row>
    <row r="1315" spans="1:16">
      <c r="A1315" s="3">
        <v>44047.967187499999</v>
      </c>
      <c r="B1315" s="4" t="str">
        <f>HYPERLINK("https://twitter.com/sergio_fajardo","@sergio_fajardo")</f>
        <v>@sergio_fajardo</v>
      </c>
      <c r="C1315" s="5" t="s">
        <v>16</v>
      </c>
      <c r="D1315" s="5" t="s">
        <v>1336</v>
      </c>
      <c r="E1315" s="6" t="str">
        <f>HYPERLINK("https://twitter.com/sergio_fajardo/status/1290704741861818371","1290704741861818371")</f>
        <v>1290704741861818371</v>
      </c>
      <c r="F1315" s="7" t="s">
        <v>17</v>
      </c>
      <c r="G1315" s="7">
        <v>1544599</v>
      </c>
      <c r="H1315" s="7">
        <v>389</v>
      </c>
      <c r="I1315" s="7">
        <v>20</v>
      </c>
      <c r="J1315" s="7">
        <v>0</v>
      </c>
      <c r="K1315" s="7" t="s">
        <v>18</v>
      </c>
      <c r="L1315" s="8">
        <v>39891.213356481479</v>
      </c>
      <c r="M1315" s="9" t="s">
        <v>19</v>
      </c>
      <c r="N1315" s="9" t="s">
        <v>22</v>
      </c>
      <c r="O1315" s="6" t="str">
        <f>HYPERLINK("https://pbs.twimg.com/profile_images/988971255679324162/jrqiIYf__normal.jpg","View")</f>
        <v>View</v>
      </c>
      <c r="P1315" s="7"/>
    </row>
    <row r="1316" spans="1:16">
      <c r="A1316" s="3">
        <v>44047.983506944445</v>
      </c>
      <c r="B1316" s="4" t="str">
        <f>HYPERLINK("https://twitter.com/sergio_fajardo","@sergio_fajardo")</f>
        <v>@sergio_fajardo</v>
      </c>
      <c r="C1316" s="5" t="s">
        <v>16</v>
      </c>
      <c r="D1316" s="5" t="s">
        <v>1337</v>
      </c>
      <c r="E1316" s="6" t="str">
        <f>HYPERLINK("https://twitter.com/sergio_fajardo/status/1290710657101438977","1290710657101438977")</f>
        <v>1290710657101438977</v>
      </c>
      <c r="F1316" s="7" t="s">
        <v>23</v>
      </c>
      <c r="G1316" s="7">
        <v>1544619</v>
      </c>
      <c r="H1316" s="7">
        <v>389</v>
      </c>
      <c r="I1316" s="7">
        <v>81</v>
      </c>
      <c r="J1316" s="7">
        <v>413</v>
      </c>
      <c r="K1316" s="7" t="s">
        <v>18</v>
      </c>
      <c r="L1316" s="8">
        <v>39891.213356481479</v>
      </c>
      <c r="M1316" s="9" t="s">
        <v>19</v>
      </c>
      <c r="N1316" s="9" t="s">
        <v>22</v>
      </c>
      <c r="O1316" s="6" t="str">
        <f>HYPERLINK("https://pbs.twimg.com/profile_images/988971255679324162/jrqiIYf__normal.jpg","View")</f>
        <v>View</v>
      </c>
      <c r="P1316" s="7"/>
    </row>
    <row r="1317" spans="1:16">
      <c r="A1317" s="3">
        <v>44048.090416666666</v>
      </c>
      <c r="B1317" s="4" t="str">
        <f>HYPERLINK("https://twitter.com/sergio_fajardo","@sergio_fajardo")</f>
        <v>@sergio_fajardo</v>
      </c>
      <c r="C1317" s="5" t="s">
        <v>16</v>
      </c>
      <c r="D1317" s="5" t="s">
        <v>1338</v>
      </c>
      <c r="E1317" s="6" t="str">
        <f>HYPERLINK("https://twitter.com/sergio_fajardo/status/1290749397706448900","1290749397706448900")</f>
        <v>1290749397706448900</v>
      </c>
      <c r="F1317" s="7" t="s">
        <v>17</v>
      </c>
      <c r="G1317" s="7">
        <v>1544975</v>
      </c>
      <c r="H1317" s="7">
        <v>389</v>
      </c>
      <c r="I1317" s="7">
        <v>974</v>
      </c>
      <c r="J1317" s="7">
        <v>0</v>
      </c>
      <c r="K1317" s="7" t="s">
        <v>18</v>
      </c>
      <c r="L1317" s="8">
        <v>39891.213356481479</v>
      </c>
      <c r="M1317" s="9" t="s">
        <v>19</v>
      </c>
      <c r="N1317" s="9" t="s">
        <v>22</v>
      </c>
      <c r="O1317" s="6" t="str">
        <f>HYPERLINK("https://pbs.twimg.com/profile_images/988971255679324162/jrqiIYf__normal.jpg","View")</f>
        <v>View</v>
      </c>
      <c r="P1317" s="7"/>
    </row>
    <row r="1318" spans="1:16">
      <c r="A1318" s="3">
        <v>44048.120451388888</v>
      </c>
      <c r="B1318" s="4" t="str">
        <f>HYPERLINK("https://twitter.com/sergio_fajardo","@sergio_fajardo")</f>
        <v>@sergio_fajardo</v>
      </c>
      <c r="C1318" s="5" t="s">
        <v>16</v>
      </c>
      <c r="D1318" s="5" t="s">
        <v>1339</v>
      </c>
      <c r="E1318" s="6" t="str">
        <f>HYPERLINK("https://twitter.com/sergio_fajardo/status/1290760283649081345","1290760283649081345")</f>
        <v>1290760283649081345</v>
      </c>
      <c r="F1318" s="7" t="s">
        <v>17</v>
      </c>
      <c r="G1318" s="7">
        <v>1545000</v>
      </c>
      <c r="H1318" s="7">
        <v>389</v>
      </c>
      <c r="I1318" s="7">
        <v>463</v>
      </c>
      <c r="J1318" s="7">
        <v>0</v>
      </c>
      <c r="K1318" s="7" t="s">
        <v>18</v>
      </c>
      <c r="L1318" s="8">
        <v>39891.213356481479</v>
      </c>
      <c r="M1318" s="9" t="s">
        <v>19</v>
      </c>
      <c r="N1318" s="9" t="s">
        <v>22</v>
      </c>
      <c r="O1318" s="6" t="str">
        <f>HYPERLINK("https://pbs.twimg.com/profile_images/988971255679324162/jrqiIYf__normal.jpg","View")</f>
        <v>View</v>
      </c>
      <c r="P1318" s="7"/>
    </row>
    <row r="1319" spans="1:16">
      <c r="A1319" s="3">
        <v>44048.728784722218</v>
      </c>
      <c r="B1319" s="4" t="str">
        <f>HYPERLINK("https://twitter.com/sergio_fajardo","@sergio_fajardo")</f>
        <v>@sergio_fajardo</v>
      </c>
      <c r="C1319" s="5" t="s">
        <v>16</v>
      </c>
      <c r="D1319" s="5" t="s">
        <v>1340</v>
      </c>
      <c r="E1319" s="6" t="str">
        <f>HYPERLINK("https://twitter.com/sergio_fajardo/status/1290980738456793090","1290980738456793090")</f>
        <v>1290980738456793090</v>
      </c>
      <c r="F1319" s="7" t="s">
        <v>17</v>
      </c>
      <c r="G1319" s="7">
        <v>1545280</v>
      </c>
      <c r="H1319" s="7">
        <v>389</v>
      </c>
      <c r="I1319" s="7">
        <v>8</v>
      </c>
      <c r="J1319" s="7">
        <v>34</v>
      </c>
      <c r="K1319" s="7" t="s">
        <v>18</v>
      </c>
      <c r="L1319" s="8">
        <v>39891.213356481479</v>
      </c>
      <c r="M1319" s="9" t="s">
        <v>19</v>
      </c>
      <c r="N1319" s="9" t="s">
        <v>22</v>
      </c>
      <c r="O1319" s="6" t="str">
        <f>HYPERLINK("https://pbs.twimg.com/profile_images/988971255679324162/jrqiIYf__normal.jpg","View")</f>
        <v>View</v>
      </c>
      <c r="P1319" s="7"/>
    </row>
    <row r="1320" spans="1:16">
      <c r="A1320" s="3">
        <v>44049.041643518518</v>
      </c>
      <c r="B1320" s="4" t="str">
        <f>HYPERLINK("https://twitter.com/sergio_fajardo","@sergio_fajardo")</f>
        <v>@sergio_fajardo</v>
      </c>
      <c r="C1320" s="5" t="s">
        <v>16</v>
      </c>
      <c r="D1320" s="5" t="s">
        <v>1341</v>
      </c>
      <c r="E1320" s="6" t="str">
        <f>HYPERLINK("https://twitter.com/sergio_fajardo/status/1291094110720471045","1291094110720471045")</f>
        <v>1291094110720471045</v>
      </c>
      <c r="F1320" s="7" t="s">
        <v>23</v>
      </c>
      <c r="G1320" s="7">
        <v>1545435</v>
      </c>
      <c r="H1320" s="7">
        <v>389</v>
      </c>
      <c r="I1320" s="7">
        <v>33</v>
      </c>
      <c r="J1320" s="7">
        <v>177</v>
      </c>
      <c r="K1320" s="7" t="s">
        <v>18</v>
      </c>
      <c r="L1320" s="8">
        <v>39891.213356481479</v>
      </c>
      <c r="M1320" s="9" t="s">
        <v>19</v>
      </c>
      <c r="N1320" s="9" t="s">
        <v>22</v>
      </c>
      <c r="O1320" s="6" t="str">
        <f>HYPERLINK("https://pbs.twimg.com/profile_images/988971255679324162/jrqiIYf__normal.jpg","View")</f>
        <v>View</v>
      </c>
      <c r="P1320" s="7"/>
    </row>
    <row r="1321" spans="1:16">
      <c r="A1321" s="3">
        <v>44049.073657407411</v>
      </c>
      <c r="B1321" s="4" t="str">
        <f>HYPERLINK("https://twitter.com/sergio_fajardo","@sergio_fajardo")</f>
        <v>@sergio_fajardo</v>
      </c>
      <c r="C1321" s="5" t="s">
        <v>16</v>
      </c>
      <c r="D1321" s="5" t="s">
        <v>1342</v>
      </c>
      <c r="E1321" s="6" t="str">
        <f>HYPERLINK("https://twitter.com/sergio_fajardo/status/1291105715919126528","1291105715919126528")</f>
        <v>1291105715919126528</v>
      </c>
      <c r="F1321" s="7" t="s">
        <v>17</v>
      </c>
      <c r="G1321" s="7">
        <v>1545416</v>
      </c>
      <c r="H1321" s="7">
        <v>389</v>
      </c>
      <c r="I1321" s="7">
        <v>4</v>
      </c>
      <c r="J1321" s="7">
        <v>0</v>
      </c>
      <c r="K1321" s="7" t="s">
        <v>18</v>
      </c>
      <c r="L1321" s="8">
        <v>39891.213356481479</v>
      </c>
      <c r="M1321" s="9" t="s">
        <v>19</v>
      </c>
      <c r="N1321" s="9" t="s">
        <v>22</v>
      </c>
      <c r="O1321" s="6" t="str">
        <f>HYPERLINK("https://pbs.twimg.com/profile_images/988971255679324162/jrqiIYf__normal.jpg","View")</f>
        <v>View</v>
      </c>
      <c r="P1321" s="7"/>
    </row>
    <row r="1322" spans="1:16">
      <c r="A1322" s="3">
        <v>44049.241203703699</v>
      </c>
      <c r="B1322" s="4" t="str">
        <f>HYPERLINK("https://twitter.com/sergio_fajardo","@sergio_fajardo")</f>
        <v>@sergio_fajardo</v>
      </c>
      <c r="C1322" s="5" t="s">
        <v>16</v>
      </c>
      <c r="D1322" s="5" t="s">
        <v>1343</v>
      </c>
      <c r="E1322" s="6" t="str">
        <f>HYPERLINK("https://twitter.com/sergio_fajardo/status/1291166430147293189","1291166430147293189")</f>
        <v>1291166430147293189</v>
      </c>
      <c r="F1322" s="7" t="s">
        <v>23</v>
      </c>
      <c r="G1322" s="7">
        <v>1545489</v>
      </c>
      <c r="H1322" s="7">
        <v>389</v>
      </c>
      <c r="I1322" s="7">
        <v>8</v>
      </c>
      <c r="J1322" s="7">
        <v>30</v>
      </c>
      <c r="K1322" s="7" t="s">
        <v>18</v>
      </c>
      <c r="L1322" s="8">
        <v>39891.213356481479</v>
      </c>
      <c r="M1322" s="9" t="s">
        <v>19</v>
      </c>
      <c r="N1322" s="9" t="s">
        <v>22</v>
      </c>
      <c r="O1322" s="6" t="str">
        <f>HYPERLINK("https://pbs.twimg.com/profile_images/988971255679324162/jrqiIYf__normal.jpg","View")</f>
        <v>View</v>
      </c>
      <c r="P1322" s="7"/>
    </row>
    <row r="1323" spans="1:16">
      <c r="A1323" s="3">
        <v>44049.723599537036</v>
      </c>
      <c r="B1323" s="4" t="str">
        <f>HYPERLINK("https://twitter.com/sergio_fajardo","@sergio_fajardo")</f>
        <v>@sergio_fajardo</v>
      </c>
      <c r="C1323" s="5" t="s">
        <v>16</v>
      </c>
      <c r="D1323" s="5" t="s">
        <v>1344</v>
      </c>
      <c r="E1323" s="6" t="str">
        <f>HYPERLINK("https://twitter.com/sergio_fajardo/status/1291341246443720706","1291341246443720706")</f>
        <v>1291341246443720706</v>
      </c>
      <c r="F1323" s="7" t="s">
        <v>23</v>
      </c>
      <c r="G1323" s="7">
        <v>1545539</v>
      </c>
      <c r="H1323" s="7">
        <v>389</v>
      </c>
      <c r="I1323" s="7">
        <v>79</v>
      </c>
      <c r="J1323" s="7">
        <v>514</v>
      </c>
      <c r="K1323" s="7" t="s">
        <v>18</v>
      </c>
      <c r="L1323" s="8">
        <v>39891.213356481479</v>
      </c>
      <c r="M1323" s="9" t="s">
        <v>19</v>
      </c>
      <c r="N1323" s="9" t="s">
        <v>22</v>
      </c>
      <c r="O1323" s="6" t="str">
        <f>HYPERLINK("https://pbs.twimg.com/profile_images/988971255679324162/jrqiIYf__normal.jpg","View")</f>
        <v>View</v>
      </c>
      <c r="P1323" s="7"/>
    </row>
    <row r="1324" spans="1:16">
      <c r="A1324" s="3">
        <v>44049.727939814809</v>
      </c>
      <c r="B1324" s="4" t="str">
        <f>HYPERLINK("https://twitter.com/sergio_fajardo","@sergio_fajardo")</f>
        <v>@sergio_fajardo</v>
      </c>
      <c r="C1324" s="5" t="s">
        <v>16</v>
      </c>
      <c r="D1324" s="5" t="s">
        <v>1345</v>
      </c>
      <c r="E1324" s="6" t="str">
        <f>HYPERLINK("https://twitter.com/sergio_fajardo/status/1291342816963067905","1291342816963067905")</f>
        <v>1291342816963067905</v>
      </c>
      <c r="F1324" s="7" t="s">
        <v>23</v>
      </c>
      <c r="G1324" s="7">
        <v>1545539</v>
      </c>
      <c r="H1324" s="7">
        <v>389</v>
      </c>
      <c r="I1324" s="7">
        <v>14</v>
      </c>
      <c r="J1324" s="7">
        <v>93</v>
      </c>
      <c r="K1324" s="7" t="s">
        <v>18</v>
      </c>
      <c r="L1324" s="8">
        <v>39891.213356481479</v>
      </c>
      <c r="M1324" s="9" t="s">
        <v>19</v>
      </c>
      <c r="N1324" s="9" t="s">
        <v>22</v>
      </c>
      <c r="O1324" s="6" t="str">
        <f>HYPERLINK("https://pbs.twimg.com/profile_images/988971255679324162/jrqiIYf__normal.jpg","View")</f>
        <v>View</v>
      </c>
      <c r="P1324" s="7"/>
    </row>
    <row r="1325" spans="1:16">
      <c r="A1325" s="3">
        <v>44049.817094907412</v>
      </c>
      <c r="B1325" s="4" t="str">
        <f>HYPERLINK("https://twitter.com/sergio_fajardo","@sergio_fajardo")</f>
        <v>@sergio_fajardo</v>
      </c>
      <c r="C1325" s="5" t="s">
        <v>16</v>
      </c>
      <c r="D1325" s="5" t="s">
        <v>1346</v>
      </c>
      <c r="E1325" s="6" t="str">
        <f>HYPERLINK("https://twitter.com/sergio_fajardo/status/1291375125158334467","1291375125158334467")</f>
        <v>1291375125158334467</v>
      </c>
      <c r="F1325" s="7" t="s">
        <v>23</v>
      </c>
      <c r="G1325" s="7">
        <v>1545559</v>
      </c>
      <c r="H1325" s="7">
        <v>389</v>
      </c>
      <c r="I1325" s="7">
        <v>17</v>
      </c>
      <c r="J1325" s="7">
        <v>153</v>
      </c>
      <c r="K1325" s="7" t="s">
        <v>18</v>
      </c>
      <c r="L1325" s="8">
        <v>39891.213356481479</v>
      </c>
      <c r="M1325" s="9" t="s">
        <v>19</v>
      </c>
      <c r="N1325" s="9" t="s">
        <v>22</v>
      </c>
      <c r="O1325" s="6" t="str">
        <f>HYPERLINK("https://pbs.twimg.com/profile_images/988971255679324162/jrqiIYf__normal.jpg","View")</f>
        <v>View</v>
      </c>
      <c r="P1325" s="7"/>
    </row>
    <row r="1326" spans="1:16">
      <c r="A1326" s="3">
        <v>44049.855069444442</v>
      </c>
      <c r="B1326" s="4" t="str">
        <f>HYPERLINK("https://twitter.com/sergio_fajardo","@sergio_fajardo")</f>
        <v>@sergio_fajardo</v>
      </c>
      <c r="C1326" s="5" t="s">
        <v>16</v>
      </c>
      <c r="D1326" s="5" t="s">
        <v>1347</v>
      </c>
      <c r="E1326" s="6" t="str">
        <f>HYPERLINK("https://twitter.com/sergio_fajardo/status/1291388888624304128","1291388888624304128")</f>
        <v>1291388888624304128</v>
      </c>
      <c r="F1326" s="7" t="s">
        <v>17</v>
      </c>
      <c r="G1326" s="7">
        <v>1545569</v>
      </c>
      <c r="H1326" s="7">
        <v>389</v>
      </c>
      <c r="I1326" s="7">
        <v>6</v>
      </c>
      <c r="J1326" s="7">
        <v>21</v>
      </c>
      <c r="K1326" s="7" t="s">
        <v>18</v>
      </c>
      <c r="L1326" s="8">
        <v>39891.213356481479</v>
      </c>
      <c r="M1326" s="9" t="s">
        <v>19</v>
      </c>
      <c r="N1326" s="9" t="s">
        <v>22</v>
      </c>
      <c r="O1326" s="6" t="str">
        <f>HYPERLINK("https://pbs.twimg.com/profile_images/988971255679324162/jrqiIYf__normal.jpg","View")</f>
        <v>View</v>
      </c>
      <c r="P1326" s="7"/>
    </row>
    <row r="1327" spans="1:16">
      <c r="A1327" s="3">
        <v>44049.890081018515</v>
      </c>
      <c r="B1327" s="4" t="str">
        <f>HYPERLINK("https://twitter.com/sergio_fajardo","@sergio_fajardo")</f>
        <v>@sergio_fajardo</v>
      </c>
      <c r="C1327" s="5" t="s">
        <v>16</v>
      </c>
      <c r="D1327" s="5" t="s">
        <v>1348</v>
      </c>
      <c r="E1327" s="6" t="str">
        <f>HYPERLINK("https://twitter.com/sergio_fajardo/status/1291401576146501636","1291401576146501636")</f>
        <v>1291401576146501636</v>
      </c>
      <c r="F1327" s="7" t="s">
        <v>17</v>
      </c>
      <c r="G1327" s="7">
        <v>1545584</v>
      </c>
      <c r="H1327" s="7">
        <v>389</v>
      </c>
      <c r="I1327" s="7">
        <v>4</v>
      </c>
      <c r="J1327" s="7">
        <v>0</v>
      </c>
      <c r="K1327" s="7" t="s">
        <v>18</v>
      </c>
      <c r="L1327" s="8">
        <v>39891.213356481479</v>
      </c>
      <c r="M1327" s="9" t="s">
        <v>19</v>
      </c>
      <c r="N1327" s="9" t="s">
        <v>22</v>
      </c>
      <c r="O1327" s="6" t="str">
        <f>HYPERLINK("https://pbs.twimg.com/profile_images/988971255679324162/jrqiIYf__normal.jpg","View")</f>
        <v>View</v>
      </c>
      <c r="P1327" s="7"/>
    </row>
    <row r="1328" spans="1:16">
      <c r="A1328" s="3">
        <v>44049.944016203706</v>
      </c>
      <c r="B1328" s="4" t="str">
        <f>HYPERLINK("https://twitter.com/sergio_fajardo","@sergio_fajardo")</f>
        <v>@sergio_fajardo</v>
      </c>
      <c r="C1328" s="5" t="s">
        <v>16</v>
      </c>
      <c r="D1328" s="5" t="s">
        <v>1349</v>
      </c>
      <c r="E1328" s="6" t="str">
        <f>HYPERLINK("https://twitter.com/sergio_fajardo/status/1291421122634944512","1291421122634944512")</f>
        <v>1291421122634944512</v>
      </c>
      <c r="F1328" s="7" t="s">
        <v>20</v>
      </c>
      <c r="G1328" s="7">
        <v>1545604</v>
      </c>
      <c r="H1328" s="7">
        <v>389</v>
      </c>
      <c r="I1328" s="7">
        <v>13</v>
      </c>
      <c r="J1328" s="7">
        <v>64</v>
      </c>
      <c r="K1328" s="7" t="s">
        <v>18</v>
      </c>
      <c r="L1328" s="8">
        <v>39891.213356481479</v>
      </c>
      <c r="M1328" s="9" t="s">
        <v>19</v>
      </c>
      <c r="N1328" s="9" t="s">
        <v>22</v>
      </c>
      <c r="O1328" s="6" t="str">
        <f>HYPERLINK("https://pbs.twimg.com/profile_images/988971255679324162/jrqiIYf__normal.jpg","View")</f>
        <v>View</v>
      </c>
      <c r="P1328" s="7"/>
    </row>
    <row r="1329" spans="1:16">
      <c r="A1329" s="3">
        <v>44049.989583333328</v>
      </c>
      <c r="B1329" s="4" t="str">
        <f>HYPERLINK("https://twitter.com/sergio_fajardo","@sergio_fajardo")</f>
        <v>@sergio_fajardo</v>
      </c>
      <c r="C1329" s="5" t="s">
        <v>16</v>
      </c>
      <c r="D1329" s="5" t="s">
        <v>1350</v>
      </c>
      <c r="E1329" s="6" t="str">
        <f>HYPERLINK("https://twitter.com/sergio_fajardo/status/1291437634015899649","1291437634015899649")</f>
        <v>1291437634015899649</v>
      </c>
      <c r="F1329" s="7" t="s">
        <v>17</v>
      </c>
      <c r="G1329" s="7">
        <v>1545623</v>
      </c>
      <c r="H1329" s="7">
        <v>389</v>
      </c>
      <c r="I1329" s="7">
        <v>39</v>
      </c>
      <c r="J1329" s="7">
        <v>0</v>
      </c>
      <c r="K1329" s="7" t="s">
        <v>18</v>
      </c>
      <c r="L1329" s="8">
        <v>39891.213356481479</v>
      </c>
      <c r="M1329" s="9" t="s">
        <v>19</v>
      </c>
      <c r="N1329" s="9" t="s">
        <v>22</v>
      </c>
      <c r="O1329" s="6" t="str">
        <f>HYPERLINK("https://pbs.twimg.com/profile_images/988971255679324162/jrqiIYf__normal.jpg","View")</f>
        <v>View</v>
      </c>
      <c r="P1329" s="7"/>
    </row>
    <row r="1330" spans="1:16">
      <c r="A1330" s="3">
        <v>44050.02988425926</v>
      </c>
      <c r="B1330" s="4" t="str">
        <f>HYPERLINK("https://twitter.com/sergio_fajardo","@sergio_fajardo")</f>
        <v>@sergio_fajardo</v>
      </c>
      <c r="C1330" s="5" t="s">
        <v>16</v>
      </c>
      <c r="D1330" s="5" t="s">
        <v>1351</v>
      </c>
      <c r="E1330" s="6" t="str">
        <f>HYPERLINK("https://twitter.com/sergio_fajardo/status/1291452239341654016","1291452239341654016")</f>
        <v>1291452239341654016</v>
      </c>
      <c r="F1330" s="7" t="s">
        <v>20</v>
      </c>
      <c r="G1330" s="7">
        <v>1545654</v>
      </c>
      <c r="H1330" s="7">
        <v>389</v>
      </c>
      <c r="I1330" s="7">
        <v>5</v>
      </c>
      <c r="J1330" s="7">
        <v>23</v>
      </c>
      <c r="K1330" s="7" t="s">
        <v>18</v>
      </c>
      <c r="L1330" s="8">
        <v>39891.213356481479</v>
      </c>
      <c r="M1330" s="9" t="s">
        <v>19</v>
      </c>
      <c r="N1330" s="9" t="s">
        <v>22</v>
      </c>
      <c r="O1330" s="6" t="str">
        <f>HYPERLINK("https://pbs.twimg.com/profile_images/988971255679324162/jrqiIYf__normal.jpg","View")</f>
        <v>View</v>
      </c>
      <c r="P1330" s="7"/>
    </row>
    <row r="1331" spans="1:16">
      <c r="A1331" s="3">
        <v>44050.147858796292</v>
      </c>
      <c r="B1331" s="4" t="str">
        <f>HYPERLINK("https://twitter.com/sergio_fajardo","@sergio_fajardo")</f>
        <v>@sergio_fajardo</v>
      </c>
      <c r="C1331" s="5" t="s">
        <v>16</v>
      </c>
      <c r="D1331" s="5" t="s">
        <v>1352</v>
      </c>
      <c r="E1331" s="6" t="str">
        <f>HYPERLINK("https://twitter.com/sergio_fajardo/status/1291494993467777031","1291494993467777031")</f>
        <v>1291494993467777031</v>
      </c>
      <c r="F1331" s="7" t="s">
        <v>17</v>
      </c>
      <c r="G1331" s="7">
        <v>1545693</v>
      </c>
      <c r="H1331" s="7">
        <v>389</v>
      </c>
      <c r="I1331" s="7">
        <v>62</v>
      </c>
      <c r="J1331" s="7">
        <v>0</v>
      </c>
      <c r="K1331" s="7" t="s">
        <v>18</v>
      </c>
      <c r="L1331" s="8">
        <v>39891.213356481479</v>
      </c>
      <c r="M1331" s="9" t="s">
        <v>19</v>
      </c>
      <c r="N1331" s="9" t="s">
        <v>22</v>
      </c>
      <c r="O1331" s="6" t="str">
        <f>HYPERLINK("https://pbs.twimg.com/profile_images/988971255679324162/jrqiIYf__normal.jpg","View")</f>
        <v>View</v>
      </c>
      <c r="P1331" s="7"/>
    </row>
    <row r="1332" spans="1:16">
      <c r="A1332" s="3">
        <v>44050.23537037037</v>
      </c>
      <c r="B1332" s="4" t="str">
        <f>HYPERLINK("https://twitter.com/sergio_fajardo","@sergio_fajardo")</f>
        <v>@sergio_fajardo</v>
      </c>
      <c r="C1332" s="5" t="s">
        <v>16</v>
      </c>
      <c r="D1332" s="5" t="s">
        <v>1353</v>
      </c>
      <c r="E1332" s="6" t="str">
        <f>HYPERLINK("https://twitter.com/sergio_fajardo/status/1291526704536715270","1291526704536715270")</f>
        <v>1291526704536715270</v>
      </c>
      <c r="F1332" s="7" t="s">
        <v>23</v>
      </c>
      <c r="G1332" s="7">
        <v>1545720</v>
      </c>
      <c r="H1332" s="7">
        <v>389</v>
      </c>
      <c r="I1332" s="7">
        <v>9</v>
      </c>
      <c r="J1332" s="7">
        <v>0</v>
      </c>
      <c r="K1332" s="7" t="s">
        <v>18</v>
      </c>
      <c r="L1332" s="8">
        <v>39891.213356481479</v>
      </c>
      <c r="M1332" s="9" t="s">
        <v>19</v>
      </c>
      <c r="N1332" s="9" t="s">
        <v>22</v>
      </c>
      <c r="O1332" s="6" t="str">
        <f>HYPERLINK("https://pbs.twimg.com/profile_images/988971255679324162/jrqiIYf__normal.jpg","View")</f>
        <v>View</v>
      </c>
      <c r="P1332" s="7"/>
    </row>
    <row r="1333" spans="1:16">
      <c r="A1333" s="3">
        <v>44050.886064814811</v>
      </c>
      <c r="B1333" s="4" t="str">
        <f>HYPERLINK("https://twitter.com/sergio_fajardo","@sergio_fajardo")</f>
        <v>@sergio_fajardo</v>
      </c>
      <c r="C1333" s="5" t="s">
        <v>16</v>
      </c>
      <c r="D1333" s="5" t="s">
        <v>1354</v>
      </c>
      <c r="E1333" s="6" t="str">
        <f>HYPERLINK("https://twitter.com/sergio_fajardo/status/1291762508458602498","1291762508458602498")</f>
        <v>1291762508458602498</v>
      </c>
      <c r="F1333" s="7" t="s">
        <v>20</v>
      </c>
      <c r="G1333" s="7">
        <v>1545841</v>
      </c>
      <c r="H1333" s="7">
        <v>389</v>
      </c>
      <c r="I1333" s="7">
        <v>11</v>
      </c>
      <c r="J1333" s="7">
        <v>0</v>
      </c>
      <c r="K1333" s="7" t="s">
        <v>18</v>
      </c>
      <c r="L1333" s="8">
        <v>39891.213356481479</v>
      </c>
      <c r="M1333" s="9" t="s">
        <v>19</v>
      </c>
      <c r="N1333" s="9" t="s">
        <v>22</v>
      </c>
      <c r="O1333" s="6" t="str">
        <f>HYPERLINK("https://pbs.twimg.com/profile_images/988971255679324162/jrqiIYf__normal.jpg","View")</f>
        <v>View</v>
      </c>
      <c r="P1333" s="7"/>
    </row>
    <row r="1334" spans="1:16">
      <c r="A1334" s="3">
        <v>44051.341956018514</v>
      </c>
      <c r="B1334" s="4" t="str">
        <f>HYPERLINK("https://twitter.com/sergio_fajardo","@sergio_fajardo")</f>
        <v>@sergio_fajardo</v>
      </c>
      <c r="C1334" s="5" t="s">
        <v>16</v>
      </c>
      <c r="D1334" s="5" t="s">
        <v>1355</v>
      </c>
      <c r="E1334" s="6" t="str">
        <f>HYPERLINK("https://twitter.com/sergio_fajardo/status/1291927716380499969","1291927716380499969")</f>
        <v>1291927716380499969</v>
      </c>
      <c r="F1334" s="7" t="s">
        <v>17</v>
      </c>
      <c r="G1334" s="7">
        <v>1545950</v>
      </c>
      <c r="H1334" s="7">
        <v>389</v>
      </c>
      <c r="I1334" s="7">
        <v>8</v>
      </c>
      <c r="J1334" s="7">
        <v>0</v>
      </c>
      <c r="K1334" s="7" t="s">
        <v>18</v>
      </c>
      <c r="L1334" s="8">
        <v>39891.213356481479</v>
      </c>
      <c r="M1334" s="9" t="s">
        <v>19</v>
      </c>
      <c r="N1334" s="9" t="s">
        <v>22</v>
      </c>
      <c r="O1334" s="6" t="str">
        <f>HYPERLINK("https://pbs.twimg.com/profile_images/988971255679324162/jrqiIYf__normal.jpg","View")</f>
        <v>View</v>
      </c>
      <c r="P1334" s="7"/>
    </row>
    <row r="1335" spans="1:16">
      <c r="A1335" s="3">
        <v>44051.760138888887</v>
      </c>
      <c r="B1335" s="4" t="str">
        <f>HYPERLINK("https://twitter.com/sergio_fajardo","@sergio_fajardo")</f>
        <v>@sergio_fajardo</v>
      </c>
      <c r="C1335" s="5" t="s">
        <v>16</v>
      </c>
      <c r="D1335" s="5" t="s">
        <v>1356</v>
      </c>
      <c r="E1335" s="6" t="str">
        <f>HYPERLINK("https://twitter.com/sergio_fajardo/status/1292079260920938497","1292079260920938497")</f>
        <v>1292079260920938497</v>
      </c>
      <c r="F1335" s="7" t="s">
        <v>23</v>
      </c>
      <c r="G1335" s="7">
        <v>1545945</v>
      </c>
      <c r="H1335" s="7">
        <v>389</v>
      </c>
      <c r="I1335" s="7">
        <v>35</v>
      </c>
      <c r="J1335" s="7">
        <v>149</v>
      </c>
      <c r="K1335" s="7" t="s">
        <v>18</v>
      </c>
      <c r="L1335" s="8">
        <v>39891.213356481479</v>
      </c>
      <c r="M1335" s="9" t="s">
        <v>19</v>
      </c>
      <c r="N1335" s="9" t="s">
        <v>22</v>
      </c>
      <c r="O1335" s="6" t="str">
        <f>HYPERLINK("https://pbs.twimg.com/profile_images/988971255679324162/jrqiIYf__normal.jpg","View")</f>
        <v>View</v>
      </c>
      <c r="P1335" s="7"/>
    </row>
    <row r="1336" spans="1:16">
      <c r="A1336" s="3">
        <v>44051.770266203705</v>
      </c>
      <c r="B1336" s="4" t="str">
        <f>HYPERLINK("https://twitter.com/sergio_fajardo","@sergio_fajardo")</f>
        <v>@sergio_fajardo</v>
      </c>
      <c r="C1336" s="5" t="s">
        <v>16</v>
      </c>
      <c r="D1336" s="5" t="s">
        <v>1357</v>
      </c>
      <c r="E1336" s="6" t="str">
        <f>HYPERLINK("https://twitter.com/sergio_fajardo/status/1292082933285687296","1292082933285687296")</f>
        <v>1292082933285687296</v>
      </c>
      <c r="F1336" s="7" t="s">
        <v>23</v>
      </c>
      <c r="G1336" s="7">
        <v>1545945</v>
      </c>
      <c r="H1336" s="7">
        <v>389</v>
      </c>
      <c r="I1336" s="7">
        <v>3</v>
      </c>
      <c r="J1336" s="7">
        <v>14</v>
      </c>
      <c r="K1336" s="7" t="s">
        <v>18</v>
      </c>
      <c r="L1336" s="8">
        <v>39891.213356481479</v>
      </c>
      <c r="M1336" s="9" t="s">
        <v>19</v>
      </c>
      <c r="N1336" s="9" t="s">
        <v>22</v>
      </c>
      <c r="O1336" s="6" t="str">
        <f>HYPERLINK("https://pbs.twimg.com/profile_images/988971255679324162/jrqiIYf__normal.jpg","View")</f>
        <v>View</v>
      </c>
      <c r="P1336" s="7"/>
    </row>
    <row r="1337" spans="1:16">
      <c r="A1337" s="3">
        <v>44053.09170138889</v>
      </c>
      <c r="B1337" s="4" t="str">
        <f>HYPERLINK("https://twitter.com/sergio_fajardo","@sergio_fajardo")</f>
        <v>@sergio_fajardo</v>
      </c>
      <c r="C1337" s="5" t="s">
        <v>16</v>
      </c>
      <c r="D1337" s="5" t="s">
        <v>1358</v>
      </c>
      <c r="E1337" s="6" t="str">
        <f>HYPERLINK("https://twitter.com/sergio_fajardo/status/1292561805525450752","1292561805525450752")</f>
        <v>1292561805525450752</v>
      </c>
      <c r="F1337" s="7" t="s">
        <v>23</v>
      </c>
      <c r="G1337" s="7">
        <v>1546083</v>
      </c>
      <c r="H1337" s="7">
        <v>389</v>
      </c>
      <c r="I1337" s="7">
        <v>5</v>
      </c>
      <c r="J1337" s="7">
        <v>20</v>
      </c>
      <c r="K1337" s="7" t="s">
        <v>18</v>
      </c>
      <c r="L1337" s="8">
        <v>39891.213356481479</v>
      </c>
      <c r="M1337" s="9" t="s">
        <v>19</v>
      </c>
      <c r="N1337" s="9" t="s">
        <v>22</v>
      </c>
      <c r="O1337" s="6" t="str">
        <f>HYPERLINK("https://pbs.twimg.com/profile_images/988971255679324162/jrqiIYf__normal.jpg","View")</f>
        <v>View</v>
      </c>
      <c r="P1337" s="7"/>
    </row>
    <row r="1338" spans="1:16">
      <c r="A1338" s="3">
        <v>44053.267291666663</v>
      </c>
      <c r="B1338" s="4" t="str">
        <f>HYPERLINK("https://twitter.com/sergio_fajardo","@sergio_fajardo")</f>
        <v>@sergio_fajardo</v>
      </c>
      <c r="C1338" s="5" t="s">
        <v>16</v>
      </c>
      <c r="D1338" s="5" t="s">
        <v>1359</v>
      </c>
      <c r="E1338" s="6" t="str">
        <f>HYPERLINK("https://twitter.com/sergio_fajardo/status/1292625438364368896","1292625438364368896")</f>
        <v>1292625438364368896</v>
      </c>
      <c r="F1338" s="7" t="s">
        <v>23</v>
      </c>
      <c r="G1338" s="7">
        <v>1546120</v>
      </c>
      <c r="H1338" s="7">
        <v>389</v>
      </c>
      <c r="I1338" s="7">
        <v>15</v>
      </c>
      <c r="J1338" s="7">
        <v>35</v>
      </c>
      <c r="K1338" s="7" t="s">
        <v>18</v>
      </c>
      <c r="L1338" s="8">
        <v>39891.213356481479</v>
      </c>
      <c r="M1338" s="9" t="s">
        <v>19</v>
      </c>
      <c r="N1338" s="9" t="s">
        <v>22</v>
      </c>
      <c r="O1338" s="6" t="str">
        <f>HYPERLINK("https://pbs.twimg.com/profile_images/988971255679324162/jrqiIYf__normal.jpg","View")</f>
        <v>View</v>
      </c>
      <c r="P1338" s="7"/>
    </row>
    <row r="1339" spans="1:16">
      <c r="A1339" s="3">
        <v>44053.267754629633</v>
      </c>
      <c r="B1339" s="4" t="str">
        <f>HYPERLINK("https://twitter.com/sergio_fajardo","@sergio_fajardo")</f>
        <v>@sergio_fajardo</v>
      </c>
      <c r="C1339" s="5" t="s">
        <v>16</v>
      </c>
      <c r="D1339" s="5" t="s">
        <v>1360</v>
      </c>
      <c r="E1339" s="6" t="str">
        <f>HYPERLINK("https://twitter.com/sergio_fajardo/status/1292625605884772353","1292625605884772353")</f>
        <v>1292625605884772353</v>
      </c>
      <c r="F1339" s="7" t="s">
        <v>23</v>
      </c>
      <c r="G1339" s="7">
        <v>1546120</v>
      </c>
      <c r="H1339" s="7">
        <v>389</v>
      </c>
      <c r="I1339" s="7">
        <v>7</v>
      </c>
      <c r="J1339" s="7">
        <v>14</v>
      </c>
      <c r="K1339" s="7" t="s">
        <v>18</v>
      </c>
      <c r="L1339" s="8">
        <v>39891.213356481479</v>
      </c>
      <c r="M1339" s="9" t="s">
        <v>19</v>
      </c>
      <c r="N1339" s="9" t="s">
        <v>22</v>
      </c>
      <c r="O1339" s="6" t="str">
        <f>HYPERLINK("https://pbs.twimg.com/profile_images/988971255679324162/jrqiIYf__normal.jpg","View")</f>
        <v>View</v>
      </c>
      <c r="P1339" s="7"/>
    </row>
    <row r="1340" spans="1:16">
      <c r="A1340" s="3">
        <v>44053.937743055554</v>
      </c>
      <c r="B1340" s="4" t="str">
        <f>HYPERLINK("https://twitter.com/sergio_fajardo","@sergio_fajardo")</f>
        <v>@sergio_fajardo</v>
      </c>
      <c r="C1340" s="5" t="s">
        <v>16</v>
      </c>
      <c r="D1340" s="5" t="s">
        <v>1361</v>
      </c>
      <c r="E1340" s="6" t="str">
        <f>HYPERLINK("https://twitter.com/sergio_fajardo/status/1292868399106842625","1292868399106842625")</f>
        <v>1292868399106842625</v>
      </c>
      <c r="F1340" s="7" t="s">
        <v>17</v>
      </c>
      <c r="G1340" s="7">
        <v>1546224</v>
      </c>
      <c r="H1340" s="7">
        <v>389</v>
      </c>
      <c r="I1340" s="7">
        <v>771</v>
      </c>
      <c r="J1340" s="7">
        <v>0</v>
      </c>
      <c r="K1340" s="7" t="s">
        <v>18</v>
      </c>
      <c r="L1340" s="8">
        <v>39891.213356481479</v>
      </c>
      <c r="M1340" s="9" t="s">
        <v>19</v>
      </c>
      <c r="N1340" s="9" t="s">
        <v>22</v>
      </c>
      <c r="O1340" s="6" t="str">
        <f>HYPERLINK("https://pbs.twimg.com/profile_images/988971255679324162/jrqiIYf__normal.jpg","View")</f>
        <v>View</v>
      </c>
      <c r="P1340" s="7"/>
    </row>
    <row r="1341" spans="1:16">
      <c r="A1341" s="3">
        <v>44054.007870370369</v>
      </c>
      <c r="B1341" s="4" t="str">
        <f>HYPERLINK("https://twitter.com/sergio_fajardo","@sergio_fajardo")</f>
        <v>@sergio_fajardo</v>
      </c>
      <c r="C1341" s="5" t="s">
        <v>16</v>
      </c>
      <c r="D1341" s="5" t="s">
        <v>1362</v>
      </c>
      <c r="E1341" s="6" t="str">
        <f>HYPERLINK("https://twitter.com/sergio_fajardo/status/1292893814227705858","1292893814227705858")</f>
        <v>1292893814227705858</v>
      </c>
      <c r="F1341" s="7" t="s">
        <v>20</v>
      </c>
      <c r="G1341" s="7">
        <v>1546240</v>
      </c>
      <c r="H1341" s="7">
        <v>389</v>
      </c>
      <c r="I1341" s="7">
        <v>5</v>
      </c>
      <c r="J1341" s="7">
        <v>0</v>
      </c>
      <c r="K1341" s="7" t="s">
        <v>18</v>
      </c>
      <c r="L1341" s="8">
        <v>39891.213356481479</v>
      </c>
      <c r="M1341" s="9" t="s">
        <v>19</v>
      </c>
      <c r="N1341" s="9" t="s">
        <v>22</v>
      </c>
      <c r="O1341" s="6" t="str">
        <f>HYPERLINK("https://pbs.twimg.com/profile_images/988971255679324162/jrqiIYf__normal.jpg","View")</f>
        <v>View</v>
      </c>
      <c r="P1341" s="7"/>
    </row>
    <row r="1342" spans="1:16">
      <c r="A1342" s="3">
        <v>44054.27747685185</v>
      </c>
      <c r="B1342" s="4" t="str">
        <f>HYPERLINK("https://twitter.com/sergio_fajardo","@sergio_fajardo")</f>
        <v>@sergio_fajardo</v>
      </c>
      <c r="C1342" s="5" t="s">
        <v>16</v>
      </c>
      <c r="D1342" s="5" t="s">
        <v>1363</v>
      </c>
      <c r="E1342" s="6" t="str">
        <f>HYPERLINK("https://twitter.com/sergio_fajardo/status/1292991514990305281","1292991514990305281")</f>
        <v>1292991514990305281</v>
      </c>
      <c r="F1342" s="7" t="s">
        <v>17</v>
      </c>
      <c r="G1342" s="7">
        <v>1546277</v>
      </c>
      <c r="H1342" s="7">
        <v>389</v>
      </c>
      <c r="I1342" s="7">
        <v>665</v>
      </c>
      <c r="J1342" s="7">
        <v>0</v>
      </c>
      <c r="K1342" s="7" t="s">
        <v>18</v>
      </c>
      <c r="L1342" s="8">
        <v>39891.213356481479</v>
      </c>
      <c r="M1342" s="9" t="s">
        <v>19</v>
      </c>
      <c r="N1342" s="9" t="s">
        <v>22</v>
      </c>
      <c r="O1342" s="6" t="str">
        <f>HYPERLINK("https://pbs.twimg.com/profile_images/988971255679324162/jrqiIYf__normal.jpg","View")</f>
        <v>View</v>
      </c>
      <c r="P1342" s="7"/>
    </row>
    <row r="1343" spans="1:16">
      <c r="A1343" s="3">
        <v>44054.721886574072</v>
      </c>
      <c r="B1343" s="4" t="str">
        <f>HYPERLINK("https://twitter.com/sergio_fajardo","@sergio_fajardo")</f>
        <v>@sergio_fajardo</v>
      </c>
      <c r="C1343" s="5" t="s">
        <v>16</v>
      </c>
      <c r="D1343" s="5" t="s">
        <v>1364</v>
      </c>
      <c r="E1343" s="6" t="str">
        <f>HYPERLINK("https://twitter.com/sergio_fajardo/status/1293152563345477633","1293152563345477633")</f>
        <v>1293152563345477633</v>
      </c>
      <c r="F1343" s="7" t="s">
        <v>17</v>
      </c>
      <c r="G1343" s="7">
        <v>1546270</v>
      </c>
      <c r="H1343" s="7">
        <v>389</v>
      </c>
      <c r="I1343" s="7">
        <v>893</v>
      </c>
      <c r="J1343" s="7">
        <v>0</v>
      </c>
      <c r="K1343" s="7" t="s">
        <v>18</v>
      </c>
      <c r="L1343" s="8">
        <v>39891.213356481479</v>
      </c>
      <c r="M1343" s="9" t="s">
        <v>19</v>
      </c>
      <c r="N1343" s="9" t="s">
        <v>22</v>
      </c>
      <c r="O1343" s="6" t="str">
        <f>HYPERLINK("https://pbs.twimg.com/profile_images/988971255679324162/jrqiIYf__normal.jpg","View")</f>
        <v>View</v>
      </c>
      <c r="P1343" s="7"/>
    </row>
    <row r="1344" spans="1:16">
      <c r="A1344" s="3">
        <v>44055.987719907411</v>
      </c>
      <c r="B1344" s="4" t="str">
        <f>HYPERLINK("https://twitter.com/sergio_fajardo","@sergio_fajardo")</f>
        <v>@sergio_fajardo</v>
      </c>
      <c r="C1344" s="5" t="s">
        <v>16</v>
      </c>
      <c r="D1344" s="5" t="s">
        <v>1365</v>
      </c>
      <c r="E1344" s="6" t="str">
        <f>HYPERLINK("https://twitter.com/sergio_fajardo/status/1293611284823515136","1293611284823515136")</f>
        <v>1293611284823515136</v>
      </c>
      <c r="F1344" s="7" t="s">
        <v>17</v>
      </c>
      <c r="G1344" s="7">
        <v>1546512</v>
      </c>
      <c r="H1344" s="7">
        <v>389</v>
      </c>
      <c r="I1344" s="7">
        <v>0</v>
      </c>
      <c r="J1344" s="7">
        <v>2</v>
      </c>
      <c r="K1344" s="7" t="s">
        <v>18</v>
      </c>
      <c r="L1344" s="8">
        <v>39891.213356481479</v>
      </c>
      <c r="M1344" s="9" t="s">
        <v>19</v>
      </c>
      <c r="N1344" s="9" t="s">
        <v>22</v>
      </c>
      <c r="O1344" s="6" t="str">
        <f>HYPERLINK("https://pbs.twimg.com/profile_images/988971255679324162/jrqiIYf__normal.jpg","View")</f>
        <v>View</v>
      </c>
      <c r="P1344" s="7"/>
    </row>
    <row r="1345" spans="1:16">
      <c r="A1345" s="3">
        <v>44056.18168981481</v>
      </c>
      <c r="B1345" s="4" t="str">
        <f>HYPERLINK("https://twitter.com/sergio_fajardo","@sergio_fajardo")</f>
        <v>@sergio_fajardo</v>
      </c>
      <c r="C1345" s="5" t="s">
        <v>16</v>
      </c>
      <c r="D1345" s="5" t="s">
        <v>1366</v>
      </c>
      <c r="E1345" s="6" t="str">
        <f>HYPERLINK("https://twitter.com/sergio_fajardo/status/1293681580146397184","1293681580146397184")</f>
        <v>1293681580146397184</v>
      </c>
      <c r="F1345" s="7" t="s">
        <v>20</v>
      </c>
      <c r="G1345" s="7">
        <v>1546582</v>
      </c>
      <c r="H1345" s="7">
        <v>390</v>
      </c>
      <c r="I1345" s="7">
        <v>15</v>
      </c>
      <c r="J1345" s="7">
        <v>0</v>
      </c>
      <c r="K1345" s="7" t="s">
        <v>18</v>
      </c>
      <c r="L1345" s="8">
        <v>39891.213356481479</v>
      </c>
      <c r="M1345" s="9" t="s">
        <v>19</v>
      </c>
      <c r="N1345" s="9" t="s">
        <v>22</v>
      </c>
      <c r="O1345" s="6" t="str">
        <f>HYPERLINK("https://pbs.twimg.com/profile_images/988971255679324162/jrqiIYf__normal.jpg","View")</f>
        <v>View</v>
      </c>
      <c r="P1345" s="7"/>
    </row>
    <row r="1346" spans="1:16">
      <c r="A1346" s="3">
        <v>44056.309340277774</v>
      </c>
      <c r="B1346" s="4" t="str">
        <f>HYPERLINK("https://twitter.com/sergio_fajardo","@sergio_fajardo")</f>
        <v>@sergio_fajardo</v>
      </c>
      <c r="C1346" s="5" t="s">
        <v>16</v>
      </c>
      <c r="D1346" s="5" t="s">
        <v>1367</v>
      </c>
      <c r="E1346" s="6" t="str">
        <f>HYPERLINK("https://twitter.com/sergio_fajardo/status/1293727838990983169","1293727838990983169")</f>
        <v>1293727838990983169</v>
      </c>
      <c r="F1346" s="7" t="s">
        <v>23</v>
      </c>
      <c r="G1346" s="7">
        <v>1546602</v>
      </c>
      <c r="H1346" s="7">
        <v>390</v>
      </c>
      <c r="I1346" s="7">
        <v>13</v>
      </c>
      <c r="J1346" s="7">
        <v>32</v>
      </c>
      <c r="K1346" s="7" t="s">
        <v>18</v>
      </c>
      <c r="L1346" s="8">
        <v>39891.213356481479</v>
      </c>
      <c r="M1346" s="9" t="s">
        <v>19</v>
      </c>
      <c r="N1346" s="9" t="s">
        <v>22</v>
      </c>
      <c r="O1346" s="6" t="str">
        <f>HYPERLINK("https://pbs.twimg.com/profile_images/988971255679324162/jrqiIYf__normal.jpg","View")</f>
        <v>View</v>
      </c>
      <c r="P1346" s="7"/>
    </row>
    <row r="1347" spans="1:16">
      <c r="A1347" s="3">
        <v>44056.69913194445</v>
      </c>
      <c r="B1347" s="4" t="str">
        <f>HYPERLINK("https://twitter.com/sergio_fajardo","@sergio_fajardo")</f>
        <v>@sergio_fajardo</v>
      </c>
      <c r="C1347" s="5" t="s">
        <v>16</v>
      </c>
      <c r="D1347" s="5" t="s">
        <v>1368</v>
      </c>
      <c r="E1347" s="6" t="str">
        <f>HYPERLINK("https://twitter.com/sergio_fajardo/status/1293869094723293184","1293869094723293184")</f>
        <v>1293869094723293184</v>
      </c>
      <c r="F1347" s="7" t="s">
        <v>23</v>
      </c>
      <c r="G1347" s="7">
        <v>1546619</v>
      </c>
      <c r="H1347" s="7">
        <v>390</v>
      </c>
      <c r="I1347" s="7">
        <v>11</v>
      </c>
      <c r="J1347" s="7">
        <v>49</v>
      </c>
      <c r="K1347" s="7" t="s">
        <v>18</v>
      </c>
      <c r="L1347" s="8">
        <v>39891.213356481479</v>
      </c>
      <c r="M1347" s="9" t="s">
        <v>19</v>
      </c>
      <c r="N1347" s="9" t="s">
        <v>22</v>
      </c>
      <c r="O1347" s="6" t="str">
        <f>HYPERLINK("https://pbs.twimg.com/profile_images/988971255679324162/jrqiIYf__normal.jpg","View")</f>
        <v>View</v>
      </c>
      <c r="P1347" s="7"/>
    </row>
    <row r="1348" spans="1:16">
      <c r="A1348" s="3">
        <v>44056.699953703705</v>
      </c>
      <c r="B1348" s="4" t="str">
        <f>HYPERLINK("https://twitter.com/sergio_fajardo","@sergio_fajardo")</f>
        <v>@sergio_fajardo</v>
      </c>
      <c r="C1348" s="5" t="s">
        <v>16</v>
      </c>
      <c r="D1348" s="5" t="s">
        <v>1369</v>
      </c>
      <c r="E1348" s="6" t="str">
        <f>HYPERLINK("https://twitter.com/sergio_fajardo/status/1293869389339594753","1293869389339594753")</f>
        <v>1293869389339594753</v>
      </c>
      <c r="F1348" s="7" t="s">
        <v>23</v>
      </c>
      <c r="G1348" s="7">
        <v>1546619</v>
      </c>
      <c r="H1348" s="7">
        <v>390</v>
      </c>
      <c r="I1348" s="7">
        <v>7</v>
      </c>
      <c r="J1348" s="7">
        <v>35</v>
      </c>
      <c r="K1348" s="7" t="s">
        <v>18</v>
      </c>
      <c r="L1348" s="8">
        <v>39891.213356481479</v>
      </c>
      <c r="M1348" s="9" t="s">
        <v>19</v>
      </c>
      <c r="N1348" s="9" t="s">
        <v>22</v>
      </c>
      <c r="O1348" s="6" t="str">
        <f>HYPERLINK("https://pbs.twimg.com/profile_images/988971255679324162/jrqiIYf__normal.jpg","View")</f>
        <v>View</v>
      </c>
      <c r="P1348" s="7"/>
    </row>
    <row r="1349" spans="1:16">
      <c r="A1349" s="3">
        <v>44056.712557870371</v>
      </c>
      <c r="B1349" s="4" t="str">
        <f>HYPERLINK("https://twitter.com/sergio_fajardo","@sergio_fajardo")</f>
        <v>@sergio_fajardo</v>
      </c>
      <c r="C1349" s="5" t="s">
        <v>16</v>
      </c>
      <c r="D1349" s="5" t="s">
        <v>1370</v>
      </c>
      <c r="E1349" s="6" t="str">
        <f>HYPERLINK("https://twitter.com/sergio_fajardo/status/1293873957893017600","1293873957893017600")</f>
        <v>1293873957893017600</v>
      </c>
      <c r="F1349" s="7" t="s">
        <v>23</v>
      </c>
      <c r="G1349" s="7">
        <v>1546624</v>
      </c>
      <c r="H1349" s="7">
        <v>390</v>
      </c>
      <c r="I1349" s="7">
        <v>15</v>
      </c>
      <c r="J1349" s="7">
        <v>82</v>
      </c>
      <c r="K1349" s="7" t="s">
        <v>18</v>
      </c>
      <c r="L1349" s="8">
        <v>39891.213356481479</v>
      </c>
      <c r="M1349" s="9" t="s">
        <v>19</v>
      </c>
      <c r="N1349" s="9" t="s">
        <v>22</v>
      </c>
      <c r="O1349" s="6" t="str">
        <f>HYPERLINK("https://pbs.twimg.com/profile_images/988971255679324162/jrqiIYf__normal.jpg","View")</f>
        <v>View</v>
      </c>
      <c r="P1349" s="7"/>
    </row>
    <row r="1350" spans="1:16">
      <c r="A1350" s="3">
        <v>44056.732997685191</v>
      </c>
      <c r="B1350" s="4" t="str">
        <f>HYPERLINK("https://twitter.com/sergio_fajardo","@sergio_fajardo")</f>
        <v>@sergio_fajardo</v>
      </c>
      <c r="C1350" s="5" t="s">
        <v>16</v>
      </c>
      <c r="D1350" s="5" t="s">
        <v>1371</v>
      </c>
      <c r="E1350" s="6" t="str">
        <f>HYPERLINK("https://twitter.com/sergio_fajardo/status/1293881364492816385","1293881364492816385")</f>
        <v>1293881364492816385</v>
      </c>
      <c r="F1350" s="7" t="s">
        <v>23</v>
      </c>
      <c r="G1350" s="7">
        <v>1546627</v>
      </c>
      <c r="H1350" s="7">
        <v>390</v>
      </c>
      <c r="I1350" s="7">
        <v>13</v>
      </c>
      <c r="J1350" s="7">
        <v>0</v>
      </c>
      <c r="K1350" s="7" t="s">
        <v>18</v>
      </c>
      <c r="L1350" s="8">
        <v>39891.213356481479</v>
      </c>
      <c r="M1350" s="9" t="s">
        <v>19</v>
      </c>
      <c r="N1350" s="9" t="s">
        <v>22</v>
      </c>
      <c r="O1350" s="6" t="str">
        <f>HYPERLINK("https://pbs.twimg.com/profile_images/988971255679324162/jrqiIYf__normal.jpg","View")</f>
        <v>View</v>
      </c>
      <c r="P1350" s="7"/>
    </row>
    <row r="1351" spans="1:16">
      <c r="A1351" s="3">
        <v>44056.75675925926</v>
      </c>
      <c r="B1351" s="4" t="str">
        <f>HYPERLINK("https://twitter.com/sergio_fajardo","@sergio_fajardo")</f>
        <v>@sergio_fajardo</v>
      </c>
      <c r="C1351" s="5" t="s">
        <v>16</v>
      </c>
      <c r="D1351" s="5" t="s">
        <v>1372</v>
      </c>
      <c r="E1351" s="6" t="str">
        <f>HYPERLINK("https://twitter.com/sergio_fajardo/status/1293889977307344907","1293889977307344907")</f>
        <v>1293889977307344907</v>
      </c>
      <c r="F1351" s="7" t="s">
        <v>23</v>
      </c>
      <c r="G1351" s="7">
        <v>1546632</v>
      </c>
      <c r="H1351" s="7">
        <v>390</v>
      </c>
      <c r="I1351" s="7">
        <v>3</v>
      </c>
      <c r="J1351" s="7">
        <v>0</v>
      </c>
      <c r="K1351" s="7" t="s">
        <v>18</v>
      </c>
      <c r="L1351" s="8">
        <v>39891.213356481479</v>
      </c>
      <c r="M1351" s="9" t="s">
        <v>19</v>
      </c>
      <c r="N1351" s="9" t="s">
        <v>22</v>
      </c>
      <c r="O1351" s="6" t="str">
        <f>HYPERLINK("https://pbs.twimg.com/profile_images/988971255679324162/jrqiIYf__normal.jpg","View")</f>
        <v>View</v>
      </c>
      <c r="P1351" s="7"/>
    </row>
    <row r="1352" spans="1:16">
      <c r="A1352" s="3">
        <v>44056.815706018519</v>
      </c>
      <c r="B1352" s="4" t="str">
        <f>HYPERLINK("https://twitter.com/sergio_fajardo","@sergio_fajardo")</f>
        <v>@sergio_fajardo</v>
      </c>
      <c r="C1352" s="5" t="s">
        <v>16</v>
      </c>
      <c r="D1352" s="5" t="s">
        <v>1373</v>
      </c>
      <c r="E1352" s="6" t="str">
        <f>HYPERLINK("https://twitter.com/sergio_fajardo/status/1293911339417530370","1293911339417530370")</f>
        <v>1293911339417530370</v>
      </c>
      <c r="F1352" s="7" t="s">
        <v>23</v>
      </c>
      <c r="G1352" s="7">
        <v>1546648</v>
      </c>
      <c r="H1352" s="7">
        <v>390</v>
      </c>
      <c r="I1352" s="7">
        <v>22</v>
      </c>
      <c r="J1352" s="7">
        <v>60</v>
      </c>
      <c r="K1352" s="7" t="s">
        <v>18</v>
      </c>
      <c r="L1352" s="8">
        <v>39891.213356481479</v>
      </c>
      <c r="M1352" s="9" t="s">
        <v>19</v>
      </c>
      <c r="N1352" s="9" t="s">
        <v>22</v>
      </c>
      <c r="O1352" s="6" t="str">
        <f>HYPERLINK("https://pbs.twimg.com/profile_images/988971255679324162/jrqiIYf__normal.jpg","View")</f>
        <v>View</v>
      </c>
      <c r="P1352" s="7"/>
    </row>
    <row r="1353" spans="1:16">
      <c r="A1353" s="3">
        <v>44056.853599537033</v>
      </c>
      <c r="B1353" s="4" t="str">
        <f>HYPERLINK("https://twitter.com/sergio_fajardo","@sergio_fajardo")</f>
        <v>@sergio_fajardo</v>
      </c>
      <c r="C1353" s="5" t="s">
        <v>16</v>
      </c>
      <c r="D1353" s="5" t="s">
        <v>1374</v>
      </c>
      <c r="E1353" s="6" t="str">
        <f>HYPERLINK("https://twitter.com/sergio_fajardo/status/1293925069085974530","1293925069085974530")</f>
        <v>1293925069085974530</v>
      </c>
      <c r="F1353" s="7" t="s">
        <v>17</v>
      </c>
      <c r="G1353" s="7">
        <v>1546646</v>
      </c>
      <c r="H1353" s="7">
        <v>390</v>
      </c>
      <c r="I1353" s="7">
        <v>289</v>
      </c>
      <c r="J1353" s="7">
        <v>0</v>
      </c>
      <c r="K1353" s="7" t="s">
        <v>18</v>
      </c>
      <c r="L1353" s="8">
        <v>39891.213356481479</v>
      </c>
      <c r="M1353" s="9" t="s">
        <v>19</v>
      </c>
      <c r="N1353" s="9" t="s">
        <v>22</v>
      </c>
      <c r="O1353" s="6" t="str">
        <f>HYPERLINK("https://pbs.twimg.com/profile_images/988971255679324162/jrqiIYf__normal.jpg","View")</f>
        <v>View</v>
      </c>
      <c r="P1353" s="7"/>
    </row>
    <row r="1354" spans="1:16">
      <c r="A1354" s="3">
        <v>44057.13857638889</v>
      </c>
      <c r="B1354" s="4" t="str">
        <f>HYPERLINK("https://twitter.com/sergio_fajardo","@sergio_fajardo")</f>
        <v>@sergio_fajardo</v>
      </c>
      <c r="C1354" s="5" t="s">
        <v>16</v>
      </c>
      <c r="D1354" s="5" t="s">
        <v>1375</v>
      </c>
      <c r="E1354" s="6" t="str">
        <f>HYPERLINK("https://twitter.com/sergio_fajardo/status/1294028343722074114","1294028343722074114")</f>
        <v>1294028343722074114</v>
      </c>
      <c r="F1354" s="7" t="s">
        <v>17</v>
      </c>
      <c r="G1354" s="7">
        <v>1546714</v>
      </c>
      <c r="H1354" s="7">
        <v>390</v>
      </c>
      <c r="I1354" s="7">
        <v>27</v>
      </c>
      <c r="J1354" s="7">
        <v>0</v>
      </c>
      <c r="K1354" s="7" t="s">
        <v>18</v>
      </c>
      <c r="L1354" s="8">
        <v>39891.213356481479</v>
      </c>
      <c r="M1354" s="9" t="s">
        <v>19</v>
      </c>
      <c r="N1354" s="9" t="s">
        <v>22</v>
      </c>
      <c r="O1354" s="6" t="str">
        <f>HYPERLINK("https://pbs.twimg.com/profile_images/988971255679324162/jrqiIYf__normal.jpg","View")</f>
        <v>View</v>
      </c>
      <c r="P1354" s="7"/>
    </row>
    <row r="1355" spans="1:16">
      <c r="A1355" s="3">
        <v>44057.150254629625</v>
      </c>
      <c r="B1355" s="4" t="str">
        <f>HYPERLINK("https://twitter.com/sergio_fajardo","@sergio_fajardo")</f>
        <v>@sergio_fajardo</v>
      </c>
      <c r="C1355" s="5" t="s">
        <v>16</v>
      </c>
      <c r="D1355" s="5" t="s">
        <v>1376</v>
      </c>
      <c r="E1355" s="6" t="str">
        <f>HYPERLINK("https://twitter.com/sergio_fajardo/status/1294032576663949315","1294032576663949315")</f>
        <v>1294032576663949315</v>
      </c>
      <c r="F1355" s="7" t="s">
        <v>17</v>
      </c>
      <c r="G1355" s="7">
        <v>1546716</v>
      </c>
      <c r="H1355" s="7">
        <v>390</v>
      </c>
      <c r="I1355" s="7">
        <v>198</v>
      </c>
      <c r="J1355" s="7">
        <v>0</v>
      </c>
      <c r="K1355" s="7" t="s">
        <v>18</v>
      </c>
      <c r="L1355" s="8">
        <v>39891.213356481479</v>
      </c>
      <c r="M1355" s="9" t="s">
        <v>19</v>
      </c>
      <c r="N1355" s="9" t="s">
        <v>22</v>
      </c>
      <c r="O1355" s="6" t="str">
        <f>HYPERLINK("https://pbs.twimg.com/profile_images/988971255679324162/jrqiIYf__normal.jpg","View")</f>
        <v>View</v>
      </c>
      <c r="P1355" s="7"/>
    </row>
    <row r="1356" spans="1:16">
      <c r="A1356" s="3">
        <v>44057.215694444443</v>
      </c>
      <c r="B1356" s="4" t="str">
        <f>HYPERLINK("https://twitter.com/sergio_fajardo","@sergio_fajardo")</f>
        <v>@sergio_fajardo</v>
      </c>
      <c r="C1356" s="5" t="s">
        <v>16</v>
      </c>
      <c r="D1356" s="5" t="s">
        <v>1377</v>
      </c>
      <c r="E1356" s="6" t="str">
        <f>HYPERLINK("https://twitter.com/sergio_fajardo/status/1294056290747068417","1294056290747068417")</f>
        <v>1294056290747068417</v>
      </c>
      <c r="F1356" s="7" t="s">
        <v>17</v>
      </c>
      <c r="G1356" s="7">
        <v>1546714</v>
      </c>
      <c r="H1356" s="7">
        <v>390</v>
      </c>
      <c r="I1356" s="7">
        <v>7</v>
      </c>
      <c r="J1356" s="7">
        <v>0</v>
      </c>
      <c r="K1356" s="7" t="s">
        <v>18</v>
      </c>
      <c r="L1356" s="8">
        <v>39891.213356481479</v>
      </c>
      <c r="M1356" s="9" t="s">
        <v>19</v>
      </c>
      <c r="N1356" s="9" t="s">
        <v>22</v>
      </c>
      <c r="O1356" s="6" t="str">
        <f>HYPERLINK("https://pbs.twimg.com/profile_images/988971255679324162/jrqiIYf__normal.jpg","View")</f>
        <v>View</v>
      </c>
      <c r="P1356" s="7"/>
    </row>
    <row r="1357" spans="1:16">
      <c r="A1357" s="3">
        <v>44057.99627314815</v>
      </c>
      <c r="B1357" s="4" t="str">
        <f>HYPERLINK("https://twitter.com/sergio_fajardo","@sergio_fajardo")</f>
        <v>@sergio_fajardo</v>
      </c>
      <c r="C1357" s="5" t="s">
        <v>16</v>
      </c>
      <c r="D1357" s="5" t="s">
        <v>1378</v>
      </c>
      <c r="E1357" s="6" t="str">
        <f>HYPERLINK("https://twitter.com/sergio_fajardo/status/1294339163630850049","1294339163630850049")</f>
        <v>1294339163630850049</v>
      </c>
      <c r="F1357" s="7" t="s">
        <v>17</v>
      </c>
      <c r="G1357" s="7">
        <v>1546816</v>
      </c>
      <c r="H1357" s="7">
        <v>390</v>
      </c>
      <c r="I1357" s="7">
        <v>126</v>
      </c>
      <c r="J1357" s="7">
        <v>0</v>
      </c>
      <c r="K1357" s="7" t="s">
        <v>18</v>
      </c>
      <c r="L1357" s="8">
        <v>39891.213356481479</v>
      </c>
      <c r="M1357" s="9" t="s">
        <v>19</v>
      </c>
      <c r="N1357" s="9" t="s">
        <v>22</v>
      </c>
      <c r="O1357" s="6" t="str">
        <f>HYPERLINK("https://pbs.twimg.com/profile_images/988971255679324162/jrqiIYf__normal.jpg","View")</f>
        <v>View</v>
      </c>
      <c r="P1357" s="7"/>
    </row>
    <row r="1358" spans="1:16">
      <c r="A1358" s="3">
        <v>44058.188715277778</v>
      </c>
      <c r="B1358" s="4" t="str">
        <f>HYPERLINK("https://twitter.com/sergio_fajardo","@sergio_fajardo")</f>
        <v>@sergio_fajardo</v>
      </c>
      <c r="C1358" s="5" t="s">
        <v>16</v>
      </c>
      <c r="D1358" s="5" t="s">
        <v>1379</v>
      </c>
      <c r="E1358" s="6" t="str">
        <f>HYPERLINK("https://twitter.com/sergio_fajardo/status/1294408902407331841","1294408902407331841")</f>
        <v>1294408902407331841</v>
      </c>
      <c r="F1358" s="7" t="s">
        <v>20</v>
      </c>
      <c r="G1358" s="7">
        <v>1546862</v>
      </c>
      <c r="H1358" s="7">
        <v>390</v>
      </c>
      <c r="I1358" s="7">
        <v>0</v>
      </c>
      <c r="J1358" s="7">
        <v>0</v>
      </c>
      <c r="K1358" s="7" t="s">
        <v>18</v>
      </c>
      <c r="L1358" s="8">
        <v>39891.213356481479</v>
      </c>
      <c r="M1358" s="9" t="s">
        <v>19</v>
      </c>
      <c r="N1358" s="9" t="s">
        <v>22</v>
      </c>
      <c r="O1358" s="6" t="str">
        <f>HYPERLINK("https://pbs.twimg.com/profile_images/988971255679324162/jrqiIYf__normal.jpg","View")</f>
        <v>View</v>
      </c>
      <c r="P1358" s="7"/>
    </row>
    <row r="1359" spans="1:16">
      <c r="A1359" s="3">
        <v>44058.195439814815</v>
      </c>
      <c r="B1359" s="4" t="str">
        <f>HYPERLINK("https://twitter.com/sergio_fajardo","@sergio_fajardo")</f>
        <v>@sergio_fajardo</v>
      </c>
      <c r="C1359" s="5" t="s">
        <v>16</v>
      </c>
      <c r="D1359" s="5" t="s">
        <v>1380</v>
      </c>
      <c r="E1359" s="6" t="str">
        <f>HYPERLINK("https://twitter.com/sergio_fajardo/status/1294411338341638145","1294411338341638145")</f>
        <v>1294411338341638145</v>
      </c>
      <c r="F1359" s="7" t="s">
        <v>17</v>
      </c>
      <c r="G1359" s="7">
        <v>1546866</v>
      </c>
      <c r="H1359" s="7">
        <v>390</v>
      </c>
      <c r="I1359" s="7">
        <v>23</v>
      </c>
      <c r="J1359" s="7">
        <v>193</v>
      </c>
      <c r="K1359" s="7" t="s">
        <v>18</v>
      </c>
      <c r="L1359" s="8">
        <v>39891.213356481479</v>
      </c>
      <c r="M1359" s="9" t="s">
        <v>19</v>
      </c>
      <c r="N1359" s="9" t="s">
        <v>22</v>
      </c>
      <c r="O1359" s="6" t="str">
        <f>HYPERLINK("https://pbs.twimg.com/profile_images/988971255679324162/jrqiIYf__normal.jpg","View")</f>
        <v>View</v>
      </c>
      <c r="P1359" s="7"/>
    </row>
    <row r="1360" spans="1:16">
      <c r="A1360" s="3">
        <v>44058.244074074071</v>
      </c>
      <c r="B1360" s="4" t="str">
        <f>HYPERLINK("https://twitter.com/sergio_fajardo","@sergio_fajardo")</f>
        <v>@sergio_fajardo</v>
      </c>
      <c r="C1360" s="5" t="s">
        <v>16</v>
      </c>
      <c r="D1360" s="5" t="s">
        <v>1381</v>
      </c>
      <c r="E1360" s="6" t="str">
        <f>HYPERLINK("https://twitter.com/sergio_fajardo/status/1294428961380892675","1294428961380892675")</f>
        <v>1294428961380892675</v>
      </c>
      <c r="F1360" s="7" t="s">
        <v>17</v>
      </c>
      <c r="G1360" s="7">
        <v>1546869</v>
      </c>
      <c r="H1360" s="7">
        <v>390</v>
      </c>
      <c r="I1360" s="7">
        <v>561</v>
      </c>
      <c r="J1360" s="7">
        <v>0</v>
      </c>
      <c r="K1360" s="7" t="s">
        <v>18</v>
      </c>
      <c r="L1360" s="8">
        <v>39891.213356481479</v>
      </c>
      <c r="M1360" s="9" t="s">
        <v>19</v>
      </c>
      <c r="N1360" s="9" t="s">
        <v>22</v>
      </c>
      <c r="O1360" s="6" t="str">
        <f>HYPERLINK("https://pbs.twimg.com/profile_images/988971255679324162/jrqiIYf__normal.jpg","View")</f>
        <v>View</v>
      </c>
      <c r="P1360" s="7"/>
    </row>
    <row r="1361" spans="1:16">
      <c r="A1361" s="3">
        <v>44058.717094907406</v>
      </c>
      <c r="B1361" s="4" t="str">
        <f>HYPERLINK("https://twitter.com/sergio_fajardo","@sergio_fajardo")</f>
        <v>@sergio_fajardo</v>
      </c>
      <c r="C1361" s="5" t="s">
        <v>16</v>
      </c>
      <c r="D1361" s="5" t="s">
        <v>1382</v>
      </c>
      <c r="E1361" s="6" t="str">
        <f>HYPERLINK("https://twitter.com/sergio_fajardo/status/1294600380588924929","1294600380588924929")</f>
        <v>1294600380588924929</v>
      </c>
      <c r="F1361" s="7" t="s">
        <v>17</v>
      </c>
      <c r="G1361" s="7">
        <v>1546893</v>
      </c>
      <c r="H1361" s="7">
        <v>390</v>
      </c>
      <c r="I1361" s="7">
        <v>33</v>
      </c>
      <c r="J1361" s="7">
        <v>0</v>
      </c>
      <c r="K1361" s="7" t="s">
        <v>18</v>
      </c>
      <c r="L1361" s="8">
        <v>39891.213356481479</v>
      </c>
      <c r="M1361" s="9" t="s">
        <v>19</v>
      </c>
      <c r="N1361" s="9" t="s">
        <v>22</v>
      </c>
      <c r="O1361" s="6" t="str">
        <f>HYPERLINK("https://pbs.twimg.com/profile_images/988971255679324162/jrqiIYf__normal.jpg","View")</f>
        <v>View</v>
      </c>
      <c r="P1361" s="7"/>
    </row>
    <row r="1362" spans="1:16">
      <c r="A1362" s="3">
        <v>44058.717523148152</v>
      </c>
      <c r="B1362" s="4" t="str">
        <f>HYPERLINK("https://twitter.com/sergio_fajardo","@sergio_fajardo")</f>
        <v>@sergio_fajardo</v>
      </c>
      <c r="C1362" s="5" t="s">
        <v>16</v>
      </c>
      <c r="D1362" s="5" t="s">
        <v>1383</v>
      </c>
      <c r="E1362" s="6" t="str">
        <f>HYPERLINK("https://twitter.com/sergio_fajardo/status/1294600533576224769","1294600533576224769")</f>
        <v>1294600533576224769</v>
      </c>
      <c r="F1362" s="7" t="s">
        <v>17</v>
      </c>
      <c r="G1362" s="7">
        <v>1546893</v>
      </c>
      <c r="H1362" s="7">
        <v>390</v>
      </c>
      <c r="I1362" s="7">
        <v>3</v>
      </c>
      <c r="J1362" s="7">
        <v>0</v>
      </c>
      <c r="K1362" s="7" t="s">
        <v>18</v>
      </c>
      <c r="L1362" s="8">
        <v>39891.213356481479</v>
      </c>
      <c r="M1362" s="9" t="s">
        <v>19</v>
      </c>
      <c r="N1362" s="9" t="s">
        <v>22</v>
      </c>
      <c r="O1362" s="6" t="str">
        <f>HYPERLINK("https://pbs.twimg.com/profile_images/988971255679324162/jrqiIYf__normal.jpg","View")</f>
        <v>View</v>
      </c>
      <c r="P1362" s="7"/>
    </row>
    <row r="1363" spans="1:16">
      <c r="A1363" s="3">
        <v>44058.718530092592</v>
      </c>
      <c r="B1363" s="4" t="str">
        <f>HYPERLINK("https://twitter.com/sergio_fajardo","@sergio_fajardo")</f>
        <v>@sergio_fajardo</v>
      </c>
      <c r="C1363" s="5" t="s">
        <v>16</v>
      </c>
      <c r="D1363" s="5" t="s">
        <v>1384</v>
      </c>
      <c r="E1363" s="6" t="str">
        <f>HYPERLINK("https://twitter.com/sergio_fajardo/status/1294600897138503680","1294600897138503680")</f>
        <v>1294600897138503680</v>
      </c>
      <c r="F1363" s="7" t="s">
        <v>17</v>
      </c>
      <c r="G1363" s="7">
        <v>1546893</v>
      </c>
      <c r="H1363" s="7">
        <v>390</v>
      </c>
      <c r="I1363" s="7">
        <v>1080</v>
      </c>
      <c r="J1363" s="7">
        <v>0</v>
      </c>
      <c r="K1363" s="7" t="s">
        <v>18</v>
      </c>
      <c r="L1363" s="8">
        <v>39891.213356481479</v>
      </c>
      <c r="M1363" s="9" t="s">
        <v>19</v>
      </c>
      <c r="N1363" s="9" t="s">
        <v>22</v>
      </c>
      <c r="O1363" s="6" t="str">
        <f>HYPERLINK("https://pbs.twimg.com/profile_images/988971255679324162/jrqiIYf__normal.jpg","View")</f>
        <v>View</v>
      </c>
      <c r="P1363" s="7"/>
    </row>
    <row r="1364" spans="1:16">
      <c r="A1364" s="3">
        <v>44058.737187499995</v>
      </c>
      <c r="B1364" s="4" t="str">
        <f>HYPERLINK("https://twitter.com/sergio_fajardo","@sergio_fajardo")</f>
        <v>@sergio_fajardo</v>
      </c>
      <c r="C1364" s="5" t="s">
        <v>16</v>
      </c>
      <c r="D1364" s="5" t="s">
        <v>1385</v>
      </c>
      <c r="E1364" s="6" t="str">
        <f>HYPERLINK("https://twitter.com/sergio_fajardo/status/1294607660445241344","1294607660445241344")</f>
        <v>1294607660445241344</v>
      </c>
      <c r="F1364" s="7" t="s">
        <v>17</v>
      </c>
      <c r="G1364" s="7">
        <v>1546898</v>
      </c>
      <c r="H1364" s="7">
        <v>392</v>
      </c>
      <c r="I1364" s="7">
        <v>3748</v>
      </c>
      <c r="J1364" s="7">
        <v>0</v>
      </c>
      <c r="K1364" s="7" t="s">
        <v>18</v>
      </c>
      <c r="L1364" s="8">
        <v>39891.213356481479</v>
      </c>
      <c r="M1364" s="9" t="s">
        <v>19</v>
      </c>
      <c r="N1364" s="9" t="s">
        <v>22</v>
      </c>
      <c r="O1364" s="6" t="str">
        <f>HYPERLINK("https://pbs.twimg.com/profile_images/988971255679324162/jrqiIYf__normal.jpg","View")</f>
        <v>View</v>
      </c>
      <c r="P1364" s="7"/>
    </row>
    <row r="1365" spans="1:16">
      <c r="A1365" s="3">
        <v>44058.992372685185</v>
      </c>
      <c r="B1365" s="4" t="str">
        <f>HYPERLINK("https://twitter.com/sergio_fajardo","@sergio_fajardo")</f>
        <v>@sergio_fajardo</v>
      </c>
      <c r="C1365" s="5" t="s">
        <v>16</v>
      </c>
      <c r="D1365" s="5" t="s">
        <v>1386</v>
      </c>
      <c r="E1365" s="6" t="str">
        <f>HYPERLINK("https://twitter.com/sergio_fajardo/status/1294700137730670593","1294700137730670593")</f>
        <v>1294700137730670593</v>
      </c>
      <c r="F1365" s="7" t="s">
        <v>17</v>
      </c>
      <c r="G1365" s="7">
        <v>1546950</v>
      </c>
      <c r="H1365" s="7">
        <v>392</v>
      </c>
      <c r="I1365" s="7">
        <v>16</v>
      </c>
      <c r="J1365" s="7">
        <v>56</v>
      </c>
      <c r="K1365" s="7" t="s">
        <v>18</v>
      </c>
      <c r="L1365" s="8">
        <v>39891.213356481479</v>
      </c>
      <c r="M1365" s="9" t="s">
        <v>19</v>
      </c>
      <c r="N1365" s="9" t="s">
        <v>22</v>
      </c>
      <c r="O1365" s="6" t="str">
        <f>HYPERLINK("https://pbs.twimg.com/profile_images/988971255679324162/jrqiIYf__normal.jpg","View")</f>
        <v>View</v>
      </c>
      <c r="P1365" s="7"/>
    </row>
    <row r="1366" spans="1:16">
      <c r="A1366" s="3">
        <v>44058.996574074074</v>
      </c>
      <c r="B1366" s="4" t="str">
        <f>HYPERLINK("https://twitter.com/sergio_fajardo","@sergio_fajardo")</f>
        <v>@sergio_fajardo</v>
      </c>
      <c r="C1366" s="5" t="s">
        <v>16</v>
      </c>
      <c r="D1366" s="5" t="s">
        <v>1387</v>
      </c>
      <c r="E1366" s="6" t="str">
        <f>HYPERLINK("https://twitter.com/sergio_fajardo/status/1294701658669297672","1294701658669297672")</f>
        <v>1294701658669297672</v>
      </c>
      <c r="F1366" s="7" t="s">
        <v>17</v>
      </c>
      <c r="G1366" s="7">
        <v>1546950</v>
      </c>
      <c r="H1366" s="7">
        <v>392</v>
      </c>
      <c r="I1366" s="7">
        <v>9</v>
      </c>
      <c r="J1366" s="7">
        <v>27</v>
      </c>
      <c r="K1366" s="7" t="s">
        <v>18</v>
      </c>
      <c r="L1366" s="8">
        <v>39891.213356481479</v>
      </c>
      <c r="M1366" s="9" t="s">
        <v>19</v>
      </c>
      <c r="N1366" s="9" t="s">
        <v>22</v>
      </c>
      <c r="O1366" s="6" t="str">
        <f>HYPERLINK("https://pbs.twimg.com/profile_images/988971255679324162/jrqiIYf__normal.jpg","View")</f>
        <v>View</v>
      </c>
      <c r="P1366" s="7"/>
    </row>
    <row r="1367" spans="1:16">
      <c r="A1367" s="3">
        <v>44059.038321759261</v>
      </c>
      <c r="B1367" s="4" t="str">
        <f>HYPERLINK("https://twitter.com/sergio_fajardo","@sergio_fajardo")</f>
        <v>@sergio_fajardo</v>
      </c>
      <c r="C1367" s="5" t="s">
        <v>16</v>
      </c>
      <c r="D1367" s="5" t="s">
        <v>1388</v>
      </c>
      <c r="E1367" s="6" t="str">
        <f>HYPERLINK("https://twitter.com/sergio_fajardo/status/1294716786458468352","1294716786458468352")</f>
        <v>1294716786458468352</v>
      </c>
      <c r="F1367" s="7" t="s">
        <v>17</v>
      </c>
      <c r="G1367" s="7">
        <v>1546950</v>
      </c>
      <c r="H1367" s="7">
        <v>392</v>
      </c>
      <c r="I1367" s="7">
        <v>1144</v>
      </c>
      <c r="J1367" s="7">
        <v>0</v>
      </c>
      <c r="K1367" s="7" t="s">
        <v>18</v>
      </c>
      <c r="L1367" s="8">
        <v>39891.213356481479</v>
      </c>
      <c r="M1367" s="9" t="s">
        <v>19</v>
      </c>
      <c r="N1367" s="9" t="s">
        <v>22</v>
      </c>
      <c r="O1367" s="6" t="str">
        <f>HYPERLINK("https://pbs.twimg.com/profile_images/988971255679324162/jrqiIYf__normal.jpg","View")</f>
        <v>View</v>
      </c>
      <c r="P1367" s="7"/>
    </row>
    <row r="1368" spans="1:16">
      <c r="A1368" s="3">
        <v>44059.103379629625</v>
      </c>
      <c r="B1368" s="4" t="str">
        <f>HYPERLINK("https://twitter.com/sergio_fajardo","@sergio_fajardo")</f>
        <v>@sergio_fajardo</v>
      </c>
      <c r="C1368" s="5" t="s">
        <v>16</v>
      </c>
      <c r="D1368" s="5" t="s">
        <v>1389</v>
      </c>
      <c r="E1368" s="6" t="str">
        <f>HYPERLINK("https://twitter.com/sergio_fajardo/status/1294740365623296001","1294740365623296001")</f>
        <v>1294740365623296001</v>
      </c>
      <c r="F1368" s="7" t="s">
        <v>17</v>
      </c>
      <c r="G1368" s="7">
        <v>1546956</v>
      </c>
      <c r="H1368" s="7">
        <v>392</v>
      </c>
      <c r="I1368" s="7">
        <v>8</v>
      </c>
      <c r="J1368" s="7">
        <v>0</v>
      </c>
      <c r="K1368" s="7" t="s">
        <v>18</v>
      </c>
      <c r="L1368" s="8">
        <v>39891.213356481479</v>
      </c>
      <c r="M1368" s="9" t="s">
        <v>19</v>
      </c>
      <c r="N1368" s="9" t="s">
        <v>22</v>
      </c>
      <c r="O1368" s="6" t="str">
        <f>HYPERLINK("https://pbs.twimg.com/profile_images/988971255679324162/jrqiIYf__normal.jpg","View")</f>
        <v>View</v>
      </c>
      <c r="P1368" s="7"/>
    </row>
    <row r="1369" spans="1:16">
      <c r="A1369" s="3">
        <v>44059.108749999999</v>
      </c>
      <c r="B1369" s="4" t="str">
        <f>HYPERLINK("https://twitter.com/sergio_fajardo","@sergio_fajardo")</f>
        <v>@sergio_fajardo</v>
      </c>
      <c r="C1369" s="5" t="s">
        <v>16</v>
      </c>
      <c r="D1369" s="5" t="s">
        <v>1390</v>
      </c>
      <c r="E1369" s="6" t="str">
        <f>HYPERLINK("https://twitter.com/sergio_fajardo/status/1294742308378882054","1294742308378882054")</f>
        <v>1294742308378882054</v>
      </c>
      <c r="F1369" s="7" t="s">
        <v>17</v>
      </c>
      <c r="G1369" s="7">
        <v>1546959</v>
      </c>
      <c r="H1369" s="7">
        <v>392</v>
      </c>
      <c r="I1369" s="7">
        <v>33</v>
      </c>
      <c r="J1369" s="7">
        <v>0</v>
      </c>
      <c r="K1369" s="7" t="s">
        <v>18</v>
      </c>
      <c r="L1369" s="8">
        <v>39891.213356481479</v>
      </c>
      <c r="M1369" s="9" t="s">
        <v>19</v>
      </c>
      <c r="N1369" s="9" t="s">
        <v>22</v>
      </c>
      <c r="O1369" s="6" t="str">
        <f>HYPERLINK("https://pbs.twimg.com/profile_images/988971255679324162/jrqiIYf__normal.jpg","View")</f>
        <v>View</v>
      </c>
      <c r="P1369" s="7"/>
    </row>
    <row r="1370" spans="1:16">
      <c r="A1370" s="3">
        <v>44059.312592592592</v>
      </c>
      <c r="B1370" s="4" t="str">
        <f>HYPERLINK("https://twitter.com/sergio_fajardo","@sergio_fajardo")</f>
        <v>@sergio_fajardo</v>
      </c>
      <c r="C1370" s="5" t="s">
        <v>16</v>
      </c>
      <c r="D1370" s="5" t="s">
        <v>1391</v>
      </c>
      <c r="E1370" s="6" t="str">
        <f>HYPERLINK("https://twitter.com/sergio_fajardo/status/1294816178079240194","1294816178079240194")</f>
        <v>1294816178079240194</v>
      </c>
      <c r="F1370" s="7" t="s">
        <v>17</v>
      </c>
      <c r="G1370" s="7">
        <v>1546988</v>
      </c>
      <c r="H1370" s="7">
        <v>392</v>
      </c>
      <c r="I1370" s="7">
        <v>174</v>
      </c>
      <c r="J1370" s="7">
        <v>0</v>
      </c>
      <c r="K1370" s="7" t="s">
        <v>18</v>
      </c>
      <c r="L1370" s="8">
        <v>39891.213356481479</v>
      </c>
      <c r="M1370" s="9" t="s">
        <v>19</v>
      </c>
      <c r="N1370" s="9" t="s">
        <v>22</v>
      </c>
      <c r="O1370" s="6" t="str">
        <f>HYPERLINK("https://pbs.twimg.com/profile_images/988971255679324162/jrqiIYf__normal.jpg","View")</f>
        <v>View</v>
      </c>
      <c r="P1370" s="7"/>
    </row>
    <row r="1371" spans="1:16">
      <c r="A1371" s="3">
        <v>44059.327210648145</v>
      </c>
      <c r="B1371" s="4" t="str">
        <f>HYPERLINK("https://twitter.com/sergio_fajardo","@sergio_fajardo")</f>
        <v>@sergio_fajardo</v>
      </c>
      <c r="C1371" s="5" t="s">
        <v>16</v>
      </c>
      <c r="D1371" s="5" t="s">
        <v>1392</v>
      </c>
      <c r="E1371" s="6" t="str">
        <f>HYPERLINK("https://twitter.com/sergio_fajardo/status/1294821477062238209","1294821477062238209")</f>
        <v>1294821477062238209</v>
      </c>
      <c r="F1371" s="7" t="s">
        <v>17</v>
      </c>
      <c r="G1371" s="7">
        <v>1546995</v>
      </c>
      <c r="H1371" s="7">
        <v>392</v>
      </c>
      <c r="I1371" s="7">
        <v>17</v>
      </c>
      <c r="J1371" s="7">
        <v>52</v>
      </c>
      <c r="K1371" s="7" t="s">
        <v>18</v>
      </c>
      <c r="L1371" s="8">
        <v>39891.213356481479</v>
      </c>
      <c r="M1371" s="9" t="s">
        <v>19</v>
      </c>
      <c r="N1371" s="9" t="s">
        <v>22</v>
      </c>
      <c r="O1371" s="6" t="str">
        <f>HYPERLINK("https://pbs.twimg.com/profile_images/988971255679324162/jrqiIYf__normal.jpg","View")</f>
        <v>View</v>
      </c>
      <c r="P1371" s="7"/>
    </row>
    <row r="1372" spans="1:16">
      <c r="A1372" s="3">
        <v>44059.732164351852</v>
      </c>
      <c r="B1372" s="4" t="str">
        <f>HYPERLINK("https://twitter.com/sergio_fajardo","@sergio_fajardo")</f>
        <v>@sergio_fajardo</v>
      </c>
      <c r="C1372" s="5" t="s">
        <v>16</v>
      </c>
      <c r="D1372" s="5" t="s">
        <v>1393</v>
      </c>
      <c r="E1372" s="6" t="str">
        <f>HYPERLINK("https://twitter.com/sergio_fajardo/status/1294968225835483137","1294968225835483137")</f>
        <v>1294968225835483137</v>
      </c>
      <c r="F1372" s="7" t="s">
        <v>17</v>
      </c>
      <c r="G1372" s="7">
        <v>1547004</v>
      </c>
      <c r="H1372" s="7">
        <v>392</v>
      </c>
      <c r="I1372" s="7">
        <v>8</v>
      </c>
      <c r="J1372" s="7">
        <v>0</v>
      </c>
      <c r="K1372" s="7" t="s">
        <v>18</v>
      </c>
      <c r="L1372" s="8">
        <v>39891.213356481479</v>
      </c>
      <c r="M1372" s="9" t="s">
        <v>19</v>
      </c>
      <c r="N1372" s="9" t="s">
        <v>22</v>
      </c>
      <c r="O1372" s="6" t="str">
        <f>HYPERLINK("https://pbs.twimg.com/profile_images/988971255679324162/jrqiIYf__normal.jpg","View")</f>
        <v>View</v>
      </c>
      <c r="P1372" s="7"/>
    </row>
    <row r="1373" spans="1:16">
      <c r="A1373" s="3">
        <v>44059.763784722221</v>
      </c>
      <c r="B1373" s="4" t="str">
        <f>HYPERLINK("https://twitter.com/sergio_fajardo","@sergio_fajardo")</f>
        <v>@sergio_fajardo</v>
      </c>
      <c r="C1373" s="5" t="s">
        <v>16</v>
      </c>
      <c r="D1373" s="5" t="s">
        <v>1394</v>
      </c>
      <c r="E1373" s="6" t="str">
        <f>HYPERLINK("https://twitter.com/sergio_fajardo/status/1294979685802221571","1294979685802221571")</f>
        <v>1294979685802221571</v>
      </c>
      <c r="F1373" s="7" t="s">
        <v>17</v>
      </c>
      <c r="G1373" s="7">
        <v>1547002</v>
      </c>
      <c r="H1373" s="7">
        <v>392</v>
      </c>
      <c r="I1373" s="7">
        <v>23</v>
      </c>
      <c r="J1373" s="7">
        <v>81</v>
      </c>
      <c r="K1373" s="7" t="s">
        <v>18</v>
      </c>
      <c r="L1373" s="8">
        <v>39891.213356481479</v>
      </c>
      <c r="M1373" s="9" t="s">
        <v>19</v>
      </c>
      <c r="N1373" s="9" t="s">
        <v>22</v>
      </c>
      <c r="O1373" s="6" t="str">
        <f>HYPERLINK("https://pbs.twimg.com/profile_images/988971255679324162/jrqiIYf__normal.jpg","View")</f>
        <v>View</v>
      </c>
      <c r="P1373" s="7"/>
    </row>
    <row r="1374" spans="1:16">
      <c r="A1374" s="3">
        <v>44060.20893518519</v>
      </c>
      <c r="B1374" s="4" t="str">
        <f>HYPERLINK("https://twitter.com/sergio_fajardo","@sergio_fajardo")</f>
        <v>@sergio_fajardo</v>
      </c>
      <c r="C1374" s="5" t="s">
        <v>16</v>
      </c>
      <c r="D1374" s="5" t="s">
        <v>1395</v>
      </c>
      <c r="E1374" s="6" t="str">
        <f>HYPERLINK("https://twitter.com/sergio_fajardo/status/1295141002882285568","1295141002882285568")</f>
        <v>1295141002882285568</v>
      </c>
      <c r="F1374" s="7" t="s">
        <v>17</v>
      </c>
      <c r="G1374" s="7">
        <v>1547175</v>
      </c>
      <c r="H1374" s="7">
        <v>392</v>
      </c>
      <c r="I1374" s="7">
        <v>13</v>
      </c>
      <c r="J1374" s="7">
        <v>0</v>
      </c>
      <c r="K1374" s="7" t="s">
        <v>18</v>
      </c>
      <c r="L1374" s="8">
        <v>39891.213356481479</v>
      </c>
      <c r="M1374" s="9" t="s">
        <v>19</v>
      </c>
      <c r="N1374" s="9" t="s">
        <v>22</v>
      </c>
      <c r="O1374" s="6" t="str">
        <f>HYPERLINK("https://pbs.twimg.com/profile_images/988971255679324162/jrqiIYf__normal.jpg","View")</f>
        <v>View</v>
      </c>
      <c r="P1374" s="7"/>
    </row>
    <row r="1375" spans="1:16">
      <c r="A1375" s="3">
        <v>44060.210717592592</v>
      </c>
      <c r="B1375" s="4" t="str">
        <f>HYPERLINK("https://twitter.com/sergio_fajardo","@sergio_fajardo")</f>
        <v>@sergio_fajardo</v>
      </c>
      <c r="C1375" s="5" t="s">
        <v>16</v>
      </c>
      <c r="D1375" s="5" t="s">
        <v>1396</v>
      </c>
      <c r="E1375" s="6" t="str">
        <f>HYPERLINK("https://twitter.com/sergio_fajardo/status/1295141648356257797","1295141648356257797")</f>
        <v>1295141648356257797</v>
      </c>
      <c r="F1375" s="7" t="s">
        <v>17</v>
      </c>
      <c r="G1375" s="7">
        <v>1547172</v>
      </c>
      <c r="H1375" s="7">
        <v>392</v>
      </c>
      <c r="I1375" s="7">
        <v>127</v>
      </c>
      <c r="J1375" s="7">
        <v>0</v>
      </c>
      <c r="K1375" s="7" t="s">
        <v>18</v>
      </c>
      <c r="L1375" s="8">
        <v>39891.213356481479</v>
      </c>
      <c r="M1375" s="9" t="s">
        <v>19</v>
      </c>
      <c r="N1375" s="9" t="s">
        <v>22</v>
      </c>
      <c r="O1375" s="6" t="str">
        <f>HYPERLINK("https://pbs.twimg.com/profile_images/988971255679324162/jrqiIYf__normal.jpg","View")</f>
        <v>View</v>
      </c>
      <c r="P1375" s="7"/>
    </row>
    <row r="1376" spans="1:16">
      <c r="A1376" s="3">
        <v>44060.211053240739</v>
      </c>
      <c r="B1376" s="4" t="str">
        <f>HYPERLINK("https://twitter.com/sergio_fajardo","@sergio_fajardo")</f>
        <v>@sergio_fajardo</v>
      </c>
      <c r="C1376" s="5" t="s">
        <v>16</v>
      </c>
      <c r="D1376" s="5" t="s">
        <v>1397</v>
      </c>
      <c r="E1376" s="6" t="str">
        <f>HYPERLINK("https://twitter.com/sergio_fajardo/status/1295141772088225800","1295141772088225800")</f>
        <v>1295141772088225800</v>
      </c>
      <c r="F1376" s="7" t="s">
        <v>17</v>
      </c>
      <c r="G1376" s="7">
        <v>1547172</v>
      </c>
      <c r="H1376" s="7">
        <v>392</v>
      </c>
      <c r="I1376" s="7">
        <v>7</v>
      </c>
      <c r="J1376" s="7">
        <v>0</v>
      </c>
      <c r="K1376" s="7" t="s">
        <v>18</v>
      </c>
      <c r="L1376" s="8">
        <v>39891.213356481479</v>
      </c>
      <c r="M1376" s="9" t="s">
        <v>19</v>
      </c>
      <c r="N1376" s="9" t="s">
        <v>22</v>
      </c>
      <c r="O1376" s="6" t="str">
        <f>HYPERLINK("https://pbs.twimg.com/profile_images/988971255679324162/jrqiIYf__normal.jpg","View")</f>
        <v>View</v>
      </c>
      <c r="P1376" s="7"/>
    </row>
    <row r="1377" spans="1:16">
      <c r="A1377" s="3">
        <v>44060.211527777778</v>
      </c>
      <c r="B1377" s="4" t="str">
        <f>HYPERLINK("https://twitter.com/sergio_fajardo","@sergio_fajardo")</f>
        <v>@sergio_fajardo</v>
      </c>
      <c r="C1377" s="5" t="s">
        <v>16</v>
      </c>
      <c r="D1377" s="5" t="s">
        <v>1398</v>
      </c>
      <c r="E1377" s="6" t="str">
        <f>HYPERLINK("https://twitter.com/sergio_fajardo/status/1295141942691598337","1295141942691598337")</f>
        <v>1295141942691598337</v>
      </c>
      <c r="F1377" s="7" t="s">
        <v>17</v>
      </c>
      <c r="G1377" s="7">
        <v>1547172</v>
      </c>
      <c r="H1377" s="7">
        <v>392</v>
      </c>
      <c r="I1377" s="7">
        <v>15</v>
      </c>
      <c r="J1377" s="7">
        <v>56</v>
      </c>
      <c r="K1377" s="7" t="s">
        <v>18</v>
      </c>
      <c r="L1377" s="8">
        <v>39891.213356481479</v>
      </c>
      <c r="M1377" s="9" t="s">
        <v>19</v>
      </c>
      <c r="N1377" s="9" t="s">
        <v>22</v>
      </c>
      <c r="O1377" s="6" t="str">
        <f>HYPERLINK("https://pbs.twimg.com/profile_images/988971255679324162/jrqiIYf__normal.jpg","View")</f>
        <v>View</v>
      </c>
      <c r="P1377" s="7"/>
    </row>
    <row r="1378" spans="1:16">
      <c r="A1378" s="3">
        <v>44061.427708333329</v>
      </c>
      <c r="B1378" s="4" t="str">
        <f>HYPERLINK("https://twitter.com/sergio_fajardo","@sergio_fajardo")</f>
        <v>@sergio_fajardo</v>
      </c>
      <c r="C1378" s="5" t="s">
        <v>16</v>
      </c>
      <c r="D1378" s="5" t="s">
        <v>1399</v>
      </c>
      <c r="E1378" s="6" t="str">
        <f>HYPERLINK("https://twitter.com/sergio_fajardo/status/1295582672765497345","1295582672765497345")</f>
        <v>1295582672765497345</v>
      </c>
      <c r="F1378" s="7" t="s">
        <v>23</v>
      </c>
      <c r="G1378" s="7">
        <v>1547519</v>
      </c>
      <c r="H1378" s="7">
        <v>392</v>
      </c>
      <c r="I1378" s="7">
        <v>582</v>
      </c>
      <c r="J1378" s="7">
        <v>0</v>
      </c>
      <c r="K1378" s="7" t="s">
        <v>18</v>
      </c>
      <c r="L1378" s="8">
        <v>39891.213356481479</v>
      </c>
      <c r="M1378" s="9" t="s">
        <v>19</v>
      </c>
      <c r="N1378" s="9" t="s">
        <v>22</v>
      </c>
      <c r="O1378" s="6" t="str">
        <f>HYPERLINK("https://pbs.twimg.com/profile_images/988971255679324162/jrqiIYf__normal.jpg","View")</f>
        <v>View</v>
      </c>
      <c r="P1378" s="7"/>
    </row>
    <row r="1379" spans="1:16">
      <c r="A1379" s="3">
        <v>44061.765625</v>
      </c>
      <c r="B1379" s="4" t="str">
        <f>HYPERLINK("https://twitter.com/sergio_fajardo","@sergio_fajardo")</f>
        <v>@sergio_fajardo</v>
      </c>
      <c r="C1379" s="5" t="s">
        <v>16</v>
      </c>
      <c r="D1379" s="5" t="s">
        <v>1400</v>
      </c>
      <c r="E1379" s="6" t="str">
        <f>HYPERLINK("https://twitter.com/sergio_fajardo/status/1295705130701148166","1295705130701148166")</f>
        <v>1295705130701148166</v>
      </c>
      <c r="F1379" s="7" t="s">
        <v>23</v>
      </c>
      <c r="G1379" s="7">
        <v>1547527</v>
      </c>
      <c r="H1379" s="7">
        <v>392</v>
      </c>
      <c r="I1379" s="7">
        <v>11</v>
      </c>
      <c r="J1379" s="7">
        <v>50</v>
      </c>
      <c r="K1379" s="7" t="s">
        <v>18</v>
      </c>
      <c r="L1379" s="8">
        <v>39891.213356481479</v>
      </c>
      <c r="M1379" s="9" t="s">
        <v>19</v>
      </c>
      <c r="N1379" s="9" t="s">
        <v>22</v>
      </c>
      <c r="O1379" s="6" t="str">
        <f>HYPERLINK("https://pbs.twimg.com/profile_images/988971255679324162/jrqiIYf__normal.jpg","View")</f>
        <v>View</v>
      </c>
      <c r="P1379" s="7"/>
    </row>
    <row r="1380" spans="1:16">
      <c r="A1380" s="3">
        <v>44061.768796296295</v>
      </c>
      <c r="B1380" s="4" t="str">
        <f>HYPERLINK("https://twitter.com/sergio_fajardo","@sergio_fajardo")</f>
        <v>@sergio_fajardo</v>
      </c>
      <c r="C1380" s="5" t="s">
        <v>16</v>
      </c>
      <c r="D1380" s="5" t="s">
        <v>1401</v>
      </c>
      <c r="E1380" s="6" t="str">
        <f>HYPERLINK("https://twitter.com/sergio_fajardo/status/1295706279609012224","1295706279609012224")</f>
        <v>1295706279609012224</v>
      </c>
      <c r="F1380" s="7" t="s">
        <v>23</v>
      </c>
      <c r="G1380" s="7">
        <v>1547527</v>
      </c>
      <c r="H1380" s="7">
        <v>392</v>
      </c>
      <c r="I1380" s="7">
        <v>1</v>
      </c>
      <c r="J1380" s="7">
        <v>18</v>
      </c>
      <c r="K1380" s="7" t="s">
        <v>18</v>
      </c>
      <c r="L1380" s="8">
        <v>39891.213356481479</v>
      </c>
      <c r="M1380" s="9" t="s">
        <v>19</v>
      </c>
      <c r="N1380" s="9" t="s">
        <v>22</v>
      </c>
      <c r="O1380" s="6" t="str">
        <f>HYPERLINK("https://pbs.twimg.com/profile_images/988971255679324162/jrqiIYf__normal.jpg","View")</f>
        <v>View</v>
      </c>
      <c r="P1380" s="7"/>
    </row>
    <row r="1381" spans="1:16">
      <c r="A1381" s="3">
        <v>44062.123865740738</v>
      </c>
      <c r="B1381" s="4" t="str">
        <f>HYPERLINK("https://twitter.com/sergio_fajardo","@sergio_fajardo")</f>
        <v>@sergio_fajardo</v>
      </c>
      <c r="C1381" s="5" t="s">
        <v>16</v>
      </c>
      <c r="D1381" s="5" t="s">
        <v>1402</v>
      </c>
      <c r="E1381" s="6" t="str">
        <f>HYPERLINK("https://twitter.com/sergio_fajardo/status/1295834952555204610","1295834952555204610")</f>
        <v>1295834952555204610</v>
      </c>
      <c r="F1381" s="7" t="s">
        <v>17</v>
      </c>
      <c r="G1381" s="7">
        <v>1547620</v>
      </c>
      <c r="H1381" s="7">
        <v>392</v>
      </c>
      <c r="I1381" s="7">
        <v>3</v>
      </c>
      <c r="J1381" s="7">
        <v>25</v>
      </c>
      <c r="K1381" s="7" t="s">
        <v>18</v>
      </c>
      <c r="L1381" s="8">
        <v>39891.213356481479</v>
      </c>
      <c r="M1381" s="9" t="s">
        <v>19</v>
      </c>
      <c r="N1381" s="9" t="s">
        <v>22</v>
      </c>
      <c r="O1381" s="6" t="str">
        <f>HYPERLINK("https://pbs.twimg.com/profile_images/988971255679324162/jrqiIYf__normal.jpg","View")</f>
        <v>View</v>
      </c>
      <c r="P1381" s="7"/>
    </row>
    <row r="1382" spans="1:16">
      <c r="A1382" s="3">
        <v>44062.124803240746</v>
      </c>
      <c r="B1382" s="4" t="str">
        <f>HYPERLINK("https://twitter.com/sergio_fajardo","@sergio_fajardo")</f>
        <v>@sergio_fajardo</v>
      </c>
      <c r="C1382" s="5" t="s">
        <v>16</v>
      </c>
      <c r="D1382" s="5" t="s">
        <v>1403</v>
      </c>
      <c r="E1382" s="6" t="str">
        <f>HYPERLINK("https://twitter.com/sergio_fajardo/status/1295835290708455431","1295835290708455431")</f>
        <v>1295835290708455431</v>
      </c>
      <c r="F1382" s="7" t="s">
        <v>17</v>
      </c>
      <c r="G1382" s="7">
        <v>1547620</v>
      </c>
      <c r="H1382" s="7">
        <v>392</v>
      </c>
      <c r="I1382" s="7">
        <v>2</v>
      </c>
      <c r="J1382" s="7">
        <v>9</v>
      </c>
      <c r="K1382" s="7" t="s">
        <v>18</v>
      </c>
      <c r="L1382" s="8">
        <v>39891.213356481479</v>
      </c>
      <c r="M1382" s="9" t="s">
        <v>19</v>
      </c>
      <c r="N1382" s="9" t="s">
        <v>22</v>
      </c>
      <c r="O1382" s="6" t="str">
        <f>HYPERLINK("https://pbs.twimg.com/profile_images/988971255679324162/jrqiIYf__normal.jpg","View")</f>
        <v>View</v>
      </c>
      <c r="P1382" s="7"/>
    </row>
    <row r="1383" spans="1:16">
      <c r="A1383" s="3">
        <v>44062.775717592594</v>
      </c>
      <c r="B1383" s="4" t="str">
        <f>HYPERLINK("https://twitter.com/sergio_fajardo","@sergio_fajardo")</f>
        <v>@sergio_fajardo</v>
      </c>
      <c r="C1383" s="5" t="s">
        <v>16</v>
      </c>
      <c r="D1383" s="5" t="s">
        <v>1404</v>
      </c>
      <c r="E1383" s="6" t="str">
        <f>HYPERLINK("https://twitter.com/sergio_fajardo/status/1296071173990690816","1296071173990690816")</f>
        <v>1296071173990690816</v>
      </c>
      <c r="F1383" s="7" t="s">
        <v>23</v>
      </c>
      <c r="G1383" s="7">
        <v>1547761</v>
      </c>
      <c r="H1383" s="7">
        <v>392</v>
      </c>
      <c r="I1383" s="7">
        <v>104</v>
      </c>
      <c r="J1383" s="7">
        <v>489</v>
      </c>
      <c r="K1383" s="7" t="s">
        <v>18</v>
      </c>
      <c r="L1383" s="8">
        <v>39891.213356481479</v>
      </c>
      <c r="M1383" s="9" t="s">
        <v>19</v>
      </c>
      <c r="N1383" s="9" t="s">
        <v>22</v>
      </c>
      <c r="O1383" s="6" t="str">
        <f>HYPERLINK("https://pbs.twimg.com/profile_images/988971255679324162/jrqiIYf__normal.jpg","View")</f>
        <v>View</v>
      </c>
      <c r="P1383" s="7"/>
    </row>
    <row r="1384" spans="1:16">
      <c r="A1384" s="3">
        <v>44062.830578703702</v>
      </c>
      <c r="B1384" s="4" t="str">
        <f>HYPERLINK("https://twitter.com/sergio_fajardo","@sergio_fajardo")</f>
        <v>@sergio_fajardo</v>
      </c>
      <c r="C1384" s="5" t="s">
        <v>16</v>
      </c>
      <c r="D1384" s="5" t="s">
        <v>1405</v>
      </c>
      <c r="E1384" s="6" t="str">
        <f>HYPERLINK("https://twitter.com/sergio_fajardo/status/1296091055226576902","1296091055226576902")</f>
        <v>1296091055226576902</v>
      </c>
      <c r="F1384" s="7" t="s">
        <v>23</v>
      </c>
      <c r="G1384" s="7">
        <v>1547778</v>
      </c>
      <c r="H1384" s="7">
        <v>392</v>
      </c>
      <c r="I1384" s="7">
        <v>5</v>
      </c>
      <c r="J1384" s="7">
        <v>26</v>
      </c>
      <c r="K1384" s="7" t="s">
        <v>18</v>
      </c>
      <c r="L1384" s="8">
        <v>39891.213356481479</v>
      </c>
      <c r="M1384" s="9" t="s">
        <v>19</v>
      </c>
      <c r="N1384" s="9" t="s">
        <v>22</v>
      </c>
      <c r="O1384" s="6" t="str">
        <f>HYPERLINK("https://pbs.twimg.com/profile_images/988971255679324162/jrqiIYf__normal.jpg","View")</f>
        <v>View</v>
      </c>
      <c r="P1384" s="7"/>
    </row>
    <row r="1385" spans="1:16">
      <c r="A1385" s="3">
        <v>44063.253437499996</v>
      </c>
      <c r="B1385" s="4" t="str">
        <f>HYPERLINK("https://twitter.com/sergio_fajardo","@sergio_fajardo")</f>
        <v>@sergio_fajardo</v>
      </c>
      <c r="C1385" s="5" t="s">
        <v>16</v>
      </c>
      <c r="D1385" s="5" t="s">
        <v>1406</v>
      </c>
      <c r="E1385" s="6" t="str">
        <f>HYPERLINK("https://twitter.com/sergio_fajardo/status/1296244294945247232","1296244294945247232")</f>
        <v>1296244294945247232</v>
      </c>
      <c r="F1385" s="7" t="s">
        <v>17</v>
      </c>
      <c r="G1385" s="7">
        <v>1547874</v>
      </c>
      <c r="H1385" s="7">
        <v>392</v>
      </c>
      <c r="I1385" s="7">
        <v>19</v>
      </c>
      <c r="J1385" s="7">
        <v>58</v>
      </c>
      <c r="K1385" s="7" t="s">
        <v>18</v>
      </c>
      <c r="L1385" s="8">
        <v>39891.213356481479</v>
      </c>
      <c r="M1385" s="9" t="s">
        <v>19</v>
      </c>
      <c r="N1385" s="9" t="s">
        <v>22</v>
      </c>
      <c r="O1385" s="6" t="str">
        <f>HYPERLINK("https://pbs.twimg.com/profile_images/988971255679324162/jrqiIYf__normal.jpg","View")</f>
        <v>View</v>
      </c>
      <c r="P1385" s="7"/>
    </row>
    <row r="1386" spans="1:16">
      <c r="A1386" s="3">
        <v>44063.679664351846</v>
      </c>
      <c r="B1386" s="4" t="str">
        <f>HYPERLINK("https://twitter.com/sergio_fajardo","@sergio_fajardo")</f>
        <v>@sergio_fajardo</v>
      </c>
      <c r="C1386" s="5" t="s">
        <v>16</v>
      </c>
      <c r="D1386" s="5" t="s">
        <v>1407</v>
      </c>
      <c r="E1386" s="6" t="str">
        <f>HYPERLINK("https://twitter.com/sergio_fajardo/status/1296398755940438016","1296398755940438016")</f>
        <v>1296398755940438016</v>
      </c>
      <c r="F1386" s="7" t="s">
        <v>17</v>
      </c>
      <c r="G1386" s="7">
        <v>1547914</v>
      </c>
      <c r="H1386" s="7">
        <v>392</v>
      </c>
      <c r="I1386" s="7">
        <v>12</v>
      </c>
      <c r="J1386" s="7">
        <v>39</v>
      </c>
      <c r="K1386" s="7" t="s">
        <v>18</v>
      </c>
      <c r="L1386" s="8">
        <v>39891.213356481479</v>
      </c>
      <c r="M1386" s="9" t="s">
        <v>19</v>
      </c>
      <c r="N1386" s="9" t="s">
        <v>22</v>
      </c>
      <c r="O1386" s="6" t="str">
        <f>HYPERLINK("https://pbs.twimg.com/profile_images/988971255679324162/jrqiIYf__normal.jpg","View")</f>
        <v>View</v>
      </c>
      <c r="P1386" s="7"/>
    </row>
    <row r="1387" spans="1:16">
      <c r="A1387" s="3">
        <v>44063.780208333337</v>
      </c>
      <c r="B1387" s="4" t="str">
        <f>HYPERLINK("https://twitter.com/sergio_fajardo","@sergio_fajardo")</f>
        <v>@sergio_fajardo</v>
      </c>
      <c r="C1387" s="5" t="s">
        <v>16</v>
      </c>
      <c r="D1387" s="5" t="s">
        <v>1408</v>
      </c>
      <c r="E1387" s="6" t="str">
        <f>HYPERLINK("https://twitter.com/sergio_fajardo/status/1296435188881338369","1296435188881338369")</f>
        <v>1296435188881338369</v>
      </c>
      <c r="F1387" s="7" t="s">
        <v>20</v>
      </c>
      <c r="G1387" s="7">
        <v>1547936</v>
      </c>
      <c r="H1387" s="7">
        <v>392</v>
      </c>
      <c r="I1387" s="7">
        <v>3</v>
      </c>
      <c r="J1387" s="7">
        <v>8</v>
      </c>
      <c r="K1387" s="7" t="s">
        <v>18</v>
      </c>
      <c r="L1387" s="8">
        <v>39891.213356481479</v>
      </c>
      <c r="M1387" s="9" t="s">
        <v>19</v>
      </c>
      <c r="N1387" s="9" t="s">
        <v>22</v>
      </c>
      <c r="O1387" s="6" t="str">
        <f>HYPERLINK("https://pbs.twimg.com/profile_images/988971255679324162/jrqiIYf__normal.jpg","View")</f>
        <v>View</v>
      </c>
      <c r="P1387" s="7"/>
    </row>
    <row r="1388" spans="1:16">
      <c r="A1388" s="3">
        <v>44063.922708333332</v>
      </c>
      <c r="B1388" s="4" t="str">
        <f>HYPERLINK("https://twitter.com/sergio_fajardo","@sergio_fajardo")</f>
        <v>@sergio_fajardo</v>
      </c>
      <c r="C1388" s="5" t="s">
        <v>16</v>
      </c>
      <c r="D1388" s="5" t="s">
        <v>1409</v>
      </c>
      <c r="E1388" s="6" t="str">
        <f>HYPERLINK("https://twitter.com/sergio_fajardo/status/1296486828976099329","1296486828976099329")</f>
        <v>1296486828976099329</v>
      </c>
      <c r="F1388" s="7" t="s">
        <v>23</v>
      </c>
      <c r="G1388" s="7">
        <v>1547966</v>
      </c>
      <c r="H1388" s="7">
        <v>392</v>
      </c>
      <c r="I1388" s="7">
        <v>5</v>
      </c>
      <c r="J1388" s="7">
        <v>25</v>
      </c>
      <c r="K1388" s="7" t="s">
        <v>18</v>
      </c>
      <c r="L1388" s="8">
        <v>39891.213356481479</v>
      </c>
      <c r="M1388" s="9" t="s">
        <v>19</v>
      </c>
      <c r="N1388" s="9" t="s">
        <v>22</v>
      </c>
      <c r="O1388" s="6" t="str">
        <f>HYPERLINK("https://pbs.twimg.com/profile_images/988971255679324162/jrqiIYf__normal.jpg","View")</f>
        <v>View</v>
      </c>
      <c r="P1388" s="7"/>
    </row>
    <row r="1389" spans="1:16">
      <c r="A1389" s="3">
        <v>44063.977627314816</v>
      </c>
      <c r="B1389" s="4" t="str">
        <f>HYPERLINK("https://twitter.com/sergio_fajardo","@sergio_fajardo")</f>
        <v>@sergio_fajardo</v>
      </c>
      <c r="C1389" s="5" t="s">
        <v>16</v>
      </c>
      <c r="D1389" s="5" t="s">
        <v>1410</v>
      </c>
      <c r="E1389" s="6" t="str">
        <f>HYPERLINK("https://twitter.com/sergio_fajardo/status/1296506732840194049","1296506732840194049")</f>
        <v>1296506732840194049</v>
      </c>
      <c r="F1389" s="7" t="s">
        <v>17</v>
      </c>
      <c r="G1389" s="7">
        <v>1547992</v>
      </c>
      <c r="H1389" s="7">
        <v>392</v>
      </c>
      <c r="I1389" s="7">
        <v>7</v>
      </c>
      <c r="J1389" s="7">
        <v>32</v>
      </c>
      <c r="K1389" s="7" t="s">
        <v>18</v>
      </c>
      <c r="L1389" s="8">
        <v>39891.213356481479</v>
      </c>
      <c r="M1389" s="9" t="s">
        <v>19</v>
      </c>
      <c r="N1389" s="9" t="s">
        <v>22</v>
      </c>
      <c r="O1389" s="6" t="str">
        <f>HYPERLINK("https://pbs.twimg.com/profile_images/988971255679324162/jrqiIYf__normal.jpg","View")</f>
        <v>View</v>
      </c>
      <c r="P1389" s="7"/>
    </row>
    <row r="1390" spans="1:16">
      <c r="A1390" s="3">
        <v>44064.864212962959</v>
      </c>
      <c r="B1390" s="4" t="str">
        <f>HYPERLINK("https://twitter.com/sergio_fajardo","@sergio_fajardo")</f>
        <v>@sergio_fajardo</v>
      </c>
      <c r="C1390" s="5" t="s">
        <v>16</v>
      </c>
      <c r="D1390" s="5" t="s">
        <v>1411</v>
      </c>
      <c r="E1390" s="6" t="str">
        <f>HYPERLINK("https://twitter.com/sergio_fajardo/status/1296828019378728961","1296828019378728961")</f>
        <v>1296828019378728961</v>
      </c>
      <c r="F1390" s="7" t="s">
        <v>17</v>
      </c>
      <c r="G1390" s="7">
        <v>1548122</v>
      </c>
      <c r="H1390" s="7">
        <v>392</v>
      </c>
      <c r="I1390" s="7">
        <v>4</v>
      </c>
      <c r="J1390" s="7">
        <v>11</v>
      </c>
      <c r="K1390" s="7" t="s">
        <v>18</v>
      </c>
      <c r="L1390" s="8">
        <v>39891.213356481479</v>
      </c>
      <c r="M1390" s="9" t="s">
        <v>19</v>
      </c>
      <c r="N1390" s="9" t="s">
        <v>22</v>
      </c>
      <c r="O1390" s="6" t="str">
        <f>HYPERLINK("https://pbs.twimg.com/profile_images/988971255679324162/jrqiIYf__normal.jpg","View")</f>
        <v>View</v>
      </c>
      <c r="P1390" s="7"/>
    </row>
    <row r="1391" spans="1:16">
      <c r="A1391" s="3">
        <v>44065.251192129625</v>
      </c>
      <c r="B1391" s="4" t="str">
        <f>HYPERLINK("https://twitter.com/sergio_fajardo","@sergio_fajardo")</f>
        <v>@sergio_fajardo</v>
      </c>
      <c r="C1391" s="5" t="s">
        <v>16</v>
      </c>
      <c r="D1391" s="5" t="s">
        <v>1412</v>
      </c>
      <c r="E1391" s="6" t="str">
        <f>HYPERLINK("https://twitter.com/sergio_fajardo/status/1296968258529243136","1296968258529243136")</f>
        <v>1296968258529243136</v>
      </c>
      <c r="F1391" s="7" t="s">
        <v>20</v>
      </c>
      <c r="G1391" s="7">
        <v>1548197</v>
      </c>
      <c r="H1391" s="7">
        <v>392</v>
      </c>
      <c r="I1391" s="7">
        <v>8</v>
      </c>
      <c r="J1391" s="7">
        <v>32</v>
      </c>
      <c r="K1391" s="7" t="s">
        <v>18</v>
      </c>
      <c r="L1391" s="8">
        <v>39891.213356481479</v>
      </c>
      <c r="M1391" s="9" t="s">
        <v>19</v>
      </c>
      <c r="N1391" s="9" t="s">
        <v>22</v>
      </c>
      <c r="O1391" s="6" t="str">
        <f>HYPERLINK("https://pbs.twimg.com/profile_images/988971255679324162/jrqiIYf__normal.jpg","View")</f>
        <v>View</v>
      </c>
      <c r="P1391" s="7"/>
    </row>
    <row r="1392" spans="1:16">
      <c r="A1392" s="3">
        <v>44065.30668981481</v>
      </c>
      <c r="B1392" s="4" t="str">
        <f>HYPERLINK("https://twitter.com/sergio_fajardo","@sergio_fajardo")</f>
        <v>@sergio_fajardo</v>
      </c>
      <c r="C1392" s="5" t="s">
        <v>16</v>
      </c>
      <c r="D1392" s="5" t="s">
        <v>1413</v>
      </c>
      <c r="E1392" s="6" t="str">
        <f>HYPERLINK("https://twitter.com/sergio_fajardo/status/1296988366156767233","1296988366156767233")</f>
        <v>1296988366156767233</v>
      </c>
      <c r="F1392" s="7" t="s">
        <v>17</v>
      </c>
      <c r="G1392" s="7">
        <v>1548224</v>
      </c>
      <c r="H1392" s="7">
        <v>392</v>
      </c>
      <c r="I1392" s="7">
        <v>94</v>
      </c>
      <c r="J1392" s="7">
        <v>0</v>
      </c>
      <c r="K1392" s="7" t="s">
        <v>18</v>
      </c>
      <c r="L1392" s="8">
        <v>39891.213356481479</v>
      </c>
      <c r="M1392" s="9" t="s">
        <v>19</v>
      </c>
      <c r="N1392" s="9" t="s">
        <v>22</v>
      </c>
      <c r="O1392" s="6" t="str">
        <f>HYPERLINK("https://pbs.twimg.com/profile_images/988971255679324162/jrqiIYf__normal.jpg","View")</f>
        <v>View</v>
      </c>
      <c r="P1392" s="7"/>
    </row>
    <row r="1393" spans="1:16">
      <c r="A1393" s="3">
        <v>44065.712465277778</v>
      </c>
      <c r="B1393" s="4" t="str">
        <f>HYPERLINK("https://twitter.com/sergio_fajardo","@sergio_fajardo")</f>
        <v>@sergio_fajardo</v>
      </c>
      <c r="C1393" s="5" t="s">
        <v>16</v>
      </c>
      <c r="D1393" s="5" t="s">
        <v>1414</v>
      </c>
      <c r="E1393" s="6" t="str">
        <f>HYPERLINK("https://twitter.com/sergio_fajardo/status/1297135416836083712","1297135416836083712")</f>
        <v>1297135416836083712</v>
      </c>
      <c r="F1393" s="7" t="s">
        <v>20</v>
      </c>
      <c r="G1393" s="7">
        <v>1548236</v>
      </c>
      <c r="H1393" s="7">
        <v>392</v>
      </c>
      <c r="I1393" s="7">
        <v>14</v>
      </c>
      <c r="J1393" s="7">
        <v>0</v>
      </c>
      <c r="K1393" s="7" t="s">
        <v>18</v>
      </c>
      <c r="L1393" s="8">
        <v>39891.213356481479</v>
      </c>
      <c r="M1393" s="9" t="s">
        <v>19</v>
      </c>
      <c r="N1393" s="9" t="s">
        <v>22</v>
      </c>
      <c r="O1393" s="6" t="str">
        <f>HYPERLINK("https://pbs.twimg.com/profile_images/988971255679324162/jrqiIYf__normal.jpg","View")</f>
        <v>View</v>
      </c>
      <c r="P1393" s="7"/>
    </row>
    <row r="1394" spans="1:16">
      <c r="A1394" s="3">
        <v>44065.733784722222</v>
      </c>
      <c r="B1394" s="4" t="str">
        <f>HYPERLINK("https://twitter.com/sergio_fajardo","@sergio_fajardo")</f>
        <v>@sergio_fajardo</v>
      </c>
      <c r="C1394" s="5" t="s">
        <v>16</v>
      </c>
      <c r="D1394" s="5" t="s">
        <v>1415</v>
      </c>
      <c r="E1394" s="6" t="str">
        <f>HYPERLINK("https://twitter.com/sergio_fajardo/status/1297143142039379970","1297143142039379970")</f>
        <v>1297143142039379970</v>
      </c>
      <c r="F1394" s="7" t="s">
        <v>23</v>
      </c>
      <c r="G1394" s="7">
        <v>1548232</v>
      </c>
      <c r="H1394" s="7">
        <v>392</v>
      </c>
      <c r="I1394" s="7">
        <v>13</v>
      </c>
      <c r="J1394" s="7">
        <v>102</v>
      </c>
      <c r="K1394" s="7" t="s">
        <v>18</v>
      </c>
      <c r="L1394" s="8">
        <v>39891.213356481479</v>
      </c>
      <c r="M1394" s="9" t="s">
        <v>19</v>
      </c>
      <c r="N1394" s="9" t="s">
        <v>22</v>
      </c>
      <c r="O1394" s="6" t="str">
        <f>HYPERLINK("https://pbs.twimg.com/profile_images/988971255679324162/jrqiIYf__normal.jpg","View")</f>
        <v>View</v>
      </c>
      <c r="P1394" s="7"/>
    </row>
    <row r="1395" spans="1:16">
      <c r="A1395" s="3">
        <v>44065.854756944449</v>
      </c>
      <c r="B1395" s="4" t="str">
        <f>HYPERLINK("https://twitter.com/sergio_fajardo","@sergio_fajardo")</f>
        <v>@sergio_fajardo</v>
      </c>
      <c r="C1395" s="5" t="s">
        <v>16</v>
      </c>
      <c r="D1395" s="5" t="s">
        <v>1416</v>
      </c>
      <c r="E1395" s="6" t="str">
        <f>HYPERLINK("https://twitter.com/sergio_fajardo/status/1297186980304912384","1297186980304912384")</f>
        <v>1297186980304912384</v>
      </c>
      <c r="F1395" s="7" t="s">
        <v>23</v>
      </c>
      <c r="G1395" s="7">
        <v>1548262</v>
      </c>
      <c r="H1395" s="7">
        <v>392</v>
      </c>
      <c r="I1395" s="7">
        <v>14</v>
      </c>
      <c r="J1395" s="7">
        <v>28</v>
      </c>
      <c r="K1395" s="7" t="s">
        <v>18</v>
      </c>
      <c r="L1395" s="8">
        <v>39891.213356481479</v>
      </c>
      <c r="M1395" s="9" t="s">
        <v>19</v>
      </c>
      <c r="N1395" s="9" t="s">
        <v>22</v>
      </c>
      <c r="O1395" s="6" t="str">
        <f>HYPERLINK("https://pbs.twimg.com/profile_images/988971255679324162/jrqiIYf__normal.jpg","View")</f>
        <v>View</v>
      </c>
      <c r="P1395" s="7"/>
    </row>
    <row r="1396" spans="1:16">
      <c r="A1396" s="3">
        <v>44066.000254629631</v>
      </c>
      <c r="B1396" s="4" t="str">
        <f>HYPERLINK("https://twitter.com/sergio_fajardo","@sergio_fajardo")</f>
        <v>@sergio_fajardo</v>
      </c>
      <c r="C1396" s="5" t="s">
        <v>16</v>
      </c>
      <c r="D1396" s="5" t="s">
        <v>1417</v>
      </c>
      <c r="E1396" s="6" t="str">
        <f>HYPERLINK("https://twitter.com/sergio_fajardo/status/1297239706002837504","1297239706002837504")</f>
        <v>1297239706002837504</v>
      </c>
      <c r="F1396" s="7" t="s">
        <v>23</v>
      </c>
      <c r="G1396" s="7">
        <v>1548312</v>
      </c>
      <c r="H1396" s="7">
        <v>392</v>
      </c>
      <c r="I1396" s="7">
        <v>33</v>
      </c>
      <c r="J1396" s="7">
        <v>109</v>
      </c>
      <c r="K1396" s="7" t="s">
        <v>18</v>
      </c>
      <c r="L1396" s="8">
        <v>39891.213356481479</v>
      </c>
      <c r="M1396" s="9" t="s">
        <v>19</v>
      </c>
      <c r="N1396" s="9" t="s">
        <v>22</v>
      </c>
      <c r="O1396" s="6" t="str">
        <f>HYPERLINK("https://pbs.twimg.com/profile_images/988971255679324162/jrqiIYf__normal.jpg","View")</f>
        <v>View</v>
      </c>
      <c r="P1396" s="7"/>
    </row>
    <row r="1397" spans="1:16">
      <c r="A1397" s="3">
        <v>44066.252650462964</v>
      </c>
      <c r="B1397" s="4" t="str">
        <f>HYPERLINK("https://twitter.com/sergio_fajardo","@sergio_fajardo")</f>
        <v>@sergio_fajardo</v>
      </c>
      <c r="C1397" s="5" t="s">
        <v>16</v>
      </c>
      <c r="D1397" s="5" t="s">
        <v>1418</v>
      </c>
      <c r="E1397" s="6" t="str">
        <f>HYPERLINK("https://twitter.com/sergio_fajardo/status/1297331173220179969","1297331173220179969")</f>
        <v>1297331173220179969</v>
      </c>
      <c r="F1397" s="7" t="s">
        <v>17</v>
      </c>
      <c r="G1397" s="7">
        <v>1548369</v>
      </c>
      <c r="H1397" s="7">
        <v>392</v>
      </c>
      <c r="I1397" s="7">
        <v>2</v>
      </c>
      <c r="J1397" s="7">
        <v>0</v>
      </c>
      <c r="K1397" s="7" t="s">
        <v>18</v>
      </c>
      <c r="L1397" s="8">
        <v>39891.213356481479</v>
      </c>
      <c r="M1397" s="9" t="s">
        <v>19</v>
      </c>
      <c r="N1397" s="9" t="s">
        <v>22</v>
      </c>
      <c r="O1397" s="6" t="str">
        <f>HYPERLINK("https://pbs.twimg.com/profile_images/988971255679324162/jrqiIYf__normal.jpg","View")</f>
        <v>View</v>
      </c>
      <c r="P1397" s="7"/>
    </row>
    <row r="1398" spans="1:16">
      <c r="A1398" s="3">
        <v>44066.257604166662</v>
      </c>
      <c r="B1398" s="4" t="str">
        <f>HYPERLINK("https://twitter.com/sergio_fajardo","@sergio_fajardo")</f>
        <v>@sergio_fajardo</v>
      </c>
      <c r="C1398" s="5" t="s">
        <v>16</v>
      </c>
      <c r="D1398" s="5" t="s">
        <v>1419</v>
      </c>
      <c r="E1398" s="6" t="str">
        <f>HYPERLINK("https://twitter.com/sergio_fajardo/status/1297332966285287425","1297332966285287425")</f>
        <v>1297332966285287425</v>
      </c>
      <c r="F1398" s="7" t="s">
        <v>17</v>
      </c>
      <c r="G1398" s="7">
        <v>1548369</v>
      </c>
      <c r="H1398" s="7">
        <v>392</v>
      </c>
      <c r="I1398" s="7">
        <v>1</v>
      </c>
      <c r="J1398" s="7">
        <v>15</v>
      </c>
      <c r="K1398" s="7" t="s">
        <v>18</v>
      </c>
      <c r="L1398" s="8">
        <v>39891.213356481479</v>
      </c>
      <c r="M1398" s="9" t="s">
        <v>19</v>
      </c>
      <c r="N1398" s="9" t="s">
        <v>22</v>
      </c>
      <c r="O1398" s="6" t="str">
        <f>HYPERLINK("https://pbs.twimg.com/profile_images/988971255679324162/jrqiIYf__normal.jpg","View")</f>
        <v>View</v>
      </c>
      <c r="P1398" s="7"/>
    </row>
    <row r="1399" spans="1:16">
      <c r="A1399" s="3">
        <v>44066.958229166667</v>
      </c>
      <c r="B1399" s="4" t="str">
        <f>HYPERLINK("https://twitter.com/sergio_fajardo","@sergio_fajardo")</f>
        <v>@sergio_fajardo</v>
      </c>
      <c r="C1399" s="5" t="s">
        <v>16</v>
      </c>
      <c r="D1399" s="5" t="s">
        <v>1420</v>
      </c>
      <c r="E1399" s="6" t="str">
        <f>HYPERLINK("https://twitter.com/sergio_fajardo/status/1297586864493342728","1297586864493342728")</f>
        <v>1297586864493342728</v>
      </c>
      <c r="F1399" s="7" t="s">
        <v>17</v>
      </c>
      <c r="G1399" s="7">
        <v>1548463</v>
      </c>
      <c r="H1399" s="7">
        <v>392</v>
      </c>
      <c r="I1399" s="7">
        <v>12</v>
      </c>
      <c r="J1399" s="7">
        <v>0</v>
      </c>
      <c r="K1399" s="7" t="s">
        <v>18</v>
      </c>
      <c r="L1399" s="8">
        <v>39891.213356481479</v>
      </c>
      <c r="M1399" s="9" t="s">
        <v>19</v>
      </c>
      <c r="N1399" s="9" t="s">
        <v>22</v>
      </c>
      <c r="O1399" s="6" t="str">
        <f>HYPERLINK("https://pbs.twimg.com/profile_images/988971255679324162/jrqiIYf__normal.jpg","View")</f>
        <v>View</v>
      </c>
      <c r="P1399" s="7"/>
    </row>
    <row r="1400" spans="1:16">
      <c r="A1400" s="3">
        <v>44067.243842592594</v>
      </c>
      <c r="B1400" s="4" t="str">
        <f>HYPERLINK("https://twitter.com/sergio_fajardo","@sergio_fajardo")</f>
        <v>@sergio_fajardo</v>
      </c>
      <c r="C1400" s="5" t="s">
        <v>16</v>
      </c>
      <c r="D1400" s="5" t="s">
        <v>1421</v>
      </c>
      <c r="E1400" s="6" t="str">
        <f>HYPERLINK("https://twitter.com/sergio_fajardo/status/1297690368142643201","1297690368142643201")</f>
        <v>1297690368142643201</v>
      </c>
      <c r="F1400" s="7" t="s">
        <v>20</v>
      </c>
      <c r="G1400" s="7">
        <v>1548527</v>
      </c>
      <c r="H1400" s="7">
        <v>392</v>
      </c>
      <c r="I1400" s="7">
        <v>11</v>
      </c>
      <c r="J1400" s="7">
        <v>40</v>
      </c>
      <c r="K1400" s="7" t="s">
        <v>18</v>
      </c>
      <c r="L1400" s="8">
        <v>39891.213356481479</v>
      </c>
      <c r="M1400" s="9" t="s">
        <v>19</v>
      </c>
      <c r="N1400" s="9" t="s">
        <v>22</v>
      </c>
      <c r="O1400" s="6" t="str">
        <f>HYPERLINK("https://pbs.twimg.com/profile_images/988971255679324162/jrqiIYf__normal.jpg","View")</f>
        <v>View</v>
      </c>
      <c r="P1400" s="7"/>
    </row>
    <row r="1401" spans="1:16">
      <c r="A1401" s="3">
        <v>44067.249328703707</v>
      </c>
      <c r="B1401" s="4" t="str">
        <f>HYPERLINK("https://twitter.com/sergio_fajardo","@sergio_fajardo")</f>
        <v>@sergio_fajardo</v>
      </c>
      <c r="C1401" s="5" t="s">
        <v>16</v>
      </c>
      <c r="D1401" s="5" t="s">
        <v>1422</v>
      </c>
      <c r="E1401" s="6" t="str">
        <f>HYPERLINK("https://twitter.com/sergio_fajardo/status/1297692354929975297","1297692354929975297")</f>
        <v>1297692354929975297</v>
      </c>
      <c r="F1401" s="7" t="s">
        <v>17</v>
      </c>
      <c r="G1401" s="7">
        <v>1548527</v>
      </c>
      <c r="H1401" s="7">
        <v>392</v>
      </c>
      <c r="I1401" s="7">
        <v>12</v>
      </c>
      <c r="J1401" s="7">
        <v>82</v>
      </c>
      <c r="K1401" s="7" t="s">
        <v>18</v>
      </c>
      <c r="L1401" s="8">
        <v>39891.213356481479</v>
      </c>
      <c r="M1401" s="9" t="s">
        <v>19</v>
      </c>
      <c r="N1401" s="9" t="s">
        <v>22</v>
      </c>
      <c r="O1401" s="6" t="str">
        <f>HYPERLINK("https://pbs.twimg.com/profile_images/988971255679324162/jrqiIYf__normal.jpg","View")</f>
        <v>View</v>
      </c>
      <c r="P1401" s="7"/>
    </row>
    <row r="1402" spans="1:16">
      <c r="A1402" s="3">
        <v>44067.25712962963</v>
      </c>
      <c r="B1402" s="4" t="str">
        <f>HYPERLINK("https://twitter.com/sergio_fajardo","@sergio_fajardo")</f>
        <v>@sergio_fajardo</v>
      </c>
      <c r="C1402" s="5" t="s">
        <v>16</v>
      </c>
      <c r="D1402" s="5" t="s">
        <v>1423</v>
      </c>
      <c r="E1402" s="6" t="str">
        <f>HYPERLINK("https://twitter.com/sergio_fajardo/status/1297695185875460096","1297695185875460096")</f>
        <v>1297695185875460096</v>
      </c>
      <c r="F1402" s="7" t="s">
        <v>23</v>
      </c>
      <c r="G1402" s="7">
        <v>1548527</v>
      </c>
      <c r="H1402" s="7">
        <v>392</v>
      </c>
      <c r="I1402" s="7">
        <v>12</v>
      </c>
      <c r="J1402" s="7">
        <v>38</v>
      </c>
      <c r="K1402" s="7" t="s">
        <v>18</v>
      </c>
      <c r="L1402" s="8">
        <v>39891.213356481479</v>
      </c>
      <c r="M1402" s="9" t="s">
        <v>19</v>
      </c>
      <c r="N1402" s="9" t="s">
        <v>22</v>
      </c>
      <c r="O1402" s="6" t="str">
        <f>HYPERLINK("https://pbs.twimg.com/profile_images/988971255679324162/jrqiIYf__normal.jpg","View")</f>
        <v>View</v>
      </c>
      <c r="P1402" s="7"/>
    </row>
    <row r="1403" spans="1:16">
      <c r="A1403" s="3">
        <v>44067.26180555555</v>
      </c>
      <c r="B1403" s="4" t="str">
        <f>HYPERLINK("https://twitter.com/sergio_fajardo","@sergio_fajardo")</f>
        <v>@sergio_fajardo</v>
      </c>
      <c r="C1403" s="5" t="s">
        <v>16</v>
      </c>
      <c r="D1403" s="5" t="s">
        <v>1424</v>
      </c>
      <c r="E1403" s="6" t="str">
        <f>HYPERLINK("https://twitter.com/sergio_fajardo/status/1297696880424517639","1297696880424517639")</f>
        <v>1297696880424517639</v>
      </c>
      <c r="F1403" s="7" t="s">
        <v>23</v>
      </c>
      <c r="G1403" s="7">
        <v>1548527</v>
      </c>
      <c r="H1403" s="7">
        <v>392</v>
      </c>
      <c r="I1403" s="7">
        <v>3</v>
      </c>
      <c r="J1403" s="7">
        <v>9</v>
      </c>
      <c r="K1403" s="7" t="s">
        <v>18</v>
      </c>
      <c r="L1403" s="8">
        <v>39891.213356481479</v>
      </c>
      <c r="M1403" s="9" t="s">
        <v>19</v>
      </c>
      <c r="N1403" s="9" t="s">
        <v>22</v>
      </c>
      <c r="O1403" s="6" t="str">
        <f>HYPERLINK("https://pbs.twimg.com/profile_images/988971255679324162/jrqiIYf__normal.jpg","View")</f>
        <v>View</v>
      </c>
      <c r="P1403" s="7"/>
    </row>
    <row r="1404" spans="1:16">
      <c r="A1404" s="3">
        <v>44067.265671296293</v>
      </c>
      <c r="B1404" s="4" t="str">
        <f>HYPERLINK("https://twitter.com/sergio_fajardo","@sergio_fajardo")</f>
        <v>@sergio_fajardo</v>
      </c>
      <c r="C1404" s="5" t="s">
        <v>16</v>
      </c>
      <c r="D1404" s="5" t="s">
        <v>1425</v>
      </c>
      <c r="E1404" s="6" t="str">
        <f>HYPERLINK("https://twitter.com/sergio_fajardo/status/1297698278595792896","1297698278595792896")</f>
        <v>1297698278595792896</v>
      </c>
      <c r="F1404" s="7" t="s">
        <v>23</v>
      </c>
      <c r="G1404" s="7">
        <v>1548514</v>
      </c>
      <c r="H1404" s="7">
        <v>392</v>
      </c>
      <c r="I1404" s="7">
        <v>10</v>
      </c>
      <c r="J1404" s="7">
        <v>46</v>
      </c>
      <c r="K1404" s="7" t="s">
        <v>18</v>
      </c>
      <c r="L1404" s="8">
        <v>39891.213356481479</v>
      </c>
      <c r="M1404" s="9" t="s">
        <v>19</v>
      </c>
      <c r="N1404" s="9" t="s">
        <v>22</v>
      </c>
      <c r="O1404" s="6" t="str">
        <f>HYPERLINK("https://pbs.twimg.com/profile_images/988971255679324162/jrqiIYf__normal.jpg","View")</f>
        <v>View</v>
      </c>
      <c r="P1404" s="7"/>
    </row>
    <row r="1405" spans="1:16">
      <c r="A1405" s="3">
        <v>44067.272060185191</v>
      </c>
      <c r="B1405" s="4" t="str">
        <f>HYPERLINK("https://twitter.com/sergio_fajardo","@sergio_fajardo")</f>
        <v>@sergio_fajardo</v>
      </c>
      <c r="C1405" s="5" t="s">
        <v>16</v>
      </c>
      <c r="D1405" s="5" t="s">
        <v>1426</v>
      </c>
      <c r="E1405" s="6" t="str">
        <f>HYPERLINK("https://twitter.com/sergio_fajardo/status/1297700593398620169","1297700593398620169")</f>
        <v>1297700593398620169</v>
      </c>
      <c r="F1405" s="7" t="s">
        <v>23</v>
      </c>
      <c r="G1405" s="7">
        <v>1548514</v>
      </c>
      <c r="H1405" s="7">
        <v>392</v>
      </c>
      <c r="I1405" s="7">
        <v>21</v>
      </c>
      <c r="J1405" s="7">
        <v>128</v>
      </c>
      <c r="K1405" s="7" t="s">
        <v>18</v>
      </c>
      <c r="L1405" s="8">
        <v>39891.213356481479</v>
      </c>
      <c r="M1405" s="9" t="s">
        <v>19</v>
      </c>
      <c r="N1405" s="9" t="s">
        <v>22</v>
      </c>
      <c r="O1405" s="6" t="str">
        <f>HYPERLINK("https://pbs.twimg.com/profile_images/988971255679324162/jrqiIYf__normal.jpg","View")</f>
        <v>View</v>
      </c>
      <c r="P1405" s="7"/>
    </row>
    <row r="1406" spans="1:16">
      <c r="A1406" s="3">
        <v>44067.276678240742</v>
      </c>
      <c r="B1406" s="4" t="str">
        <f>HYPERLINK("https://twitter.com/sergio_fajardo","@sergio_fajardo")</f>
        <v>@sergio_fajardo</v>
      </c>
      <c r="C1406" s="5" t="s">
        <v>16</v>
      </c>
      <c r="D1406" s="5" t="s">
        <v>1427</v>
      </c>
      <c r="E1406" s="6" t="str">
        <f>HYPERLINK("https://twitter.com/sergio_fajardo/status/1297702268020625408","1297702268020625408")</f>
        <v>1297702268020625408</v>
      </c>
      <c r="F1406" s="7" t="s">
        <v>23</v>
      </c>
      <c r="G1406" s="7">
        <v>1548514</v>
      </c>
      <c r="H1406" s="7">
        <v>392</v>
      </c>
      <c r="I1406" s="7">
        <v>71</v>
      </c>
      <c r="J1406" s="7">
        <v>376</v>
      </c>
      <c r="K1406" s="7" t="s">
        <v>18</v>
      </c>
      <c r="L1406" s="8">
        <v>39891.213356481479</v>
      </c>
      <c r="M1406" s="9" t="s">
        <v>19</v>
      </c>
      <c r="N1406" s="9" t="s">
        <v>22</v>
      </c>
      <c r="O1406" s="6" t="str">
        <f>HYPERLINK("https://pbs.twimg.com/profile_images/988971255679324162/jrqiIYf__normal.jpg","View")</f>
        <v>View</v>
      </c>
      <c r="P1406" s="7"/>
    </row>
    <row r="1407" spans="1:16">
      <c r="A1407" s="3">
        <v>44067.277407407411</v>
      </c>
      <c r="B1407" s="4" t="str">
        <f>HYPERLINK("https://twitter.com/sergio_fajardo","@sergio_fajardo")</f>
        <v>@sergio_fajardo</v>
      </c>
      <c r="C1407" s="5" t="s">
        <v>16</v>
      </c>
      <c r="D1407" s="5" t="s">
        <v>1428</v>
      </c>
      <c r="E1407" s="6" t="str">
        <f>HYPERLINK("https://twitter.com/sergio_fajardo/status/1297702531741687808","1297702531741687808")</f>
        <v>1297702531741687808</v>
      </c>
      <c r="F1407" s="7" t="s">
        <v>23</v>
      </c>
      <c r="G1407" s="7">
        <v>1548514</v>
      </c>
      <c r="H1407" s="7">
        <v>392</v>
      </c>
      <c r="I1407" s="7">
        <v>45</v>
      </c>
      <c r="J1407" s="7">
        <v>198</v>
      </c>
      <c r="K1407" s="7" t="s">
        <v>18</v>
      </c>
      <c r="L1407" s="8">
        <v>39891.213356481479</v>
      </c>
      <c r="M1407" s="9" t="s">
        <v>19</v>
      </c>
      <c r="N1407" s="9" t="s">
        <v>22</v>
      </c>
      <c r="O1407" s="6" t="str">
        <f>HYPERLINK("https://pbs.twimg.com/profile_images/988971255679324162/jrqiIYf__normal.jpg","View")</f>
        <v>View</v>
      </c>
      <c r="P1407" s="7"/>
    </row>
    <row r="1408" spans="1:16">
      <c r="A1408" s="3">
        <v>44067.282361111109</v>
      </c>
      <c r="B1408" s="4" t="str">
        <f>HYPERLINK("https://twitter.com/sergio_fajardo","@sergio_fajardo")</f>
        <v>@sergio_fajardo</v>
      </c>
      <c r="C1408" s="5" t="s">
        <v>16</v>
      </c>
      <c r="D1408" s="5" t="s">
        <v>1429</v>
      </c>
      <c r="E1408" s="6" t="str">
        <f>HYPERLINK("https://twitter.com/sergio_fajardo/status/1297704327654649857","1297704327654649857")</f>
        <v>1297704327654649857</v>
      </c>
      <c r="F1408" s="7" t="s">
        <v>23</v>
      </c>
      <c r="G1408" s="7">
        <v>1548514</v>
      </c>
      <c r="H1408" s="7">
        <v>392</v>
      </c>
      <c r="I1408" s="7">
        <v>1</v>
      </c>
      <c r="J1408" s="7">
        <v>4</v>
      </c>
      <c r="K1408" s="7" t="s">
        <v>18</v>
      </c>
      <c r="L1408" s="8">
        <v>39891.213356481479</v>
      </c>
      <c r="M1408" s="9" t="s">
        <v>19</v>
      </c>
      <c r="N1408" s="9" t="s">
        <v>22</v>
      </c>
      <c r="O1408" s="6" t="str">
        <f>HYPERLINK("https://pbs.twimg.com/profile_images/988971255679324162/jrqiIYf__normal.jpg","View")</f>
        <v>View</v>
      </c>
      <c r="P1408" s="7"/>
    </row>
    <row r="1409" spans="1:16">
      <c r="A1409" s="3">
        <v>44067.290370370371</v>
      </c>
      <c r="B1409" s="4" t="str">
        <f>HYPERLINK("https://twitter.com/sergio_fajardo","@sergio_fajardo")</f>
        <v>@sergio_fajardo</v>
      </c>
      <c r="C1409" s="5" t="s">
        <v>16</v>
      </c>
      <c r="D1409" s="5" t="s">
        <v>1430</v>
      </c>
      <c r="E1409" s="6" t="str">
        <f>HYPERLINK("https://twitter.com/sergio_fajardo/status/1297707229957820416","1297707229957820416")</f>
        <v>1297707229957820416</v>
      </c>
      <c r="F1409" s="7" t="s">
        <v>23</v>
      </c>
      <c r="G1409" s="7">
        <v>1548508</v>
      </c>
      <c r="H1409" s="7">
        <v>392</v>
      </c>
      <c r="I1409" s="7">
        <v>45</v>
      </c>
      <c r="J1409" s="7">
        <v>294</v>
      </c>
      <c r="K1409" s="7" t="s">
        <v>18</v>
      </c>
      <c r="L1409" s="8">
        <v>39891.213356481479</v>
      </c>
      <c r="M1409" s="9" t="s">
        <v>19</v>
      </c>
      <c r="N1409" s="9" t="s">
        <v>22</v>
      </c>
      <c r="O1409" s="6" t="str">
        <f>HYPERLINK("https://pbs.twimg.com/profile_images/988971255679324162/jrqiIYf__normal.jpg","View")</f>
        <v>View</v>
      </c>
      <c r="P1409" s="7"/>
    </row>
    <row r="1410" spans="1:16">
      <c r="A1410" s="3">
        <v>44067.292314814811</v>
      </c>
      <c r="B1410" s="4" t="str">
        <f>HYPERLINK("https://twitter.com/sergio_fajardo","@sergio_fajardo")</f>
        <v>@sergio_fajardo</v>
      </c>
      <c r="C1410" s="5" t="s">
        <v>16</v>
      </c>
      <c r="D1410" s="5" t="s">
        <v>1431</v>
      </c>
      <c r="E1410" s="6" t="str">
        <f>HYPERLINK("https://twitter.com/sergio_fajardo/status/1297707934441517056","1297707934441517056")</f>
        <v>1297707934441517056</v>
      </c>
      <c r="F1410" s="7" t="s">
        <v>23</v>
      </c>
      <c r="G1410" s="7">
        <v>1548508</v>
      </c>
      <c r="H1410" s="7">
        <v>392</v>
      </c>
      <c r="I1410" s="7">
        <v>26</v>
      </c>
      <c r="J1410" s="7">
        <v>131</v>
      </c>
      <c r="K1410" s="7" t="s">
        <v>18</v>
      </c>
      <c r="L1410" s="8">
        <v>39891.213356481479</v>
      </c>
      <c r="M1410" s="9" t="s">
        <v>19</v>
      </c>
      <c r="N1410" s="9" t="s">
        <v>22</v>
      </c>
      <c r="O1410" s="6" t="str">
        <f>HYPERLINK("https://pbs.twimg.com/profile_images/988971255679324162/jrqiIYf__normal.jpg","View")</f>
        <v>View</v>
      </c>
      <c r="P1410" s="7"/>
    </row>
    <row r="1411" spans="1:16">
      <c r="A1411" s="3">
        <v>44067.297939814816</v>
      </c>
      <c r="B1411" s="4" t="str">
        <f>HYPERLINK("https://twitter.com/sergio_fajardo","@sergio_fajardo")</f>
        <v>@sergio_fajardo</v>
      </c>
      <c r="C1411" s="5" t="s">
        <v>16</v>
      </c>
      <c r="D1411" s="5" t="s">
        <v>1432</v>
      </c>
      <c r="E1411" s="6" t="str">
        <f>HYPERLINK("https://twitter.com/sergio_fajardo/status/1297709974064435200","1297709974064435200")</f>
        <v>1297709974064435200</v>
      </c>
      <c r="F1411" s="7" t="s">
        <v>23</v>
      </c>
      <c r="G1411" s="7">
        <v>1548508</v>
      </c>
      <c r="H1411" s="7">
        <v>392</v>
      </c>
      <c r="I1411" s="7">
        <v>12</v>
      </c>
      <c r="J1411" s="7">
        <v>40</v>
      </c>
      <c r="K1411" s="7" t="s">
        <v>18</v>
      </c>
      <c r="L1411" s="8">
        <v>39891.213356481479</v>
      </c>
      <c r="M1411" s="9" t="s">
        <v>19</v>
      </c>
      <c r="N1411" s="9" t="s">
        <v>22</v>
      </c>
      <c r="O1411" s="6" t="str">
        <f>HYPERLINK("https://pbs.twimg.com/profile_images/988971255679324162/jrqiIYf__normal.jpg","View")</f>
        <v>View</v>
      </c>
      <c r="P1411" s="7"/>
    </row>
    <row r="1412" spans="1:16">
      <c r="A1412" s="3">
        <v>44067.29822916667</v>
      </c>
      <c r="B1412" s="4" t="str">
        <f>HYPERLINK("https://twitter.com/sergio_fajardo","@sergio_fajardo")</f>
        <v>@sergio_fajardo</v>
      </c>
      <c r="C1412" s="5" t="s">
        <v>16</v>
      </c>
      <c r="D1412" s="5" t="s">
        <v>1433</v>
      </c>
      <c r="E1412" s="6" t="str">
        <f>HYPERLINK("https://twitter.com/sergio_fajardo/status/1297710079551188992","1297710079551188992")</f>
        <v>1297710079551188992</v>
      </c>
      <c r="F1412" s="7" t="s">
        <v>23</v>
      </c>
      <c r="G1412" s="7">
        <v>1548508</v>
      </c>
      <c r="H1412" s="7">
        <v>392</v>
      </c>
      <c r="I1412" s="7">
        <v>6</v>
      </c>
      <c r="J1412" s="7">
        <v>16</v>
      </c>
      <c r="K1412" s="7" t="s">
        <v>18</v>
      </c>
      <c r="L1412" s="8">
        <v>39891.213356481479</v>
      </c>
      <c r="M1412" s="9" t="s">
        <v>19</v>
      </c>
      <c r="N1412" s="9" t="s">
        <v>22</v>
      </c>
      <c r="O1412" s="6" t="str">
        <f>HYPERLINK("https://pbs.twimg.com/profile_images/988971255679324162/jrqiIYf__normal.jpg","View")</f>
        <v>View</v>
      </c>
      <c r="P1412" s="7"/>
    </row>
    <row r="1413" spans="1:16">
      <c r="A1413" s="3">
        <v>44067.300416666665</v>
      </c>
      <c r="B1413" s="4" t="str">
        <f>HYPERLINK("https://twitter.com/sergio_fajardo","@sergio_fajardo")</f>
        <v>@sergio_fajardo</v>
      </c>
      <c r="C1413" s="5" t="s">
        <v>16</v>
      </c>
      <c r="D1413" s="5" t="s">
        <v>1434</v>
      </c>
      <c r="E1413" s="6" t="str">
        <f>HYPERLINK("https://twitter.com/sergio_fajardo/status/1297710869531496451","1297710869531496451")</f>
        <v>1297710869531496451</v>
      </c>
      <c r="F1413" s="7" t="s">
        <v>23</v>
      </c>
      <c r="G1413" s="7">
        <v>1548508</v>
      </c>
      <c r="H1413" s="7">
        <v>392</v>
      </c>
      <c r="I1413" s="7">
        <v>4</v>
      </c>
      <c r="J1413" s="7">
        <v>16</v>
      </c>
      <c r="K1413" s="7" t="s">
        <v>18</v>
      </c>
      <c r="L1413" s="8">
        <v>39891.213356481479</v>
      </c>
      <c r="M1413" s="9" t="s">
        <v>19</v>
      </c>
      <c r="N1413" s="9" t="s">
        <v>22</v>
      </c>
      <c r="O1413" s="6" t="str">
        <f>HYPERLINK("https://pbs.twimg.com/profile_images/988971255679324162/jrqiIYf__normal.jpg","View")</f>
        <v>View</v>
      </c>
      <c r="P1413" s="7"/>
    </row>
    <row r="1414" spans="1:16">
      <c r="A1414" s="3">
        <v>44067.304537037038</v>
      </c>
      <c r="B1414" s="4" t="str">
        <f>HYPERLINK("https://twitter.com/sergio_fajardo","@sergio_fajardo")</f>
        <v>@sergio_fajardo</v>
      </c>
      <c r="C1414" s="5" t="s">
        <v>16</v>
      </c>
      <c r="D1414" s="5" t="s">
        <v>1435</v>
      </c>
      <c r="E1414" s="6" t="str">
        <f>HYPERLINK("https://twitter.com/sergio_fajardo/status/1297712361994952711","1297712361994952711")</f>
        <v>1297712361994952711</v>
      </c>
      <c r="F1414" s="7" t="s">
        <v>23</v>
      </c>
      <c r="G1414" s="7">
        <v>1548511</v>
      </c>
      <c r="H1414" s="7">
        <v>392</v>
      </c>
      <c r="I1414" s="7">
        <v>63</v>
      </c>
      <c r="J1414" s="7">
        <v>467</v>
      </c>
      <c r="K1414" s="7" t="s">
        <v>18</v>
      </c>
      <c r="L1414" s="8">
        <v>39891.213356481479</v>
      </c>
      <c r="M1414" s="9" t="s">
        <v>19</v>
      </c>
      <c r="N1414" s="9" t="s">
        <v>22</v>
      </c>
      <c r="O1414" s="6" t="str">
        <f>HYPERLINK("https://pbs.twimg.com/profile_images/988971255679324162/jrqiIYf__normal.jpg","View")</f>
        <v>View</v>
      </c>
      <c r="P1414" s="7"/>
    </row>
    <row r="1415" spans="1:16">
      <c r="A1415" s="3">
        <v>44067.306956018518</v>
      </c>
      <c r="B1415" s="4" t="str">
        <f>HYPERLINK("https://twitter.com/sergio_fajardo","@sergio_fajardo")</f>
        <v>@sergio_fajardo</v>
      </c>
      <c r="C1415" s="5" t="s">
        <v>16</v>
      </c>
      <c r="D1415" s="5" t="s">
        <v>1436</v>
      </c>
      <c r="E1415" s="6" t="str">
        <f>HYPERLINK("https://twitter.com/sergio_fajardo/status/1297713240407969792","1297713240407969792")</f>
        <v>1297713240407969792</v>
      </c>
      <c r="F1415" s="7" t="s">
        <v>23</v>
      </c>
      <c r="G1415" s="7">
        <v>1548511</v>
      </c>
      <c r="H1415" s="7">
        <v>392</v>
      </c>
      <c r="I1415" s="7">
        <v>40</v>
      </c>
      <c r="J1415" s="7">
        <v>221</v>
      </c>
      <c r="K1415" s="7" t="s">
        <v>18</v>
      </c>
      <c r="L1415" s="8">
        <v>39891.213356481479</v>
      </c>
      <c r="M1415" s="9" t="s">
        <v>19</v>
      </c>
      <c r="N1415" s="9" t="s">
        <v>22</v>
      </c>
      <c r="O1415" s="6" t="str">
        <f>HYPERLINK("https://pbs.twimg.com/profile_images/988971255679324162/jrqiIYf__normal.jpg","View")</f>
        <v>View</v>
      </c>
      <c r="P1415" s="7"/>
    </row>
    <row r="1416" spans="1:16">
      <c r="A1416" s="3">
        <v>44067.675497685181</v>
      </c>
      <c r="B1416" s="4" t="str">
        <f>HYPERLINK("https://twitter.com/sergio_fajardo","@sergio_fajardo")</f>
        <v>@sergio_fajardo</v>
      </c>
      <c r="C1416" s="5" t="s">
        <v>16</v>
      </c>
      <c r="D1416" s="5" t="s">
        <v>1437</v>
      </c>
      <c r="E1416" s="6" t="str">
        <f>HYPERLINK("https://twitter.com/sergio_fajardo/status/1297846796576796673","1297846796576796673")</f>
        <v>1297846796576796673</v>
      </c>
      <c r="F1416" s="7" t="s">
        <v>20</v>
      </c>
      <c r="G1416" s="7">
        <v>1548669</v>
      </c>
      <c r="H1416" s="7">
        <v>392</v>
      </c>
      <c r="I1416" s="7">
        <v>506</v>
      </c>
      <c r="J1416" s="7">
        <v>0</v>
      </c>
      <c r="K1416" s="7" t="s">
        <v>18</v>
      </c>
      <c r="L1416" s="8">
        <v>39891.213356481479</v>
      </c>
      <c r="M1416" s="9" t="s">
        <v>19</v>
      </c>
      <c r="N1416" s="9" t="s">
        <v>22</v>
      </c>
      <c r="O1416" s="6" t="str">
        <f>HYPERLINK("https://pbs.twimg.com/profile_images/988971255679324162/jrqiIYf__normal.jpg","View")</f>
        <v>View</v>
      </c>
      <c r="P1416" s="7"/>
    </row>
    <row r="1417" spans="1:16">
      <c r="A1417" s="3">
        <v>44067.73438657407</v>
      </c>
      <c r="B1417" s="4" t="str">
        <f>HYPERLINK("https://twitter.com/sergio_fajardo","@sergio_fajardo")</f>
        <v>@sergio_fajardo</v>
      </c>
      <c r="C1417" s="5" t="s">
        <v>16</v>
      </c>
      <c r="D1417" s="5" t="s">
        <v>1438</v>
      </c>
      <c r="E1417" s="6" t="str">
        <f>HYPERLINK("https://twitter.com/sergio_fajardo/status/1297868134322503682","1297868134322503682")</f>
        <v>1297868134322503682</v>
      </c>
      <c r="F1417" s="7" t="s">
        <v>17</v>
      </c>
      <c r="G1417" s="7">
        <v>1548699</v>
      </c>
      <c r="H1417" s="7">
        <v>392</v>
      </c>
      <c r="I1417" s="7">
        <v>62</v>
      </c>
      <c r="J1417" s="7">
        <v>0</v>
      </c>
      <c r="K1417" s="7" t="s">
        <v>18</v>
      </c>
      <c r="L1417" s="8">
        <v>39891.213356481479</v>
      </c>
      <c r="M1417" s="9" t="s">
        <v>19</v>
      </c>
      <c r="N1417" s="9" t="s">
        <v>22</v>
      </c>
      <c r="O1417" s="6" t="str">
        <f>HYPERLINK("https://pbs.twimg.com/profile_images/988971255679324162/jrqiIYf__normal.jpg","View")</f>
        <v>View</v>
      </c>
      <c r="P1417" s="7"/>
    </row>
    <row r="1418" spans="1:16">
      <c r="A1418" s="3">
        <v>44067.76489583333</v>
      </c>
      <c r="B1418" s="4" t="str">
        <f>HYPERLINK("https://twitter.com/sergio_fajardo","@sergio_fajardo")</f>
        <v>@sergio_fajardo</v>
      </c>
      <c r="C1418" s="5" t="s">
        <v>16</v>
      </c>
      <c r="D1418" s="5" t="s">
        <v>1439</v>
      </c>
      <c r="E1418" s="6" t="str">
        <f>HYPERLINK("https://twitter.com/sergio_fajardo/status/1297879193599041536","1297879193599041536")</f>
        <v>1297879193599041536</v>
      </c>
      <c r="F1418" s="7" t="s">
        <v>23</v>
      </c>
      <c r="G1418" s="7">
        <v>1548751</v>
      </c>
      <c r="H1418" s="7">
        <v>392</v>
      </c>
      <c r="I1418" s="7">
        <v>52</v>
      </c>
      <c r="J1418" s="7">
        <v>240</v>
      </c>
      <c r="K1418" s="7" t="s">
        <v>18</v>
      </c>
      <c r="L1418" s="8">
        <v>39891.213356481479</v>
      </c>
      <c r="M1418" s="9" t="s">
        <v>19</v>
      </c>
      <c r="N1418" s="9" t="s">
        <v>22</v>
      </c>
      <c r="O1418" s="6" t="str">
        <f>HYPERLINK("https://pbs.twimg.com/profile_images/988971255679324162/jrqiIYf__normal.jpg","View")</f>
        <v>View</v>
      </c>
      <c r="P1418" s="7"/>
    </row>
    <row r="1419" spans="1:16">
      <c r="A1419" s="3">
        <v>44068.22378472222</v>
      </c>
      <c r="B1419" s="4" t="str">
        <f>HYPERLINK("https://twitter.com/sergio_fajardo","@sergio_fajardo")</f>
        <v>@sergio_fajardo</v>
      </c>
      <c r="C1419" s="5" t="s">
        <v>16</v>
      </c>
      <c r="D1419" s="5" t="s">
        <v>1440</v>
      </c>
      <c r="E1419" s="6" t="str">
        <f>HYPERLINK("https://twitter.com/sergio_fajardo/status/1298045487820546050","1298045487820546050")</f>
        <v>1298045487820546050</v>
      </c>
      <c r="F1419" s="7" t="s">
        <v>23</v>
      </c>
      <c r="G1419" s="7">
        <v>1549018</v>
      </c>
      <c r="H1419" s="7">
        <v>392</v>
      </c>
      <c r="I1419" s="7">
        <v>63</v>
      </c>
      <c r="J1419" s="7">
        <v>208</v>
      </c>
      <c r="K1419" s="7" t="s">
        <v>18</v>
      </c>
      <c r="L1419" s="8">
        <v>39891.213356481479</v>
      </c>
      <c r="M1419" s="9" t="s">
        <v>19</v>
      </c>
      <c r="N1419" s="9" t="s">
        <v>22</v>
      </c>
      <c r="O1419" s="6" t="str">
        <f>HYPERLINK("https://pbs.twimg.com/profile_images/988971255679324162/jrqiIYf__normal.jpg","View")</f>
        <v>View</v>
      </c>
      <c r="P1419" s="7"/>
    </row>
    <row r="1420" spans="1:16">
      <c r="A1420" s="3">
        <v>44068.743599537032</v>
      </c>
      <c r="B1420" s="4" t="str">
        <f>HYPERLINK("https://twitter.com/sergio_fajardo","@sergio_fajardo")</f>
        <v>@sergio_fajardo</v>
      </c>
      <c r="C1420" s="5" t="s">
        <v>16</v>
      </c>
      <c r="D1420" s="5" t="s">
        <v>1441</v>
      </c>
      <c r="E1420" s="6" t="str">
        <f>HYPERLINK("https://twitter.com/sergio_fajardo/status/1298233861256744960","1298233861256744960")</f>
        <v>1298233861256744960</v>
      </c>
      <c r="F1420" s="7" t="s">
        <v>23</v>
      </c>
      <c r="G1420" s="7">
        <v>1549126</v>
      </c>
      <c r="H1420" s="7">
        <v>392</v>
      </c>
      <c r="I1420" s="7">
        <v>17</v>
      </c>
      <c r="J1420" s="7">
        <v>115</v>
      </c>
      <c r="K1420" s="7" t="s">
        <v>18</v>
      </c>
      <c r="L1420" s="8">
        <v>39891.213356481479</v>
      </c>
      <c r="M1420" s="9" t="s">
        <v>19</v>
      </c>
      <c r="N1420" s="9" t="s">
        <v>22</v>
      </c>
      <c r="O1420" s="6" t="str">
        <f>HYPERLINK("https://pbs.twimg.com/profile_images/988971255679324162/jrqiIYf__normal.jpg","View")</f>
        <v>View</v>
      </c>
      <c r="P1420" s="7"/>
    </row>
    <row r="1421" spans="1:16">
      <c r="A1421" s="3">
        <v>44068.746203703704</v>
      </c>
      <c r="B1421" s="4" t="str">
        <f>HYPERLINK("https://twitter.com/sergio_fajardo","@sergio_fajardo")</f>
        <v>@sergio_fajardo</v>
      </c>
      <c r="C1421" s="5" t="s">
        <v>16</v>
      </c>
      <c r="D1421" s="5" t="s">
        <v>1442</v>
      </c>
      <c r="E1421" s="6" t="str">
        <f>HYPERLINK("https://twitter.com/sergio_fajardo/status/1298234804987670529","1298234804987670529")</f>
        <v>1298234804987670529</v>
      </c>
      <c r="F1421" s="7" t="s">
        <v>23</v>
      </c>
      <c r="G1421" s="7">
        <v>1549126</v>
      </c>
      <c r="H1421" s="7">
        <v>392</v>
      </c>
      <c r="I1421" s="7">
        <v>2</v>
      </c>
      <c r="J1421" s="7">
        <v>0</v>
      </c>
      <c r="K1421" s="7" t="s">
        <v>18</v>
      </c>
      <c r="L1421" s="8">
        <v>39891.213356481479</v>
      </c>
      <c r="M1421" s="9" t="s">
        <v>19</v>
      </c>
      <c r="N1421" s="9" t="s">
        <v>22</v>
      </c>
      <c r="O1421" s="6" t="str">
        <f>HYPERLINK("https://pbs.twimg.com/profile_images/988971255679324162/jrqiIYf__normal.jpg","View")</f>
        <v>View</v>
      </c>
      <c r="P1421" s="7"/>
    </row>
    <row r="1422" spans="1:16">
      <c r="A1422" s="3">
        <v>44068.746469907404</v>
      </c>
      <c r="B1422" s="4" t="str">
        <f>HYPERLINK("https://twitter.com/sergio_fajardo","@sergio_fajardo")</f>
        <v>@sergio_fajardo</v>
      </c>
      <c r="C1422" s="5" t="s">
        <v>16</v>
      </c>
      <c r="D1422" s="5" t="s">
        <v>1443</v>
      </c>
      <c r="E1422" s="6" t="str">
        <f>HYPERLINK("https://twitter.com/sergio_fajardo/status/1298234904304668674","1298234904304668674")</f>
        <v>1298234904304668674</v>
      </c>
      <c r="F1422" s="7" t="s">
        <v>23</v>
      </c>
      <c r="G1422" s="7">
        <v>1549126</v>
      </c>
      <c r="H1422" s="7">
        <v>392</v>
      </c>
      <c r="I1422" s="7">
        <v>3</v>
      </c>
      <c r="J1422" s="7">
        <v>0</v>
      </c>
      <c r="K1422" s="7" t="s">
        <v>18</v>
      </c>
      <c r="L1422" s="8">
        <v>39891.213356481479</v>
      </c>
      <c r="M1422" s="9" t="s">
        <v>19</v>
      </c>
      <c r="N1422" s="9" t="s">
        <v>22</v>
      </c>
      <c r="O1422" s="6" t="str">
        <f>HYPERLINK("https://pbs.twimg.com/profile_images/988971255679324162/jrqiIYf__normal.jpg","View")</f>
        <v>View</v>
      </c>
      <c r="P1422" s="7"/>
    </row>
    <row r="1423" spans="1:16">
      <c r="A1423" s="3">
        <v>44068.783877314811</v>
      </c>
      <c r="B1423" s="4" t="str">
        <f>HYPERLINK("https://twitter.com/sergio_fajardo","@sergio_fajardo")</f>
        <v>@sergio_fajardo</v>
      </c>
      <c r="C1423" s="5" t="s">
        <v>16</v>
      </c>
      <c r="D1423" s="5" t="s">
        <v>1444</v>
      </c>
      <c r="E1423" s="6" t="str">
        <f>HYPERLINK("https://twitter.com/sergio_fajardo/status/1298248458290311170","1298248458290311170")</f>
        <v>1298248458290311170</v>
      </c>
      <c r="F1423" s="7" t="s">
        <v>20</v>
      </c>
      <c r="G1423" s="7">
        <v>1549149</v>
      </c>
      <c r="H1423" s="7">
        <v>392</v>
      </c>
      <c r="I1423" s="7">
        <v>12</v>
      </c>
      <c r="J1423" s="7">
        <v>0</v>
      </c>
      <c r="K1423" s="7" t="s">
        <v>18</v>
      </c>
      <c r="L1423" s="8">
        <v>39891.213356481479</v>
      </c>
      <c r="M1423" s="9" t="s">
        <v>19</v>
      </c>
      <c r="N1423" s="9" t="s">
        <v>22</v>
      </c>
      <c r="O1423" s="6" t="str">
        <f>HYPERLINK("https://pbs.twimg.com/profile_images/988971255679324162/jrqiIYf__normal.jpg","View")</f>
        <v>View</v>
      </c>
      <c r="P1423" s="7"/>
    </row>
    <row r="1424" spans="1:16">
      <c r="A1424" s="3">
        <v>44068.860462962963</v>
      </c>
      <c r="B1424" s="4" t="str">
        <f>HYPERLINK("https://twitter.com/sergio_fajardo","@sergio_fajardo")</f>
        <v>@sergio_fajardo</v>
      </c>
      <c r="C1424" s="5" t="s">
        <v>16</v>
      </c>
      <c r="D1424" s="5" t="s">
        <v>1445</v>
      </c>
      <c r="E1424" s="6" t="str">
        <f>HYPERLINK("https://twitter.com/sergio_fajardo/status/1298276210640850944","1298276210640850944")</f>
        <v>1298276210640850944</v>
      </c>
      <c r="F1424" s="7" t="s">
        <v>23</v>
      </c>
      <c r="G1424" s="7">
        <v>1549143</v>
      </c>
      <c r="H1424" s="7">
        <v>392</v>
      </c>
      <c r="I1424" s="7">
        <v>0</v>
      </c>
      <c r="J1424" s="7">
        <v>6</v>
      </c>
      <c r="K1424" s="7" t="s">
        <v>18</v>
      </c>
      <c r="L1424" s="8">
        <v>39891.213356481479</v>
      </c>
      <c r="M1424" s="9" t="s">
        <v>19</v>
      </c>
      <c r="N1424" s="9" t="s">
        <v>22</v>
      </c>
      <c r="O1424" s="6" t="str">
        <f>HYPERLINK("https://pbs.twimg.com/profile_images/988971255679324162/jrqiIYf__normal.jpg","View")</f>
        <v>View</v>
      </c>
      <c r="P1424" s="7"/>
    </row>
    <row r="1425" spans="1:16">
      <c r="A1425" s="3">
        <v>44069.967037037037</v>
      </c>
      <c r="B1425" s="4" t="str">
        <f>HYPERLINK("https://twitter.com/sergio_fajardo","@sergio_fajardo")</f>
        <v>@sergio_fajardo</v>
      </c>
      <c r="C1425" s="5" t="s">
        <v>16</v>
      </c>
      <c r="D1425" s="5" t="s">
        <v>1446</v>
      </c>
      <c r="E1425" s="6" t="str">
        <f>HYPERLINK("https://twitter.com/sergio_fajardo/status/1298677220773367808","1298677220773367808")</f>
        <v>1298677220773367808</v>
      </c>
      <c r="F1425" s="7" t="s">
        <v>23</v>
      </c>
      <c r="G1425" s="7">
        <v>1549413</v>
      </c>
      <c r="H1425" s="7">
        <v>392</v>
      </c>
      <c r="I1425" s="7">
        <v>12</v>
      </c>
      <c r="J1425" s="7">
        <v>58</v>
      </c>
      <c r="K1425" s="7" t="s">
        <v>18</v>
      </c>
      <c r="L1425" s="8">
        <v>39891.213356481479</v>
      </c>
      <c r="M1425" s="9" t="s">
        <v>19</v>
      </c>
      <c r="N1425" s="9" t="s">
        <v>22</v>
      </c>
      <c r="O1425" s="6" t="str">
        <f>HYPERLINK("https://pbs.twimg.com/profile_images/988971255679324162/jrqiIYf__normal.jpg","View")</f>
        <v>View</v>
      </c>
      <c r="P1425" s="7"/>
    </row>
    <row r="1426" spans="1:16">
      <c r="A1426" s="3">
        <v>44070.843321759261</v>
      </c>
      <c r="B1426" s="4" t="str">
        <f>HYPERLINK("https://twitter.com/sergio_fajardo","@sergio_fajardo")</f>
        <v>@sergio_fajardo</v>
      </c>
      <c r="C1426" s="5" t="s">
        <v>16</v>
      </c>
      <c r="D1426" s="5" t="s">
        <v>1447</v>
      </c>
      <c r="E1426" s="6" t="str">
        <f>HYPERLINK("https://twitter.com/sergio_fajardo/status/1298994776184778753","1298994776184778753")</f>
        <v>1298994776184778753</v>
      </c>
      <c r="F1426" s="7" t="s">
        <v>23</v>
      </c>
      <c r="G1426" s="7">
        <v>1549501</v>
      </c>
      <c r="H1426" s="7">
        <v>392</v>
      </c>
      <c r="I1426" s="7">
        <v>16</v>
      </c>
      <c r="J1426" s="7">
        <v>48</v>
      </c>
      <c r="K1426" s="7" t="s">
        <v>18</v>
      </c>
      <c r="L1426" s="8">
        <v>39891.213356481479</v>
      </c>
      <c r="M1426" s="9" t="s">
        <v>19</v>
      </c>
      <c r="N1426" s="9" t="s">
        <v>22</v>
      </c>
      <c r="O1426" s="6" t="str">
        <f>HYPERLINK("https://pbs.twimg.com/profile_images/988971255679324162/jrqiIYf__normal.jpg","View")</f>
        <v>View</v>
      </c>
      <c r="P1426" s="7"/>
    </row>
    <row r="1427" spans="1:16">
      <c r="A1427" s="3">
        <v>44070.897812499999</v>
      </c>
      <c r="B1427" s="4" t="str">
        <f>HYPERLINK("https://twitter.com/sergio_fajardo","@sergio_fajardo")</f>
        <v>@sergio_fajardo</v>
      </c>
      <c r="C1427" s="5" t="s">
        <v>16</v>
      </c>
      <c r="D1427" s="5" t="s">
        <v>1448</v>
      </c>
      <c r="E1427" s="6" t="str">
        <f>HYPERLINK("https://twitter.com/sergio_fajardo/status/1299014522053840898","1299014522053840898")</f>
        <v>1299014522053840898</v>
      </c>
      <c r="F1427" s="7" t="s">
        <v>17</v>
      </c>
      <c r="G1427" s="7">
        <v>1549493</v>
      </c>
      <c r="H1427" s="7">
        <v>392</v>
      </c>
      <c r="I1427" s="7">
        <v>5</v>
      </c>
      <c r="J1427" s="7">
        <v>26</v>
      </c>
      <c r="K1427" s="7" t="s">
        <v>18</v>
      </c>
      <c r="L1427" s="8">
        <v>39891.213356481479</v>
      </c>
      <c r="M1427" s="9" t="s">
        <v>19</v>
      </c>
      <c r="N1427" s="9" t="s">
        <v>22</v>
      </c>
      <c r="O1427" s="6" t="str">
        <f>HYPERLINK("https://pbs.twimg.com/profile_images/988971255679324162/jrqiIYf__normal.jpg","View")</f>
        <v>View</v>
      </c>
      <c r="P1427" s="7"/>
    </row>
    <row r="1428" spans="1:16">
      <c r="A1428" s="3">
        <v>44070.920127314814</v>
      </c>
      <c r="B1428" s="4" t="str">
        <f>HYPERLINK("https://twitter.com/sergio_fajardo","@sergio_fajardo")</f>
        <v>@sergio_fajardo</v>
      </c>
      <c r="C1428" s="5" t="s">
        <v>16</v>
      </c>
      <c r="D1428" s="5" t="s">
        <v>1449</v>
      </c>
      <c r="E1428" s="6" t="str">
        <f>HYPERLINK("https://twitter.com/sergio_fajardo/status/1299022610634858496","1299022610634858496")</f>
        <v>1299022610634858496</v>
      </c>
      <c r="F1428" s="7" t="s">
        <v>17</v>
      </c>
      <c r="G1428" s="7">
        <v>1549500</v>
      </c>
      <c r="H1428" s="7">
        <v>392</v>
      </c>
      <c r="I1428" s="7">
        <v>51</v>
      </c>
      <c r="J1428" s="7">
        <v>0</v>
      </c>
      <c r="K1428" s="7" t="s">
        <v>18</v>
      </c>
      <c r="L1428" s="8">
        <v>39891.213356481479</v>
      </c>
      <c r="M1428" s="9" t="s">
        <v>19</v>
      </c>
      <c r="N1428" s="9" t="s">
        <v>22</v>
      </c>
      <c r="O1428" s="6" t="str">
        <f>HYPERLINK("https://pbs.twimg.com/profile_images/988971255679324162/jrqiIYf__normal.jpg","View")</f>
        <v>View</v>
      </c>
      <c r="P1428" s="7"/>
    </row>
    <row r="1429" spans="1:16">
      <c r="A1429" s="3">
        <v>44071.23238425926</v>
      </c>
      <c r="B1429" s="4" t="str">
        <f>HYPERLINK("https://twitter.com/sergio_fajardo","@sergio_fajardo")</f>
        <v>@sergio_fajardo</v>
      </c>
      <c r="C1429" s="5" t="s">
        <v>16</v>
      </c>
      <c r="D1429" s="5" t="s">
        <v>1450</v>
      </c>
      <c r="E1429" s="6" t="str">
        <f>HYPERLINK("https://twitter.com/sergio_fajardo/status/1299135768233820162","1299135768233820162")</f>
        <v>1299135768233820162</v>
      </c>
      <c r="F1429" s="7" t="s">
        <v>20</v>
      </c>
      <c r="G1429" s="7">
        <v>1549572</v>
      </c>
      <c r="H1429" s="7">
        <v>394</v>
      </c>
      <c r="I1429" s="7">
        <v>8</v>
      </c>
      <c r="J1429" s="7">
        <v>0</v>
      </c>
      <c r="K1429" s="7" t="s">
        <v>18</v>
      </c>
      <c r="L1429" s="8">
        <v>39891.213356481479</v>
      </c>
      <c r="M1429" s="9" t="s">
        <v>19</v>
      </c>
      <c r="N1429" s="9" t="s">
        <v>22</v>
      </c>
      <c r="O1429" s="6" t="str">
        <f>HYPERLINK("https://pbs.twimg.com/profile_images/988971255679324162/jrqiIYf__normal.jpg","View")</f>
        <v>View</v>
      </c>
      <c r="P1429" s="7"/>
    </row>
    <row r="1430" spans="1:16">
      <c r="A1430" s="3">
        <v>44071.316770833335</v>
      </c>
      <c r="B1430" s="4" t="str">
        <f>HYPERLINK("https://twitter.com/sergio_fajardo","@sergio_fajardo")</f>
        <v>@sergio_fajardo</v>
      </c>
      <c r="C1430" s="5" t="s">
        <v>16</v>
      </c>
      <c r="D1430" s="5" t="s">
        <v>1451</v>
      </c>
      <c r="E1430" s="6" t="str">
        <f>HYPERLINK("https://twitter.com/sergio_fajardo/status/1299166346568179713","1299166346568179713")</f>
        <v>1299166346568179713</v>
      </c>
      <c r="F1430" s="7" t="s">
        <v>17</v>
      </c>
      <c r="G1430" s="7">
        <v>1549603</v>
      </c>
      <c r="H1430" s="7">
        <v>394</v>
      </c>
      <c r="I1430" s="7">
        <v>20</v>
      </c>
      <c r="J1430" s="7">
        <v>138</v>
      </c>
      <c r="K1430" s="7" t="s">
        <v>18</v>
      </c>
      <c r="L1430" s="8">
        <v>39891.213356481479</v>
      </c>
      <c r="M1430" s="9" t="s">
        <v>19</v>
      </c>
      <c r="N1430" s="9" t="s">
        <v>22</v>
      </c>
      <c r="O1430" s="6" t="str">
        <f>HYPERLINK("https://pbs.twimg.com/profile_images/988971255679324162/jrqiIYf__normal.jpg","View")</f>
        <v>View</v>
      </c>
      <c r="P1430" s="7"/>
    </row>
    <row r="1431" spans="1:16">
      <c r="A1431" s="3">
        <v>44071.319548611107</v>
      </c>
      <c r="B1431" s="4" t="str">
        <f>HYPERLINK("https://twitter.com/sergio_fajardo","@sergio_fajardo")</f>
        <v>@sergio_fajardo</v>
      </c>
      <c r="C1431" s="5" t="s">
        <v>16</v>
      </c>
      <c r="D1431" s="5" t="s">
        <v>1452</v>
      </c>
      <c r="E1431" s="6" t="str">
        <f>HYPERLINK("https://twitter.com/sergio_fajardo/status/1299167355436707842","1299167355436707842")</f>
        <v>1299167355436707842</v>
      </c>
      <c r="F1431" s="7" t="s">
        <v>17</v>
      </c>
      <c r="G1431" s="7">
        <v>1549603</v>
      </c>
      <c r="H1431" s="7">
        <v>394</v>
      </c>
      <c r="I1431" s="7">
        <v>14</v>
      </c>
      <c r="J1431" s="7">
        <v>50</v>
      </c>
      <c r="K1431" s="7" t="s">
        <v>18</v>
      </c>
      <c r="L1431" s="8">
        <v>39891.213356481479</v>
      </c>
      <c r="M1431" s="9" t="s">
        <v>19</v>
      </c>
      <c r="N1431" s="9" t="s">
        <v>22</v>
      </c>
      <c r="O1431" s="6" t="str">
        <f>HYPERLINK("https://pbs.twimg.com/profile_images/988971255679324162/jrqiIYf__normal.jpg","View")</f>
        <v>View</v>
      </c>
      <c r="P1431" s="7"/>
    </row>
    <row r="1432" spans="1:16">
      <c r="A1432" s="3">
        <v>44072.017534722225</v>
      </c>
      <c r="B1432" s="4" t="str">
        <f>HYPERLINK("https://twitter.com/sergio_fajardo","@sergio_fajardo")</f>
        <v>@sergio_fajardo</v>
      </c>
      <c r="C1432" s="5" t="s">
        <v>16</v>
      </c>
      <c r="D1432" s="5" t="s">
        <v>1453</v>
      </c>
      <c r="E1432" s="6" t="str">
        <f>HYPERLINK("https://twitter.com/sergio_fajardo/status/1299420297691566083","1299420297691566083")</f>
        <v>1299420297691566083</v>
      </c>
      <c r="F1432" s="7" t="s">
        <v>23</v>
      </c>
      <c r="G1432" s="7">
        <v>1549697</v>
      </c>
      <c r="H1432" s="7">
        <v>394</v>
      </c>
      <c r="I1432" s="7">
        <v>2</v>
      </c>
      <c r="J1432" s="7">
        <v>25</v>
      </c>
      <c r="K1432" s="7" t="s">
        <v>18</v>
      </c>
      <c r="L1432" s="8">
        <v>39891.213356481479</v>
      </c>
      <c r="M1432" s="9" t="s">
        <v>19</v>
      </c>
      <c r="N1432" s="9" t="s">
        <v>22</v>
      </c>
      <c r="O1432" s="6" t="str">
        <f>HYPERLINK("https://pbs.twimg.com/profile_images/988971255679324162/jrqiIYf__normal.jpg","View")</f>
        <v>View</v>
      </c>
      <c r="P1432" s="7"/>
    </row>
    <row r="1433" spans="1:16">
      <c r="A1433" s="3">
        <v>44072.802141203705</v>
      </c>
      <c r="B1433" s="4" t="str">
        <f>HYPERLINK("https://twitter.com/sergio_fajardo","@sergio_fajardo")</f>
        <v>@sergio_fajardo</v>
      </c>
      <c r="C1433" s="5" t="s">
        <v>16</v>
      </c>
      <c r="D1433" s="5" t="s">
        <v>1454</v>
      </c>
      <c r="E1433" s="6" t="str">
        <f>HYPERLINK("https://twitter.com/sergio_fajardo/status/1299704628943216644","1299704628943216644")</f>
        <v>1299704628943216644</v>
      </c>
      <c r="F1433" s="7" t="s">
        <v>17</v>
      </c>
      <c r="G1433" s="7">
        <v>1549768</v>
      </c>
      <c r="H1433" s="7">
        <v>394</v>
      </c>
      <c r="I1433" s="7">
        <v>6</v>
      </c>
      <c r="J1433" s="7">
        <v>125</v>
      </c>
      <c r="K1433" s="7" t="s">
        <v>18</v>
      </c>
      <c r="L1433" s="8">
        <v>39891.213356481479</v>
      </c>
      <c r="M1433" s="9" t="s">
        <v>19</v>
      </c>
      <c r="N1433" s="9" t="s">
        <v>22</v>
      </c>
      <c r="O1433" s="6" t="str">
        <f>HYPERLINK("https://pbs.twimg.com/profile_images/988971255679324162/jrqiIYf__normal.jpg","View")</f>
        <v>View</v>
      </c>
      <c r="P1433" s="7"/>
    </row>
    <row r="1434" spans="1:16">
      <c r="A1434" s="3">
        <v>44072.999201388884</v>
      </c>
      <c r="B1434" s="4" t="str">
        <f>HYPERLINK("https://twitter.com/sergio_fajardo","@sergio_fajardo")</f>
        <v>@sergio_fajardo</v>
      </c>
      <c r="C1434" s="5" t="s">
        <v>16</v>
      </c>
      <c r="D1434" s="5" t="s">
        <v>1455</v>
      </c>
      <c r="E1434" s="6" t="str">
        <f>HYPERLINK("https://twitter.com/sergio_fajardo/status/1299776041481908225","1299776041481908225")</f>
        <v>1299776041481908225</v>
      </c>
      <c r="F1434" s="7" t="s">
        <v>17</v>
      </c>
      <c r="G1434" s="7">
        <v>1549804</v>
      </c>
      <c r="H1434" s="7">
        <v>394</v>
      </c>
      <c r="I1434" s="7">
        <v>9</v>
      </c>
      <c r="J1434" s="7">
        <v>31</v>
      </c>
      <c r="K1434" s="7" t="s">
        <v>18</v>
      </c>
      <c r="L1434" s="8">
        <v>39891.213356481479</v>
      </c>
      <c r="M1434" s="9" t="s">
        <v>19</v>
      </c>
      <c r="N1434" s="9" t="s">
        <v>22</v>
      </c>
      <c r="O1434" s="6" t="str">
        <f>HYPERLINK("https://pbs.twimg.com/profile_images/988971255679324162/jrqiIYf__normal.jpg","View")</f>
        <v>View</v>
      </c>
      <c r="P1434" s="7"/>
    </row>
    <row r="1435" spans="1:16">
      <c r="A1435" s="3">
        <v>44073.123495370368</v>
      </c>
      <c r="B1435" s="4" t="str">
        <f>HYPERLINK("https://twitter.com/sergio_fajardo","@sergio_fajardo")</f>
        <v>@sergio_fajardo</v>
      </c>
      <c r="C1435" s="5" t="s">
        <v>16</v>
      </c>
      <c r="D1435" s="5" t="s">
        <v>1456</v>
      </c>
      <c r="E1435" s="6" t="str">
        <f>HYPERLINK("https://twitter.com/sergio_fajardo/status/1299821082875228161","1299821082875228161")</f>
        <v>1299821082875228161</v>
      </c>
      <c r="F1435" s="7" t="s">
        <v>23</v>
      </c>
      <c r="G1435" s="7">
        <v>1549822</v>
      </c>
      <c r="H1435" s="7">
        <v>394</v>
      </c>
      <c r="I1435" s="7">
        <v>44</v>
      </c>
      <c r="J1435" s="7">
        <v>0</v>
      </c>
      <c r="K1435" s="7" t="s">
        <v>18</v>
      </c>
      <c r="L1435" s="8">
        <v>39891.213356481479</v>
      </c>
      <c r="M1435" s="9" t="s">
        <v>19</v>
      </c>
      <c r="N1435" s="9" t="s">
        <v>22</v>
      </c>
      <c r="O1435" s="6" t="str">
        <f>HYPERLINK("https://pbs.twimg.com/profile_images/988971255679324162/jrqiIYf__normal.jpg","View")</f>
        <v>View</v>
      </c>
      <c r="P1435" s="7"/>
    </row>
    <row r="1436" spans="1:16">
      <c r="A1436" s="3">
        <v>44073.908078703702</v>
      </c>
      <c r="B1436" s="4" t="str">
        <f>HYPERLINK("https://twitter.com/sergio_fajardo","@sergio_fajardo")</f>
        <v>@sergio_fajardo</v>
      </c>
      <c r="C1436" s="5" t="s">
        <v>16</v>
      </c>
      <c r="D1436" s="5" t="s">
        <v>1457</v>
      </c>
      <c r="E1436" s="6" t="str">
        <f>HYPERLINK("https://twitter.com/sergio_fajardo/status/1300105408351174662","1300105408351174662")</f>
        <v>1300105408351174662</v>
      </c>
      <c r="F1436" s="7" t="s">
        <v>17</v>
      </c>
      <c r="G1436" s="7">
        <v>1549911</v>
      </c>
      <c r="H1436" s="7">
        <v>394</v>
      </c>
      <c r="I1436" s="7">
        <v>2</v>
      </c>
      <c r="J1436" s="7">
        <v>0</v>
      </c>
      <c r="K1436" s="7" t="s">
        <v>18</v>
      </c>
      <c r="L1436" s="8">
        <v>39891.213356481479</v>
      </c>
      <c r="M1436" s="9" t="s">
        <v>19</v>
      </c>
      <c r="N1436" s="9" t="s">
        <v>22</v>
      </c>
      <c r="O1436" s="6" t="str">
        <f>HYPERLINK("https://pbs.twimg.com/profile_images/988971255679324162/jrqiIYf__normal.jpg","View")</f>
        <v>View</v>
      </c>
      <c r="P1436" s="7"/>
    </row>
    <row r="1437" spans="1:16">
      <c r="A1437" s="3">
        <v>44073.91788194445</v>
      </c>
      <c r="B1437" s="4" t="str">
        <f>HYPERLINK("https://twitter.com/sergio_fajardo","@sergio_fajardo")</f>
        <v>@sergio_fajardo</v>
      </c>
      <c r="C1437" s="5" t="s">
        <v>16</v>
      </c>
      <c r="D1437" s="5" t="s">
        <v>1458</v>
      </c>
      <c r="E1437" s="6" t="str">
        <f>HYPERLINK("https://twitter.com/sergio_fajardo/status/1300108959383195648","1300108959383195648")</f>
        <v>1300108959383195648</v>
      </c>
      <c r="F1437" s="7" t="s">
        <v>17</v>
      </c>
      <c r="G1437" s="7">
        <v>1549919</v>
      </c>
      <c r="H1437" s="7">
        <v>394</v>
      </c>
      <c r="I1437" s="7">
        <v>9</v>
      </c>
      <c r="J1437" s="7">
        <v>0</v>
      </c>
      <c r="K1437" s="7" t="s">
        <v>18</v>
      </c>
      <c r="L1437" s="8">
        <v>39891.213356481479</v>
      </c>
      <c r="M1437" s="9" t="s">
        <v>19</v>
      </c>
      <c r="N1437" s="9" t="s">
        <v>22</v>
      </c>
      <c r="O1437" s="6" t="str">
        <f>HYPERLINK("https://pbs.twimg.com/profile_images/988971255679324162/jrqiIYf__normal.jpg","View")</f>
        <v>View</v>
      </c>
      <c r="P1437" s="7"/>
    </row>
    <row r="1438" spans="1:16">
      <c r="A1438" s="3">
        <v>44073.928090277783</v>
      </c>
      <c r="B1438" s="4" t="str">
        <f>HYPERLINK("https://twitter.com/sergio_fajardo","@sergio_fajardo")</f>
        <v>@sergio_fajardo</v>
      </c>
      <c r="C1438" s="5" t="s">
        <v>16</v>
      </c>
      <c r="D1438" s="5" t="s">
        <v>1459</v>
      </c>
      <c r="E1438" s="6" t="str">
        <f>HYPERLINK("https://twitter.com/sergio_fajardo/status/1300112658935558147","1300112658935558147")</f>
        <v>1300112658935558147</v>
      </c>
      <c r="F1438" s="7" t="s">
        <v>20</v>
      </c>
      <c r="G1438" s="7">
        <v>1549919</v>
      </c>
      <c r="H1438" s="7">
        <v>394</v>
      </c>
      <c r="I1438" s="7">
        <v>0</v>
      </c>
      <c r="J1438" s="7">
        <v>4</v>
      </c>
      <c r="K1438" s="7" t="s">
        <v>18</v>
      </c>
      <c r="L1438" s="8">
        <v>39891.213356481479</v>
      </c>
      <c r="M1438" s="9" t="s">
        <v>19</v>
      </c>
      <c r="N1438" s="9" t="s">
        <v>22</v>
      </c>
      <c r="O1438" s="6" t="str">
        <f>HYPERLINK("https://pbs.twimg.com/profile_images/988971255679324162/jrqiIYf__normal.jpg","View")</f>
        <v>View</v>
      </c>
      <c r="P1438" s="7"/>
    </row>
    <row r="1439" spans="1:16">
      <c r="A1439" s="3">
        <v>44074.055578703701</v>
      </c>
      <c r="B1439" s="4" t="str">
        <f>HYPERLINK("https://twitter.com/sergio_fajardo","@sergio_fajardo")</f>
        <v>@sergio_fajardo</v>
      </c>
      <c r="C1439" s="5" t="s">
        <v>16</v>
      </c>
      <c r="D1439" s="5" t="s">
        <v>1460</v>
      </c>
      <c r="E1439" s="6" t="str">
        <f>HYPERLINK("https://twitter.com/sergio_fajardo/status/1300158860901126150","1300158860901126150")</f>
        <v>1300158860901126150</v>
      </c>
      <c r="F1439" s="7" t="s">
        <v>20</v>
      </c>
      <c r="G1439" s="7">
        <v>1549914</v>
      </c>
      <c r="H1439" s="7">
        <v>394</v>
      </c>
      <c r="I1439" s="7">
        <v>10</v>
      </c>
      <c r="J1439" s="7">
        <v>58</v>
      </c>
      <c r="K1439" s="7" t="s">
        <v>18</v>
      </c>
      <c r="L1439" s="8">
        <v>39891.213356481479</v>
      </c>
      <c r="M1439" s="9" t="s">
        <v>19</v>
      </c>
      <c r="N1439" s="9" t="s">
        <v>22</v>
      </c>
      <c r="O1439" s="6" t="str">
        <f>HYPERLINK("https://pbs.twimg.com/profile_images/988971255679324162/jrqiIYf__normal.jpg","View")</f>
        <v>View</v>
      </c>
      <c r="P1439" s="7"/>
    </row>
    <row r="1440" spans="1:16">
      <c r="A1440" s="3">
        <v>44074.130023148144</v>
      </c>
      <c r="B1440" s="4" t="str">
        <f>HYPERLINK("https://twitter.com/sergio_fajardo","@sergio_fajardo")</f>
        <v>@sergio_fajardo</v>
      </c>
      <c r="C1440" s="5" t="s">
        <v>16</v>
      </c>
      <c r="D1440" s="5" t="s">
        <v>1461</v>
      </c>
      <c r="E1440" s="6" t="str">
        <f>HYPERLINK("https://twitter.com/sergio_fajardo/status/1300185837007785986","1300185837007785986")</f>
        <v>1300185837007785986</v>
      </c>
      <c r="F1440" s="7" t="s">
        <v>17</v>
      </c>
      <c r="G1440" s="7">
        <v>1549919</v>
      </c>
      <c r="H1440" s="7">
        <v>394</v>
      </c>
      <c r="I1440" s="7">
        <v>14</v>
      </c>
      <c r="J1440" s="7">
        <v>51</v>
      </c>
      <c r="K1440" s="7" t="s">
        <v>18</v>
      </c>
      <c r="L1440" s="8">
        <v>39891.213356481479</v>
      </c>
      <c r="M1440" s="9" t="s">
        <v>19</v>
      </c>
      <c r="N1440" s="9" t="s">
        <v>22</v>
      </c>
      <c r="O1440" s="6" t="str">
        <f>HYPERLINK("https://pbs.twimg.com/profile_images/988971255679324162/jrqiIYf__normal.jpg","View")</f>
        <v>View</v>
      </c>
      <c r="P1440" s="7"/>
    </row>
    <row r="1441" spans="1:16">
      <c r="A1441" s="3">
        <v>44074.242303240739</v>
      </c>
      <c r="B1441" s="4" t="str">
        <f>HYPERLINK("https://twitter.com/sergio_fajardo","@sergio_fajardo")</f>
        <v>@sergio_fajardo</v>
      </c>
      <c r="C1441" s="5" t="s">
        <v>16</v>
      </c>
      <c r="D1441" s="5" t="s">
        <v>1462</v>
      </c>
      <c r="E1441" s="6" t="str">
        <f>HYPERLINK("https://twitter.com/sergio_fajardo/status/1300226525799821315","1300226525799821315")</f>
        <v>1300226525799821315</v>
      </c>
      <c r="F1441" s="7" t="s">
        <v>17</v>
      </c>
      <c r="G1441" s="7">
        <v>1549943</v>
      </c>
      <c r="H1441" s="7">
        <v>394</v>
      </c>
      <c r="I1441" s="7">
        <v>533</v>
      </c>
      <c r="J1441" s="7">
        <v>0</v>
      </c>
      <c r="K1441" s="7" t="s">
        <v>18</v>
      </c>
      <c r="L1441" s="8">
        <v>39891.213356481479</v>
      </c>
      <c r="M1441" s="9" t="s">
        <v>19</v>
      </c>
      <c r="N1441" s="9" t="s">
        <v>22</v>
      </c>
      <c r="O1441" s="6" t="str">
        <f>HYPERLINK("https://pbs.twimg.com/profile_images/988971255679324162/jrqiIYf__normal.jpg","View")</f>
        <v>View</v>
      </c>
      <c r="P1441" s="7"/>
    </row>
    <row r="1442" spans="1:16">
      <c r="A1442" s="3">
        <v>44074.242847222224</v>
      </c>
      <c r="B1442" s="4" t="str">
        <f>HYPERLINK("https://twitter.com/sergio_fajardo","@sergio_fajardo")</f>
        <v>@sergio_fajardo</v>
      </c>
      <c r="C1442" s="5" t="s">
        <v>16</v>
      </c>
      <c r="D1442" s="5" t="s">
        <v>1463</v>
      </c>
      <c r="E1442" s="6" t="str">
        <f>HYPERLINK("https://twitter.com/sergio_fajardo/status/1300226723238367232","1300226723238367232")</f>
        <v>1300226723238367232</v>
      </c>
      <c r="F1442" s="7" t="s">
        <v>17</v>
      </c>
      <c r="G1442" s="7">
        <v>1549943</v>
      </c>
      <c r="H1442" s="7">
        <v>394</v>
      </c>
      <c r="I1442" s="7">
        <v>3</v>
      </c>
      <c r="J1442" s="7">
        <v>0</v>
      </c>
      <c r="K1442" s="7" t="s">
        <v>18</v>
      </c>
      <c r="L1442" s="8">
        <v>39891.213356481479</v>
      </c>
      <c r="M1442" s="9" t="s">
        <v>19</v>
      </c>
      <c r="N1442" s="9" t="s">
        <v>22</v>
      </c>
      <c r="O1442" s="6" t="str">
        <f>HYPERLINK("https://pbs.twimg.com/profile_images/988971255679324162/jrqiIYf__normal.jpg","View")</f>
        <v>View</v>
      </c>
      <c r="P1442" s="7"/>
    </row>
    <row r="1443" spans="1:16">
      <c r="A1443" s="3">
        <v>44074.282199074078</v>
      </c>
      <c r="B1443" s="4" t="str">
        <f>HYPERLINK("https://twitter.com/sergio_fajardo","@sergio_fajardo")</f>
        <v>@sergio_fajardo</v>
      </c>
      <c r="C1443" s="5" t="s">
        <v>16</v>
      </c>
      <c r="D1443" s="5" t="s">
        <v>1464</v>
      </c>
      <c r="E1443" s="6" t="str">
        <f>HYPERLINK("https://twitter.com/sergio_fajardo/status/1300240985167982594","1300240985167982594")</f>
        <v>1300240985167982594</v>
      </c>
      <c r="F1443" s="7" t="s">
        <v>17</v>
      </c>
      <c r="G1443" s="7">
        <v>1549941</v>
      </c>
      <c r="H1443" s="7">
        <v>394</v>
      </c>
      <c r="I1443" s="7">
        <v>4</v>
      </c>
      <c r="J1443" s="7">
        <v>14</v>
      </c>
      <c r="K1443" s="7" t="s">
        <v>18</v>
      </c>
      <c r="L1443" s="8">
        <v>39891.213356481479</v>
      </c>
      <c r="M1443" s="9" t="s">
        <v>19</v>
      </c>
      <c r="N1443" s="9" t="s">
        <v>22</v>
      </c>
      <c r="O1443" s="6" t="str">
        <f>HYPERLINK("https://pbs.twimg.com/profile_images/988971255679324162/jrqiIYf__normal.jpg","View")</f>
        <v>View</v>
      </c>
      <c r="P1443" s="7"/>
    </row>
    <row r="1444" spans="1:16">
      <c r="A1444" s="3">
        <v>44074.866354166668</v>
      </c>
      <c r="B1444" s="4" t="str">
        <f>HYPERLINK("https://twitter.com/sergio_fajardo","@sergio_fajardo")</f>
        <v>@sergio_fajardo</v>
      </c>
      <c r="C1444" s="5" t="s">
        <v>16</v>
      </c>
      <c r="D1444" s="5" t="s">
        <v>1465</v>
      </c>
      <c r="E1444" s="6" t="str">
        <f>HYPERLINK("https://twitter.com/sergio_fajardo/status/1300452673049833472","1300452673049833472")</f>
        <v>1300452673049833472</v>
      </c>
      <c r="F1444" s="7" t="s">
        <v>20</v>
      </c>
      <c r="G1444" s="7">
        <v>1550047</v>
      </c>
      <c r="H1444" s="7">
        <v>394</v>
      </c>
      <c r="I1444" s="7">
        <v>66</v>
      </c>
      <c r="J1444" s="7">
        <v>310</v>
      </c>
      <c r="K1444" s="7" t="s">
        <v>18</v>
      </c>
      <c r="L1444" s="8">
        <v>39891.213356481479</v>
      </c>
      <c r="M1444" s="9" t="s">
        <v>19</v>
      </c>
      <c r="N1444" s="9" t="s">
        <v>22</v>
      </c>
      <c r="O1444" s="6" t="str">
        <f>HYPERLINK("https://pbs.twimg.com/profile_images/988971255679324162/jrqiIYf__normal.jpg","View")</f>
        <v>View</v>
      </c>
      <c r="P1444" s="7"/>
    </row>
    <row r="1445" spans="1:16">
      <c r="A1445" s="3">
        <v>44075.243668981479</v>
      </c>
      <c r="B1445" s="4" t="str">
        <f>HYPERLINK("https://twitter.com/sergio_fajardo","@sergio_fajardo")</f>
        <v>@sergio_fajardo</v>
      </c>
      <c r="C1445" s="5" t="s">
        <v>16</v>
      </c>
      <c r="D1445" s="5" t="s">
        <v>1466</v>
      </c>
      <c r="E1445" s="6" t="str">
        <f>HYPERLINK("https://twitter.com/sergio_fajardo/status/1300589410300440577","1300589410300440577")</f>
        <v>1300589410300440577</v>
      </c>
      <c r="F1445" s="7" t="s">
        <v>23</v>
      </c>
      <c r="G1445" s="7">
        <v>1550161</v>
      </c>
      <c r="H1445" s="7">
        <v>394</v>
      </c>
      <c r="I1445" s="7">
        <v>11</v>
      </c>
      <c r="J1445" s="7">
        <v>0</v>
      </c>
      <c r="K1445" s="7" t="s">
        <v>18</v>
      </c>
      <c r="L1445" s="8">
        <v>39891.213356481479</v>
      </c>
      <c r="M1445" s="9" t="s">
        <v>19</v>
      </c>
      <c r="N1445" s="9" t="s">
        <v>22</v>
      </c>
      <c r="O1445" s="6" t="str">
        <f>HYPERLINK("https://pbs.twimg.com/profile_images/988971255679324162/jrqiIYf__normal.jpg","View")</f>
        <v>View</v>
      </c>
      <c r="P1445" s="7"/>
    </row>
    <row r="1446" spans="1:16">
      <c r="A1446" s="3">
        <v>44075.708796296298</v>
      </c>
      <c r="B1446" s="4" t="str">
        <f>HYPERLINK("https://twitter.com/sergio_fajardo","@sergio_fajardo")</f>
        <v>@sergio_fajardo</v>
      </c>
      <c r="C1446" s="5" t="s">
        <v>16</v>
      </c>
      <c r="D1446" s="5" t="s">
        <v>1467</v>
      </c>
      <c r="E1446" s="6" t="str">
        <f>HYPERLINK("https://twitter.com/sergio_fajardo/status/1300757964698128384","1300757964698128384")</f>
        <v>1300757964698128384</v>
      </c>
      <c r="F1446" s="7" t="s">
        <v>20</v>
      </c>
      <c r="G1446" s="7">
        <v>1550225</v>
      </c>
      <c r="H1446" s="7">
        <v>394</v>
      </c>
      <c r="I1446" s="7">
        <v>28</v>
      </c>
      <c r="J1446" s="7">
        <v>126</v>
      </c>
      <c r="K1446" s="7" t="s">
        <v>18</v>
      </c>
      <c r="L1446" s="8">
        <v>39891.213356481479</v>
      </c>
      <c r="M1446" s="9" t="s">
        <v>19</v>
      </c>
      <c r="N1446" s="9" t="s">
        <v>22</v>
      </c>
      <c r="O1446" s="6" t="str">
        <f>HYPERLINK("https://pbs.twimg.com/profile_images/988971255679324162/jrqiIYf__normal.jpg","View")</f>
        <v>View</v>
      </c>
      <c r="P1446" s="7"/>
    </row>
    <row r="1447" spans="1:16">
      <c r="A1447" s="3">
        <v>44075.762164351851</v>
      </c>
      <c r="B1447" s="4" t="str">
        <f>HYPERLINK("https://twitter.com/sergio_fajardo","@sergio_fajardo")</f>
        <v>@sergio_fajardo</v>
      </c>
      <c r="C1447" s="5" t="s">
        <v>16</v>
      </c>
      <c r="D1447" s="5" t="s">
        <v>1468</v>
      </c>
      <c r="E1447" s="6" t="str">
        <f>HYPERLINK("https://twitter.com/sergio_fajardo/status/1300777307095916545","1300777307095916545")</f>
        <v>1300777307095916545</v>
      </c>
      <c r="F1447" s="7" t="s">
        <v>20</v>
      </c>
      <c r="G1447" s="7">
        <v>1550239</v>
      </c>
      <c r="H1447" s="7">
        <v>394</v>
      </c>
      <c r="I1447" s="7">
        <v>0</v>
      </c>
      <c r="J1447" s="7">
        <v>2</v>
      </c>
      <c r="K1447" s="7" t="s">
        <v>18</v>
      </c>
      <c r="L1447" s="8">
        <v>39891.213356481479</v>
      </c>
      <c r="M1447" s="9" t="s">
        <v>19</v>
      </c>
      <c r="N1447" s="9" t="s">
        <v>22</v>
      </c>
      <c r="O1447" s="6" t="str">
        <f>HYPERLINK("https://pbs.twimg.com/profile_images/988971255679324162/jrqiIYf__normal.jpg","View")</f>
        <v>View</v>
      </c>
      <c r="P1447" s="7"/>
    </row>
    <row r="1448" spans="1:16">
      <c r="A1448" s="3">
        <v>44075.925439814819</v>
      </c>
      <c r="B1448" s="4" t="str">
        <f>HYPERLINK("https://twitter.com/sergio_fajardo","@sergio_fajardo")</f>
        <v>@sergio_fajardo</v>
      </c>
      <c r="C1448" s="5" t="s">
        <v>16</v>
      </c>
      <c r="D1448" s="5" t="s">
        <v>1469</v>
      </c>
      <c r="E1448" s="6" t="str">
        <f>HYPERLINK("https://twitter.com/sergio_fajardo/status/1300836472422051842","1300836472422051842")</f>
        <v>1300836472422051842</v>
      </c>
      <c r="F1448" s="7" t="s">
        <v>20</v>
      </c>
      <c r="G1448" s="7">
        <v>1550309</v>
      </c>
      <c r="H1448" s="7">
        <v>394</v>
      </c>
      <c r="I1448" s="7">
        <v>7</v>
      </c>
      <c r="J1448" s="7">
        <v>0</v>
      </c>
      <c r="K1448" s="7" t="s">
        <v>18</v>
      </c>
      <c r="L1448" s="8">
        <v>39891.213356481479</v>
      </c>
      <c r="M1448" s="9" t="s">
        <v>19</v>
      </c>
      <c r="N1448" s="9" t="s">
        <v>22</v>
      </c>
      <c r="O1448" s="6" t="str">
        <f>HYPERLINK("https://pbs.twimg.com/profile_images/988971255679324162/jrqiIYf__normal.jpg","View")</f>
        <v>View</v>
      </c>
      <c r="P1448" s="7"/>
    </row>
    <row r="1449" spans="1:16">
      <c r="A1449" s="3">
        <v>44076.043622685189</v>
      </c>
      <c r="B1449" s="4" t="str">
        <f>HYPERLINK("https://twitter.com/sergio_fajardo","@sergio_fajardo")</f>
        <v>@sergio_fajardo</v>
      </c>
      <c r="C1449" s="5" t="s">
        <v>16</v>
      </c>
      <c r="D1449" s="5" t="s">
        <v>1470</v>
      </c>
      <c r="E1449" s="6" t="str">
        <f>HYPERLINK("https://twitter.com/sergio_fajardo/status/1300879301840113664","1300879301840113664")</f>
        <v>1300879301840113664</v>
      </c>
      <c r="F1449" s="7" t="s">
        <v>17</v>
      </c>
      <c r="G1449" s="7">
        <v>1550352</v>
      </c>
      <c r="H1449" s="7">
        <v>394</v>
      </c>
      <c r="I1449" s="7">
        <v>9</v>
      </c>
      <c r="J1449" s="7">
        <v>16</v>
      </c>
      <c r="K1449" s="7" t="s">
        <v>18</v>
      </c>
      <c r="L1449" s="8">
        <v>39891.213356481479</v>
      </c>
      <c r="M1449" s="9" t="s">
        <v>19</v>
      </c>
      <c r="N1449" s="9" t="s">
        <v>22</v>
      </c>
      <c r="O1449" s="6" t="str">
        <f>HYPERLINK("https://pbs.twimg.com/profile_images/988971255679324162/jrqiIYf__normal.jpg","View")</f>
        <v>View</v>
      </c>
      <c r="P1449" s="7"/>
    </row>
    <row r="1450" spans="1:16">
      <c r="A1450" s="3">
        <v>44076.101145833338</v>
      </c>
      <c r="B1450" s="4" t="str">
        <f>HYPERLINK("https://twitter.com/sergio_fajardo","@sergio_fajardo")</f>
        <v>@sergio_fajardo</v>
      </c>
      <c r="C1450" s="5" t="s">
        <v>16</v>
      </c>
      <c r="D1450" s="5" t="s">
        <v>1471</v>
      </c>
      <c r="E1450" s="6" t="str">
        <f>HYPERLINK("https://twitter.com/sergio_fajardo/status/1300900147963011075","1300900147963011075")</f>
        <v>1300900147963011075</v>
      </c>
      <c r="F1450" s="7" t="s">
        <v>17</v>
      </c>
      <c r="G1450" s="7">
        <v>1550366</v>
      </c>
      <c r="H1450" s="7">
        <v>394</v>
      </c>
      <c r="I1450" s="7">
        <v>6</v>
      </c>
      <c r="J1450" s="7">
        <v>0</v>
      </c>
      <c r="K1450" s="7" t="s">
        <v>18</v>
      </c>
      <c r="L1450" s="8">
        <v>39891.213356481479</v>
      </c>
      <c r="M1450" s="9" t="s">
        <v>19</v>
      </c>
      <c r="N1450" s="9" t="s">
        <v>22</v>
      </c>
      <c r="O1450" s="6" t="str">
        <f>HYPERLINK("https://pbs.twimg.com/profile_images/988971255679324162/jrqiIYf__normal.jpg","View")</f>
        <v>View</v>
      </c>
      <c r="P1450" s="7"/>
    </row>
    <row r="1451" spans="1:16">
      <c r="A1451" s="3">
        <v>44076.247476851851</v>
      </c>
      <c r="B1451" s="4" t="str">
        <f>HYPERLINK("https://twitter.com/sergio_fajardo","@sergio_fajardo")</f>
        <v>@sergio_fajardo</v>
      </c>
      <c r="C1451" s="5" t="s">
        <v>16</v>
      </c>
      <c r="D1451" s="5" t="s">
        <v>1472</v>
      </c>
      <c r="E1451" s="6" t="str">
        <f>HYPERLINK("https://twitter.com/sergio_fajardo/status/1300953177592864769","1300953177592864769")</f>
        <v>1300953177592864769</v>
      </c>
      <c r="F1451" s="7" t="s">
        <v>23</v>
      </c>
      <c r="G1451" s="7">
        <v>1550423</v>
      </c>
      <c r="H1451" s="7">
        <v>394</v>
      </c>
      <c r="I1451" s="7">
        <v>20</v>
      </c>
      <c r="J1451" s="7">
        <v>0</v>
      </c>
      <c r="K1451" s="7" t="s">
        <v>18</v>
      </c>
      <c r="L1451" s="8">
        <v>39891.213356481479</v>
      </c>
      <c r="M1451" s="9" t="s">
        <v>19</v>
      </c>
      <c r="N1451" s="9" t="s">
        <v>22</v>
      </c>
      <c r="O1451" s="6" t="str">
        <f>HYPERLINK("https://pbs.twimg.com/profile_images/988971255679324162/jrqiIYf__normal.jpg","View")</f>
        <v>View</v>
      </c>
      <c r="P1451" s="7"/>
    </row>
    <row r="1452" spans="1:16">
      <c r="A1452" s="3">
        <v>44076.714502314819</v>
      </c>
      <c r="B1452" s="4" t="str">
        <f>HYPERLINK("https://twitter.com/sergio_fajardo","@sergio_fajardo")</f>
        <v>@sergio_fajardo</v>
      </c>
      <c r="C1452" s="5" t="s">
        <v>16</v>
      </c>
      <c r="D1452" s="5" t="s">
        <v>1473</v>
      </c>
      <c r="E1452" s="6" t="str">
        <f>HYPERLINK("https://twitter.com/sergio_fajardo/status/1301122419487277056","1301122419487277056")</f>
        <v>1301122419487277056</v>
      </c>
      <c r="F1452" s="7" t="s">
        <v>17</v>
      </c>
      <c r="G1452" s="7">
        <v>1550485</v>
      </c>
      <c r="H1452" s="7">
        <v>394</v>
      </c>
      <c r="I1452" s="7">
        <v>14</v>
      </c>
      <c r="J1452" s="7">
        <v>0</v>
      </c>
      <c r="K1452" s="7" t="s">
        <v>18</v>
      </c>
      <c r="L1452" s="8">
        <v>39891.213356481479</v>
      </c>
      <c r="M1452" s="9" t="s">
        <v>19</v>
      </c>
      <c r="N1452" s="9" t="s">
        <v>22</v>
      </c>
      <c r="O1452" s="6" t="str">
        <f>HYPERLINK("https://pbs.twimg.com/profile_images/988971255679324162/jrqiIYf__normal.jpg","View")</f>
        <v>View</v>
      </c>
      <c r="P1452" s="7"/>
    </row>
    <row r="1453" spans="1:16">
      <c r="A1453" s="3">
        <v>44076.768043981487</v>
      </c>
      <c r="B1453" s="4" t="str">
        <f>HYPERLINK("https://twitter.com/sergio_fajardo","@sergio_fajardo")</f>
        <v>@sergio_fajardo</v>
      </c>
      <c r="C1453" s="5" t="s">
        <v>16</v>
      </c>
      <c r="D1453" s="5" t="s">
        <v>1474</v>
      </c>
      <c r="E1453" s="6" t="str">
        <f>HYPERLINK("https://twitter.com/sergio_fajardo/status/1301141823180746752","1301141823180746752")</f>
        <v>1301141823180746752</v>
      </c>
      <c r="F1453" s="7" t="s">
        <v>20</v>
      </c>
      <c r="G1453" s="7">
        <v>1550497</v>
      </c>
      <c r="H1453" s="7">
        <v>394</v>
      </c>
      <c r="I1453" s="7">
        <v>116</v>
      </c>
      <c r="J1453" s="7">
        <v>0</v>
      </c>
      <c r="K1453" s="7" t="s">
        <v>18</v>
      </c>
      <c r="L1453" s="8">
        <v>39891.213356481479</v>
      </c>
      <c r="M1453" s="9" t="s">
        <v>19</v>
      </c>
      <c r="N1453" s="9" t="s">
        <v>22</v>
      </c>
      <c r="O1453" s="6" t="str">
        <f>HYPERLINK("https://pbs.twimg.com/profile_images/988971255679324162/jrqiIYf__normal.jpg","View")</f>
        <v>View</v>
      </c>
      <c r="P1453" s="7"/>
    </row>
    <row r="1454" spans="1:16">
      <c r="A1454" s="3">
        <v>44076.788171296299</v>
      </c>
      <c r="B1454" s="4" t="str">
        <f>HYPERLINK("https://twitter.com/sergio_fajardo","@sergio_fajardo")</f>
        <v>@sergio_fajardo</v>
      </c>
      <c r="C1454" s="5" t="s">
        <v>16</v>
      </c>
      <c r="D1454" s="5" t="s">
        <v>1475</v>
      </c>
      <c r="E1454" s="6" t="str">
        <f>HYPERLINK("https://twitter.com/sergio_fajardo/status/1301149119482920962","1301149119482920962")</f>
        <v>1301149119482920962</v>
      </c>
      <c r="F1454" s="7" t="s">
        <v>20</v>
      </c>
      <c r="G1454" s="7">
        <v>1550502</v>
      </c>
      <c r="H1454" s="7">
        <v>394</v>
      </c>
      <c r="I1454" s="7">
        <v>48</v>
      </c>
      <c r="J1454" s="7">
        <v>160</v>
      </c>
      <c r="K1454" s="7" t="s">
        <v>18</v>
      </c>
      <c r="L1454" s="8">
        <v>39891.213356481479</v>
      </c>
      <c r="M1454" s="9" t="s">
        <v>19</v>
      </c>
      <c r="N1454" s="9" t="s">
        <v>22</v>
      </c>
      <c r="O1454" s="6" t="str">
        <f>HYPERLINK("https://pbs.twimg.com/profile_images/988971255679324162/jrqiIYf__normal.jpg","View")</f>
        <v>View</v>
      </c>
      <c r="P1454" s="7"/>
    </row>
    <row r="1455" spans="1:16">
      <c r="A1455" s="3">
        <v>44077.218136574069</v>
      </c>
      <c r="B1455" s="4" t="str">
        <f>HYPERLINK("https://twitter.com/sergio_fajardo","@sergio_fajardo")</f>
        <v>@sergio_fajardo</v>
      </c>
      <c r="C1455" s="5" t="s">
        <v>16</v>
      </c>
      <c r="D1455" s="5" t="s">
        <v>1476</v>
      </c>
      <c r="E1455" s="6" t="str">
        <f>HYPERLINK("https://twitter.com/sergio_fajardo/status/1301304933552140288","1301304933552140288")</f>
        <v>1301304933552140288</v>
      </c>
      <c r="F1455" s="7" t="s">
        <v>17</v>
      </c>
      <c r="G1455" s="7">
        <v>1550665</v>
      </c>
      <c r="H1455" s="7">
        <v>394</v>
      </c>
      <c r="I1455" s="7">
        <v>4</v>
      </c>
      <c r="J1455" s="7">
        <v>0</v>
      </c>
      <c r="K1455" s="7" t="s">
        <v>18</v>
      </c>
      <c r="L1455" s="8">
        <v>39891.213356481479</v>
      </c>
      <c r="M1455" s="9" t="s">
        <v>19</v>
      </c>
      <c r="N1455" s="9" t="s">
        <v>22</v>
      </c>
      <c r="O1455" s="6" t="str">
        <f>HYPERLINK("https://pbs.twimg.com/profile_images/988971255679324162/jrqiIYf__normal.jpg","View")</f>
        <v>View</v>
      </c>
      <c r="P1455" s="7"/>
    </row>
    <row r="1456" spans="1:16">
      <c r="A1456" s="3">
        <v>44078.67454861111</v>
      </c>
      <c r="B1456" s="4" t="str">
        <f>HYPERLINK("https://twitter.com/sergio_fajardo","@sergio_fajardo")</f>
        <v>@sergio_fajardo</v>
      </c>
      <c r="C1456" s="5" t="s">
        <v>16</v>
      </c>
      <c r="D1456" s="5" t="s">
        <v>1477</v>
      </c>
      <c r="E1456" s="6" t="str">
        <f>HYPERLINK("https://twitter.com/sergio_fajardo/status/1301832717089284096","1301832717089284096")</f>
        <v>1301832717089284096</v>
      </c>
      <c r="F1456" s="7" t="s">
        <v>17</v>
      </c>
      <c r="G1456" s="7">
        <v>1550995</v>
      </c>
      <c r="H1456" s="7">
        <v>394</v>
      </c>
      <c r="I1456" s="7">
        <v>550</v>
      </c>
      <c r="J1456" s="7">
        <v>0</v>
      </c>
      <c r="K1456" s="7" t="s">
        <v>18</v>
      </c>
      <c r="L1456" s="8">
        <v>39891.213356481479</v>
      </c>
      <c r="M1456" s="9" t="s">
        <v>19</v>
      </c>
      <c r="N1456" s="9" t="s">
        <v>22</v>
      </c>
      <c r="O1456" s="6" t="str">
        <f>HYPERLINK("https://pbs.twimg.com/profile_images/988971255679324162/jrqiIYf__normal.jpg","View")</f>
        <v>View</v>
      </c>
      <c r="P1456" s="7"/>
    </row>
    <row r="1457" spans="1:16">
      <c r="A1457" s="3">
        <v>44080.174432870372</v>
      </c>
      <c r="B1457" s="4" t="str">
        <f>HYPERLINK("https://twitter.com/sergio_fajardo","@sergio_fajardo")</f>
        <v>@sergio_fajardo</v>
      </c>
      <c r="C1457" s="5" t="s">
        <v>16</v>
      </c>
      <c r="D1457" s="5" t="s">
        <v>1478</v>
      </c>
      <c r="E1457" s="6" t="str">
        <f>HYPERLINK("https://twitter.com/sergio_fajardo/status/1302376259691962369","1302376259691962369")</f>
        <v>1302376259691962369</v>
      </c>
      <c r="F1457" s="7" t="s">
        <v>23</v>
      </c>
      <c r="G1457" s="7">
        <v>1551215</v>
      </c>
      <c r="H1457" s="7">
        <v>394</v>
      </c>
      <c r="I1457" s="7">
        <v>13</v>
      </c>
      <c r="J1457" s="7">
        <v>70</v>
      </c>
      <c r="K1457" s="7" t="s">
        <v>18</v>
      </c>
      <c r="L1457" s="8">
        <v>39891.213356481479</v>
      </c>
      <c r="M1457" s="9" t="s">
        <v>19</v>
      </c>
      <c r="N1457" s="9" t="s">
        <v>22</v>
      </c>
      <c r="O1457" s="6" t="str">
        <f>HYPERLINK("https://pbs.twimg.com/profile_images/988971255679324162/jrqiIYf__normal.jpg","View")</f>
        <v>View</v>
      </c>
      <c r="P1457" s="7"/>
    </row>
    <row r="1458" spans="1:16">
      <c r="A1458" s="3">
        <v>44080.239618055552</v>
      </c>
      <c r="B1458" s="4" t="str">
        <f>HYPERLINK("https://twitter.com/sergio_fajardo","@sergio_fajardo")</f>
        <v>@sergio_fajardo</v>
      </c>
      <c r="C1458" s="5" t="s">
        <v>16</v>
      </c>
      <c r="D1458" s="5" t="s">
        <v>1479</v>
      </c>
      <c r="E1458" s="6" t="str">
        <f>HYPERLINK("https://twitter.com/sergio_fajardo/status/1302399880401489926","1302399880401489926")</f>
        <v>1302399880401489926</v>
      </c>
      <c r="F1458" s="7" t="s">
        <v>23</v>
      </c>
      <c r="G1458" s="7">
        <v>1551228</v>
      </c>
      <c r="H1458" s="7">
        <v>394</v>
      </c>
      <c r="I1458" s="7">
        <v>2</v>
      </c>
      <c r="J1458" s="7">
        <v>5</v>
      </c>
      <c r="K1458" s="7" t="s">
        <v>18</v>
      </c>
      <c r="L1458" s="8">
        <v>39891.213356481479</v>
      </c>
      <c r="M1458" s="9" t="s">
        <v>19</v>
      </c>
      <c r="N1458" s="9" t="s">
        <v>22</v>
      </c>
      <c r="O1458" s="6" t="str">
        <f>HYPERLINK("https://pbs.twimg.com/profile_images/988971255679324162/jrqiIYf__normal.jpg","View")</f>
        <v>View</v>
      </c>
      <c r="P1458" s="7"/>
    </row>
    <row r="1459" spans="1:16">
      <c r="A1459" s="3">
        <v>44080.662106481483</v>
      </c>
      <c r="B1459" s="4" t="str">
        <f>HYPERLINK("https://twitter.com/sergio_fajardo","@sergio_fajardo")</f>
        <v>@sergio_fajardo</v>
      </c>
      <c r="C1459" s="5" t="s">
        <v>16</v>
      </c>
      <c r="D1459" s="5" t="s">
        <v>1480</v>
      </c>
      <c r="E1459" s="6" t="str">
        <f>HYPERLINK("https://twitter.com/sergio_fajardo/status/1302552985000652801","1302552985000652801")</f>
        <v>1302552985000652801</v>
      </c>
      <c r="F1459" s="7" t="s">
        <v>17</v>
      </c>
      <c r="G1459" s="7">
        <v>1551226</v>
      </c>
      <c r="H1459" s="7">
        <v>394</v>
      </c>
      <c r="I1459" s="7">
        <v>2</v>
      </c>
      <c r="J1459" s="7">
        <v>10</v>
      </c>
      <c r="K1459" s="7" t="s">
        <v>18</v>
      </c>
      <c r="L1459" s="8">
        <v>39891.213356481479</v>
      </c>
      <c r="M1459" s="9" t="s">
        <v>19</v>
      </c>
      <c r="N1459" s="9" t="s">
        <v>22</v>
      </c>
      <c r="O1459" s="6" t="str">
        <f>HYPERLINK("https://pbs.twimg.com/profile_images/988971255679324162/jrqiIYf__normal.jpg","View")</f>
        <v>View</v>
      </c>
      <c r="P1459" s="7"/>
    </row>
    <row r="1460" spans="1:16">
      <c r="A1460" s="3">
        <v>44080.663206018522</v>
      </c>
      <c r="B1460" s="4" t="str">
        <f>HYPERLINK("https://twitter.com/sergio_fajardo","@sergio_fajardo")</f>
        <v>@sergio_fajardo</v>
      </c>
      <c r="C1460" s="5" t="s">
        <v>16</v>
      </c>
      <c r="D1460" s="5" t="s">
        <v>1481</v>
      </c>
      <c r="E1460" s="6" t="str">
        <f>HYPERLINK("https://twitter.com/sergio_fajardo/status/1302553381806968833","1302553381806968833")</f>
        <v>1302553381806968833</v>
      </c>
      <c r="F1460" s="7" t="s">
        <v>17</v>
      </c>
      <c r="G1460" s="7">
        <v>1551226</v>
      </c>
      <c r="H1460" s="7">
        <v>394</v>
      </c>
      <c r="I1460" s="7">
        <v>3268</v>
      </c>
      <c r="J1460" s="7">
        <v>0</v>
      </c>
      <c r="K1460" s="7" t="s">
        <v>18</v>
      </c>
      <c r="L1460" s="8">
        <v>39891.213356481479</v>
      </c>
      <c r="M1460" s="9" t="s">
        <v>19</v>
      </c>
      <c r="N1460" s="9" t="s">
        <v>22</v>
      </c>
      <c r="O1460" s="6" t="str">
        <f>HYPERLINK("https://pbs.twimg.com/profile_images/988971255679324162/jrqiIYf__normal.jpg","View")</f>
        <v>View</v>
      </c>
      <c r="P1460" s="7"/>
    </row>
    <row r="1461" spans="1:16">
      <c r="A1461" s="3">
        <v>44081.128275462965</v>
      </c>
      <c r="B1461" s="4" t="str">
        <f>HYPERLINK("https://twitter.com/sergio_fajardo","@sergio_fajardo")</f>
        <v>@sergio_fajardo</v>
      </c>
      <c r="C1461" s="5" t="s">
        <v>16</v>
      </c>
      <c r="D1461" s="5" t="s">
        <v>1482</v>
      </c>
      <c r="E1461" s="6" t="str">
        <f>HYPERLINK("https://twitter.com/sergio_fajardo/status/1302721920127901696","1302721920127901696")</f>
        <v>1302721920127901696</v>
      </c>
      <c r="F1461" s="7" t="s">
        <v>17</v>
      </c>
      <c r="G1461" s="7">
        <v>1551271</v>
      </c>
      <c r="H1461" s="7">
        <v>394</v>
      </c>
      <c r="I1461" s="7">
        <v>7</v>
      </c>
      <c r="J1461" s="7">
        <v>0</v>
      </c>
      <c r="K1461" s="7" t="s">
        <v>18</v>
      </c>
      <c r="L1461" s="8">
        <v>39891.213356481479</v>
      </c>
      <c r="M1461" s="9" t="s">
        <v>19</v>
      </c>
      <c r="N1461" s="9" t="s">
        <v>22</v>
      </c>
      <c r="O1461" s="6" t="str">
        <f>HYPERLINK("https://pbs.twimg.com/profile_images/988971255679324162/jrqiIYf__normal.jpg","View")</f>
        <v>View</v>
      </c>
      <c r="P1461" s="7"/>
    </row>
    <row r="1462" spans="1:16">
      <c r="A1462" s="3">
        <v>44081.73274305556</v>
      </c>
      <c r="B1462" s="4" t="str">
        <f>HYPERLINK("https://twitter.com/sergio_fajardo","@sergio_fajardo")</f>
        <v>@sergio_fajardo</v>
      </c>
      <c r="C1462" s="5" t="s">
        <v>16</v>
      </c>
      <c r="D1462" s="5" t="s">
        <v>1483</v>
      </c>
      <c r="E1462" s="6" t="str">
        <f>HYPERLINK("https://twitter.com/sergio_fajardo/status/1302940969415909377","1302940969415909377")</f>
        <v>1302940969415909377</v>
      </c>
      <c r="F1462" s="7" t="s">
        <v>23</v>
      </c>
      <c r="G1462" s="7">
        <v>1551304</v>
      </c>
      <c r="H1462" s="7">
        <v>394</v>
      </c>
      <c r="I1462" s="7">
        <v>5</v>
      </c>
      <c r="J1462" s="7">
        <v>19</v>
      </c>
      <c r="K1462" s="7" t="s">
        <v>18</v>
      </c>
      <c r="L1462" s="8">
        <v>39891.213356481479</v>
      </c>
      <c r="M1462" s="9" t="s">
        <v>19</v>
      </c>
      <c r="N1462" s="9" t="s">
        <v>22</v>
      </c>
      <c r="O1462" s="6" t="str">
        <f>HYPERLINK("https://pbs.twimg.com/profile_images/988971255679324162/jrqiIYf__normal.jpg","View")</f>
        <v>View</v>
      </c>
      <c r="P1462" s="7"/>
    </row>
    <row r="1463" spans="1:16">
      <c r="A1463" s="3">
        <v>44081.894780092596</v>
      </c>
      <c r="B1463" s="4" t="str">
        <f>HYPERLINK("https://twitter.com/sergio_fajardo","@sergio_fajardo")</f>
        <v>@sergio_fajardo</v>
      </c>
      <c r="C1463" s="5" t="s">
        <v>16</v>
      </c>
      <c r="D1463" s="5" t="s">
        <v>1484</v>
      </c>
      <c r="E1463" s="6" t="str">
        <f>HYPERLINK("https://twitter.com/sergio_fajardo/status/1302999688707219456","1302999688707219456")</f>
        <v>1302999688707219456</v>
      </c>
      <c r="F1463" s="7" t="s">
        <v>23</v>
      </c>
      <c r="G1463" s="7">
        <v>1551350</v>
      </c>
      <c r="H1463" s="7">
        <v>394</v>
      </c>
      <c r="I1463" s="7">
        <v>33</v>
      </c>
      <c r="J1463" s="7">
        <v>109</v>
      </c>
      <c r="K1463" s="7" t="s">
        <v>18</v>
      </c>
      <c r="L1463" s="8">
        <v>39891.213356481479</v>
      </c>
      <c r="M1463" s="9" t="s">
        <v>19</v>
      </c>
      <c r="N1463" s="9" t="s">
        <v>22</v>
      </c>
      <c r="O1463" s="6" t="str">
        <f>HYPERLINK("https://pbs.twimg.com/profile_images/988971255679324162/jrqiIYf__normal.jpg","View")</f>
        <v>View</v>
      </c>
      <c r="P1463" s="7"/>
    </row>
    <row r="1464" spans="1:16">
      <c r="A1464" s="3">
        <v>44081.894976851851</v>
      </c>
      <c r="B1464" s="4" t="str">
        <f>HYPERLINK("https://twitter.com/sergio_fajardo","@sergio_fajardo")</f>
        <v>@sergio_fajardo</v>
      </c>
      <c r="C1464" s="5" t="s">
        <v>16</v>
      </c>
      <c r="D1464" s="5" t="s">
        <v>1485</v>
      </c>
      <c r="E1464" s="6" t="str">
        <f>HYPERLINK("https://twitter.com/sergio_fajardo/status/1302999761151119360","1302999761151119360")</f>
        <v>1302999761151119360</v>
      </c>
      <c r="F1464" s="7" t="s">
        <v>23</v>
      </c>
      <c r="G1464" s="7">
        <v>1551350</v>
      </c>
      <c r="H1464" s="7">
        <v>394</v>
      </c>
      <c r="I1464" s="7">
        <v>8</v>
      </c>
      <c r="J1464" s="7">
        <v>34</v>
      </c>
      <c r="K1464" s="7" t="s">
        <v>18</v>
      </c>
      <c r="L1464" s="8">
        <v>39891.213356481479</v>
      </c>
      <c r="M1464" s="9" t="s">
        <v>19</v>
      </c>
      <c r="N1464" s="9" t="s">
        <v>22</v>
      </c>
      <c r="O1464" s="6" t="str">
        <f>HYPERLINK("https://pbs.twimg.com/profile_images/988971255679324162/jrqiIYf__normal.jpg","View")</f>
        <v>View</v>
      </c>
      <c r="P1464" s="7"/>
    </row>
    <row r="1465" spans="1:16">
      <c r="A1465" s="3">
        <v>44081.895254629635</v>
      </c>
      <c r="B1465" s="4" t="str">
        <f>HYPERLINK("https://twitter.com/sergio_fajardo","@sergio_fajardo")</f>
        <v>@sergio_fajardo</v>
      </c>
      <c r="C1465" s="5" t="s">
        <v>16</v>
      </c>
      <c r="D1465" s="5" t="s">
        <v>1486</v>
      </c>
      <c r="E1465" s="6" t="str">
        <f>HYPERLINK("https://twitter.com/sergio_fajardo/status/1302999864641548288","1302999864641548288")</f>
        <v>1302999864641548288</v>
      </c>
      <c r="F1465" s="7" t="s">
        <v>23</v>
      </c>
      <c r="G1465" s="7">
        <v>1551350</v>
      </c>
      <c r="H1465" s="7">
        <v>394</v>
      </c>
      <c r="I1465" s="7">
        <v>6</v>
      </c>
      <c r="J1465" s="7">
        <v>30</v>
      </c>
      <c r="K1465" s="7" t="s">
        <v>18</v>
      </c>
      <c r="L1465" s="8">
        <v>39891.213356481479</v>
      </c>
      <c r="M1465" s="9" t="s">
        <v>19</v>
      </c>
      <c r="N1465" s="9" t="s">
        <v>22</v>
      </c>
      <c r="O1465" s="6" t="str">
        <f>HYPERLINK("https://pbs.twimg.com/profile_images/988971255679324162/jrqiIYf__normal.jpg","View")</f>
        <v>View</v>
      </c>
      <c r="P1465" s="7"/>
    </row>
    <row r="1466" spans="1:16">
      <c r="A1466" s="3">
        <v>44081.895925925928</v>
      </c>
      <c r="B1466" s="4" t="str">
        <f>HYPERLINK("https://twitter.com/sergio_fajardo","@sergio_fajardo")</f>
        <v>@sergio_fajardo</v>
      </c>
      <c r="C1466" s="5" t="s">
        <v>16</v>
      </c>
      <c r="D1466" s="5" t="s">
        <v>1487</v>
      </c>
      <c r="E1466" s="6" t="str">
        <f>HYPERLINK("https://twitter.com/sergio_fajardo/status/1303000106321543168","1303000106321543168")</f>
        <v>1303000106321543168</v>
      </c>
      <c r="F1466" s="7" t="s">
        <v>23</v>
      </c>
      <c r="G1466" s="7">
        <v>1551350</v>
      </c>
      <c r="H1466" s="7">
        <v>394</v>
      </c>
      <c r="I1466" s="7">
        <v>5</v>
      </c>
      <c r="J1466" s="7">
        <v>23</v>
      </c>
      <c r="K1466" s="7" t="s">
        <v>18</v>
      </c>
      <c r="L1466" s="8">
        <v>39891.213356481479</v>
      </c>
      <c r="M1466" s="9" t="s">
        <v>19</v>
      </c>
      <c r="N1466" s="9" t="s">
        <v>22</v>
      </c>
      <c r="O1466" s="6" t="str">
        <f>HYPERLINK("https://pbs.twimg.com/profile_images/988971255679324162/jrqiIYf__normal.jpg","View")</f>
        <v>View</v>
      </c>
      <c r="P1466" s="7"/>
    </row>
    <row r="1467" spans="1:16">
      <c r="A1467" s="3">
        <v>44081.89643518519</v>
      </c>
      <c r="B1467" s="4" t="str">
        <f>HYPERLINK("https://twitter.com/sergio_fajardo","@sergio_fajardo")</f>
        <v>@sergio_fajardo</v>
      </c>
      <c r="C1467" s="5" t="s">
        <v>16</v>
      </c>
      <c r="D1467" s="5" t="s">
        <v>1488</v>
      </c>
      <c r="E1467" s="6" t="str">
        <f>HYPERLINK("https://twitter.com/sergio_fajardo/status/1303000290535276546","1303000290535276546")</f>
        <v>1303000290535276546</v>
      </c>
      <c r="F1467" s="7" t="s">
        <v>23</v>
      </c>
      <c r="G1467" s="7">
        <v>1551350</v>
      </c>
      <c r="H1467" s="7">
        <v>394</v>
      </c>
      <c r="I1467" s="7">
        <v>8</v>
      </c>
      <c r="J1467" s="7">
        <v>28</v>
      </c>
      <c r="K1467" s="7" t="s">
        <v>18</v>
      </c>
      <c r="L1467" s="8">
        <v>39891.213356481479</v>
      </c>
      <c r="M1467" s="9" t="s">
        <v>19</v>
      </c>
      <c r="N1467" s="9" t="s">
        <v>22</v>
      </c>
      <c r="O1467" s="6" t="str">
        <f>HYPERLINK("https://pbs.twimg.com/profile_images/988971255679324162/jrqiIYf__normal.jpg","View")</f>
        <v>View</v>
      </c>
      <c r="P1467" s="7"/>
    </row>
    <row r="1468" spans="1:16">
      <c r="A1468" s="3">
        <v>44081.896736111114</v>
      </c>
      <c r="B1468" s="4" t="str">
        <f>HYPERLINK("https://twitter.com/sergio_fajardo","@sergio_fajardo")</f>
        <v>@sergio_fajardo</v>
      </c>
      <c r="C1468" s="5" t="s">
        <v>16</v>
      </c>
      <c r="D1468" s="5" t="s">
        <v>1489</v>
      </c>
      <c r="E1468" s="6" t="str">
        <f>HYPERLINK("https://twitter.com/sergio_fajardo/status/1303000399494946816","1303000399494946816")</f>
        <v>1303000399494946816</v>
      </c>
      <c r="F1468" s="7" t="s">
        <v>23</v>
      </c>
      <c r="G1468" s="7">
        <v>1551350</v>
      </c>
      <c r="H1468" s="7">
        <v>394</v>
      </c>
      <c r="I1468" s="7">
        <v>8</v>
      </c>
      <c r="J1468" s="7">
        <v>28</v>
      </c>
      <c r="K1468" s="7" t="s">
        <v>18</v>
      </c>
      <c r="L1468" s="8">
        <v>39891.213356481479</v>
      </c>
      <c r="M1468" s="9" t="s">
        <v>19</v>
      </c>
      <c r="N1468" s="9" t="s">
        <v>22</v>
      </c>
      <c r="O1468" s="6" t="str">
        <f>HYPERLINK("https://pbs.twimg.com/profile_images/988971255679324162/jrqiIYf__normal.jpg","View")</f>
        <v>View</v>
      </c>
      <c r="P1468" s="7"/>
    </row>
    <row r="1469" spans="1:16">
      <c r="A1469" s="3">
        <v>44081.939166666663</v>
      </c>
      <c r="B1469" s="4" t="str">
        <f>HYPERLINK("https://twitter.com/sergio_fajardo","@sergio_fajardo")</f>
        <v>@sergio_fajardo</v>
      </c>
      <c r="C1469" s="5" t="s">
        <v>16</v>
      </c>
      <c r="D1469" s="5" t="s">
        <v>1490</v>
      </c>
      <c r="E1469" s="6" t="str">
        <f>HYPERLINK("https://twitter.com/sergio_fajardo/status/1303015773963726848","1303015773963726848")</f>
        <v>1303015773963726848</v>
      </c>
      <c r="F1469" s="7" t="s">
        <v>20</v>
      </c>
      <c r="G1469" s="7">
        <v>1551350</v>
      </c>
      <c r="H1469" s="7">
        <v>394</v>
      </c>
      <c r="I1469" s="7">
        <v>5</v>
      </c>
      <c r="J1469" s="7">
        <v>18</v>
      </c>
      <c r="K1469" s="7" t="s">
        <v>18</v>
      </c>
      <c r="L1469" s="8">
        <v>39891.213356481479</v>
      </c>
      <c r="M1469" s="9" t="s">
        <v>19</v>
      </c>
      <c r="N1469" s="9" t="s">
        <v>22</v>
      </c>
      <c r="O1469" s="6" t="str">
        <f>HYPERLINK("https://pbs.twimg.com/profile_images/988971255679324162/jrqiIYf__normal.jpg","View")</f>
        <v>View</v>
      </c>
      <c r="P1469" s="7"/>
    </row>
    <row r="1470" spans="1:16">
      <c r="A1470" s="3">
        <v>44082.20821759259</v>
      </c>
      <c r="B1470" s="4" t="str">
        <f>HYPERLINK("https://twitter.com/sergio_fajardo","@sergio_fajardo")</f>
        <v>@sergio_fajardo</v>
      </c>
      <c r="C1470" s="5" t="s">
        <v>16</v>
      </c>
      <c r="D1470" s="5" t="s">
        <v>1491</v>
      </c>
      <c r="E1470" s="6" t="str">
        <f>HYPERLINK("https://twitter.com/sergio_fajardo/status/1303113277141135360","1303113277141135360")</f>
        <v>1303113277141135360</v>
      </c>
      <c r="F1470" s="7" t="s">
        <v>23</v>
      </c>
      <c r="G1470" s="7">
        <v>1551409</v>
      </c>
      <c r="H1470" s="7">
        <v>394</v>
      </c>
      <c r="I1470" s="7">
        <v>5</v>
      </c>
      <c r="J1470" s="7">
        <v>0</v>
      </c>
      <c r="K1470" s="7" t="s">
        <v>18</v>
      </c>
      <c r="L1470" s="8">
        <v>39891.213356481479</v>
      </c>
      <c r="M1470" s="9" t="s">
        <v>19</v>
      </c>
      <c r="N1470" s="9" t="s">
        <v>22</v>
      </c>
      <c r="O1470" s="6" t="str">
        <f>HYPERLINK("https://pbs.twimg.com/profile_images/988971255679324162/jrqiIYf__normal.jpg","View")</f>
        <v>View</v>
      </c>
      <c r="P1470" s="7"/>
    </row>
    <row r="1471" spans="1:16">
      <c r="A1471" s="3">
        <v>44082.208738425921</v>
      </c>
      <c r="B1471" s="4" t="str">
        <f>HYPERLINK("https://twitter.com/sergio_fajardo","@sergio_fajardo")</f>
        <v>@sergio_fajardo</v>
      </c>
      <c r="C1471" s="5" t="s">
        <v>16</v>
      </c>
      <c r="D1471" s="5" t="s">
        <v>1492</v>
      </c>
      <c r="E1471" s="6" t="str">
        <f>HYPERLINK("https://twitter.com/sergio_fajardo/status/1303113464244834311","1303113464244834311")</f>
        <v>1303113464244834311</v>
      </c>
      <c r="F1471" s="7" t="s">
        <v>23</v>
      </c>
      <c r="G1471" s="7">
        <v>1551409</v>
      </c>
      <c r="H1471" s="7">
        <v>394</v>
      </c>
      <c r="I1471" s="7">
        <v>9</v>
      </c>
      <c r="J1471" s="7">
        <v>0</v>
      </c>
      <c r="K1471" s="7" t="s">
        <v>18</v>
      </c>
      <c r="L1471" s="8">
        <v>39891.213356481479</v>
      </c>
      <c r="M1471" s="9" t="s">
        <v>19</v>
      </c>
      <c r="N1471" s="9" t="s">
        <v>22</v>
      </c>
      <c r="O1471" s="6" t="str">
        <f>HYPERLINK("https://pbs.twimg.com/profile_images/988971255679324162/jrqiIYf__normal.jpg","View")</f>
        <v>View</v>
      </c>
      <c r="P1471" s="7"/>
    </row>
    <row r="1472" spans="1:16">
      <c r="A1472" s="3">
        <v>44083.076851851853</v>
      </c>
      <c r="B1472" s="4" t="str">
        <f>HYPERLINK("https://twitter.com/sergio_fajardo","@sergio_fajardo")</f>
        <v>@sergio_fajardo</v>
      </c>
      <c r="C1472" s="5" t="s">
        <v>16</v>
      </c>
      <c r="D1472" s="5" t="s">
        <v>1493</v>
      </c>
      <c r="E1472" s="6" t="str">
        <f>HYPERLINK("https://twitter.com/sergio_fajardo/status/1303428058792316933","1303428058792316933")</f>
        <v>1303428058792316933</v>
      </c>
      <c r="F1472" s="7" t="s">
        <v>17</v>
      </c>
      <c r="G1472" s="7">
        <v>1551643</v>
      </c>
      <c r="H1472" s="7">
        <v>394</v>
      </c>
      <c r="I1472" s="7">
        <v>12</v>
      </c>
      <c r="J1472" s="7">
        <v>0</v>
      </c>
      <c r="K1472" s="7" t="s">
        <v>18</v>
      </c>
      <c r="L1472" s="8">
        <v>39891.213356481479</v>
      </c>
      <c r="M1472" s="9" t="s">
        <v>19</v>
      </c>
      <c r="N1472" s="9" t="s">
        <v>22</v>
      </c>
      <c r="O1472" s="6" t="str">
        <f>HYPERLINK("https://pbs.twimg.com/profile_images/988971255679324162/jrqiIYf__normal.jpg","View")</f>
        <v>View</v>
      </c>
      <c r="P1472" s="7"/>
    </row>
    <row r="1473" spans="1:16">
      <c r="A1473" s="3">
        <v>44083.124652777777</v>
      </c>
      <c r="B1473" s="4" t="str">
        <f>HYPERLINK("https://twitter.com/sergio_fajardo","@sergio_fajardo")</f>
        <v>@sergio_fajardo</v>
      </c>
      <c r="C1473" s="5" t="s">
        <v>16</v>
      </c>
      <c r="D1473" s="5" t="s">
        <v>1494</v>
      </c>
      <c r="E1473" s="6" t="str">
        <f>HYPERLINK("https://twitter.com/sergio_fajardo/status/1303445383394324483","1303445383394324483")</f>
        <v>1303445383394324483</v>
      </c>
      <c r="F1473" s="7" t="s">
        <v>20</v>
      </c>
      <c r="G1473" s="7">
        <v>1551653</v>
      </c>
      <c r="H1473" s="7">
        <v>394</v>
      </c>
      <c r="I1473" s="7">
        <v>3</v>
      </c>
      <c r="J1473" s="7">
        <v>0</v>
      </c>
      <c r="K1473" s="7" t="s">
        <v>18</v>
      </c>
      <c r="L1473" s="8">
        <v>39891.213356481479</v>
      </c>
      <c r="M1473" s="9" t="s">
        <v>19</v>
      </c>
      <c r="N1473" s="9" t="s">
        <v>22</v>
      </c>
      <c r="O1473" s="6" t="str">
        <f>HYPERLINK("https://pbs.twimg.com/profile_images/988971255679324162/jrqiIYf__normal.jpg","View")</f>
        <v>View</v>
      </c>
      <c r="P1473" s="7"/>
    </row>
    <row r="1474" spans="1:16">
      <c r="A1474" s="3">
        <v>44083.140057870369</v>
      </c>
      <c r="B1474" s="4" t="str">
        <f>HYPERLINK("https://twitter.com/sergio_fajardo","@sergio_fajardo")</f>
        <v>@sergio_fajardo</v>
      </c>
      <c r="C1474" s="5" t="s">
        <v>16</v>
      </c>
      <c r="D1474" s="5" t="s">
        <v>1495</v>
      </c>
      <c r="E1474" s="6" t="str">
        <f>HYPERLINK("https://twitter.com/sergio_fajardo/status/1303450963949301769","1303450963949301769")</f>
        <v>1303450963949301769</v>
      </c>
      <c r="F1474" s="7" t="s">
        <v>17</v>
      </c>
      <c r="G1474" s="7">
        <v>1551659</v>
      </c>
      <c r="H1474" s="7">
        <v>394</v>
      </c>
      <c r="I1474" s="7">
        <v>5</v>
      </c>
      <c r="J1474" s="7">
        <v>7</v>
      </c>
      <c r="K1474" s="7" t="s">
        <v>18</v>
      </c>
      <c r="L1474" s="8">
        <v>39891.213356481479</v>
      </c>
      <c r="M1474" s="9" t="s">
        <v>19</v>
      </c>
      <c r="N1474" s="9" t="s">
        <v>22</v>
      </c>
      <c r="O1474" s="6" t="str">
        <f>HYPERLINK("https://pbs.twimg.com/profile_images/988971255679324162/jrqiIYf__normal.jpg","View")</f>
        <v>View</v>
      </c>
      <c r="P1474" s="7"/>
    </row>
    <row r="1475" spans="1:16">
      <c r="A1475" s="3">
        <v>44083.269907407404</v>
      </c>
      <c r="B1475" s="4" t="str">
        <f>HYPERLINK("https://twitter.com/sergio_fajardo","@sergio_fajardo")</f>
        <v>@sergio_fajardo</v>
      </c>
      <c r="C1475" s="5" t="s">
        <v>16</v>
      </c>
      <c r="D1475" s="5" t="s">
        <v>1496</v>
      </c>
      <c r="E1475" s="6" t="str">
        <f>HYPERLINK("https://twitter.com/sergio_fajardo/status/1303498019397140480","1303498019397140480")</f>
        <v>1303498019397140480</v>
      </c>
      <c r="F1475" s="7" t="s">
        <v>20</v>
      </c>
      <c r="G1475" s="7">
        <v>1551698</v>
      </c>
      <c r="H1475" s="7">
        <v>394</v>
      </c>
      <c r="I1475" s="7">
        <v>13</v>
      </c>
      <c r="J1475" s="7">
        <v>37</v>
      </c>
      <c r="K1475" s="7" t="s">
        <v>18</v>
      </c>
      <c r="L1475" s="8">
        <v>39891.213356481479</v>
      </c>
      <c r="M1475" s="9" t="s">
        <v>19</v>
      </c>
      <c r="N1475" s="9" t="s">
        <v>22</v>
      </c>
      <c r="O1475" s="6" t="str">
        <f>HYPERLINK("https://pbs.twimg.com/profile_images/988971255679324162/jrqiIYf__normal.jpg","View")</f>
        <v>View</v>
      </c>
      <c r="P1475" s="7"/>
    </row>
    <row r="1476" spans="1:16">
      <c r="A1476" s="3">
        <v>44083.271932870368</v>
      </c>
      <c r="B1476" s="4" t="str">
        <f>HYPERLINK("https://twitter.com/sergio_fajardo","@sergio_fajardo")</f>
        <v>@sergio_fajardo</v>
      </c>
      <c r="C1476" s="5" t="s">
        <v>16</v>
      </c>
      <c r="D1476" s="5" t="s">
        <v>1497</v>
      </c>
      <c r="E1476" s="6" t="str">
        <f>HYPERLINK("https://twitter.com/sergio_fajardo/status/1303498755077931008","1303498755077931008")</f>
        <v>1303498755077931008</v>
      </c>
      <c r="F1476" s="7" t="s">
        <v>17</v>
      </c>
      <c r="G1476" s="7">
        <v>1551698</v>
      </c>
      <c r="H1476" s="7">
        <v>394</v>
      </c>
      <c r="I1476" s="7">
        <v>26</v>
      </c>
      <c r="J1476" s="7">
        <v>76</v>
      </c>
      <c r="K1476" s="7" t="s">
        <v>18</v>
      </c>
      <c r="L1476" s="8">
        <v>39891.213356481479</v>
      </c>
      <c r="M1476" s="9" t="s">
        <v>19</v>
      </c>
      <c r="N1476" s="9" t="s">
        <v>22</v>
      </c>
      <c r="O1476" s="6" t="str">
        <f>HYPERLINK("https://pbs.twimg.com/profile_images/988971255679324162/jrqiIYf__normal.jpg","View")</f>
        <v>View</v>
      </c>
      <c r="P1476" s="7"/>
    </row>
    <row r="1477" spans="1:16">
      <c r="A1477" s="3">
        <v>44083.820497685185</v>
      </c>
      <c r="B1477" s="4" t="str">
        <f>HYPERLINK("https://twitter.com/sergio_fajardo","@sergio_fajardo")</f>
        <v>@sergio_fajardo</v>
      </c>
      <c r="C1477" s="5" t="s">
        <v>16</v>
      </c>
      <c r="D1477" s="5" t="s">
        <v>1498</v>
      </c>
      <c r="E1477" s="6" t="str">
        <f>HYPERLINK("https://twitter.com/sergio_fajardo/status/1303697545521172480","1303697545521172480")</f>
        <v>1303697545521172480</v>
      </c>
      <c r="F1477" s="7" t="s">
        <v>17</v>
      </c>
      <c r="G1477" s="7">
        <v>1551732</v>
      </c>
      <c r="H1477" s="7">
        <v>394</v>
      </c>
      <c r="I1477" s="7">
        <v>20</v>
      </c>
      <c r="J1477" s="7">
        <v>0</v>
      </c>
      <c r="K1477" s="7" t="s">
        <v>18</v>
      </c>
      <c r="L1477" s="8">
        <v>39891.213356481479</v>
      </c>
      <c r="M1477" s="9" t="s">
        <v>19</v>
      </c>
      <c r="N1477" s="9" t="s">
        <v>22</v>
      </c>
      <c r="O1477" s="6" t="str">
        <f>HYPERLINK("https://pbs.twimg.com/profile_images/988971255679324162/jrqiIYf__normal.jpg","View")</f>
        <v>View</v>
      </c>
      <c r="P1477" s="7"/>
    </row>
    <row r="1478" spans="1:16">
      <c r="A1478" s="3">
        <v>44083.822129629625</v>
      </c>
      <c r="B1478" s="4" t="str">
        <f>HYPERLINK("https://twitter.com/sergio_fajardo","@sergio_fajardo")</f>
        <v>@sergio_fajardo</v>
      </c>
      <c r="C1478" s="5" t="s">
        <v>16</v>
      </c>
      <c r="D1478" s="5" t="s">
        <v>1499</v>
      </c>
      <c r="E1478" s="6" t="str">
        <f>HYPERLINK("https://twitter.com/sergio_fajardo/status/1303698137895391238","1303698137895391238")</f>
        <v>1303698137895391238</v>
      </c>
      <c r="F1478" s="7" t="s">
        <v>17</v>
      </c>
      <c r="G1478" s="7">
        <v>1551732</v>
      </c>
      <c r="H1478" s="7">
        <v>394</v>
      </c>
      <c r="I1478" s="7">
        <v>24</v>
      </c>
      <c r="J1478" s="7">
        <v>0</v>
      </c>
      <c r="K1478" s="7" t="s">
        <v>18</v>
      </c>
      <c r="L1478" s="8">
        <v>39891.213356481479</v>
      </c>
      <c r="M1478" s="9" t="s">
        <v>19</v>
      </c>
      <c r="N1478" s="9" t="s">
        <v>22</v>
      </c>
      <c r="O1478" s="6" t="str">
        <f>HYPERLINK("https://pbs.twimg.com/profile_images/988971255679324162/jrqiIYf__normal.jpg","View")</f>
        <v>View</v>
      </c>
      <c r="P1478" s="7"/>
    </row>
    <row r="1479" spans="1:16">
      <c r="A1479" s="3">
        <v>44083.988553240742</v>
      </c>
      <c r="B1479" s="4" t="str">
        <f>HYPERLINK("https://twitter.com/sergio_fajardo","@sergio_fajardo")</f>
        <v>@sergio_fajardo</v>
      </c>
      <c r="C1479" s="5" t="s">
        <v>16</v>
      </c>
      <c r="D1479" s="5" t="s">
        <v>1500</v>
      </c>
      <c r="E1479" s="6" t="str">
        <f>HYPERLINK("https://twitter.com/sergio_fajardo/status/1303758448060964866","1303758448060964866")</f>
        <v>1303758448060964866</v>
      </c>
      <c r="F1479" s="7" t="s">
        <v>23</v>
      </c>
      <c r="G1479" s="7">
        <v>1551796</v>
      </c>
      <c r="H1479" s="7">
        <v>394</v>
      </c>
      <c r="I1479" s="7">
        <v>23</v>
      </c>
      <c r="J1479" s="7">
        <v>109</v>
      </c>
      <c r="K1479" s="7" t="s">
        <v>18</v>
      </c>
      <c r="L1479" s="8">
        <v>39891.213356481479</v>
      </c>
      <c r="M1479" s="9" t="s">
        <v>19</v>
      </c>
      <c r="N1479" s="9" t="s">
        <v>22</v>
      </c>
      <c r="O1479" s="6" t="str">
        <f>HYPERLINK("https://pbs.twimg.com/profile_images/988971255679324162/jrqiIYf__normal.jpg","View")</f>
        <v>View</v>
      </c>
      <c r="P1479" s="7"/>
    </row>
    <row r="1480" spans="1:16">
      <c r="A1480" s="3">
        <v>44084.310277777782</v>
      </c>
      <c r="B1480" s="4" t="str">
        <f>HYPERLINK("https://twitter.com/sergio_fajardo","@sergio_fajardo")</f>
        <v>@sergio_fajardo</v>
      </c>
      <c r="C1480" s="5" t="s">
        <v>16</v>
      </c>
      <c r="D1480" s="5" t="s">
        <v>1501</v>
      </c>
      <c r="E1480" s="6" t="str">
        <f>HYPERLINK("https://twitter.com/sergio_fajardo/status/1303875036462419968","1303875036462419968")</f>
        <v>1303875036462419968</v>
      </c>
      <c r="F1480" s="7" t="s">
        <v>23</v>
      </c>
      <c r="G1480" s="7">
        <v>1551997</v>
      </c>
      <c r="H1480" s="7">
        <v>394</v>
      </c>
      <c r="I1480" s="7">
        <v>18</v>
      </c>
      <c r="J1480" s="7">
        <v>73</v>
      </c>
      <c r="K1480" s="7" t="s">
        <v>18</v>
      </c>
      <c r="L1480" s="8">
        <v>39891.213356481479</v>
      </c>
      <c r="M1480" s="9" t="s">
        <v>19</v>
      </c>
      <c r="N1480" s="9" t="s">
        <v>22</v>
      </c>
      <c r="O1480" s="6" t="str">
        <f>HYPERLINK("https://pbs.twimg.com/profile_images/988971255679324162/jrqiIYf__normal.jpg","View")</f>
        <v>View</v>
      </c>
      <c r="P1480" s="7"/>
    </row>
    <row r="1481" spans="1:16">
      <c r="A1481" s="3">
        <v>44084.658703703702</v>
      </c>
      <c r="B1481" s="4" t="str">
        <f>HYPERLINK("https://twitter.com/sergio_fajardo","@sergio_fajardo")</f>
        <v>@sergio_fajardo</v>
      </c>
      <c r="C1481" s="5" t="s">
        <v>16</v>
      </c>
      <c r="D1481" s="5" t="s">
        <v>1502</v>
      </c>
      <c r="E1481" s="6" t="str">
        <f>HYPERLINK("https://twitter.com/sergio_fajardo/status/1304001301831970816","1304001301831970816")</f>
        <v>1304001301831970816</v>
      </c>
      <c r="F1481" s="7" t="s">
        <v>17</v>
      </c>
      <c r="G1481" s="7">
        <v>1552302</v>
      </c>
      <c r="H1481" s="7">
        <v>394</v>
      </c>
      <c r="I1481" s="7">
        <v>6</v>
      </c>
      <c r="J1481" s="7">
        <v>0</v>
      </c>
      <c r="K1481" s="7" t="s">
        <v>18</v>
      </c>
      <c r="L1481" s="8">
        <v>39891.213356481479</v>
      </c>
      <c r="M1481" s="9" t="s">
        <v>19</v>
      </c>
      <c r="N1481" s="9" t="s">
        <v>22</v>
      </c>
      <c r="O1481" s="6" t="str">
        <f>HYPERLINK("https://pbs.twimg.com/profile_images/988971255679324162/jrqiIYf__normal.jpg","View")</f>
        <v>View</v>
      </c>
      <c r="P1481" s="7"/>
    </row>
    <row r="1482" spans="1:16">
      <c r="A1482" s="3">
        <v>44084.666701388887</v>
      </c>
      <c r="B1482" s="4" t="str">
        <f>HYPERLINK("https://twitter.com/sergio_fajardo","@sergio_fajardo")</f>
        <v>@sergio_fajardo</v>
      </c>
      <c r="C1482" s="5" t="s">
        <v>16</v>
      </c>
      <c r="D1482" s="5" t="s">
        <v>1503</v>
      </c>
      <c r="E1482" s="6" t="str">
        <f>HYPERLINK("https://twitter.com/sergio_fajardo/status/1304004201845010432","1304004201845010432")</f>
        <v>1304004201845010432</v>
      </c>
      <c r="F1482" s="7" t="s">
        <v>17</v>
      </c>
      <c r="G1482" s="7">
        <v>1552302</v>
      </c>
      <c r="H1482" s="7">
        <v>394</v>
      </c>
      <c r="I1482" s="7">
        <v>729</v>
      </c>
      <c r="J1482" s="7">
        <v>0</v>
      </c>
      <c r="K1482" s="7" t="s">
        <v>18</v>
      </c>
      <c r="L1482" s="8">
        <v>39891.213356481479</v>
      </c>
      <c r="M1482" s="9" t="s">
        <v>19</v>
      </c>
      <c r="N1482" s="9" t="s">
        <v>22</v>
      </c>
      <c r="O1482" s="6" t="str">
        <f>HYPERLINK("https://pbs.twimg.com/profile_images/988971255679324162/jrqiIYf__normal.jpg","View")</f>
        <v>View</v>
      </c>
      <c r="P1482" s="7"/>
    </row>
    <row r="1483" spans="1:16">
      <c r="A1483" s="3">
        <v>44084.682557870372</v>
      </c>
      <c r="B1483" s="4" t="str">
        <f>HYPERLINK("https://twitter.com/sergio_fajardo","@sergio_fajardo")</f>
        <v>@sergio_fajardo</v>
      </c>
      <c r="C1483" s="5" t="s">
        <v>16</v>
      </c>
      <c r="D1483" s="5" t="s">
        <v>1504</v>
      </c>
      <c r="E1483" s="6" t="str">
        <f>HYPERLINK("https://twitter.com/sergio_fajardo/status/1304009947148058626","1304009947148058626")</f>
        <v>1304009947148058626</v>
      </c>
      <c r="F1483" s="7" t="s">
        <v>17</v>
      </c>
      <c r="G1483" s="7">
        <v>1552297</v>
      </c>
      <c r="H1483" s="7">
        <v>394</v>
      </c>
      <c r="I1483" s="7">
        <v>28</v>
      </c>
      <c r="J1483" s="7">
        <v>125</v>
      </c>
      <c r="K1483" s="7" t="s">
        <v>18</v>
      </c>
      <c r="L1483" s="8">
        <v>39891.213356481479</v>
      </c>
      <c r="M1483" s="9" t="s">
        <v>19</v>
      </c>
      <c r="N1483" s="9" t="s">
        <v>22</v>
      </c>
      <c r="O1483" s="6" t="str">
        <f>HYPERLINK("https://pbs.twimg.com/profile_images/988971255679324162/jrqiIYf__normal.jpg","View")</f>
        <v>View</v>
      </c>
      <c r="P1483" s="7"/>
    </row>
    <row r="1484" spans="1:16">
      <c r="A1484" s="3">
        <v>44084.86215277778</v>
      </c>
      <c r="B1484" s="4" t="str">
        <f>HYPERLINK("https://twitter.com/sergio_fajardo","@sergio_fajardo")</f>
        <v>@sergio_fajardo</v>
      </c>
      <c r="C1484" s="5" t="s">
        <v>16</v>
      </c>
      <c r="D1484" s="5" t="s">
        <v>1505</v>
      </c>
      <c r="E1484" s="6" t="str">
        <f>HYPERLINK("https://twitter.com/sergio_fajardo/status/1304075029681000449","1304075029681000449")</f>
        <v>1304075029681000449</v>
      </c>
      <c r="F1484" s="7" t="s">
        <v>23</v>
      </c>
      <c r="G1484" s="7">
        <v>1552498</v>
      </c>
      <c r="H1484" s="7">
        <v>394</v>
      </c>
      <c r="I1484" s="7">
        <v>41</v>
      </c>
      <c r="J1484" s="7">
        <v>224</v>
      </c>
      <c r="K1484" s="7" t="s">
        <v>18</v>
      </c>
      <c r="L1484" s="8">
        <v>39891.213356481479</v>
      </c>
      <c r="M1484" s="9" t="s">
        <v>19</v>
      </c>
      <c r="N1484" s="9" t="s">
        <v>22</v>
      </c>
      <c r="O1484" s="6" t="str">
        <f>HYPERLINK("https://pbs.twimg.com/profile_images/988971255679324162/jrqiIYf__normal.jpg","View")</f>
        <v>View</v>
      </c>
      <c r="P1484" s="7"/>
    </row>
    <row r="1485" spans="1:16">
      <c r="A1485" s="3">
        <v>44084.880972222221</v>
      </c>
      <c r="B1485" s="4" t="str">
        <f>HYPERLINK("https://twitter.com/sergio_fajardo","@sergio_fajardo")</f>
        <v>@sergio_fajardo</v>
      </c>
      <c r="C1485" s="5" t="s">
        <v>16</v>
      </c>
      <c r="D1485" s="5" t="s">
        <v>1506</v>
      </c>
      <c r="E1485" s="6" t="str">
        <f>HYPERLINK("https://twitter.com/sergio_fajardo/status/1304081851955453954","1304081851955453954")</f>
        <v>1304081851955453954</v>
      </c>
      <c r="F1485" s="7" t="s">
        <v>17</v>
      </c>
      <c r="G1485" s="7">
        <v>1552528</v>
      </c>
      <c r="H1485" s="7">
        <v>394</v>
      </c>
      <c r="I1485" s="7">
        <v>6</v>
      </c>
      <c r="J1485" s="7">
        <v>31</v>
      </c>
      <c r="K1485" s="7" t="s">
        <v>18</v>
      </c>
      <c r="L1485" s="8">
        <v>39891.213356481479</v>
      </c>
      <c r="M1485" s="9" t="s">
        <v>19</v>
      </c>
      <c r="N1485" s="9" t="s">
        <v>22</v>
      </c>
      <c r="O1485" s="6" t="str">
        <f>HYPERLINK("https://pbs.twimg.com/profile_images/988971255679324162/jrqiIYf__normal.jpg","View")</f>
        <v>View</v>
      </c>
      <c r="P1485" s="7"/>
    </row>
    <row r="1486" spans="1:16">
      <c r="A1486" s="3">
        <v>44085.070613425924</v>
      </c>
      <c r="B1486" s="4" t="str">
        <f>HYPERLINK("https://twitter.com/sergio_fajardo","@sergio_fajardo")</f>
        <v>@sergio_fajardo</v>
      </c>
      <c r="C1486" s="5" t="s">
        <v>16</v>
      </c>
      <c r="D1486" s="5" t="s">
        <v>1507</v>
      </c>
      <c r="E1486" s="6" t="str">
        <f>HYPERLINK("https://twitter.com/sergio_fajardo/status/1304150576050114567","1304150576050114567")</f>
        <v>1304150576050114567</v>
      </c>
      <c r="F1486" s="7" t="s">
        <v>23</v>
      </c>
      <c r="G1486" s="7">
        <v>1552746</v>
      </c>
      <c r="H1486" s="7">
        <v>395</v>
      </c>
      <c r="I1486" s="7">
        <v>37</v>
      </c>
      <c r="J1486" s="7">
        <v>171</v>
      </c>
      <c r="K1486" s="7" t="s">
        <v>18</v>
      </c>
      <c r="L1486" s="8">
        <v>39891.213356481479</v>
      </c>
      <c r="M1486" s="9" t="s">
        <v>19</v>
      </c>
      <c r="N1486" s="9" t="s">
        <v>22</v>
      </c>
      <c r="O1486" s="6" t="str">
        <f>HYPERLINK("https://pbs.twimg.com/profile_images/988971255679324162/jrqiIYf__normal.jpg","View")</f>
        <v>View</v>
      </c>
      <c r="P1486" s="7"/>
    </row>
    <row r="1487" spans="1:16">
      <c r="A1487" s="3">
        <v>44085.328217592592</v>
      </c>
      <c r="B1487" s="4" t="str">
        <f>HYPERLINK("https://twitter.com/sergio_fajardo","@sergio_fajardo")</f>
        <v>@sergio_fajardo</v>
      </c>
      <c r="C1487" s="5" t="s">
        <v>16</v>
      </c>
      <c r="D1487" s="5" t="s">
        <v>1508</v>
      </c>
      <c r="E1487" s="6" t="str">
        <f>HYPERLINK("https://twitter.com/sergio_fajardo/status/1304243926367457280","1304243926367457280")</f>
        <v>1304243926367457280</v>
      </c>
      <c r="F1487" s="7" t="s">
        <v>17</v>
      </c>
      <c r="G1487" s="7">
        <v>1553047</v>
      </c>
      <c r="H1487" s="7">
        <v>395</v>
      </c>
      <c r="I1487" s="7">
        <v>2</v>
      </c>
      <c r="J1487" s="7">
        <v>27</v>
      </c>
      <c r="K1487" s="7" t="s">
        <v>18</v>
      </c>
      <c r="L1487" s="8">
        <v>39891.213356481479</v>
      </c>
      <c r="M1487" s="9" t="s">
        <v>19</v>
      </c>
      <c r="N1487" s="9" t="s">
        <v>22</v>
      </c>
      <c r="O1487" s="6" t="str">
        <f>HYPERLINK("https://pbs.twimg.com/profile_images/988971255679324162/jrqiIYf__normal.jpg","View")</f>
        <v>View</v>
      </c>
      <c r="P1487" s="7"/>
    </row>
    <row r="1488" spans="1:16">
      <c r="A1488" s="3">
        <v>44086.136226851857</v>
      </c>
      <c r="B1488" s="4" t="str">
        <f>HYPERLINK("https://twitter.com/sergio_fajardo","@sergio_fajardo")</f>
        <v>@sergio_fajardo</v>
      </c>
      <c r="C1488" s="5" t="s">
        <v>16</v>
      </c>
      <c r="D1488" s="5" t="s">
        <v>1509</v>
      </c>
      <c r="E1488" s="6" t="str">
        <f>HYPERLINK("https://twitter.com/sergio_fajardo/status/1304536740091305984","1304536740091305984")</f>
        <v>1304536740091305984</v>
      </c>
      <c r="F1488" s="7" t="s">
        <v>23</v>
      </c>
      <c r="G1488" s="7">
        <v>1553480</v>
      </c>
      <c r="H1488" s="7">
        <v>395</v>
      </c>
      <c r="I1488" s="7">
        <v>13</v>
      </c>
      <c r="J1488" s="7">
        <v>61</v>
      </c>
      <c r="K1488" s="7" t="s">
        <v>18</v>
      </c>
      <c r="L1488" s="8">
        <v>39891.213356481479</v>
      </c>
      <c r="M1488" s="9" t="s">
        <v>19</v>
      </c>
      <c r="N1488" s="9" t="s">
        <v>22</v>
      </c>
      <c r="O1488" s="6" t="str">
        <f>HYPERLINK("https://pbs.twimg.com/profile_images/988971255679324162/jrqiIYf__normal.jpg","View")</f>
        <v>View</v>
      </c>
      <c r="P1488" s="7"/>
    </row>
    <row r="1489" spans="1:16">
      <c r="A1489" s="3">
        <v>44086.136932870373</v>
      </c>
      <c r="B1489" s="4" t="str">
        <f>HYPERLINK("https://twitter.com/sergio_fajardo","@sergio_fajardo")</f>
        <v>@sergio_fajardo</v>
      </c>
      <c r="C1489" s="5" t="s">
        <v>16</v>
      </c>
      <c r="D1489" s="5" t="s">
        <v>1510</v>
      </c>
      <c r="E1489" s="6" t="str">
        <f>HYPERLINK("https://twitter.com/sergio_fajardo/status/1304536994685620226","1304536994685620226")</f>
        <v>1304536994685620226</v>
      </c>
      <c r="F1489" s="7" t="s">
        <v>23</v>
      </c>
      <c r="G1489" s="7">
        <v>1553480</v>
      </c>
      <c r="H1489" s="7">
        <v>395</v>
      </c>
      <c r="I1489" s="7">
        <v>4</v>
      </c>
      <c r="J1489" s="7">
        <v>12</v>
      </c>
      <c r="K1489" s="7" t="s">
        <v>18</v>
      </c>
      <c r="L1489" s="8">
        <v>39891.213356481479</v>
      </c>
      <c r="M1489" s="9" t="s">
        <v>19</v>
      </c>
      <c r="N1489" s="9" t="s">
        <v>22</v>
      </c>
      <c r="O1489" s="6" t="str">
        <f>HYPERLINK("https://pbs.twimg.com/profile_images/988971255679324162/jrqiIYf__normal.jpg","View")</f>
        <v>View</v>
      </c>
      <c r="P1489" s="7"/>
    </row>
    <row r="1490" spans="1:16">
      <c r="A1490" s="3">
        <v>44086.79314814815</v>
      </c>
      <c r="B1490" s="4" t="str">
        <f>HYPERLINK("https://twitter.com/sergio_fajardo","@sergio_fajardo")</f>
        <v>@sergio_fajardo</v>
      </c>
      <c r="C1490" s="5" t="s">
        <v>16</v>
      </c>
      <c r="D1490" s="5" t="s">
        <v>1511</v>
      </c>
      <c r="E1490" s="6" t="str">
        <f>HYPERLINK("https://twitter.com/sergio_fajardo/status/1304774799743426560","1304774799743426560")</f>
        <v>1304774799743426560</v>
      </c>
      <c r="F1490" s="7" t="s">
        <v>17</v>
      </c>
      <c r="G1490" s="7">
        <v>1553708</v>
      </c>
      <c r="H1490" s="7">
        <v>395</v>
      </c>
      <c r="I1490" s="7">
        <v>3</v>
      </c>
      <c r="J1490" s="7">
        <v>32</v>
      </c>
      <c r="K1490" s="7" t="s">
        <v>18</v>
      </c>
      <c r="L1490" s="8">
        <v>39891.213356481479</v>
      </c>
      <c r="M1490" s="9" t="s">
        <v>19</v>
      </c>
      <c r="N1490" s="9" t="s">
        <v>22</v>
      </c>
      <c r="O1490" s="6" t="str">
        <f>HYPERLINK("https://pbs.twimg.com/profile_images/988971255679324162/jrqiIYf__normal.jpg","View")</f>
        <v>View</v>
      </c>
      <c r="P1490" s="7"/>
    </row>
    <row r="1491" spans="1:16">
      <c r="A1491" s="3">
        <v>44087.725972222222</v>
      </c>
      <c r="B1491" s="4" t="str">
        <f>HYPERLINK("https://twitter.com/sergio_fajardo","@sergio_fajardo")</f>
        <v>@sergio_fajardo</v>
      </c>
      <c r="C1491" s="5" t="s">
        <v>16</v>
      </c>
      <c r="D1491" s="5" t="s">
        <v>1512</v>
      </c>
      <c r="E1491" s="6" t="str">
        <f>HYPERLINK("https://twitter.com/sergio_fajardo/status/1305112842362912769","1305112842362912769")</f>
        <v>1305112842362912769</v>
      </c>
      <c r="F1491" s="7" t="s">
        <v>20</v>
      </c>
      <c r="G1491" s="7">
        <v>1553889</v>
      </c>
      <c r="H1491" s="7">
        <v>395</v>
      </c>
      <c r="I1491" s="7">
        <v>588</v>
      </c>
      <c r="J1491" s="7">
        <v>0</v>
      </c>
      <c r="K1491" s="7" t="s">
        <v>18</v>
      </c>
      <c r="L1491" s="8">
        <v>39891.213356481479</v>
      </c>
      <c r="M1491" s="9" t="s">
        <v>19</v>
      </c>
      <c r="N1491" s="9" t="s">
        <v>22</v>
      </c>
      <c r="O1491" s="6" t="str">
        <f>HYPERLINK("https://pbs.twimg.com/profile_images/988971255679324162/jrqiIYf__normal.jpg","View")</f>
        <v>View</v>
      </c>
      <c r="P1491" s="7"/>
    </row>
    <row r="1492" spans="1:16">
      <c r="A1492" s="3">
        <v>44087.908101851848</v>
      </c>
      <c r="B1492" s="4" t="str">
        <f>HYPERLINK("https://twitter.com/sergio_fajardo","@sergio_fajardo")</f>
        <v>@sergio_fajardo</v>
      </c>
      <c r="C1492" s="5" t="s">
        <v>16</v>
      </c>
      <c r="D1492" s="5" t="s">
        <v>1513</v>
      </c>
      <c r="E1492" s="6" t="str">
        <f>HYPERLINK("https://twitter.com/sergio_fajardo/status/1305178846304579592","1305178846304579592")</f>
        <v>1305178846304579592</v>
      </c>
      <c r="F1492" s="7" t="s">
        <v>23</v>
      </c>
      <c r="G1492" s="7">
        <v>1553934</v>
      </c>
      <c r="H1492" s="7">
        <v>395</v>
      </c>
      <c r="I1492" s="7">
        <v>2</v>
      </c>
      <c r="J1492" s="7">
        <v>4</v>
      </c>
      <c r="K1492" s="7" t="s">
        <v>18</v>
      </c>
      <c r="L1492" s="8">
        <v>39891.213356481479</v>
      </c>
      <c r="M1492" s="9" t="s">
        <v>19</v>
      </c>
      <c r="N1492" s="9" t="s">
        <v>22</v>
      </c>
      <c r="O1492" s="6" t="str">
        <f>HYPERLINK("https://pbs.twimg.com/profile_images/988971255679324162/jrqiIYf__normal.jpg","View")</f>
        <v>View</v>
      </c>
      <c r="P1492" s="7"/>
    </row>
    <row r="1493" spans="1:16">
      <c r="A1493" s="3">
        <v>44088.07849537037</v>
      </c>
      <c r="B1493" s="4" t="str">
        <f>HYPERLINK("https://twitter.com/sergio_fajardo","@sergio_fajardo")</f>
        <v>@sergio_fajardo</v>
      </c>
      <c r="C1493" s="5" t="s">
        <v>16</v>
      </c>
      <c r="D1493" s="5" t="s">
        <v>1514</v>
      </c>
      <c r="E1493" s="6" t="str">
        <f>HYPERLINK("https://twitter.com/sergio_fajardo/status/1305240595414290433","1305240595414290433")</f>
        <v>1305240595414290433</v>
      </c>
      <c r="F1493" s="7" t="s">
        <v>17</v>
      </c>
      <c r="G1493" s="7">
        <v>1553996</v>
      </c>
      <c r="H1493" s="7">
        <v>395</v>
      </c>
      <c r="I1493" s="7">
        <v>9</v>
      </c>
      <c r="J1493" s="7">
        <v>0</v>
      </c>
      <c r="K1493" s="7" t="s">
        <v>18</v>
      </c>
      <c r="L1493" s="8">
        <v>39891.213356481479</v>
      </c>
      <c r="M1493" s="9" t="s">
        <v>19</v>
      </c>
      <c r="N1493" s="9" t="s">
        <v>22</v>
      </c>
      <c r="O1493" s="6" t="str">
        <f>HYPERLINK("https://pbs.twimg.com/profile_images/988971255679324162/jrqiIYf__normal.jpg","View")</f>
        <v>View</v>
      </c>
      <c r="P1493" s="7"/>
    </row>
    <row r="1494" spans="1:16">
      <c r="A1494" s="3">
        <v>44088.995555555557</v>
      </c>
      <c r="B1494" s="4" t="str">
        <f>HYPERLINK("https://twitter.com/sergio_fajardo","@sergio_fajardo")</f>
        <v>@sergio_fajardo</v>
      </c>
      <c r="C1494" s="5" t="s">
        <v>16</v>
      </c>
      <c r="D1494" s="5" t="s">
        <v>1515</v>
      </c>
      <c r="E1494" s="6" t="str">
        <f>HYPERLINK("https://twitter.com/sergio_fajardo/status/1305572926901583872","1305572926901583872")</f>
        <v>1305572926901583872</v>
      </c>
      <c r="F1494" s="7" t="s">
        <v>17</v>
      </c>
      <c r="G1494" s="7">
        <v>1554093</v>
      </c>
      <c r="H1494" s="7">
        <v>395</v>
      </c>
      <c r="I1494" s="7">
        <v>1160</v>
      </c>
      <c r="J1494" s="7">
        <v>0</v>
      </c>
      <c r="K1494" s="7" t="s">
        <v>18</v>
      </c>
      <c r="L1494" s="8">
        <v>39891.213356481479</v>
      </c>
      <c r="M1494" s="9" t="s">
        <v>19</v>
      </c>
      <c r="N1494" s="9" t="s">
        <v>22</v>
      </c>
      <c r="O1494" s="6" t="str">
        <f>HYPERLINK("https://pbs.twimg.com/profile_images/988971255679324162/jrqiIYf__normal.jpg","View")</f>
        <v>View</v>
      </c>
      <c r="P1494" s="7"/>
    </row>
    <row r="1495" spans="1:16">
      <c r="A1495" s="3">
        <v>44089.004050925927</v>
      </c>
      <c r="B1495" s="4" t="str">
        <f>HYPERLINK("https://twitter.com/sergio_fajardo","@sergio_fajardo")</f>
        <v>@sergio_fajardo</v>
      </c>
      <c r="C1495" s="5" t="s">
        <v>16</v>
      </c>
      <c r="D1495" s="5" t="s">
        <v>1516</v>
      </c>
      <c r="E1495" s="6" t="str">
        <f>HYPERLINK("https://twitter.com/sergio_fajardo/status/1305576006170836993","1305576006170836993")</f>
        <v>1305576006170836993</v>
      </c>
      <c r="F1495" s="7" t="s">
        <v>17</v>
      </c>
      <c r="G1495" s="7">
        <v>1554093</v>
      </c>
      <c r="H1495" s="7">
        <v>395</v>
      </c>
      <c r="I1495" s="7">
        <v>4</v>
      </c>
      <c r="J1495" s="7">
        <v>43</v>
      </c>
      <c r="K1495" s="7" t="s">
        <v>18</v>
      </c>
      <c r="L1495" s="8">
        <v>39891.213356481479</v>
      </c>
      <c r="M1495" s="9" t="s">
        <v>19</v>
      </c>
      <c r="N1495" s="9" t="s">
        <v>22</v>
      </c>
      <c r="O1495" s="6" t="str">
        <f>HYPERLINK("https://pbs.twimg.com/profile_images/988971255679324162/jrqiIYf__normal.jpg","View")</f>
        <v>View</v>
      </c>
      <c r="P1495" s="7"/>
    </row>
    <row r="1496" spans="1:16">
      <c r="A1496" s="3">
        <v>44089.097592592589</v>
      </c>
      <c r="B1496" s="4" t="str">
        <f>HYPERLINK("https://twitter.com/sergio_fajardo","@sergio_fajardo")</f>
        <v>@sergio_fajardo</v>
      </c>
      <c r="C1496" s="5" t="s">
        <v>16</v>
      </c>
      <c r="D1496" s="5" t="s">
        <v>1517</v>
      </c>
      <c r="E1496" s="6" t="str">
        <f>HYPERLINK("https://twitter.com/sergio_fajardo/status/1305609902799425537","1305609902799425537")</f>
        <v>1305609902799425537</v>
      </c>
      <c r="F1496" s="7" t="s">
        <v>17</v>
      </c>
      <c r="G1496" s="7">
        <v>1554101</v>
      </c>
      <c r="H1496" s="7">
        <v>395</v>
      </c>
      <c r="I1496" s="7">
        <v>14</v>
      </c>
      <c r="J1496" s="7">
        <v>0</v>
      </c>
      <c r="K1496" s="7" t="s">
        <v>18</v>
      </c>
      <c r="L1496" s="8">
        <v>39891.213356481479</v>
      </c>
      <c r="M1496" s="9" t="s">
        <v>19</v>
      </c>
      <c r="N1496" s="9" t="s">
        <v>22</v>
      </c>
      <c r="O1496" s="6" t="str">
        <f>HYPERLINK("https://pbs.twimg.com/profile_images/988971255679324162/jrqiIYf__normal.jpg","View")</f>
        <v>View</v>
      </c>
      <c r="P1496" s="7"/>
    </row>
    <row r="1497" spans="1:16">
      <c r="A1497" s="3">
        <v>44089.267557870371</v>
      </c>
      <c r="B1497" s="4" t="str">
        <f>HYPERLINK("https://twitter.com/sergio_fajardo","@sergio_fajardo")</f>
        <v>@sergio_fajardo</v>
      </c>
      <c r="C1497" s="5" t="s">
        <v>16</v>
      </c>
      <c r="D1497" s="5" t="s">
        <v>1518</v>
      </c>
      <c r="E1497" s="6" t="str">
        <f>HYPERLINK("https://twitter.com/sergio_fajardo/status/1305671495566405632","1305671495566405632")</f>
        <v>1305671495566405632</v>
      </c>
      <c r="F1497" s="7" t="s">
        <v>17</v>
      </c>
      <c r="G1497" s="7">
        <v>1554111</v>
      </c>
      <c r="H1497" s="7">
        <v>395</v>
      </c>
      <c r="I1497" s="7">
        <v>14</v>
      </c>
      <c r="J1497" s="7">
        <v>0</v>
      </c>
      <c r="K1497" s="7" t="s">
        <v>18</v>
      </c>
      <c r="L1497" s="8">
        <v>39891.213356481479</v>
      </c>
      <c r="M1497" s="9" t="s">
        <v>19</v>
      </c>
      <c r="N1497" s="9" t="s">
        <v>22</v>
      </c>
      <c r="O1497" s="6" t="str">
        <f>HYPERLINK("https://pbs.twimg.com/profile_images/988971255679324162/jrqiIYf__normal.jpg","View")</f>
        <v>View</v>
      </c>
      <c r="P1497" s="7"/>
    </row>
    <row r="1498" spans="1:16">
      <c r="A1498" s="3">
        <v>44089.839444444442</v>
      </c>
      <c r="B1498" s="4" t="str">
        <f>HYPERLINK("https://twitter.com/sergio_fajardo","@sergio_fajardo")</f>
        <v>@sergio_fajardo</v>
      </c>
      <c r="C1498" s="5" t="s">
        <v>16</v>
      </c>
      <c r="D1498" s="5" t="s">
        <v>1519</v>
      </c>
      <c r="E1498" s="6" t="str">
        <f>HYPERLINK("https://twitter.com/sergio_fajardo/status/1305878740581388291","1305878740581388291")</f>
        <v>1305878740581388291</v>
      </c>
      <c r="F1498" s="7" t="s">
        <v>17</v>
      </c>
      <c r="G1498" s="7">
        <v>1554129</v>
      </c>
      <c r="H1498" s="7">
        <v>395</v>
      </c>
      <c r="I1498" s="7">
        <v>835</v>
      </c>
      <c r="J1498" s="7">
        <v>0</v>
      </c>
      <c r="K1498" s="7" t="s">
        <v>18</v>
      </c>
      <c r="L1498" s="8">
        <v>39891.213356481479</v>
      </c>
      <c r="M1498" s="9" t="s">
        <v>19</v>
      </c>
      <c r="N1498" s="9" t="s">
        <v>22</v>
      </c>
      <c r="O1498" s="6" t="str">
        <f>HYPERLINK("https://pbs.twimg.com/profile_images/988971255679324162/jrqiIYf__normal.jpg","View")</f>
        <v>View</v>
      </c>
      <c r="P1498" s="7"/>
    </row>
    <row r="1499" spans="1:16">
      <c r="A1499" s="3">
        <v>44090.003136574072</v>
      </c>
      <c r="B1499" s="4" t="str">
        <f>HYPERLINK("https://twitter.com/sergio_fajardo","@sergio_fajardo")</f>
        <v>@sergio_fajardo</v>
      </c>
      <c r="C1499" s="5" t="s">
        <v>16</v>
      </c>
      <c r="D1499" s="5" t="s">
        <v>1520</v>
      </c>
      <c r="E1499" s="6" t="str">
        <f>HYPERLINK("https://twitter.com/sergio_fajardo/status/1305938062304849923","1305938062304849923")</f>
        <v>1305938062304849923</v>
      </c>
      <c r="F1499" s="7" t="s">
        <v>17</v>
      </c>
      <c r="G1499" s="7">
        <v>1554176</v>
      </c>
      <c r="H1499" s="7">
        <v>395</v>
      </c>
      <c r="I1499" s="7">
        <v>3</v>
      </c>
      <c r="J1499" s="7">
        <v>47</v>
      </c>
      <c r="K1499" s="7" t="s">
        <v>18</v>
      </c>
      <c r="L1499" s="8">
        <v>39891.213356481479</v>
      </c>
      <c r="M1499" s="9" t="s">
        <v>19</v>
      </c>
      <c r="N1499" s="9" t="s">
        <v>22</v>
      </c>
      <c r="O1499" s="6" t="str">
        <f>HYPERLINK("https://pbs.twimg.com/profile_images/988971255679324162/jrqiIYf__normal.jpg","View")</f>
        <v>View</v>
      </c>
      <c r="P1499" s="7"/>
    </row>
    <row r="1500" spans="1:16">
      <c r="A1500" s="3">
        <v>44090.704004629632</v>
      </c>
      <c r="B1500" s="4" t="str">
        <f>HYPERLINK("https://twitter.com/sergio_fajardo","@sergio_fajardo")</f>
        <v>@sergio_fajardo</v>
      </c>
      <c r="C1500" s="5" t="s">
        <v>16</v>
      </c>
      <c r="D1500" s="5" t="s">
        <v>1521</v>
      </c>
      <c r="E1500" s="6" t="str">
        <f>HYPERLINK("https://twitter.com/sergio_fajardo/status/1306192047787978752","1306192047787978752")</f>
        <v>1306192047787978752</v>
      </c>
      <c r="F1500" s="7" t="s">
        <v>17</v>
      </c>
      <c r="G1500" s="7">
        <v>1554247</v>
      </c>
      <c r="H1500" s="7">
        <v>395</v>
      </c>
      <c r="I1500" s="7">
        <v>7</v>
      </c>
      <c r="J1500" s="7">
        <v>54</v>
      </c>
      <c r="K1500" s="7" t="s">
        <v>18</v>
      </c>
      <c r="L1500" s="8">
        <v>39891.213356481479</v>
      </c>
      <c r="M1500" s="9" t="s">
        <v>19</v>
      </c>
      <c r="N1500" s="9" t="s">
        <v>22</v>
      </c>
      <c r="O1500" s="6" t="str">
        <f>HYPERLINK("https://pbs.twimg.com/profile_images/988971255679324162/jrqiIYf__normal.jpg","View")</f>
        <v>View</v>
      </c>
      <c r="P1500" s="7"/>
    </row>
    <row r="1501" spans="1:16">
      <c r="A1501" s="3">
        <v>44090.710543981477</v>
      </c>
      <c r="B1501" s="4" t="str">
        <f>HYPERLINK("https://twitter.com/sergio_fajardo","@sergio_fajardo")</f>
        <v>@sergio_fajardo</v>
      </c>
      <c r="C1501" s="5" t="s">
        <v>16</v>
      </c>
      <c r="D1501" s="5" t="s">
        <v>1522</v>
      </c>
      <c r="E1501" s="6" t="str">
        <f>HYPERLINK("https://twitter.com/sergio_fajardo/status/1306194415136931842","1306194415136931842")</f>
        <v>1306194415136931842</v>
      </c>
      <c r="F1501" s="7" t="s">
        <v>17</v>
      </c>
      <c r="G1501" s="7">
        <v>1554247</v>
      </c>
      <c r="H1501" s="7">
        <v>395</v>
      </c>
      <c r="I1501" s="7">
        <v>4</v>
      </c>
      <c r="J1501" s="7">
        <v>0</v>
      </c>
      <c r="K1501" s="7" t="s">
        <v>18</v>
      </c>
      <c r="L1501" s="8">
        <v>39891.213356481479</v>
      </c>
      <c r="M1501" s="9" t="s">
        <v>19</v>
      </c>
      <c r="N1501" s="9" t="s">
        <v>22</v>
      </c>
      <c r="O1501" s="6" t="str">
        <f>HYPERLINK("https://pbs.twimg.com/profile_images/988971255679324162/jrqiIYf__normal.jpg","View")</f>
        <v>View</v>
      </c>
      <c r="P1501" s="7"/>
    </row>
    <row r="1502" spans="1:16">
      <c r="A1502" s="3">
        <v>44090.719722222224</v>
      </c>
      <c r="B1502" s="4" t="str">
        <f>HYPERLINK("https://twitter.com/sergio_fajardo","@sergio_fajardo")</f>
        <v>@sergio_fajardo</v>
      </c>
      <c r="C1502" s="5" t="s">
        <v>16</v>
      </c>
      <c r="D1502" s="5" t="s">
        <v>1523</v>
      </c>
      <c r="E1502" s="6" t="str">
        <f>HYPERLINK("https://twitter.com/sergio_fajardo/status/1306197741433958400","1306197741433958400")</f>
        <v>1306197741433958400</v>
      </c>
      <c r="F1502" s="7" t="s">
        <v>17</v>
      </c>
      <c r="G1502" s="7">
        <v>1554247</v>
      </c>
      <c r="H1502" s="7">
        <v>395</v>
      </c>
      <c r="I1502" s="7">
        <v>6</v>
      </c>
      <c r="J1502" s="7">
        <v>0</v>
      </c>
      <c r="K1502" s="7" t="s">
        <v>18</v>
      </c>
      <c r="L1502" s="8">
        <v>39891.213356481479</v>
      </c>
      <c r="M1502" s="9" t="s">
        <v>19</v>
      </c>
      <c r="N1502" s="9" t="s">
        <v>22</v>
      </c>
      <c r="O1502" s="6" t="str">
        <f>HYPERLINK("https://pbs.twimg.com/profile_images/988971255679324162/jrqiIYf__normal.jpg","View")</f>
        <v>View</v>
      </c>
      <c r="P1502" s="7"/>
    </row>
    <row r="1503" spans="1:16">
      <c r="A1503" s="3">
        <v>44090.720046296294</v>
      </c>
      <c r="B1503" s="4" t="str">
        <f>HYPERLINK("https://twitter.com/sergio_fajardo","@sergio_fajardo")</f>
        <v>@sergio_fajardo</v>
      </c>
      <c r="C1503" s="5" t="s">
        <v>16</v>
      </c>
      <c r="D1503" s="5" t="s">
        <v>1524</v>
      </c>
      <c r="E1503" s="6" t="str">
        <f>HYPERLINK("https://twitter.com/sergio_fajardo/status/1306197861529346049","1306197861529346049")</f>
        <v>1306197861529346049</v>
      </c>
      <c r="F1503" s="7" t="s">
        <v>17</v>
      </c>
      <c r="G1503" s="7">
        <v>1554247</v>
      </c>
      <c r="H1503" s="7">
        <v>395</v>
      </c>
      <c r="I1503" s="7">
        <v>10</v>
      </c>
      <c r="J1503" s="7">
        <v>0</v>
      </c>
      <c r="K1503" s="7" t="s">
        <v>18</v>
      </c>
      <c r="L1503" s="8">
        <v>39891.213356481479</v>
      </c>
      <c r="M1503" s="9" t="s">
        <v>19</v>
      </c>
      <c r="N1503" s="9" t="s">
        <v>22</v>
      </c>
      <c r="O1503" s="6" t="str">
        <f>HYPERLINK("https://pbs.twimg.com/profile_images/988971255679324162/jrqiIYf__normal.jpg","View")</f>
        <v>View</v>
      </c>
      <c r="P1503" s="7"/>
    </row>
    <row r="1504" spans="1:16">
      <c r="A1504" s="3">
        <v>44090.72210648148</v>
      </c>
      <c r="B1504" s="4" t="str">
        <f>HYPERLINK("https://twitter.com/sergio_fajardo","@sergio_fajardo")</f>
        <v>@sergio_fajardo</v>
      </c>
      <c r="C1504" s="5" t="s">
        <v>16</v>
      </c>
      <c r="D1504" s="5" t="s">
        <v>1525</v>
      </c>
      <c r="E1504" s="6" t="str">
        <f>HYPERLINK("https://twitter.com/sergio_fajardo/status/1306198605825478656","1306198605825478656")</f>
        <v>1306198605825478656</v>
      </c>
      <c r="F1504" s="7" t="s">
        <v>17</v>
      </c>
      <c r="G1504" s="7">
        <v>1554248</v>
      </c>
      <c r="H1504" s="7">
        <v>395</v>
      </c>
      <c r="I1504" s="7">
        <v>18</v>
      </c>
      <c r="J1504" s="7">
        <v>0</v>
      </c>
      <c r="K1504" s="7" t="s">
        <v>18</v>
      </c>
      <c r="L1504" s="8">
        <v>39891.213356481479</v>
      </c>
      <c r="M1504" s="9" t="s">
        <v>19</v>
      </c>
      <c r="N1504" s="9" t="s">
        <v>22</v>
      </c>
      <c r="O1504" s="6" t="str">
        <f>HYPERLINK("https://pbs.twimg.com/profile_images/988971255679324162/jrqiIYf__normal.jpg","View")</f>
        <v>View</v>
      </c>
      <c r="P1504" s="7"/>
    </row>
    <row r="1505" spans="1:16">
      <c r="A1505" s="3">
        <v>44090.762418981481</v>
      </c>
      <c r="B1505" s="4" t="str">
        <f>HYPERLINK("https://twitter.com/sergio_fajardo","@sergio_fajardo")</f>
        <v>@sergio_fajardo</v>
      </c>
      <c r="C1505" s="5" t="s">
        <v>16</v>
      </c>
      <c r="D1505" s="5" t="s">
        <v>1526</v>
      </c>
      <c r="E1505" s="6" t="str">
        <f>HYPERLINK("https://twitter.com/sergio_fajardo/status/1306213214812766213","1306213214812766213")</f>
        <v>1306213214812766213</v>
      </c>
      <c r="F1505" s="7" t="s">
        <v>17</v>
      </c>
      <c r="G1505" s="7">
        <v>1554261</v>
      </c>
      <c r="H1505" s="7">
        <v>395</v>
      </c>
      <c r="I1505" s="7">
        <v>3</v>
      </c>
      <c r="J1505" s="7">
        <v>0</v>
      </c>
      <c r="K1505" s="7" t="s">
        <v>18</v>
      </c>
      <c r="L1505" s="8">
        <v>39891.213356481479</v>
      </c>
      <c r="M1505" s="9" t="s">
        <v>19</v>
      </c>
      <c r="N1505" s="9" t="s">
        <v>22</v>
      </c>
      <c r="O1505" s="6" t="str">
        <f>HYPERLINK("https://pbs.twimg.com/profile_images/988971255679324162/jrqiIYf__normal.jpg","View")</f>
        <v>View</v>
      </c>
      <c r="P1505" s="7"/>
    </row>
    <row r="1506" spans="1:16">
      <c r="A1506" s="3">
        <v>44091.284756944442</v>
      </c>
      <c r="B1506" s="4" t="str">
        <f>HYPERLINK("https://twitter.com/sergio_fajardo","@sergio_fajardo")</f>
        <v>@sergio_fajardo</v>
      </c>
      <c r="C1506" s="5" t="s">
        <v>16</v>
      </c>
      <c r="D1506" s="5" t="s">
        <v>1527</v>
      </c>
      <c r="E1506" s="6" t="str">
        <f>HYPERLINK("https://twitter.com/sergio_fajardo/status/1306402503337050114","1306402503337050114")</f>
        <v>1306402503337050114</v>
      </c>
      <c r="F1506" s="7" t="s">
        <v>17</v>
      </c>
      <c r="G1506" s="7">
        <v>1554431</v>
      </c>
      <c r="H1506" s="7">
        <v>395</v>
      </c>
      <c r="I1506" s="7">
        <v>1</v>
      </c>
      <c r="J1506" s="7">
        <v>0</v>
      </c>
      <c r="K1506" s="7" t="s">
        <v>18</v>
      </c>
      <c r="L1506" s="8">
        <v>39891.213356481479</v>
      </c>
      <c r="M1506" s="9" t="s">
        <v>19</v>
      </c>
      <c r="N1506" s="9" t="s">
        <v>22</v>
      </c>
      <c r="O1506" s="6" t="str">
        <f>HYPERLINK("https://pbs.twimg.com/profile_images/988971255679324162/jrqiIYf__normal.jpg","View")</f>
        <v>View</v>
      </c>
      <c r="P1506" s="7"/>
    </row>
    <row r="1507" spans="1:16">
      <c r="A1507" s="3">
        <v>44091.285462962958</v>
      </c>
      <c r="B1507" s="4" t="str">
        <f>HYPERLINK("https://twitter.com/sergio_fajardo","@sergio_fajardo")</f>
        <v>@sergio_fajardo</v>
      </c>
      <c r="C1507" s="5" t="s">
        <v>16</v>
      </c>
      <c r="D1507" s="5" t="s">
        <v>1528</v>
      </c>
      <c r="E1507" s="6" t="str">
        <f>HYPERLINK("https://twitter.com/sergio_fajardo/status/1306402758744997888","1306402758744997888")</f>
        <v>1306402758744997888</v>
      </c>
      <c r="F1507" s="7" t="s">
        <v>17</v>
      </c>
      <c r="G1507" s="7">
        <v>1554431</v>
      </c>
      <c r="H1507" s="7">
        <v>395</v>
      </c>
      <c r="I1507" s="7">
        <v>3</v>
      </c>
      <c r="J1507" s="7">
        <v>0</v>
      </c>
      <c r="K1507" s="7" t="s">
        <v>18</v>
      </c>
      <c r="L1507" s="8">
        <v>39891.213356481479</v>
      </c>
      <c r="M1507" s="9" t="s">
        <v>19</v>
      </c>
      <c r="N1507" s="9" t="s">
        <v>22</v>
      </c>
      <c r="O1507" s="6" t="str">
        <f>HYPERLINK("https://pbs.twimg.com/profile_images/988971255679324162/jrqiIYf__normal.jpg","View")</f>
        <v>View</v>
      </c>
      <c r="P1507" s="7"/>
    </row>
    <row r="1508" spans="1:16">
      <c r="A1508" s="3">
        <v>44091.335787037038</v>
      </c>
      <c r="B1508" s="4" t="str">
        <f>HYPERLINK("https://twitter.com/sergio_fajardo","@sergio_fajardo")</f>
        <v>@sergio_fajardo</v>
      </c>
      <c r="C1508" s="5" t="s">
        <v>16</v>
      </c>
      <c r="D1508" s="5" t="s">
        <v>1529</v>
      </c>
      <c r="E1508" s="6" t="str">
        <f>HYPERLINK("https://twitter.com/sergio_fajardo/status/1306420996740710401","1306420996740710401")</f>
        <v>1306420996740710401</v>
      </c>
      <c r="F1508" s="7" t="s">
        <v>17</v>
      </c>
      <c r="G1508" s="7">
        <v>1554434</v>
      </c>
      <c r="H1508" s="7">
        <v>395</v>
      </c>
      <c r="I1508" s="7">
        <v>16766</v>
      </c>
      <c r="J1508" s="7">
        <v>0</v>
      </c>
      <c r="K1508" s="7" t="s">
        <v>18</v>
      </c>
      <c r="L1508" s="8">
        <v>39891.213356481479</v>
      </c>
      <c r="M1508" s="9" t="s">
        <v>19</v>
      </c>
      <c r="N1508" s="9" t="s">
        <v>22</v>
      </c>
      <c r="O1508" s="6" t="str">
        <f>HYPERLINK("https://pbs.twimg.com/profile_images/988971255679324162/jrqiIYf__normal.jpg","View")</f>
        <v>View</v>
      </c>
      <c r="P1508" s="7"/>
    </row>
    <row r="1509" spans="1:16">
      <c r="A1509" s="3">
        <v>44091.719421296293</v>
      </c>
      <c r="B1509" s="4" t="str">
        <f>HYPERLINK("https://twitter.com/sergio_fajardo","@sergio_fajardo")</f>
        <v>@sergio_fajardo</v>
      </c>
      <c r="C1509" s="5" t="s">
        <v>16</v>
      </c>
      <c r="D1509" s="5" t="s">
        <v>1530</v>
      </c>
      <c r="E1509" s="6" t="str">
        <f>HYPERLINK("https://twitter.com/sergio_fajardo/status/1306560022319595521","1306560022319595521")</f>
        <v>1306560022319595521</v>
      </c>
      <c r="F1509" s="7" t="s">
        <v>23</v>
      </c>
      <c r="G1509" s="7">
        <v>1554464</v>
      </c>
      <c r="H1509" s="7">
        <v>395</v>
      </c>
      <c r="I1509" s="7">
        <v>0</v>
      </c>
      <c r="J1509" s="7">
        <v>5</v>
      </c>
      <c r="K1509" s="7" t="s">
        <v>18</v>
      </c>
      <c r="L1509" s="8">
        <v>39891.213356481479</v>
      </c>
      <c r="M1509" s="9" t="s">
        <v>19</v>
      </c>
      <c r="N1509" s="9" t="s">
        <v>22</v>
      </c>
      <c r="O1509" s="6" t="str">
        <f>HYPERLINK("https://pbs.twimg.com/profile_images/988971255679324162/jrqiIYf__normal.jpg","View")</f>
        <v>View</v>
      </c>
      <c r="P1509" s="7"/>
    </row>
    <row r="1510" spans="1:16">
      <c r="A1510" s="3">
        <v>44091.722916666666</v>
      </c>
      <c r="B1510" s="4" t="str">
        <f>HYPERLINK("https://twitter.com/sergio_fajardo","@sergio_fajardo")</f>
        <v>@sergio_fajardo</v>
      </c>
      <c r="C1510" s="5" t="s">
        <v>16</v>
      </c>
      <c r="D1510" s="5" t="s">
        <v>1531</v>
      </c>
      <c r="E1510" s="6" t="str">
        <f>HYPERLINK("https://twitter.com/sergio_fajardo/status/1306561289674723328","1306561289674723328")</f>
        <v>1306561289674723328</v>
      </c>
      <c r="F1510" s="7" t="s">
        <v>23</v>
      </c>
      <c r="G1510" s="7">
        <v>1554457</v>
      </c>
      <c r="H1510" s="7">
        <v>395</v>
      </c>
      <c r="I1510" s="7">
        <v>11</v>
      </c>
      <c r="J1510" s="7">
        <v>51</v>
      </c>
      <c r="K1510" s="7" t="s">
        <v>18</v>
      </c>
      <c r="L1510" s="8">
        <v>39891.213356481479</v>
      </c>
      <c r="M1510" s="9" t="s">
        <v>19</v>
      </c>
      <c r="N1510" s="9" t="s">
        <v>22</v>
      </c>
      <c r="O1510" s="6" t="str">
        <f>HYPERLINK("https://pbs.twimg.com/profile_images/988971255679324162/jrqiIYf__normal.jpg","View")</f>
        <v>View</v>
      </c>
      <c r="P1510" s="7"/>
    </row>
    <row r="1511" spans="1:16">
      <c r="A1511" s="3">
        <v>44091.737210648149</v>
      </c>
      <c r="B1511" s="4" t="str">
        <f>HYPERLINK("https://twitter.com/sergio_fajardo","@sergio_fajardo")</f>
        <v>@sergio_fajardo</v>
      </c>
      <c r="C1511" s="5" t="s">
        <v>16</v>
      </c>
      <c r="D1511" s="5" t="s">
        <v>1532</v>
      </c>
      <c r="E1511" s="6" t="str">
        <f>HYPERLINK("https://twitter.com/sergio_fajardo/status/1306566467534680064","1306566467534680064")</f>
        <v>1306566467534680064</v>
      </c>
      <c r="F1511" s="7" t="s">
        <v>23</v>
      </c>
      <c r="G1511" s="7">
        <v>1554457</v>
      </c>
      <c r="H1511" s="7">
        <v>395</v>
      </c>
      <c r="I1511" s="7">
        <v>6</v>
      </c>
      <c r="J1511" s="7">
        <v>28</v>
      </c>
      <c r="K1511" s="7" t="s">
        <v>18</v>
      </c>
      <c r="L1511" s="8">
        <v>39891.213356481479</v>
      </c>
      <c r="M1511" s="9" t="s">
        <v>19</v>
      </c>
      <c r="N1511" s="9" t="s">
        <v>22</v>
      </c>
      <c r="O1511" s="6" t="str">
        <f>HYPERLINK("https://pbs.twimg.com/profile_images/988971255679324162/jrqiIYf__normal.jpg","View")</f>
        <v>View</v>
      </c>
      <c r="P1511" s="7"/>
    </row>
    <row r="1512" spans="1:16">
      <c r="A1512" s="3">
        <v>44091.75199074074</v>
      </c>
      <c r="B1512" s="4" t="str">
        <f>HYPERLINK("https://twitter.com/sergio_fajardo","@sergio_fajardo")</f>
        <v>@sergio_fajardo</v>
      </c>
      <c r="C1512" s="5" t="s">
        <v>16</v>
      </c>
      <c r="D1512" s="5" t="s">
        <v>1533</v>
      </c>
      <c r="E1512" s="6" t="str">
        <f>HYPERLINK("https://twitter.com/sergio_fajardo/status/1306571823564324864","1306571823564324864")</f>
        <v>1306571823564324864</v>
      </c>
      <c r="F1512" s="7" t="s">
        <v>23</v>
      </c>
      <c r="G1512" s="7">
        <v>1554456</v>
      </c>
      <c r="H1512" s="7">
        <v>395</v>
      </c>
      <c r="I1512" s="7">
        <v>29</v>
      </c>
      <c r="J1512" s="7">
        <v>158</v>
      </c>
      <c r="K1512" s="7" t="s">
        <v>18</v>
      </c>
      <c r="L1512" s="8">
        <v>39891.213356481479</v>
      </c>
      <c r="M1512" s="9" t="s">
        <v>19</v>
      </c>
      <c r="N1512" s="9" t="s">
        <v>22</v>
      </c>
      <c r="O1512" s="6" t="str">
        <f>HYPERLINK("https://pbs.twimg.com/profile_images/988971255679324162/jrqiIYf__normal.jpg","View")</f>
        <v>View</v>
      </c>
      <c r="P1512" s="7"/>
    </row>
    <row r="1513" spans="1:16">
      <c r="A1513" s="3">
        <v>44091.758055555554</v>
      </c>
      <c r="B1513" s="4" t="str">
        <f>HYPERLINK("https://twitter.com/sergio_fajardo","@sergio_fajardo")</f>
        <v>@sergio_fajardo</v>
      </c>
      <c r="C1513" s="5" t="s">
        <v>16</v>
      </c>
      <c r="D1513" s="5" t="s">
        <v>1534</v>
      </c>
      <c r="E1513" s="6" t="str">
        <f>HYPERLINK("https://twitter.com/sergio_fajardo/status/1306574024030515200","1306574024030515200")</f>
        <v>1306574024030515200</v>
      </c>
      <c r="F1513" s="7" t="s">
        <v>23</v>
      </c>
      <c r="G1513" s="7">
        <v>1554456</v>
      </c>
      <c r="H1513" s="7">
        <v>395</v>
      </c>
      <c r="I1513" s="7">
        <v>8</v>
      </c>
      <c r="J1513" s="7">
        <v>46</v>
      </c>
      <c r="K1513" s="7" t="s">
        <v>18</v>
      </c>
      <c r="L1513" s="8">
        <v>39891.213356481479</v>
      </c>
      <c r="M1513" s="9" t="s">
        <v>19</v>
      </c>
      <c r="N1513" s="9" t="s">
        <v>22</v>
      </c>
      <c r="O1513" s="6" t="str">
        <f>HYPERLINK("https://pbs.twimg.com/profile_images/988971255679324162/jrqiIYf__normal.jpg","View")</f>
        <v>View</v>
      </c>
      <c r="P1513" s="7"/>
    </row>
    <row r="1514" spans="1:16">
      <c r="A1514" s="3">
        <v>44092.024085648147</v>
      </c>
      <c r="B1514" s="4" t="str">
        <f>HYPERLINK("https://twitter.com/sergio_fajardo","@sergio_fajardo")</f>
        <v>@sergio_fajardo</v>
      </c>
      <c r="C1514" s="5" t="s">
        <v>16</v>
      </c>
      <c r="D1514" s="5" t="s">
        <v>1535</v>
      </c>
      <c r="E1514" s="6" t="str">
        <f>HYPERLINK("https://twitter.com/sergio_fajardo/status/1306670429092876290","1306670429092876290")</f>
        <v>1306670429092876290</v>
      </c>
      <c r="F1514" s="7" t="s">
        <v>20</v>
      </c>
      <c r="G1514" s="7">
        <v>1554520</v>
      </c>
      <c r="H1514" s="7">
        <v>395</v>
      </c>
      <c r="I1514" s="7">
        <v>4</v>
      </c>
      <c r="J1514" s="7">
        <v>16</v>
      </c>
      <c r="K1514" s="7" t="s">
        <v>18</v>
      </c>
      <c r="L1514" s="8">
        <v>39891.213356481479</v>
      </c>
      <c r="M1514" s="9" t="s">
        <v>19</v>
      </c>
      <c r="N1514" s="9" t="s">
        <v>22</v>
      </c>
      <c r="O1514" s="6" t="str">
        <f>HYPERLINK("https://pbs.twimg.com/profile_images/988971255679324162/jrqiIYf__normal.jpg","View")</f>
        <v>View</v>
      </c>
      <c r="P1514" s="7"/>
    </row>
    <row r="1515" spans="1:16">
      <c r="A1515" s="3">
        <v>44092.948206018518</v>
      </c>
      <c r="B1515" s="4" t="str">
        <f>HYPERLINK("https://twitter.com/sergio_fajardo","@sergio_fajardo")</f>
        <v>@sergio_fajardo</v>
      </c>
      <c r="C1515" s="5" t="s">
        <v>16</v>
      </c>
      <c r="D1515" s="5" t="s">
        <v>1536</v>
      </c>
      <c r="E1515" s="6" t="str">
        <f>HYPERLINK("https://twitter.com/sergio_fajardo/status/1307005317784522754","1307005317784522754")</f>
        <v>1307005317784522754</v>
      </c>
      <c r="F1515" s="7" t="s">
        <v>23</v>
      </c>
      <c r="G1515" s="7">
        <v>1554633</v>
      </c>
      <c r="H1515" s="7">
        <v>395</v>
      </c>
      <c r="I1515" s="7">
        <v>3</v>
      </c>
      <c r="J1515" s="7">
        <v>0</v>
      </c>
      <c r="K1515" s="7" t="s">
        <v>18</v>
      </c>
      <c r="L1515" s="8">
        <v>39891.213356481479</v>
      </c>
      <c r="M1515" s="9" t="s">
        <v>19</v>
      </c>
      <c r="N1515" s="9" t="s">
        <v>22</v>
      </c>
      <c r="O1515" s="6" t="str">
        <f>HYPERLINK("https://pbs.twimg.com/profile_images/988971255679324162/jrqiIYf__normal.jpg","View")</f>
        <v>View</v>
      </c>
      <c r="P1515" s="7"/>
    </row>
    <row r="1516" spans="1:16">
      <c r="A1516" s="3">
        <v>44093.149062500001</v>
      </c>
      <c r="B1516" s="4" t="str">
        <f>HYPERLINK("https://twitter.com/sergio_fajardo","@sergio_fajardo")</f>
        <v>@sergio_fajardo</v>
      </c>
      <c r="C1516" s="5" t="s">
        <v>16</v>
      </c>
      <c r="D1516" s="5" t="s">
        <v>1537</v>
      </c>
      <c r="E1516" s="6" t="str">
        <f>HYPERLINK("https://twitter.com/sergio_fajardo/status/1307078104389648386","1307078104389648386")</f>
        <v>1307078104389648386</v>
      </c>
      <c r="F1516" s="7" t="s">
        <v>20</v>
      </c>
      <c r="G1516" s="7">
        <v>1554666</v>
      </c>
      <c r="H1516" s="7">
        <v>395</v>
      </c>
      <c r="I1516" s="7">
        <v>2</v>
      </c>
      <c r="J1516" s="7">
        <v>7</v>
      </c>
      <c r="K1516" s="7" t="s">
        <v>18</v>
      </c>
      <c r="L1516" s="8">
        <v>39891.213356481479</v>
      </c>
      <c r="M1516" s="9" t="s">
        <v>19</v>
      </c>
      <c r="N1516" s="9" t="s">
        <v>22</v>
      </c>
      <c r="O1516" s="6" t="str">
        <f>HYPERLINK("https://pbs.twimg.com/profile_images/988971255679324162/jrqiIYf__normal.jpg","View")</f>
        <v>View</v>
      </c>
      <c r="P1516" s="7"/>
    </row>
    <row r="1517" spans="1:16">
      <c r="A1517" s="3">
        <v>44093.210370370369</v>
      </c>
      <c r="B1517" s="4" t="str">
        <f>HYPERLINK("https://twitter.com/sergio_fajardo","@sergio_fajardo")</f>
        <v>@sergio_fajardo</v>
      </c>
      <c r="C1517" s="5" t="s">
        <v>16</v>
      </c>
      <c r="D1517" s="5" t="s">
        <v>1538</v>
      </c>
      <c r="E1517" s="6" t="str">
        <f>HYPERLINK("https://twitter.com/sergio_fajardo/status/1307100324415537153","1307100324415537153")</f>
        <v>1307100324415537153</v>
      </c>
      <c r="F1517" s="7" t="s">
        <v>17</v>
      </c>
      <c r="G1517" s="7">
        <v>1554682</v>
      </c>
      <c r="H1517" s="7">
        <v>395</v>
      </c>
      <c r="I1517" s="7">
        <v>3</v>
      </c>
      <c r="J1517" s="7">
        <v>0</v>
      </c>
      <c r="K1517" s="7" t="s">
        <v>18</v>
      </c>
      <c r="L1517" s="8">
        <v>39891.213356481479</v>
      </c>
      <c r="M1517" s="9" t="s">
        <v>19</v>
      </c>
      <c r="N1517" s="9" t="s">
        <v>22</v>
      </c>
      <c r="O1517" s="6" t="str">
        <f>HYPERLINK("https://pbs.twimg.com/profile_images/988971255679324162/jrqiIYf__normal.jpg","View")</f>
        <v>View</v>
      </c>
      <c r="P1517" s="7"/>
    </row>
    <row r="1518" spans="1:16">
      <c r="A1518" s="3">
        <v>44093.718159722222</v>
      </c>
      <c r="B1518" s="4" t="str">
        <f>HYPERLINK("https://twitter.com/sergio_fajardo","@sergio_fajardo")</f>
        <v>@sergio_fajardo</v>
      </c>
      <c r="C1518" s="5" t="s">
        <v>16</v>
      </c>
      <c r="D1518" s="5" t="s">
        <v>1539</v>
      </c>
      <c r="E1518" s="6" t="str">
        <f>HYPERLINK("https://twitter.com/sergio_fajardo/status/1307284340930420739","1307284340930420739")</f>
        <v>1307284340930420739</v>
      </c>
      <c r="F1518" s="7" t="s">
        <v>17</v>
      </c>
      <c r="G1518" s="7">
        <v>1554715</v>
      </c>
      <c r="H1518" s="7">
        <v>395</v>
      </c>
      <c r="I1518" s="7">
        <v>41</v>
      </c>
      <c r="J1518" s="7">
        <v>0</v>
      </c>
      <c r="K1518" s="7" t="s">
        <v>18</v>
      </c>
      <c r="L1518" s="8">
        <v>39891.213356481479</v>
      </c>
      <c r="M1518" s="9" t="s">
        <v>19</v>
      </c>
      <c r="N1518" s="9" t="s">
        <v>22</v>
      </c>
      <c r="O1518" s="6" t="str">
        <f>HYPERLINK("https://pbs.twimg.com/profile_images/988971255679324162/jrqiIYf__normal.jpg","View")</f>
        <v>View</v>
      </c>
      <c r="P1518" s="7"/>
    </row>
    <row r="1519" spans="1:16">
      <c r="A1519" s="3">
        <v>44093.719537037032</v>
      </c>
      <c r="B1519" s="4" t="str">
        <f>HYPERLINK("https://twitter.com/sergio_fajardo","@sergio_fajardo")</f>
        <v>@sergio_fajardo</v>
      </c>
      <c r="C1519" s="5" t="s">
        <v>16</v>
      </c>
      <c r="D1519" s="5" t="s">
        <v>1540</v>
      </c>
      <c r="E1519" s="6" t="str">
        <f>HYPERLINK("https://twitter.com/sergio_fajardo/status/1307284840656637958","1307284840656637958")</f>
        <v>1307284840656637958</v>
      </c>
      <c r="F1519" s="7" t="s">
        <v>17</v>
      </c>
      <c r="G1519" s="7">
        <v>1554715</v>
      </c>
      <c r="H1519" s="7">
        <v>395</v>
      </c>
      <c r="I1519" s="7">
        <v>25</v>
      </c>
      <c r="J1519" s="7">
        <v>0</v>
      </c>
      <c r="K1519" s="7" t="s">
        <v>18</v>
      </c>
      <c r="L1519" s="8">
        <v>39891.213356481479</v>
      </c>
      <c r="M1519" s="9" t="s">
        <v>19</v>
      </c>
      <c r="N1519" s="9" t="s">
        <v>22</v>
      </c>
      <c r="O1519" s="6" t="str">
        <f>HYPERLINK("https://pbs.twimg.com/profile_images/988971255679324162/jrqiIYf__normal.jpg","View")</f>
        <v>View</v>
      </c>
      <c r="P1519" s="7"/>
    </row>
    <row r="1520" spans="1:16">
      <c r="A1520" s="3">
        <v>44093.854722222226</v>
      </c>
      <c r="B1520" s="4" t="str">
        <f>HYPERLINK("https://twitter.com/sergio_fajardo","@sergio_fajardo")</f>
        <v>@sergio_fajardo</v>
      </c>
      <c r="C1520" s="5" t="s">
        <v>16</v>
      </c>
      <c r="D1520" s="5" t="s">
        <v>1541</v>
      </c>
      <c r="E1520" s="6" t="str">
        <f>HYPERLINK("https://twitter.com/sergio_fajardo/status/1307333826872578048","1307333826872578048")</f>
        <v>1307333826872578048</v>
      </c>
      <c r="F1520" s="7" t="s">
        <v>17</v>
      </c>
      <c r="G1520" s="7">
        <v>1554736</v>
      </c>
      <c r="H1520" s="7">
        <v>395</v>
      </c>
      <c r="I1520" s="7">
        <v>59</v>
      </c>
      <c r="J1520" s="7">
        <v>0</v>
      </c>
      <c r="K1520" s="7" t="s">
        <v>18</v>
      </c>
      <c r="L1520" s="8">
        <v>39891.213356481479</v>
      </c>
      <c r="M1520" s="9" t="s">
        <v>19</v>
      </c>
      <c r="N1520" s="9" t="s">
        <v>22</v>
      </c>
      <c r="O1520" s="6" t="str">
        <f>HYPERLINK("https://pbs.twimg.com/profile_images/988971255679324162/jrqiIYf__normal.jpg","View")</f>
        <v>View</v>
      </c>
      <c r="P1520" s="7"/>
    </row>
    <row r="1521" spans="1:16">
      <c r="A1521" s="3">
        <v>44094.633553240739</v>
      </c>
      <c r="B1521" s="4" t="str">
        <f>HYPERLINK("https://twitter.com/sergio_fajardo","@sergio_fajardo")</f>
        <v>@sergio_fajardo</v>
      </c>
      <c r="C1521" s="5" t="s">
        <v>16</v>
      </c>
      <c r="D1521" s="5" t="s">
        <v>1542</v>
      </c>
      <c r="E1521" s="6" t="str">
        <f>HYPERLINK("https://twitter.com/sergio_fajardo/status/1307616068907737089","1307616068907737089")</f>
        <v>1307616068907737089</v>
      </c>
      <c r="F1521" s="7" t="s">
        <v>17</v>
      </c>
      <c r="G1521" s="7">
        <v>1554779</v>
      </c>
      <c r="H1521" s="7">
        <v>395</v>
      </c>
      <c r="I1521" s="7">
        <v>2</v>
      </c>
      <c r="J1521" s="7">
        <v>5</v>
      </c>
      <c r="K1521" s="7" t="s">
        <v>18</v>
      </c>
      <c r="L1521" s="8">
        <v>39891.213356481479</v>
      </c>
      <c r="M1521" s="9" t="s">
        <v>19</v>
      </c>
      <c r="N1521" s="9" t="s">
        <v>22</v>
      </c>
      <c r="O1521" s="6" t="str">
        <f>HYPERLINK("https://pbs.twimg.com/profile_images/988971255679324162/jrqiIYf__normal.jpg","View")</f>
        <v>View</v>
      </c>
      <c r="P1521" s="7"/>
    </row>
    <row r="1522" spans="1:16">
      <c r="A1522" s="3">
        <v>44094.73237268519</v>
      </c>
      <c r="B1522" s="4" t="str">
        <f>HYPERLINK("https://twitter.com/sergio_fajardo","@sergio_fajardo")</f>
        <v>@sergio_fajardo</v>
      </c>
      <c r="C1522" s="5" t="s">
        <v>16</v>
      </c>
      <c r="D1522" s="5" t="s">
        <v>1543</v>
      </c>
      <c r="E1522" s="6" t="str">
        <f>HYPERLINK("https://twitter.com/sergio_fajardo/status/1307651880277991425","1307651880277991425")</f>
        <v>1307651880277991425</v>
      </c>
      <c r="F1522" s="7" t="s">
        <v>17</v>
      </c>
      <c r="G1522" s="7">
        <v>1554780</v>
      </c>
      <c r="H1522" s="7">
        <v>395</v>
      </c>
      <c r="I1522" s="7">
        <v>135</v>
      </c>
      <c r="J1522" s="7">
        <v>0</v>
      </c>
      <c r="K1522" s="7" t="s">
        <v>18</v>
      </c>
      <c r="L1522" s="8">
        <v>39891.213356481479</v>
      </c>
      <c r="M1522" s="9" t="s">
        <v>19</v>
      </c>
      <c r="N1522" s="9" t="s">
        <v>22</v>
      </c>
      <c r="O1522" s="6" t="str">
        <f>HYPERLINK("https://pbs.twimg.com/profile_images/988971255679324162/jrqiIYf__normal.jpg","View")</f>
        <v>View</v>
      </c>
      <c r="P1522" s="7"/>
    </row>
    <row r="1523" spans="1:16">
      <c r="A1523" s="3">
        <v>44095.123518518521</v>
      </c>
      <c r="B1523" s="4" t="str">
        <f>HYPERLINK("https://twitter.com/sergio_fajardo","@sergio_fajardo")</f>
        <v>@sergio_fajardo</v>
      </c>
      <c r="C1523" s="5" t="s">
        <v>16</v>
      </c>
      <c r="D1523" s="5" t="s">
        <v>1544</v>
      </c>
      <c r="E1523" s="6" t="str">
        <f>HYPERLINK("https://twitter.com/sergio_fajardo/status/1307793624512552962","1307793624512552962")</f>
        <v>1307793624512552962</v>
      </c>
      <c r="F1523" s="7" t="s">
        <v>17</v>
      </c>
      <c r="G1523" s="7">
        <v>1554808</v>
      </c>
      <c r="H1523" s="7">
        <v>395</v>
      </c>
      <c r="I1523" s="7">
        <v>3</v>
      </c>
      <c r="J1523" s="7">
        <v>0</v>
      </c>
      <c r="K1523" s="7" t="s">
        <v>18</v>
      </c>
      <c r="L1523" s="8">
        <v>39891.213356481479</v>
      </c>
      <c r="M1523" s="9" t="s">
        <v>19</v>
      </c>
      <c r="N1523" s="9" t="s">
        <v>22</v>
      </c>
      <c r="O1523" s="6" t="str">
        <f>HYPERLINK("https://pbs.twimg.com/profile_images/988971255679324162/jrqiIYf__normal.jpg","View")</f>
        <v>View</v>
      </c>
      <c r="P1523" s="7"/>
    </row>
    <row r="1524" spans="1:16">
      <c r="A1524" s="3">
        <v>44095.182499999995</v>
      </c>
      <c r="B1524" s="4" t="str">
        <f>HYPERLINK("https://twitter.com/sergio_fajardo","@sergio_fajardo")</f>
        <v>@sergio_fajardo</v>
      </c>
      <c r="C1524" s="5" t="s">
        <v>16</v>
      </c>
      <c r="D1524" s="5" t="s">
        <v>1545</v>
      </c>
      <c r="E1524" s="6" t="str">
        <f>HYPERLINK("https://twitter.com/sergio_fajardo/status/1307814998392147973","1307814998392147973")</f>
        <v>1307814998392147973</v>
      </c>
      <c r="F1524" s="7" t="s">
        <v>17</v>
      </c>
      <c r="G1524" s="7">
        <v>1554813</v>
      </c>
      <c r="H1524" s="7">
        <v>395</v>
      </c>
      <c r="I1524" s="7">
        <v>4</v>
      </c>
      <c r="J1524" s="7">
        <v>16</v>
      </c>
      <c r="K1524" s="7" t="s">
        <v>18</v>
      </c>
      <c r="L1524" s="8">
        <v>39891.213356481479</v>
      </c>
      <c r="M1524" s="9" t="s">
        <v>19</v>
      </c>
      <c r="N1524" s="9" t="s">
        <v>22</v>
      </c>
      <c r="O1524" s="6" t="str">
        <f>HYPERLINK("https://pbs.twimg.com/profile_images/988971255679324162/jrqiIYf__normal.jpg","View")</f>
        <v>View</v>
      </c>
      <c r="P1524" s="7"/>
    </row>
    <row r="1525" spans="1:16">
      <c r="A1525" s="3">
        <v>44095.689953703702</v>
      </c>
      <c r="B1525" s="4" t="str">
        <f>HYPERLINK("https://twitter.com/sergio_fajardo","@sergio_fajardo")</f>
        <v>@sergio_fajardo</v>
      </c>
      <c r="C1525" s="5" t="s">
        <v>16</v>
      </c>
      <c r="D1525" s="5" t="s">
        <v>1546</v>
      </c>
      <c r="E1525" s="6" t="str">
        <f>HYPERLINK("https://twitter.com/sergio_fajardo/status/1307998893293162501","1307998893293162501")</f>
        <v>1307998893293162501</v>
      </c>
      <c r="F1525" s="7" t="s">
        <v>17</v>
      </c>
      <c r="G1525" s="7">
        <v>1554817</v>
      </c>
      <c r="H1525" s="7">
        <v>397</v>
      </c>
      <c r="I1525" s="7">
        <v>39</v>
      </c>
      <c r="J1525" s="7">
        <v>209</v>
      </c>
      <c r="K1525" s="7" t="s">
        <v>18</v>
      </c>
      <c r="L1525" s="8">
        <v>39891.213356481479</v>
      </c>
      <c r="M1525" s="9" t="s">
        <v>19</v>
      </c>
      <c r="N1525" s="9" t="s">
        <v>22</v>
      </c>
      <c r="O1525" s="6" t="str">
        <f>HYPERLINK("https://pbs.twimg.com/profile_images/988971255679324162/jrqiIYf__normal.jpg","View")</f>
        <v>View</v>
      </c>
      <c r="P1525" s="7"/>
    </row>
    <row r="1526" spans="1:16">
      <c r="A1526" s="3">
        <v>44095.775856481487</v>
      </c>
      <c r="B1526" s="4" t="str">
        <f>HYPERLINK("https://twitter.com/sergio_fajardo","@sergio_fajardo")</f>
        <v>@sergio_fajardo</v>
      </c>
      <c r="C1526" s="5" t="s">
        <v>16</v>
      </c>
      <c r="D1526" s="5" t="s">
        <v>1547</v>
      </c>
      <c r="E1526" s="6" t="str">
        <f>HYPERLINK("https://twitter.com/sergio_fajardo/status/1308030022343680000","1308030022343680000")</f>
        <v>1308030022343680000</v>
      </c>
      <c r="F1526" s="7" t="s">
        <v>17</v>
      </c>
      <c r="G1526" s="7">
        <v>1554821</v>
      </c>
      <c r="H1526" s="7">
        <v>397</v>
      </c>
      <c r="I1526" s="7">
        <v>18</v>
      </c>
      <c r="J1526" s="7">
        <v>82</v>
      </c>
      <c r="K1526" s="7" t="s">
        <v>18</v>
      </c>
      <c r="L1526" s="8">
        <v>39891.213356481479</v>
      </c>
      <c r="M1526" s="9" t="s">
        <v>19</v>
      </c>
      <c r="N1526" s="9" t="s">
        <v>22</v>
      </c>
      <c r="O1526" s="6" t="str">
        <f>HYPERLINK("https://pbs.twimg.com/profile_images/988971255679324162/jrqiIYf__normal.jpg","View")</f>
        <v>View</v>
      </c>
      <c r="P1526" s="7"/>
    </row>
    <row r="1527" spans="1:16">
      <c r="A1527" s="3">
        <v>44095.778414351851</v>
      </c>
      <c r="B1527" s="4" t="str">
        <f>HYPERLINK("https://twitter.com/sergio_fajardo","@sergio_fajardo")</f>
        <v>@sergio_fajardo</v>
      </c>
      <c r="C1527" s="5" t="s">
        <v>16</v>
      </c>
      <c r="D1527" s="5" t="s">
        <v>1548</v>
      </c>
      <c r="E1527" s="6" t="str">
        <f>HYPERLINK("https://twitter.com/sergio_fajardo/status/1308030949775609858","1308030949775609858")</f>
        <v>1308030949775609858</v>
      </c>
      <c r="F1527" s="7" t="s">
        <v>17</v>
      </c>
      <c r="G1527" s="7">
        <v>1554821</v>
      </c>
      <c r="H1527" s="7">
        <v>397</v>
      </c>
      <c r="I1527" s="7">
        <v>28</v>
      </c>
      <c r="J1527" s="7">
        <v>0</v>
      </c>
      <c r="K1527" s="7" t="s">
        <v>18</v>
      </c>
      <c r="L1527" s="8">
        <v>39891.213356481479</v>
      </c>
      <c r="M1527" s="9" t="s">
        <v>19</v>
      </c>
      <c r="N1527" s="9" t="s">
        <v>22</v>
      </c>
      <c r="O1527" s="6" t="str">
        <f>HYPERLINK("https://pbs.twimg.com/profile_images/988971255679324162/jrqiIYf__normal.jpg","View")</f>
        <v>View</v>
      </c>
      <c r="P1527" s="7"/>
    </row>
    <row r="1528" spans="1:16">
      <c r="A1528" s="3">
        <v>44096.71837962963</v>
      </c>
      <c r="B1528" s="4" t="str">
        <f>HYPERLINK("https://twitter.com/sergio_fajardo","@sergio_fajardo")</f>
        <v>@sergio_fajardo</v>
      </c>
      <c r="C1528" s="5" t="s">
        <v>16</v>
      </c>
      <c r="D1528" s="5" t="s">
        <v>1549</v>
      </c>
      <c r="E1528" s="6" t="str">
        <f>HYPERLINK("https://twitter.com/sergio_fajardo/status/1308371583854141441","1308371583854141441")</f>
        <v>1308371583854141441</v>
      </c>
      <c r="F1528" s="7" t="s">
        <v>17</v>
      </c>
      <c r="G1528" s="7">
        <v>1555527</v>
      </c>
      <c r="H1528" s="7">
        <v>397</v>
      </c>
      <c r="I1528" s="7">
        <v>68</v>
      </c>
      <c r="J1528" s="7">
        <v>271</v>
      </c>
      <c r="K1528" s="7" t="s">
        <v>18</v>
      </c>
      <c r="L1528" s="8">
        <v>39891.213356481479</v>
      </c>
      <c r="M1528" s="9" t="s">
        <v>19</v>
      </c>
      <c r="N1528" s="9" t="s">
        <v>22</v>
      </c>
      <c r="O1528" s="6" t="str">
        <f>HYPERLINK("https://pbs.twimg.com/profile_images/988971255679324162/jrqiIYf__normal.jpg","View")</f>
        <v>View</v>
      </c>
      <c r="P1528" s="7"/>
    </row>
    <row r="1529" spans="1:16">
      <c r="A1529" s="3">
        <v>44098.0231712963</v>
      </c>
      <c r="B1529" s="4" t="str">
        <f>HYPERLINK("https://twitter.com/sergio_fajardo","@sergio_fajardo")</f>
        <v>@sergio_fajardo</v>
      </c>
      <c r="C1529" s="5" t="s">
        <v>16</v>
      </c>
      <c r="D1529" s="5" t="s">
        <v>1550</v>
      </c>
      <c r="E1529" s="6" t="str">
        <f>HYPERLINK("https://twitter.com/sergio_fajardo/status/1308844422310883329","1308844422310883329")</f>
        <v>1308844422310883329</v>
      </c>
      <c r="F1529" s="7" t="s">
        <v>17</v>
      </c>
      <c r="G1529" s="7">
        <v>1555527</v>
      </c>
      <c r="H1529" s="7">
        <v>397</v>
      </c>
      <c r="I1529" s="7">
        <v>80</v>
      </c>
      <c r="J1529" s="7">
        <v>0</v>
      </c>
      <c r="K1529" s="7" t="s">
        <v>18</v>
      </c>
      <c r="L1529" s="8">
        <v>39891.213356481479</v>
      </c>
      <c r="M1529" s="9" t="s">
        <v>19</v>
      </c>
      <c r="N1529" s="9" t="s">
        <v>22</v>
      </c>
      <c r="O1529" s="6" t="str">
        <f>HYPERLINK("https://pbs.twimg.com/profile_images/988971255679324162/jrqiIYf__normal.jpg","View")</f>
        <v>View</v>
      </c>
      <c r="P1529" s="7"/>
    </row>
    <row r="1530" spans="1:16">
      <c r="A1530" s="3">
        <v>44098.103715277779</v>
      </c>
      <c r="B1530" s="4" t="str">
        <f>HYPERLINK("https://twitter.com/sergio_fajardo","@sergio_fajardo")</f>
        <v>@sergio_fajardo</v>
      </c>
      <c r="C1530" s="5" t="s">
        <v>16</v>
      </c>
      <c r="D1530" s="5" t="s">
        <v>1551</v>
      </c>
      <c r="E1530" s="6" t="str">
        <f>HYPERLINK("https://twitter.com/sergio_fajardo/status/1308873613936930821","1308873613936930821")</f>
        <v>1308873613936930821</v>
      </c>
      <c r="F1530" s="7" t="s">
        <v>20</v>
      </c>
      <c r="G1530" s="7">
        <v>1555527</v>
      </c>
      <c r="H1530" s="7">
        <v>397</v>
      </c>
      <c r="I1530" s="7">
        <v>248</v>
      </c>
      <c r="J1530" s="7">
        <v>1325</v>
      </c>
      <c r="K1530" s="7" t="s">
        <v>18</v>
      </c>
      <c r="L1530" s="8">
        <v>39891.213356481479</v>
      </c>
      <c r="M1530" s="9" t="s">
        <v>19</v>
      </c>
      <c r="N1530" s="9" t="s">
        <v>22</v>
      </c>
      <c r="O1530" s="6" t="str">
        <f>HYPERLINK("https://pbs.twimg.com/profile_images/988971255679324162/jrqiIYf__normal.jpg","View")</f>
        <v>View</v>
      </c>
      <c r="P1530" s="7"/>
    </row>
    <row r="1531" spans="1:16">
      <c r="A1531" s="3">
        <v>44098.409560185188</v>
      </c>
      <c r="B1531" s="4" t="str">
        <f>HYPERLINK("https://twitter.com/sergio_fajardo","@sergio_fajardo")</f>
        <v>@sergio_fajardo</v>
      </c>
      <c r="C1531" s="5" t="s">
        <v>16</v>
      </c>
      <c r="D1531" s="5" t="s">
        <v>1552</v>
      </c>
      <c r="E1531" s="6" t="str">
        <f>HYPERLINK("https://twitter.com/sergio_fajardo/status/1308984447858081792","1308984447858081792")</f>
        <v>1308984447858081792</v>
      </c>
      <c r="F1531" s="7" t="s">
        <v>17</v>
      </c>
      <c r="G1531" s="7">
        <v>1555527</v>
      </c>
      <c r="H1531" s="7">
        <v>397</v>
      </c>
      <c r="I1531" s="7">
        <v>186</v>
      </c>
      <c r="J1531" s="7">
        <v>0</v>
      </c>
      <c r="K1531" s="7" t="s">
        <v>18</v>
      </c>
      <c r="L1531" s="8">
        <v>39891.213356481479</v>
      </c>
      <c r="M1531" s="9" t="s">
        <v>19</v>
      </c>
      <c r="N1531" s="9" t="s">
        <v>22</v>
      </c>
      <c r="O1531" s="6" t="str">
        <f>HYPERLINK("https://pbs.twimg.com/profile_images/988971255679324162/jrqiIYf__normal.jpg","View")</f>
        <v>View</v>
      </c>
      <c r="P1531" s="7"/>
    </row>
    <row r="1532" spans="1:16">
      <c r="A1532" s="3">
        <v>44098.692233796297</v>
      </c>
      <c r="B1532" s="4" t="str">
        <f>HYPERLINK("https://twitter.com/sergio_fajardo","@sergio_fajardo")</f>
        <v>@sergio_fajardo</v>
      </c>
      <c r="C1532" s="5" t="s">
        <v>16</v>
      </c>
      <c r="D1532" s="5" t="s">
        <v>1553</v>
      </c>
      <c r="E1532" s="6" t="str">
        <f>HYPERLINK("https://twitter.com/sergio_fajardo/status/1309086882362527746","1309086882362527746")</f>
        <v>1309086882362527746</v>
      </c>
      <c r="F1532" s="7" t="s">
        <v>17</v>
      </c>
      <c r="G1532" s="7">
        <v>1555527</v>
      </c>
      <c r="H1532" s="7">
        <v>397</v>
      </c>
      <c r="I1532" s="7">
        <v>464</v>
      </c>
      <c r="J1532" s="7">
        <v>0</v>
      </c>
      <c r="K1532" s="7" t="s">
        <v>18</v>
      </c>
      <c r="L1532" s="8">
        <v>39891.213356481479</v>
      </c>
      <c r="M1532" s="9" t="s">
        <v>19</v>
      </c>
      <c r="N1532" s="9" t="s">
        <v>22</v>
      </c>
      <c r="O1532" s="6" t="str">
        <f>HYPERLINK("https://pbs.twimg.com/profile_images/988971255679324162/jrqiIYf__normal.jpg","View")</f>
        <v>View</v>
      </c>
      <c r="P1532" s="7"/>
    </row>
    <row r="1533" spans="1:16">
      <c r="A1533" s="3">
        <v>44098.692789351851</v>
      </c>
      <c r="B1533" s="4" t="str">
        <f>HYPERLINK("https://twitter.com/sergio_fajardo","@sergio_fajardo")</f>
        <v>@sergio_fajardo</v>
      </c>
      <c r="C1533" s="5" t="s">
        <v>16</v>
      </c>
      <c r="D1533" s="5" t="s">
        <v>1554</v>
      </c>
      <c r="E1533" s="6" t="str">
        <f>HYPERLINK("https://twitter.com/sergio_fajardo/status/1309087085115125762","1309087085115125762")</f>
        <v>1309087085115125762</v>
      </c>
      <c r="F1533" s="7" t="s">
        <v>17</v>
      </c>
      <c r="G1533" s="7">
        <v>1555527</v>
      </c>
      <c r="H1533" s="7">
        <v>397</v>
      </c>
      <c r="I1533" s="7">
        <v>190</v>
      </c>
      <c r="J1533" s="7">
        <v>0</v>
      </c>
      <c r="K1533" s="7" t="s">
        <v>18</v>
      </c>
      <c r="L1533" s="8">
        <v>39891.213356481479</v>
      </c>
      <c r="M1533" s="9" t="s">
        <v>19</v>
      </c>
      <c r="N1533" s="9" t="s">
        <v>22</v>
      </c>
      <c r="O1533" s="6" t="str">
        <f>HYPERLINK("https://pbs.twimg.com/profile_images/988971255679324162/jrqiIYf__normal.jpg","View")</f>
        <v>View</v>
      </c>
      <c r="P1533" s="7"/>
    </row>
    <row r="1534" spans="1:16">
      <c r="A1534" s="3">
        <v>44098.720555555556</v>
      </c>
      <c r="B1534" s="4" t="str">
        <f>HYPERLINK("https://twitter.com/sergio_fajardo","@sergio_fajardo")</f>
        <v>@sergio_fajardo</v>
      </c>
      <c r="C1534" s="5" t="s">
        <v>16</v>
      </c>
      <c r="D1534" s="5" t="s">
        <v>1555</v>
      </c>
      <c r="E1534" s="6" t="str">
        <f>HYPERLINK("https://twitter.com/sergio_fajardo/status/1309097149074939910","1309097149074939910")</f>
        <v>1309097149074939910</v>
      </c>
      <c r="F1534" s="7" t="s">
        <v>23</v>
      </c>
      <c r="G1534" s="7">
        <v>1555527</v>
      </c>
      <c r="H1534" s="7">
        <v>397</v>
      </c>
      <c r="I1534" s="7">
        <v>149</v>
      </c>
      <c r="J1534" s="7">
        <v>756</v>
      </c>
      <c r="K1534" s="7" t="s">
        <v>18</v>
      </c>
      <c r="L1534" s="8">
        <v>39891.213356481479</v>
      </c>
      <c r="M1534" s="9" t="s">
        <v>19</v>
      </c>
      <c r="N1534" s="9" t="s">
        <v>22</v>
      </c>
      <c r="O1534" s="6" t="str">
        <f>HYPERLINK("https://pbs.twimg.com/profile_images/988971255679324162/jrqiIYf__normal.jpg","View")</f>
        <v>View</v>
      </c>
      <c r="P1534" s="7"/>
    </row>
    <row r="1535" spans="1:16">
      <c r="A1535" s="3">
        <v>44098.726307870369</v>
      </c>
      <c r="B1535" s="4" t="str">
        <f>HYPERLINK("https://twitter.com/sergio_fajardo","@sergio_fajardo")</f>
        <v>@sergio_fajardo</v>
      </c>
      <c r="C1535" s="5" t="s">
        <v>16</v>
      </c>
      <c r="D1535" s="5" t="s">
        <v>1556</v>
      </c>
      <c r="E1535" s="6" t="str">
        <f>HYPERLINK("https://twitter.com/sergio_fajardo/status/1309099230603227136","1309099230603227136")</f>
        <v>1309099230603227136</v>
      </c>
      <c r="F1535" s="7" t="s">
        <v>23</v>
      </c>
      <c r="G1535" s="7">
        <v>1555527</v>
      </c>
      <c r="H1535" s="7">
        <v>397</v>
      </c>
      <c r="I1535" s="7">
        <v>43</v>
      </c>
      <c r="J1535" s="7">
        <v>192</v>
      </c>
      <c r="K1535" s="7" t="s">
        <v>18</v>
      </c>
      <c r="L1535" s="8">
        <v>39891.213356481479</v>
      </c>
      <c r="M1535" s="9" t="s">
        <v>19</v>
      </c>
      <c r="N1535" s="9" t="s">
        <v>22</v>
      </c>
      <c r="O1535" s="6" t="str">
        <f>HYPERLINK("https://pbs.twimg.com/profile_images/988971255679324162/jrqiIYf__normal.jpg","View")</f>
        <v>View</v>
      </c>
      <c r="P1535" s="7"/>
    </row>
    <row r="1536" spans="1:16">
      <c r="A1536" s="3">
        <v>44098.877708333333</v>
      </c>
      <c r="B1536" s="4" t="str">
        <f>HYPERLINK("https://twitter.com/sergio_fajardo","@sergio_fajardo")</f>
        <v>@sergio_fajardo</v>
      </c>
      <c r="C1536" s="5" t="s">
        <v>16</v>
      </c>
      <c r="D1536" s="5" t="s">
        <v>1557</v>
      </c>
      <c r="E1536" s="6" t="str">
        <f>HYPERLINK("https://twitter.com/sergio_fajardo/status/1309154099154345984","1309154099154345984")</f>
        <v>1309154099154345984</v>
      </c>
      <c r="F1536" s="7" t="s">
        <v>20</v>
      </c>
      <c r="G1536" s="7">
        <v>1555527</v>
      </c>
      <c r="H1536" s="7">
        <v>397</v>
      </c>
      <c r="I1536" s="7">
        <v>400</v>
      </c>
      <c r="J1536" s="7">
        <v>483</v>
      </c>
      <c r="K1536" s="7" t="s">
        <v>18</v>
      </c>
      <c r="L1536" s="8">
        <v>39891.213356481479</v>
      </c>
      <c r="M1536" s="9" t="s">
        <v>19</v>
      </c>
      <c r="N1536" s="9" t="s">
        <v>22</v>
      </c>
      <c r="O1536" s="6" t="str">
        <f>HYPERLINK("https://pbs.twimg.com/profile_images/988971255679324162/jrqiIYf__normal.jpg","View")</f>
        <v>View</v>
      </c>
      <c r="P1536" s="7"/>
    </row>
    <row r="1537" spans="1:16">
      <c r="A1537" s="3">
        <v>44099.12881944445</v>
      </c>
      <c r="B1537" s="4" t="str">
        <f>HYPERLINK("https://twitter.com/sergio_fajardo","@sergio_fajardo")</f>
        <v>@sergio_fajardo</v>
      </c>
      <c r="C1537" s="5" t="s">
        <v>16</v>
      </c>
      <c r="D1537" s="5" t="s">
        <v>1558</v>
      </c>
      <c r="E1537" s="6" t="str">
        <f>HYPERLINK("https://twitter.com/sergio_fajardo/status/1309245098698452993","1309245098698452993")</f>
        <v>1309245098698452993</v>
      </c>
      <c r="F1537" s="7" t="s">
        <v>23</v>
      </c>
      <c r="G1537" s="7">
        <v>1555527</v>
      </c>
      <c r="H1537" s="7">
        <v>397</v>
      </c>
      <c r="I1537" s="7">
        <v>687</v>
      </c>
      <c r="J1537" s="7">
        <v>3722</v>
      </c>
      <c r="K1537" s="7" t="s">
        <v>18</v>
      </c>
      <c r="L1537" s="8">
        <v>39891.213356481479</v>
      </c>
      <c r="M1537" s="9" t="s">
        <v>19</v>
      </c>
      <c r="N1537" s="9" t="s">
        <v>22</v>
      </c>
      <c r="O1537" s="6" t="str">
        <f>HYPERLINK("https://pbs.twimg.com/profile_images/988971255679324162/jrqiIYf__normal.jpg","View")</f>
        <v>View</v>
      </c>
      <c r="P1537" s="7"/>
    </row>
    <row r="1538" spans="1:16">
      <c r="A1538" s="3">
        <v>44100.155810185184</v>
      </c>
      <c r="B1538" s="4" t="str">
        <f>HYPERLINK("https://twitter.com/sergio_fajardo","@sergio_fajardo")</f>
        <v>@sergio_fajardo</v>
      </c>
      <c r="C1538" s="5" t="s">
        <v>16</v>
      </c>
      <c r="D1538" s="5" t="s">
        <v>1559</v>
      </c>
      <c r="E1538" s="6" t="str">
        <f>HYPERLINK("https://twitter.com/sergio_fajardo/status/1309617268163309569","1309617268163309569")</f>
        <v>1309617268163309569</v>
      </c>
      <c r="F1538" s="7" t="s">
        <v>17</v>
      </c>
      <c r="G1538" s="7">
        <v>1555527</v>
      </c>
      <c r="H1538" s="7">
        <v>397</v>
      </c>
      <c r="I1538" s="7">
        <v>30</v>
      </c>
      <c r="J1538" s="7">
        <v>173</v>
      </c>
      <c r="K1538" s="7" t="s">
        <v>18</v>
      </c>
      <c r="L1538" s="8">
        <v>39891.213356481479</v>
      </c>
      <c r="M1538" s="9" t="s">
        <v>19</v>
      </c>
      <c r="N1538" s="9" t="s">
        <v>22</v>
      </c>
      <c r="O1538" s="6" t="str">
        <f>HYPERLINK("https://pbs.twimg.com/profile_images/988971255679324162/jrqiIYf__normal.jpg","View")</f>
        <v>View</v>
      </c>
      <c r="P1538" s="7"/>
    </row>
    <row r="1539" spans="1:16">
      <c r="A1539" s="3">
        <v>44100.679872685185</v>
      </c>
      <c r="B1539" s="4" t="str">
        <f>HYPERLINK("https://twitter.com/sergio_fajardo","@sergio_fajardo")</f>
        <v>@sergio_fajardo</v>
      </c>
      <c r="C1539" s="5" t="s">
        <v>16</v>
      </c>
      <c r="D1539" s="5" t="s">
        <v>1560</v>
      </c>
      <c r="E1539" s="6" t="str">
        <f>HYPERLINK("https://twitter.com/sergio_fajardo/status/1309807180510568448","1309807180510568448")</f>
        <v>1309807180510568448</v>
      </c>
      <c r="F1539" s="7" t="s">
        <v>17</v>
      </c>
      <c r="G1539" s="7">
        <v>1555520</v>
      </c>
      <c r="H1539" s="7">
        <v>397</v>
      </c>
      <c r="I1539" s="7">
        <v>6</v>
      </c>
      <c r="J1539" s="7">
        <v>0</v>
      </c>
      <c r="K1539" s="7" t="s">
        <v>18</v>
      </c>
      <c r="L1539" s="8">
        <v>39891.213356481479</v>
      </c>
      <c r="M1539" s="9" t="s">
        <v>19</v>
      </c>
      <c r="N1539" s="9" t="s">
        <v>22</v>
      </c>
      <c r="O1539" s="6" t="str">
        <f>HYPERLINK("https://pbs.twimg.com/profile_images/988971255679324162/jrqiIYf__normal.jpg","View")</f>
        <v>View</v>
      </c>
      <c r="P1539" s="7"/>
    </row>
    <row r="1540" spans="1:16">
      <c r="A1540" s="3">
        <v>44102.214421296296</v>
      </c>
      <c r="B1540" s="4" t="str">
        <f>HYPERLINK("https://twitter.com/sergio_fajardo","@sergio_fajardo")</f>
        <v>@sergio_fajardo</v>
      </c>
      <c r="C1540" s="5" t="s">
        <v>16</v>
      </c>
      <c r="D1540" s="5" t="s">
        <v>1561</v>
      </c>
      <c r="E1540" s="6" t="str">
        <f>HYPERLINK("https://twitter.com/sergio_fajardo/status/1310363284227256320","1310363284227256320")</f>
        <v>1310363284227256320</v>
      </c>
      <c r="F1540" s="7" t="s">
        <v>17</v>
      </c>
      <c r="G1540" s="7">
        <v>1555662</v>
      </c>
      <c r="H1540" s="7">
        <v>397</v>
      </c>
      <c r="I1540" s="7">
        <v>90</v>
      </c>
      <c r="J1540" s="7">
        <v>0</v>
      </c>
      <c r="K1540" s="7" t="s">
        <v>18</v>
      </c>
      <c r="L1540" s="8">
        <v>39891.213356481479</v>
      </c>
      <c r="M1540" s="9" t="s">
        <v>19</v>
      </c>
      <c r="N1540" s="9" t="s">
        <v>22</v>
      </c>
      <c r="O1540" s="6" t="str">
        <f>HYPERLINK("https://pbs.twimg.com/profile_images/988971255679324162/jrqiIYf__normal.jpg","View")</f>
        <v>View</v>
      </c>
      <c r="P1540" s="7"/>
    </row>
    <row r="1541" spans="1:16">
      <c r="A1541" s="3">
        <v>44102.301886574074</v>
      </c>
      <c r="B1541" s="4" t="str">
        <f>HYPERLINK("https://twitter.com/sergio_fajardo","@sergio_fajardo")</f>
        <v>@sergio_fajardo</v>
      </c>
      <c r="C1541" s="5" t="s">
        <v>16</v>
      </c>
      <c r="D1541" s="5" t="s">
        <v>1562</v>
      </c>
      <c r="E1541" s="6" t="str">
        <f>HYPERLINK("https://twitter.com/sergio_fajardo/status/1310394977227362304","1310394977227362304")</f>
        <v>1310394977227362304</v>
      </c>
      <c r="F1541" s="7" t="s">
        <v>20</v>
      </c>
      <c r="G1541" s="7">
        <v>1555660</v>
      </c>
      <c r="H1541" s="7">
        <v>397</v>
      </c>
      <c r="I1541" s="7">
        <v>8</v>
      </c>
      <c r="J1541" s="7">
        <v>57</v>
      </c>
      <c r="K1541" s="7" t="s">
        <v>18</v>
      </c>
      <c r="L1541" s="8">
        <v>39891.213356481479</v>
      </c>
      <c r="M1541" s="9" t="s">
        <v>19</v>
      </c>
      <c r="N1541" s="9" t="s">
        <v>22</v>
      </c>
      <c r="O1541" s="6" t="str">
        <f>HYPERLINK("https://pbs.twimg.com/profile_images/988971255679324162/jrqiIYf__normal.jpg","View")</f>
        <v>View</v>
      </c>
      <c r="P1541" s="7"/>
    </row>
    <row r="1542" spans="1:16">
      <c r="A1542" s="3">
        <v>44103.717627314814</v>
      </c>
      <c r="B1542" s="4" t="str">
        <f>HYPERLINK("https://twitter.com/sergio_fajardo","@sergio_fajardo")</f>
        <v>@sergio_fajardo</v>
      </c>
      <c r="C1542" s="5" t="s">
        <v>16</v>
      </c>
      <c r="D1542" s="5" t="s">
        <v>1563</v>
      </c>
      <c r="E1542" s="6" t="str">
        <f>HYPERLINK("https://twitter.com/sergio_fajardo/status/1310908026879201281","1310908026879201281")</f>
        <v>1310908026879201281</v>
      </c>
      <c r="F1542" s="7" t="s">
        <v>23</v>
      </c>
      <c r="G1542" s="7">
        <v>1555801</v>
      </c>
      <c r="H1542" s="7">
        <v>397</v>
      </c>
      <c r="I1542" s="7">
        <v>14</v>
      </c>
      <c r="J1542" s="7">
        <v>50</v>
      </c>
      <c r="K1542" s="7" t="s">
        <v>18</v>
      </c>
      <c r="L1542" s="8">
        <v>39891.213356481479</v>
      </c>
      <c r="M1542" s="9" t="s">
        <v>19</v>
      </c>
      <c r="N1542" s="9" t="s">
        <v>22</v>
      </c>
      <c r="O1542" s="6" t="str">
        <f>HYPERLINK("https://pbs.twimg.com/profile_images/988971255679324162/jrqiIYf__normal.jpg","View")</f>
        <v>View</v>
      </c>
      <c r="P1542" s="7"/>
    </row>
    <row r="1543" spans="1:16">
      <c r="A1543" s="3">
        <v>44103.724328703705</v>
      </c>
      <c r="B1543" s="4" t="str">
        <f>HYPERLINK("https://twitter.com/sergio_fajardo","@sergio_fajardo")</f>
        <v>@sergio_fajardo</v>
      </c>
      <c r="C1543" s="5" t="s">
        <v>16</v>
      </c>
      <c r="D1543" s="5" t="s">
        <v>1564</v>
      </c>
      <c r="E1543" s="6" t="str">
        <f>HYPERLINK("https://twitter.com/sergio_fajardo/status/1310910452713631744","1310910452713631744")</f>
        <v>1310910452713631744</v>
      </c>
      <c r="F1543" s="7" t="s">
        <v>23</v>
      </c>
      <c r="G1543" s="7">
        <v>1555801</v>
      </c>
      <c r="H1543" s="7">
        <v>397</v>
      </c>
      <c r="I1543" s="7">
        <v>3</v>
      </c>
      <c r="J1543" s="7">
        <v>10</v>
      </c>
      <c r="K1543" s="7" t="s">
        <v>18</v>
      </c>
      <c r="L1543" s="8">
        <v>39891.213356481479</v>
      </c>
      <c r="M1543" s="9" t="s">
        <v>19</v>
      </c>
      <c r="N1543" s="9" t="s">
        <v>22</v>
      </c>
      <c r="O1543" s="6" t="str">
        <f>HYPERLINK("https://pbs.twimg.com/profile_images/988971255679324162/jrqiIYf__normal.jpg","View")</f>
        <v>View</v>
      </c>
      <c r="P1543" s="7"/>
    </row>
    <row r="1544" spans="1:16">
      <c r="A1544" s="3">
        <v>44103.736481481479</v>
      </c>
      <c r="B1544" s="4" t="str">
        <f>HYPERLINK("https://twitter.com/sergio_fajardo","@sergio_fajardo")</f>
        <v>@sergio_fajardo</v>
      </c>
      <c r="C1544" s="5" t="s">
        <v>16</v>
      </c>
      <c r="D1544" s="5" t="s">
        <v>1565</v>
      </c>
      <c r="E1544" s="6" t="str">
        <f>HYPERLINK("https://twitter.com/sergio_fajardo/status/1310914859165536256","1310914859165536256")</f>
        <v>1310914859165536256</v>
      </c>
      <c r="F1544" s="7" t="s">
        <v>23</v>
      </c>
      <c r="G1544" s="7">
        <v>1555801</v>
      </c>
      <c r="H1544" s="7">
        <v>397</v>
      </c>
      <c r="I1544" s="7">
        <v>11</v>
      </c>
      <c r="J1544" s="7">
        <v>90</v>
      </c>
      <c r="K1544" s="7" t="s">
        <v>18</v>
      </c>
      <c r="L1544" s="8">
        <v>39891.213356481479</v>
      </c>
      <c r="M1544" s="9" t="s">
        <v>19</v>
      </c>
      <c r="N1544" s="9" t="s">
        <v>22</v>
      </c>
      <c r="O1544" s="6" t="str">
        <f>HYPERLINK("https://pbs.twimg.com/profile_images/988971255679324162/jrqiIYf__normal.jpg","View")</f>
        <v>View</v>
      </c>
      <c r="P1544" s="7"/>
    </row>
    <row r="1545" spans="1:16">
      <c r="A1545" s="3">
        <v>44103.861562499995</v>
      </c>
      <c r="B1545" s="4" t="str">
        <f>HYPERLINK("https://twitter.com/sergio_fajardo","@sergio_fajardo")</f>
        <v>@sergio_fajardo</v>
      </c>
      <c r="C1545" s="5" t="s">
        <v>16</v>
      </c>
      <c r="D1545" s="5" t="s">
        <v>1566</v>
      </c>
      <c r="E1545" s="6" t="str">
        <f>HYPERLINK("https://twitter.com/sergio_fajardo/status/1310960186690015238","1310960186690015238")</f>
        <v>1310960186690015238</v>
      </c>
      <c r="F1545" s="7" t="s">
        <v>20</v>
      </c>
      <c r="G1545" s="7">
        <v>1555819</v>
      </c>
      <c r="H1545" s="7">
        <v>396</v>
      </c>
      <c r="I1545" s="7">
        <v>52</v>
      </c>
      <c r="J1545" s="7">
        <v>277</v>
      </c>
      <c r="K1545" s="7" t="s">
        <v>18</v>
      </c>
      <c r="L1545" s="8">
        <v>39891.213356481479</v>
      </c>
      <c r="M1545" s="9" t="s">
        <v>19</v>
      </c>
      <c r="N1545" s="9" t="s">
        <v>22</v>
      </c>
      <c r="O1545" s="6" t="str">
        <f>HYPERLINK("https://pbs.twimg.com/profile_images/988971255679324162/jrqiIYf__normal.jpg","View")</f>
        <v>View</v>
      </c>
      <c r="P1545" s="7"/>
    </row>
    <row r="1546" spans="1:16">
      <c r="A1546" s="3">
        <v>44104.016805555555</v>
      </c>
      <c r="B1546" s="4" t="str">
        <f>HYPERLINK("https://twitter.com/sergio_fajardo","@sergio_fajardo")</f>
        <v>@sergio_fajardo</v>
      </c>
      <c r="C1546" s="5" t="s">
        <v>16</v>
      </c>
      <c r="D1546" s="5" t="s">
        <v>1567</v>
      </c>
      <c r="E1546" s="6" t="str">
        <f>HYPERLINK("https://twitter.com/sergio_fajardo/status/1311016442792468480","1311016442792468480")</f>
        <v>1311016442792468480</v>
      </c>
      <c r="F1546" s="7" t="s">
        <v>17</v>
      </c>
      <c r="G1546" s="7">
        <v>1555869</v>
      </c>
      <c r="H1546" s="7">
        <v>396</v>
      </c>
      <c r="I1546" s="7">
        <v>210</v>
      </c>
      <c r="J1546" s="7">
        <v>0</v>
      </c>
      <c r="K1546" s="7" t="s">
        <v>18</v>
      </c>
      <c r="L1546" s="8">
        <v>39891.213356481479</v>
      </c>
      <c r="M1546" s="9" t="s">
        <v>19</v>
      </c>
      <c r="N1546" s="9" t="s">
        <v>22</v>
      </c>
      <c r="O1546" s="6" t="str">
        <f>HYPERLINK("https://pbs.twimg.com/profile_images/988971255679324162/jrqiIYf__normal.jpg","View")</f>
        <v>View</v>
      </c>
      <c r="P1546" s="7"/>
    </row>
    <row r="1547" spans="1:16">
      <c r="A1547" s="3">
        <v>44104.116412037038</v>
      </c>
      <c r="B1547" s="4" t="str">
        <f>HYPERLINK("https://twitter.com/sergio_fajardo","@sergio_fajardo")</f>
        <v>@sergio_fajardo</v>
      </c>
      <c r="C1547" s="5" t="s">
        <v>16</v>
      </c>
      <c r="D1547" s="5" t="s">
        <v>1568</v>
      </c>
      <c r="E1547" s="6" t="str">
        <f>HYPERLINK("https://twitter.com/sergio_fajardo/status/1311052540373590017","1311052540373590017")</f>
        <v>1311052540373590017</v>
      </c>
      <c r="F1547" s="7" t="s">
        <v>17</v>
      </c>
      <c r="G1547" s="7">
        <v>1555896</v>
      </c>
      <c r="H1547" s="7">
        <v>396</v>
      </c>
      <c r="I1547" s="7">
        <v>10</v>
      </c>
      <c r="J1547" s="7">
        <v>0</v>
      </c>
      <c r="K1547" s="7" t="s">
        <v>18</v>
      </c>
      <c r="L1547" s="8">
        <v>39891.213356481479</v>
      </c>
      <c r="M1547" s="9" t="s">
        <v>19</v>
      </c>
      <c r="N1547" s="9" t="s">
        <v>22</v>
      </c>
      <c r="O1547" s="6" t="str">
        <f>HYPERLINK("https://pbs.twimg.com/profile_images/988971255679324162/jrqiIYf__normal.jpg","View")</f>
        <v>View</v>
      </c>
      <c r="P1547" s="7"/>
    </row>
    <row r="1548" spans="1:16">
      <c r="A1548" s="3">
        <v>44104.266168981485</v>
      </c>
      <c r="B1548" s="4" t="str">
        <f>HYPERLINK("https://twitter.com/sergio_fajardo","@sergio_fajardo")</f>
        <v>@sergio_fajardo</v>
      </c>
      <c r="C1548" s="5" t="s">
        <v>16</v>
      </c>
      <c r="D1548" s="5" t="s">
        <v>1569</v>
      </c>
      <c r="E1548" s="6" t="str">
        <f>HYPERLINK("https://twitter.com/sergio_fajardo/status/1311106812436000768","1311106812436000768")</f>
        <v>1311106812436000768</v>
      </c>
      <c r="F1548" s="7" t="s">
        <v>17</v>
      </c>
      <c r="G1548" s="7">
        <v>1555925</v>
      </c>
      <c r="H1548" s="7">
        <v>396</v>
      </c>
      <c r="I1548" s="7">
        <v>9</v>
      </c>
      <c r="J1548" s="7">
        <v>53</v>
      </c>
      <c r="K1548" s="7" t="s">
        <v>18</v>
      </c>
      <c r="L1548" s="8">
        <v>39891.213356481479</v>
      </c>
      <c r="M1548" s="9" t="s">
        <v>19</v>
      </c>
      <c r="N1548" s="9" t="s">
        <v>22</v>
      </c>
      <c r="O1548" s="6" t="str">
        <f>HYPERLINK("https://pbs.twimg.com/profile_images/988971255679324162/jrqiIYf__normal.jpg","View")</f>
        <v>View</v>
      </c>
      <c r="P1548" s="7"/>
    </row>
    <row r="1549" spans="1:16">
      <c r="A1549" s="3">
        <v>44104.967557870375</v>
      </c>
      <c r="B1549" s="4" t="str">
        <f>HYPERLINK("https://twitter.com/sergio_fajardo","@sergio_fajardo")</f>
        <v>@sergio_fajardo</v>
      </c>
      <c r="C1549" s="5" t="s">
        <v>16</v>
      </c>
      <c r="D1549" s="5" t="s">
        <v>1570</v>
      </c>
      <c r="E1549" s="6" t="str">
        <f>HYPERLINK("https://twitter.com/sergio_fajardo/status/1311360986356555783","1311360986356555783")</f>
        <v>1311360986356555783</v>
      </c>
      <c r="F1549" s="7" t="s">
        <v>17</v>
      </c>
      <c r="G1549" s="7">
        <v>1556056</v>
      </c>
      <c r="H1549" s="7">
        <v>396</v>
      </c>
      <c r="I1549" s="7">
        <v>617</v>
      </c>
      <c r="J1549" s="7">
        <v>0</v>
      </c>
      <c r="K1549" s="7" t="s">
        <v>18</v>
      </c>
      <c r="L1549" s="8">
        <v>39891.213356481479</v>
      </c>
      <c r="M1549" s="9" t="s">
        <v>19</v>
      </c>
      <c r="N1549" s="9" t="s">
        <v>22</v>
      </c>
      <c r="O1549" s="6" t="str">
        <f>HYPERLINK("https://pbs.twimg.com/profile_images/988971255679324162/jrqiIYf__normal.jpg","View")</f>
        <v>View</v>
      </c>
      <c r="P1549" s="7"/>
    </row>
    <row r="1550" spans="1:16">
      <c r="A1550" s="3">
        <v>44105.198692129634</v>
      </c>
      <c r="B1550" s="4" t="str">
        <f>HYPERLINK("https://twitter.com/sergio_fajardo","@sergio_fajardo")</f>
        <v>@sergio_fajardo</v>
      </c>
      <c r="C1550" s="5" t="s">
        <v>16</v>
      </c>
      <c r="D1550" s="5" t="s">
        <v>1571</v>
      </c>
      <c r="E1550" s="6" t="str">
        <f>HYPERLINK("https://twitter.com/sergio_fajardo/status/1311444746221621248","1311444746221621248")</f>
        <v>1311444746221621248</v>
      </c>
      <c r="F1550" s="7" t="s">
        <v>20</v>
      </c>
      <c r="G1550" s="7">
        <v>1556094</v>
      </c>
      <c r="H1550" s="7">
        <v>396</v>
      </c>
      <c r="I1550" s="7">
        <v>15</v>
      </c>
      <c r="J1550" s="7">
        <v>55</v>
      </c>
      <c r="K1550" s="7" t="s">
        <v>18</v>
      </c>
      <c r="L1550" s="8">
        <v>39891.213356481479</v>
      </c>
      <c r="M1550" s="9" t="s">
        <v>19</v>
      </c>
      <c r="N1550" s="9" t="s">
        <v>22</v>
      </c>
      <c r="O1550" s="6" t="str">
        <f>HYPERLINK("https://pbs.twimg.com/profile_images/988971255679324162/jrqiIYf__normal.jpg","View")</f>
        <v>View</v>
      </c>
      <c r="P1550" s="7"/>
    </row>
    <row r="1551" spans="1:16">
      <c r="A1551" s="3">
        <v>44105.229247685187</v>
      </c>
      <c r="B1551" s="4" t="str">
        <f>HYPERLINK("https://twitter.com/sergio_fajardo","@sergio_fajardo")</f>
        <v>@sergio_fajardo</v>
      </c>
      <c r="C1551" s="5" t="s">
        <v>16</v>
      </c>
      <c r="D1551" s="5" t="s">
        <v>1572</v>
      </c>
      <c r="E1551" s="6" t="str">
        <f>HYPERLINK("https://twitter.com/sergio_fajardo/status/1311455820719312896","1311455820719312896")</f>
        <v>1311455820719312896</v>
      </c>
      <c r="F1551" s="7" t="s">
        <v>20</v>
      </c>
      <c r="G1551" s="7">
        <v>1556095</v>
      </c>
      <c r="H1551" s="7">
        <v>396</v>
      </c>
      <c r="I1551" s="7">
        <v>1</v>
      </c>
      <c r="J1551" s="7">
        <v>7</v>
      </c>
      <c r="K1551" s="7" t="s">
        <v>18</v>
      </c>
      <c r="L1551" s="8">
        <v>39891.213356481479</v>
      </c>
      <c r="M1551" s="9" t="s">
        <v>19</v>
      </c>
      <c r="N1551" s="9" t="s">
        <v>22</v>
      </c>
      <c r="O1551" s="6" t="str">
        <f>HYPERLINK("https://pbs.twimg.com/profile_images/988971255679324162/jrqiIYf__normal.jpg","View")</f>
        <v>View</v>
      </c>
      <c r="P1551" s="7"/>
    </row>
    <row r="1552" spans="1:16">
      <c r="A1552" s="3">
        <v>44105.448553240742</v>
      </c>
      <c r="B1552" s="4" t="str">
        <f>HYPERLINK("https://twitter.com/sergio_fajardo","@sergio_fajardo")</f>
        <v>@sergio_fajardo</v>
      </c>
      <c r="C1552" s="5" t="s">
        <v>16</v>
      </c>
      <c r="D1552" s="5" t="s">
        <v>1573</v>
      </c>
      <c r="E1552" s="6" t="str">
        <f>HYPERLINK("https://twitter.com/sergio_fajardo/status/1311535291019202560","1311535291019202560")</f>
        <v>1311535291019202560</v>
      </c>
      <c r="F1552" s="7" t="s">
        <v>17</v>
      </c>
      <c r="G1552" s="7">
        <v>1556141</v>
      </c>
      <c r="H1552" s="7">
        <v>396</v>
      </c>
      <c r="I1552" s="7">
        <v>122</v>
      </c>
      <c r="J1552" s="7">
        <v>0</v>
      </c>
      <c r="K1552" s="7" t="s">
        <v>18</v>
      </c>
      <c r="L1552" s="8">
        <v>39891.213356481479</v>
      </c>
      <c r="M1552" s="9" t="s">
        <v>19</v>
      </c>
      <c r="N1552" s="9" t="s">
        <v>22</v>
      </c>
      <c r="O1552" s="6" t="str">
        <f>HYPERLINK("https://pbs.twimg.com/profile_images/988971255679324162/jrqiIYf__normal.jpg","View")</f>
        <v>View</v>
      </c>
      <c r="P1552" s="7"/>
    </row>
    <row r="1553" spans="1:16">
      <c r="A1553" s="3">
        <v>44105.745219907403</v>
      </c>
      <c r="B1553" s="4" t="str">
        <f>HYPERLINK("https://twitter.com/sergio_fajardo","@sergio_fajardo")</f>
        <v>@sergio_fajardo</v>
      </c>
      <c r="C1553" s="5" t="s">
        <v>16</v>
      </c>
      <c r="D1553" s="5" t="s">
        <v>1574</v>
      </c>
      <c r="E1553" s="6" t="str">
        <f>HYPERLINK("https://twitter.com/sergio_fajardo/status/1311642798697918464","1311642798697918464")</f>
        <v>1311642798697918464</v>
      </c>
      <c r="F1553" s="7" t="s">
        <v>23</v>
      </c>
      <c r="G1553" s="7">
        <v>1556139</v>
      </c>
      <c r="H1553" s="7">
        <v>396</v>
      </c>
      <c r="I1553" s="7">
        <v>4</v>
      </c>
      <c r="J1553" s="7">
        <v>28</v>
      </c>
      <c r="K1553" s="7" t="s">
        <v>18</v>
      </c>
      <c r="L1553" s="8">
        <v>39891.213356481479</v>
      </c>
      <c r="M1553" s="9" t="s">
        <v>19</v>
      </c>
      <c r="N1553" s="9" t="s">
        <v>22</v>
      </c>
      <c r="O1553" s="6" t="str">
        <f>HYPERLINK("https://pbs.twimg.com/profile_images/988971255679324162/jrqiIYf__normal.jpg","View")</f>
        <v>View</v>
      </c>
      <c r="P1553" s="7"/>
    </row>
    <row r="1554" spans="1:16">
      <c r="A1554" s="3">
        <v>44105.749374999999</v>
      </c>
      <c r="B1554" s="4" t="str">
        <f>HYPERLINK("https://twitter.com/sergio_fajardo","@sergio_fajardo")</f>
        <v>@sergio_fajardo</v>
      </c>
      <c r="C1554" s="5" t="s">
        <v>16</v>
      </c>
      <c r="D1554" s="5" t="s">
        <v>1575</v>
      </c>
      <c r="E1554" s="6" t="str">
        <f>HYPERLINK("https://twitter.com/sergio_fajardo/status/1311644306055233540","1311644306055233540")</f>
        <v>1311644306055233540</v>
      </c>
      <c r="F1554" s="7" t="s">
        <v>23</v>
      </c>
      <c r="G1554" s="7">
        <v>1556139</v>
      </c>
      <c r="H1554" s="7">
        <v>396</v>
      </c>
      <c r="I1554" s="7">
        <v>4</v>
      </c>
      <c r="J1554" s="7">
        <v>16</v>
      </c>
      <c r="K1554" s="7" t="s">
        <v>18</v>
      </c>
      <c r="L1554" s="8">
        <v>39891.213356481479</v>
      </c>
      <c r="M1554" s="9" t="s">
        <v>19</v>
      </c>
      <c r="N1554" s="9" t="s">
        <v>22</v>
      </c>
      <c r="O1554" s="6" t="str">
        <f>HYPERLINK("https://pbs.twimg.com/profile_images/988971255679324162/jrqiIYf__normal.jpg","View")</f>
        <v>View</v>
      </c>
      <c r="P1554" s="7"/>
    </row>
    <row r="1555" spans="1:16">
      <c r="A1555" s="3">
        <v>44105.805185185185</v>
      </c>
      <c r="B1555" s="4" t="str">
        <f>HYPERLINK("https://twitter.com/sergio_fajardo","@sergio_fajardo")</f>
        <v>@sergio_fajardo</v>
      </c>
      <c r="C1555" s="5" t="s">
        <v>16</v>
      </c>
      <c r="D1555" s="5" t="s">
        <v>1576</v>
      </c>
      <c r="E1555" s="6" t="str">
        <f>HYPERLINK("https://twitter.com/sergio_fajardo/status/1311664529726566400","1311664529726566400")</f>
        <v>1311664529726566400</v>
      </c>
      <c r="F1555" s="7" t="s">
        <v>17</v>
      </c>
      <c r="G1555" s="7">
        <v>1556160</v>
      </c>
      <c r="H1555" s="7">
        <v>396</v>
      </c>
      <c r="I1555" s="7">
        <v>14</v>
      </c>
      <c r="J1555" s="7">
        <v>0</v>
      </c>
      <c r="K1555" s="7" t="s">
        <v>18</v>
      </c>
      <c r="L1555" s="8">
        <v>39891.213356481479</v>
      </c>
      <c r="M1555" s="9" t="s">
        <v>19</v>
      </c>
      <c r="N1555" s="9" t="s">
        <v>22</v>
      </c>
      <c r="O1555" s="6" t="str">
        <f>HYPERLINK("https://pbs.twimg.com/profile_images/988971255679324162/jrqiIYf__normal.jpg","View")</f>
        <v>View</v>
      </c>
      <c r="P1555" s="7"/>
    </row>
    <row r="1556" spans="1:16">
      <c r="A1556" s="3">
        <v>44105.848958333328</v>
      </c>
      <c r="B1556" s="4" t="str">
        <f>HYPERLINK("https://twitter.com/sergio_fajardo","@sergio_fajardo")</f>
        <v>@sergio_fajardo</v>
      </c>
      <c r="C1556" s="5" t="s">
        <v>16</v>
      </c>
      <c r="D1556" s="5" t="s">
        <v>1577</v>
      </c>
      <c r="E1556" s="6" t="str">
        <f>HYPERLINK("https://twitter.com/sergio_fajardo/status/1311680393729527809","1311680393729527809")</f>
        <v>1311680393729527809</v>
      </c>
      <c r="F1556" s="7" t="s">
        <v>20</v>
      </c>
      <c r="G1556" s="7">
        <v>1556163</v>
      </c>
      <c r="H1556" s="7">
        <v>396</v>
      </c>
      <c r="I1556" s="7">
        <v>9</v>
      </c>
      <c r="J1556" s="7">
        <v>32</v>
      </c>
      <c r="K1556" s="7" t="s">
        <v>18</v>
      </c>
      <c r="L1556" s="8">
        <v>39891.213356481479</v>
      </c>
      <c r="M1556" s="9" t="s">
        <v>19</v>
      </c>
      <c r="N1556" s="9" t="s">
        <v>22</v>
      </c>
      <c r="O1556" s="6" t="str">
        <f>HYPERLINK("https://pbs.twimg.com/profile_images/988971255679324162/jrqiIYf__normal.jpg","View")</f>
        <v>View</v>
      </c>
      <c r="P1556" s="7"/>
    </row>
    <row r="1557" spans="1:16">
      <c r="A1557" s="3">
        <v>44106.098622685182</v>
      </c>
      <c r="B1557" s="4" t="str">
        <f>HYPERLINK("https://twitter.com/sergio_fajardo","@sergio_fajardo")</f>
        <v>@sergio_fajardo</v>
      </c>
      <c r="C1557" s="5" t="s">
        <v>16</v>
      </c>
      <c r="D1557" s="5" t="s">
        <v>1578</v>
      </c>
      <c r="E1557" s="6" t="str">
        <f>HYPERLINK("https://twitter.com/sergio_fajardo/status/1311770870747201536","1311770870747201536")</f>
        <v>1311770870747201536</v>
      </c>
      <c r="F1557" s="7" t="s">
        <v>23</v>
      </c>
      <c r="G1557" s="7">
        <v>1556174</v>
      </c>
      <c r="H1557" s="7">
        <v>396</v>
      </c>
      <c r="I1557" s="7">
        <v>3</v>
      </c>
      <c r="J1557" s="7">
        <v>0</v>
      </c>
      <c r="K1557" s="7" t="s">
        <v>18</v>
      </c>
      <c r="L1557" s="8">
        <v>39891.213356481479</v>
      </c>
      <c r="M1557" s="9" t="s">
        <v>19</v>
      </c>
      <c r="N1557" s="9" t="s">
        <v>22</v>
      </c>
      <c r="O1557" s="6" t="str">
        <f>HYPERLINK("https://pbs.twimg.com/profile_images/988971255679324162/jrqiIYf__normal.jpg","View")</f>
        <v>View</v>
      </c>
      <c r="P1557" s="7"/>
    </row>
    <row r="1558" spans="1:16">
      <c r="A1558" s="3">
        <v>44106.240150462967</v>
      </c>
      <c r="B1558" s="4" t="str">
        <f>HYPERLINK("https://twitter.com/sergio_fajardo","@sergio_fajardo")</f>
        <v>@sergio_fajardo</v>
      </c>
      <c r="C1558" s="5" t="s">
        <v>16</v>
      </c>
      <c r="D1558" s="5" t="s">
        <v>1579</v>
      </c>
      <c r="E1558" s="6" t="str">
        <f>HYPERLINK("https://twitter.com/sergio_fajardo/status/1311822156595179522","1311822156595179522")</f>
        <v>1311822156595179522</v>
      </c>
      <c r="F1558" s="7" t="s">
        <v>17</v>
      </c>
      <c r="G1558" s="7">
        <v>1556195</v>
      </c>
      <c r="H1558" s="7">
        <v>396</v>
      </c>
      <c r="I1558" s="7">
        <v>1</v>
      </c>
      <c r="J1558" s="7">
        <v>20</v>
      </c>
      <c r="K1558" s="7" t="s">
        <v>18</v>
      </c>
      <c r="L1558" s="8">
        <v>39891.213356481479</v>
      </c>
      <c r="M1558" s="9" t="s">
        <v>19</v>
      </c>
      <c r="N1558" s="9" t="s">
        <v>22</v>
      </c>
      <c r="O1558" s="6" t="str">
        <f>HYPERLINK("https://pbs.twimg.com/profile_images/988971255679324162/jrqiIYf__normal.jpg","View")</f>
        <v>View</v>
      </c>
      <c r="P1558" s="7"/>
    </row>
    <row r="1559" spans="1:16">
      <c r="A1559" s="3">
        <v>44106.859224537038</v>
      </c>
      <c r="B1559" s="4" t="str">
        <f>HYPERLINK("https://twitter.com/sergio_fajardo","@sergio_fajardo")</f>
        <v>@sergio_fajardo</v>
      </c>
      <c r="C1559" s="5" t="s">
        <v>16</v>
      </c>
      <c r="D1559" s="5" t="s">
        <v>1580</v>
      </c>
      <c r="E1559" s="6" t="str">
        <f>HYPERLINK("https://twitter.com/sergio_fajardo/status/1312046503335276544","1312046503335276544")</f>
        <v>1312046503335276544</v>
      </c>
      <c r="F1559" s="7" t="s">
        <v>17</v>
      </c>
      <c r="G1559" s="7">
        <v>1556229</v>
      </c>
      <c r="H1559" s="7">
        <v>396</v>
      </c>
      <c r="I1559" s="7">
        <v>18</v>
      </c>
      <c r="J1559" s="7">
        <v>0</v>
      </c>
      <c r="K1559" s="7" t="s">
        <v>18</v>
      </c>
      <c r="L1559" s="8">
        <v>39891.213356481479</v>
      </c>
      <c r="M1559" s="9" t="s">
        <v>19</v>
      </c>
      <c r="N1559" s="9" t="s">
        <v>22</v>
      </c>
      <c r="O1559" s="6" t="str">
        <f>HYPERLINK("https://pbs.twimg.com/profile_images/988971255679324162/jrqiIYf__normal.jpg","View")</f>
        <v>View</v>
      </c>
      <c r="P1559" s="7"/>
    </row>
    <row r="1560" spans="1:16">
      <c r="A1560" s="3">
        <v>44107.054178240738</v>
      </c>
      <c r="B1560" s="4" t="str">
        <f>HYPERLINK("https://twitter.com/sergio_fajardo","@sergio_fajardo")</f>
        <v>@sergio_fajardo</v>
      </c>
      <c r="C1560" s="5" t="s">
        <v>16</v>
      </c>
      <c r="D1560" s="5" t="s">
        <v>1581</v>
      </c>
      <c r="E1560" s="6" t="str">
        <f>HYPERLINK("https://twitter.com/sergio_fajardo/status/1312117153416404992","1312117153416404992")</f>
        <v>1312117153416404992</v>
      </c>
      <c r="F1560" s="7" t="s">
        <v>17</v>
      </c>
      <c r="G1560" s="7">
        <v>1556277</v>
      </c>
      <c r="H1560" s="7">
        <v>396</v>
      </c>
      <c r="I1560" s="7">
        <v>3</v>
      </c>
      <c r="J1560" s="7">
        <v>0</v>
      </c>
      <c r="K1560" s="7" t="s">
        <v>18</v>
      </c>
      <c r="L1560" s="8">
        <v>39891.213356481479</v>
      </c>
      <c r="M1560" s="9" t="s">
        <v>19</v>
      </c>
      <c r="N1560" s="9" t="s">
        <v>22</v>
      </c>
      <c r="O1560" s="6" t="str">
        <f>HYPERLINK("https://pbs.twimg.com/profile_images/988971255679324162/jrqiIYf__normal.jpg","View")</f>
        <v>View</v>
      </c>
      <c r="P1560" s="7"/>
    </row>
    <row r="1561" spans="1:16">
      <c r="A1561" s="3">
        <v>44108.19703703704</v>
      </c>
      <c r="B1561" s="4" t="str">
        <f>HYPERLINK("https://twitter.com/sergio_fajardo","@sergio_fajardo")</f>
        <v>@sergio_fajardo</v>
      </c>
      <c r="C1561" s="5" t="s">
        <v>16</v>
      </c>
      <c r="D1561" s="5" t="s">
        <v>1582</v>
      </c>
      <c r="E1561" s="6" t="str">
        <f>HYPERLINK("https://twitter.com/sergio_fajardo/status/1312531310729019393","1312531310729019393")</f>
        <v>1312531310729019393</v>
      </c>
      <c r="F1561" s="7" t="s">
        <v>17</v>
      </c>
      <c r="G1561" s="7">
        <v>1556480</v>
      </c>
      <c r="H1561" s="7">
        <v>396</v>
      </c>
      <c r="I1561" s="7">
        <v>16</v>
      </c>
      <c r="J1561" s="7">
        <v>63</v>
      </c>
      <c r="K1561" s="7" t="s">
        <v>18</v>
      </c>
      <c r="L1561" s="8">
        <v>39891.213356481479</v>
      </c>
      <c r="M1561" s="9" t="s">
        <v>19</v>
      </c>
      <c r="N1561" s="9" t="s">
        <v>22</v>
      </c>
      <c r="O1561" s="6" t="str">
        <f>HYPERLINK("https://pbs.twimg.com/profile_images/988971255679324162/jrqiIYf__normal.jpg","View")</f>
        <v>View</v>
      </c>
      <c r="P1561" s="7"/>
    </row>
    <row r="1562" spans="1:16">
      <c r="A1562" s="3">
        <v>44108.67350694444</v>
      </c>
      <c r="B1562" s="4" t="str">
        <f>HYPERLINK("https://twitter.com/sergio_fajardo","@sergio_fajardo")</f>
        <v>@sergio_fajardo</v>
      </c>
      <c r="C1562" s="5" t="s">
        <v>16</v>
      </c>
      <c r="D1562" s="5" t="s">
        <v>1583</v>
      </c>
      <c r="E1562" s="6" t="str">
        <f>HYPERLINK("https://twitter.com/sergio_fajardo/status/1312703974919856129","1312703974919856129")</f>
        <v>1312703974919856129</v>
      </c>
      <c r="F1562" s="7" t="s">
        <v>17</v>
      </c>
      <c r="G1562" s="7">
        <v>1556417</v>
      </c>
      <c r="H1562" s="7">
        <v>396</v>
      </c>
      <c r="I1562" s="7">
        <v>2</v>
      </c>
      <c r="J1562" s="7">
        <v>0</v>
      </c>
      <c r="K1562" s="7" t="s">
        <v>18</v>
      </c>
      <c r="L1562" s="8">
        <v>39891.213356481479</v>
      </c>
      <c r="M1562" s="9" t="s">
        <v>19</v>
      </c>
      <c r="N1562" s="9" t="s">
        <v>22</v>
      </c>
      <c r="O1562" s="6" t="str">
        <f>HYPERLINK("https://pbs.twimg.com/profile_images/988971255679324162/jrqiIYf__normal.jpg","View")</f>
        <v>View</v>
      </c>
      <c r="P1562" s="7"/>
    </row>
    <row r="1563" spans="1:16">
      <c r="A1563" s="3">
        <v>44108.807106481487</v>
      </c>
      <c r="B1563" s="4" t="str">
        <f>HYPERLINK("https://twitter.com/sergio_fajardo","@sergio_fajardo")</f>
        <v>@sergio_fajardo</v>
      </c>
      <c r="C1563" s="5" t="s">
        <v>16</v>
      </c>
      <c r="D1563" s="5" t="s">
        <v>1584</v>
      </c>
      <c r="E1563" s="6" t="str">
        <f>HYPERLINK("https://twitter.com/sergio_fajardo/status/1312752390567796737","1312752390567796737")</f>
        <v>1312752390567796737</v>
      </c>
      <c r="F1563" s="7" t="s">
        <v>17</v>
      </c>
      <c r="G1563" s="7">
        <v>1556443</v>
      </c>
      <c r="H1563" s="7">
        <v>396</v>
      </c>
      <c r="I1563" s="7">
        <v>373</v>
      </c>
      <c r="J1563" s="7">
        <v>0</v>
      </c>
      <c r="K1563" s="7" t="s">
        <v>18</v>
      </c>
      <c r="L1563" s="8">
        <v>39891.213356481479</v>
      </c>
      <c r="M1563" s="9" t="s">
        <v>19</v>
      </c>
      <c r="N1563" s="9" t="s">
        <v>22</v>
      </c>
      <c r="O1563" s="6" t="str">
        <f>HYPERLINK("https://pbs.twimg.com/profile_images/988971255679324162/jrqiIYf__normal.jpg","View")</f>
        <v>View</v>
      </c>
      <c r="P1563" s="7"/>
    </row>
    <row r="1564" spans="1:16">
      <c r="A1564" s="3">
        <v>44108.808368055557</v>
      </c>
      <c r="B1564" s="4" t="str">
        <f>HYPERLINK("https://twitter.com/sergio_fajardo","@sergio_fajardo")</f>
        <v>@sergio_fajardo</v>
      </c>
      <c r="C1564" s="5" t="s">
        <v>16</v>
      </c>
      <c r="D1564" s="5" t="s">
        <v>1585</v>
      </c>
      <c r="E1564" s="6" t="str">
        <f>HYPERLINK("https://twitter.com/sergio_fajardo/status/1312752847440748545","1312752847440748545")</f>
        <v>1312752847440748545</v>
      </c>
      <c r="F1564" s="7" t="s">
        <v>17</v>
      </c>
      <c r="G1564" s="7">
        <v>1556443</v>
      </c>
      <c r="H1564" s="7">
        <v>396</v>
      </c>
      <c r="I1564" s="7">
        <v>1649</v>
      </c>
      <c r="J1564" s="7">
        <v>0</v>
      </c>
      <c r="K1564" s="7" t="s">
        <v>18</v>
      </c>
      <c r="L1564" s="8">
        <v>39891.213356481479</v>
      </c>
      <c r="M1564" s="9" t="s">
        <v>19</v>
      </c>
      <c r="N1564" s="9" t="s">
        <v>22</v>
      </c>
      <c r="O1564" s="6" t="str">
        <f>HYPERLINK("https://pbs.twimg.com/profile_images/988971255679324162/jrqiIYf__normal.jpg","View")</f>
        <v>View</v>
      </c>
      <c r="P1564" s="7"/>
    </row>
    <row r="1565" spans="1:16">
      <c r="A1565" s="3">
        <v>44109.330254629633</v>
      </c>
      <c r="B1565" s="4" t="str">
        <f>HYPERLINK("https://twitter.com/sergio_fajardo","@sergio_fajardo")</f>
        <v>@sergio_fajardo</v>
      </c>
      <c r="C1565" s="5" t="s">
        <v>16</v>
      </c>
      <c r="D1565" s="5" t="s">
        <v>1586</v>
      </c>
      <c r="E1565" s="6" t="str">
        <f>HYPERLINK("https://twitter.com/sergio_fajardo/status/1312941973666398208","1312941973666398208")</f>
        <v>1312941973666398208</v>
      </c>
      <c r="F1565" s="7" t="s">
        <v>17</v>
      </c>
      <c r="G1565" s="7">
        <v>1556499</v>
      </c>
      <c r="H1565" s="7">
        <v>396</v>
      </c>
      <c r="I1565" s="7">
        <v>4</v>
      </c>
      <c r="J1565" s="7">
        <v>33</v>
      </c>
      <c r="K1565" s="7" t="s">
        <v>18</v>
      </c>
      <c r="L1565" s="8">
        <v>39891.213356481479</v>
      </c>
      <c r="M1565" s="9" t="s">
        <v>19</v>
      </c>
      <c r="N1565" s="9" t="s">
        <v>22</v>
      </c>
      <c r="O1565" s="6" t="str">
        <f>HYPERLINK("https://pbs.twimg.com/profile_images/988971255679324162/jrqiIYf__normal.jpg","View")</f>
        <v>View</v>
      </c>
      <c r="P1565" s="7"/>
    </row>
    <row r="1566" spans="1:16">
      <c r="A1566" s="3">
        <v>44110.602997685186</v>
      </c>
      <c r="B1566" s="4" t="str">
        <f>HYPERLINK("https://twitter.com/sergio_fajardo","@sergio_fajardo")</f>
        <v>@sergio_fajardo</v>
      </c>
      <c r="C1566" s="5" t="s">
        <v>16</v>
      </c>
      <c r="D1566" s="5" t="s">
        <v>1587</v>
      </c>
      <c r="E1566" s="6" t="str">
        <f>HYPERLINK("https://twitter.com/sergio_fajardo/status/1313403199081119744","1313403199081119744")</f>
        <v>1313403199081119744</v>
      </c>
      <c r="F1566" s="7" t="s">
        <v>17</v>
      </c>
      <c r="G1566" s="7">
        <v>1556645</v>
      </c>
      <c r="H1566" s="7">
        <v>396</v>
      </c>
      <c r="I1566" s="7">
        <v>71</v>
      </c>
      <c r="J1566" s="7">
        <v>0</v>
      </c>
      <c r="K1566" s="7" t="s">
        <v>18</v>
      </c>
      <c r="L1566" s="8">
        <v>39891.213356481479</v>
      </c>
      <c r="M1566" s="9" t="s">
        <v>19</v>
      </c>
      <c r="N1566" s="9" t="s">
        <v>22</v>
      </c>
      <c r="O1566" s="6" t="str">
        <f>HYPERLINK("https://pbs.twimg.com/profile_images/988971255679324162/jrqiIYf__normal.jpg","View")</f>
        <v>View</v>
      </c>
      <c r="P1566" s="7"/>
    </row>
    <row r="1567" spans="1:16">
      <c r="A1567" s="3">
        <v>44110.62700231481</v>
      </c>
      <c r="B1567" s="4" t="str">
        <f>HYPERLINK("https://twitter.com/sergio_fajardo","@sergio_fajardo")</f>
        <v>@sergio_fajardo</v>
      </c>
      <c r="C1567" s="5" t="s">
        <v>16</v>
      </c>
      <c r="D1567" s="5" t="s">
        <v>1588</v>
      </c>
      <c r="E1567" s="6" t="str">
        <f>HYPERLINK("https://twitter.com/sergio_fajardo/status/1313411899166523392","1313411899166523392")</f>
        <v>1313411899166523392</v>
      </c>
      <c r="F1567" s="7" t="s">
        <v>17</v>
      </c>
      <c r="G1567" s="7">
        <v>1556647</v>
      </c>
      <c r="H1567" s="7">
        <v>396</v>
      </c>
      <c r="I1567" s="7">
        <v>13</v>
      </c>
      <c r="J1567" s="7">
        <v>0</v>
      </c>
      <c r="K1567" s="7" t="s">
        <v>18</v>
      </c>
      <c r="L1567" s="8">
        <v>39891.213356481479</v>
      </c>
      <c r="M1567" s="9" t="s">
        <v>19</v>
      </c>
      <c r="N1567" s="9" t="s">
        <v>22</v>
      </c>
      <c r="O1567" s="6" t="str">
        <f>HYPERLINK("https://pbs.twimg.com/profile_images/988971255679324162/jrqiIYf__normal.jpg","View")</f>
        <v>View</v>
      </c>
      <c r="P1567" s="7"/>
    </row>
    <row r="1568" spans="1:16">
      <c r="A1568" s="3">
        <v>44110.982893518521</v>
      </c>
      <c r="B1568" s="4" t="str">
        <f>HYPERLINK("https://twitter.com/sergio_fajardo","@sergio_fajardo")</f>
        <v>@sergio_fajardo</v>
      </c>
      <c r="C1568" s="5" t="s">
        <v>16</v>
      </c>
      <c r="D1568" s="5" t="s">
        <v>1589</v>
      </c>
      <c r="E1568" s="6" t="str">
        <f>HYPERLINK("https://twitter.com/sergio_fajardo/status/1313540869979607040","1313540869979607040")</f>
        <v>1313540869979607040</v>
      </c>
      <c r="F1568" s="7" t="s">
        <v>17</v>
      </c>
      <c r="G1568" s="7">
        <v>1556696</v>
      </c>
      <c r="H1568" s="7">
        <v>396</v>
      </c>
      <c r="I1568" s="7">
        <v>59</v>
      </c>
      <c r="J1568" s="7">
        <v>0</v>
      </c>
      <c r="K1568" s="7" t="s">
        <v>18</v>
      </c>
      <c r="L1568" s="8">
        <v>39891.213356481479</v>
      </c>
      <c r="M1568" s="9" t="s">
        <v>19</v>
      </c>
      <c r="N1568" s="9" t="s">
        <v>22</v>
      </c>
      <c r="O1568" s="6" t="str">
        <f>HYPERLINK("https://pbs.twimg.com/profile_images/988971255679324162/jrqiIYf__normal.jpg","View")</f>
        <v>View</v>
      </c>
      <c r="P1568" s="7"/>
    </row>
    <row r="1569" spans="1:16">
      <c r="A1569" s="3">
        <v>44111.993784722217</v>
      </c>
      <c r="B1569" s="4" t="str">
        <f>HYPERLINK("https://twitter.com/sergio_fajardo","@sergio_fajardo")</f>
        <v>@sergio_fajardo</v>
      </c>
      <c r="C1569" s="5" t="s">
        <v>16</v>
      </c>
      <c r="D1569" s="5" t="s">
        <v>1590</v>
      </c>
      <c r="E1569" s="6" t="str">
        <f>HYPERLINK("https://twitter.com/sergio_fajardo/status/1313907203703701505","1313907203703701505")</f>
        <v>1313907203703701505</v>
      </c>
      <c r="F1569" s="7" t="s">
        <v>17</v>
      </c>
      <c r="G1569" s="7">
        <v>1556839</v>
      </c>
      <c r="H1569" s="7">
        <v>396</v>
      </c>
      <c r="I1569" s="7">
        <v>39</v>
      </c>
      <c r="J1569" s="7">
        <v>0</v>
      </c>
      <c r="K1569" s="7" t="s">
        <v>18</v>
      </c>
      <c r="L1569" s="8">
        <v>39891.213356481479</v>
      </c>
      <c r="M1569" s="9" t="s">
        <v>19</v>
      </c>
      <c r="N1569" s="9" t="s">
        <v>22</v>
      </c>
      <c r="O1569" s="6" t="str">
        <f>HYPERLINK("https://pbs.twimg.com/profile_images/988971255679324162/jrqiIYf__normal.jpg","View")</f>
        <v>View</v>
      </c>
      <c r="P1569" s="7"/>
    </row>
    <row r="1570" spans="1:16">
      <c r="A1570" s="3">
        <v>44112.126550925925</v>
      </c>
      <c r="B1570" s="4" t="str">
        <f>HYPERLINK("https://twitter.com/sergio_fajardo","@sergio_fajardo")</f>
        <v>@sergio_fajardo</v>
      </c>
      <c r="C1570" s="5" t="s">
        <v>16</v>
      </c>
      <c r="D1570" s="5" t="s">
        <v>1591</v>
      </c>
      <c r="E1570" s="6" t="str">
        <f>HYPERLINK("https://twitter.com/sergio_fajardo/status/1313955317361840129","1313955317361840129")</f>
        <v>1313955317361840129</v>
      </c>
      <c r="F1570" s="7" t="s">
        <v>23</v>
      </c>
      <c r="G1570" s="7">
        <v>1556843</v>
      </c>
      <c r="H1570" s="7">
        <v>396</v>
      </c>
      <c r="I1570" s="7">
        <v>4</v>
      </c>
      <c r="J1570" s="7">
        <v>13</v>
      </c>
      <c r="K1570" s="7" t="s">
        <v>18</v>
      </c>
      <c r="L1570" s="8">
        <v>39891.213356481479</v>
      </c>
      <c r="M1570" s="9" t="s">
        <v>19</v>
      </c>
      <c r="N1570" s="9" t="s">
        <v>22</v>
      </c>
      <c r="O1570" s="6" t="str">
        <f>HYPERLINK("https://pbs.twimg.com/profile_images/988971255679324162/jrqiIYf__normal.jpg","View")</f>
        <v>View</v>
      </c>
      <c r="P1570" s="7"/>
    </row>
    <row r="1571" spans="1:16">
      <c r="A1571" s="3">
        <v>44113.379560185189</v>
      </c>
      <c r="B1571" s="4" t="str">
        <f>HYPERLINK("https://twitter.com/sergio_fajardo","@sergio_fajardo")</f>
        <v>@sergio_fajardo</v>
      </c>
      <c r="C1571" s="5" t="s">
        <v>16</v>
      </c>
      <c r="D1571" s="5" t="s">
        <v>1592</v>
      </c>
      <c r="E1571" s="6" t="str">
        <f>HYPERLINK("https://twitter.com/sergio_fajardo/status/1314409394201931776","1314409394201931776")</f>
        <v>1314409394201931776</v>
      </c>
      <c r="F1571" s="7" t="s">
        <v>17</v>
      </c>
      <c r="G1571" s="7">
        <v>1557017</v>
      </c>
      <c r="H1571" s="7">
        <v>396</v>
      </c>
      <c r="I1571" s="7">
        <v>23</v>
      </c>
      <c r="J1571" s="7">
        <v>0</v>
      </c>
      <c r="K1571" s="7" t="s">
        <v>18</v>
      </c>
      <c r="L1571" s="8">
        <v>39891.213356481479</v>
      </c>
      <c r="M1571" s="9" t="s">
        <v>19</v>
      </c>
      <c r="N1571" s="9" t="s">
        <v>22</v>
      </c>
      <c r="O1571" s="6" t="str">
        <f>HYPERLINK("https://pbs.twimg.com/profile_images/988971255679324162/jrqiIYf__normal.jpg","View")</f>
        <v>View</v>
      </c>
      <c r="P1571" s="7"/>
    </row>
    <row r="1572" spans="1:16">
      <c r="A1572" s="3">
        <v>44113.969629629632</v>
      </c>
      <c r="B1572" s="4" t="str">
        <f>HYPERLINK("https://twitter.com/sergio_fajardo","@sergio_fajardo")</f>
        <v>@sergio_fajardo</v>
      </c>
      <c r="C1572" s="5" t="s">
        <v>16</v>
      </c>
      <c r="D1572" s="5" t="s">
        <v>1593</v>
      </c>
      <c r="E1572" s="6" t="str">
        <f>HYPERLINK("https://twitter.com/sergio_fajardo/status/1314623226467758084","1314623226467758084")</f>
        <v>1314623226467758084</v>
      </c>
      <c r="F1572" s="7" t="s">
        <v>17</v>
      </c>
      <c r="G1572" s="7">
        <v>1557078</v>
      </c>
      <c r="H1572" s="7">
        <v>396</v>
      </c>
      <c r="I1572" s="7">
        <v>35</v>
      </c>
      <c r="J1572" s="7">
        <v>0</v>
      </c>
      <c r="K1572" s="7" t="s">
        <v>18</v>
      </c>
      <c r="L1572" s="8">
        <v>39891.213356481479</v>
      </c>
      <c r="M1572" s="9" t="s">
        <v>19</v>
      </c>
      <c r="N1572" s="9" t="s">
        <v>22</v>
      </c>
      <c r="O1572" s="6" t="str">
        <f>HYPERLINK("https://pbs.twimg.com/profile_images/988971255679324162/jrqiIYf__normal.jpg","View")</f>
        <v>View</v>
      </c>
      <c r="P1572" s="7"/>
    </row>
    <row r="1573" spans="1:16">
      <c r="A1573" s="3">
        <v>44113.993078703701</v>
      </c>
      <c r="B1573" s="4" t="str">
        <f>HYPERLINK("https://twitter.com/sergio_fajardo","@sergio_fajardo")</f>
        <v>@sergio_fajardo</v>
      </c>
      <c r="C1573" s="5" t="s">
        <v>16</v>
      </c>
      <c r="D1573" s="4" t="s">
        <v>1594</v>
      </c>
      <c r="E1573" s="6" t="str">
        <f>HYPERLINK("https://twitter.com/sergio_fajardo/status/1314631722642944001","1314631722642944001")</f>
        <v>1314631722642944001</v>
      </c>
      <c r="F1573" s="7" t="s">
        <v>17</v>
      </c>
      <c r="G1573" s="7">
        <v>1557077</v>
      </c>
      <c r="H1573" s="7">
        <v>396</v>
      </c>
      <c r="I1573" s="7">
        <v>0</v>
      </c>
      <c r="J1573" s="7">
        <v>10</v>
      </c>
      <c r="K1573" s="7" t="s">
        <v>18</v>
      </c>
      <c r="L1573" s="8">
        <v>39891.213356481479</v>
      </c>
      <c r="M1573" s="9" t="s">
        <v>19</v>
      </c>
      <c r="N1573" s="9" t="s">
        <v>22</v>
      </c>
      <c r="O1573" s="6" t="str">
        <f>HYPERLINK("https://pbs.twimg.com/profile_images/988971255679324162/jrqiIYf__normal.jpg","View")</f>
        <v>View</v>
      </c>
      <c r="P1573" s="7"/>
    </row>
    <row r="1574" spans="1:16">
      <c r="A1574" s="3">
        <v>44114.061793981484</v>
      </c>
      <c r="B1574" s="4" t="str">
        <f>HYPERLINK("https://twitter.com/sergio_fajardo","@sergio_fajardo")</f>
        <v>@sergio_fajardo</v>
      </c>
      <c r="C1574" s="5" t="s">
        <v>16</v>
      </c>
      <c r="D1574" s="5" t="s">
        <v>1595</v>
      </c>
      <c r="E1574" s="6" t="str">
        <f>HYPERLINK("https://twitter.com/sergio_fajardo/status/1314656625567952897","1314656625567952897")</f>
        <v>1314656625567952897</v>
      </c>
      <c r="F1574" s="7" t="s">
        <v>17</v>
      </c>
      <c r="G1574" s="7">
        <v>1557074</v>
      </c>
      <c r="H1574" s="7">
        <v>396</v>
      </c>
      <c r="I1574" s="7">
        <v>0</v>
      </c>
      <c r="J1574" s="7">
        <v>0</v>
      </c>
      <c r="K1574" s="7" t="s">
        <v>18</v>
      </c>
      <c r="L1574" s="8">
        <v>39891.213356481479</v>
      </c>
      <c r="M1574" s="9" t="s">
        <v>19</v>
      </c>
      <c r="N1574" s="9" t="s">
        <v>22</v>
      </c>
      <c r="O1574" s="6" t="str">
        <f>HYPERLINK("https://pbs.twimg.com/profile_images/988971255679324162/jrqiIYf__normal.jpg","View")</f>
        <v>View</v>
      </c>
      <c r="P1574" s="7"/>
    </row>
    <row r="1575" spans="1:16">
      <c r="A1575" s="3">
        <v>44114.734212962961</v>
      </c>
      <c r="B1575" s="4" t="str">
        <f>HYPERLINK("https://twitter.com/sergio_fajardo","@sergio_fajardo")</f>
        <v>@sergio_fajardo</v>
      </c>
      <c r="C1575" s="5" t="s">
        <v>16</v>
      </c>
      <c r="D1575" s="5" t="s">
        <v>1596</v>
      </c>
      <c r="E1575" s="6" t="str">
        <f>HYPERLINK("https://twitter.com/sergio_fajardo/status/1314900300868788225","1314900300868788225")</f>
        <v>1314900300868788225</v>
      </c>
      <c r="F1575" s="7" t="s">
        <v>17</v>
      </c>
      <c r="G1575" s="7">
        <v>1557145</v>
      </c>
      <c r="H1575" s="7">
        <v>396</v>
      </c>
      <c r="I1575" s="7">
        <v>5</v>
      </c>
      <c r="J1575" s="7">
        <v>16</v>
      </c>
      <c r="K1575" s="7" t="s">
        <v>18</v>
      </c>
      <c r="L1575" s="8">
        <v>39891.213356481479</v>
      </c>
      <c r="M1575" s="9" t="s">
        <v>19</v>
      </c>
      <c r="N1575" s="9" t="s">
        <v>22</v>
      </c>
      <c r="O1575" s="6" t="str">
        <f>HYPERLINK("https://pbs.twimg.com/profile_images/988971255679324162/jrqiIYf__normal.jpg","View")</f>
        <v>View</v>
      </c>
      <c r="P1575" s="7"/>
    </row>
    <row r="1576" spans="1:16">
      <c r="A1576" s="3">
        <v>44114.783738425926</v>
      </c>
      <c r="B1576" s="4" t="str">
        <f>HYPERLINK("https://twitter.com/sergio_fajardo","@sergio_fajardo")</f>
        <v>@sergio_fajardo</v>
      </c>
      <c r="C1576" s="5" t="s">
        <v>16</v>
      </c>
      <c r="D1576" s="5" t="s">
        <v>1597</v>
      </c>
      <c r="E1576" s="6" t="str">
        <f>HYPERLINK("https://twitter.com/sergio_fajardo/status/1314918249541361664","1314918249541361664")</f>
        <v>1314918249541361664</v>
      </c>
      <c r="F1576" s="7" t="s">
        <v>17</v>
      </c>
      <c r="G1576" s="7">
        <v>1557146</v>
      </c>
      <c r="H1576" s="7">
        <v>397</v>
      </c>
      <c r="I1576" s="7">
        <v>1776</v>
      </c>
      <c r="J1576" s="7">
        <v>0</v>
      </c>
      <c r="K1576" s="7" t="s">
        <v>18</v>
      </c>
      <c r="L1576" s="8">
        <v>39891.213356481479</v>
      </c>
      <c r="M1576" s="9" t="s">
        <v>19</v>
      </c>
      <c r="N1576" s="9" t="s">
        <v>22</v>
      </c>
      <c r="O1576" s="6" t="str">
        <f>HYPERLINK("https://pbs.twimg.com/profile_images/988971255679324162/jrqiIYf__normal.jpg","View")</f>
        <v>View</v>
      </c>
      <c r="P1576" s="7"/>
    </row>
    <row r="1577" spans="1:16">
      <c r="A1577" s="3">
        <v>44115.144421296296</v>
      </c>
      <c r="B1577" s="4" t="str">
        <f>HYPERLINK("https://twitter.com/sergio_fajardo","@sergio_fajardo")</f>
        <v>@sergio_fajardo</v>
      </c>
      <c r="C1577" s="5" t="s">
        <v>16</v>
      </c>
      <c r="D1577" s="5" t="s">
        <v>1598</v>
      </c>
      <c r="E1577" s="6" t="str">
        <f>HYPERLINK("https://twitter.com/sergio_fajardo/status/1315048958377562112","1315048958377562112")</f>
        <v>1315048958377562112</v>
      </c>
      <c r="F1577" s="7" t="s">
        <v>17</v>
      </c>
      <c r="G1577" s="7">
        <v>1557202</v>
      </c>
      <c r="H1577" s="7">
        <v>397</v>
      </c>
      <c r="I1577" s="7">
        <v>2457</v>
      </c>
      <c r="J1577" s="7">
        <v>0</v>
      </c>
      <c r="K1577" s="7" t="s">
        <v>18</v>
      </c>
      <c r="L1577" s="8">
        <v>39891.213356481479</v>
      </c>
      <c r="M1577" s="9" t="s">
        <v>19</v>
      </c>
      <c r="N1577" s="9" t="s">
        <v>22</v>
      </c>
      <c r="O1577" s="6" t="str">
        <f>HYPERLINK("https://pbs.twimg.com/profile_images/988971255679324162/jrqiIYf__normal.jpg","View")</f>
        <v>View</v>
      </c>
      <c r="P1577" s="7"/>
    </row>
    <row r="1578" spans="1:16">
      <c r="A1578" s="3">
        <v>44115.776608796295</v>
      </c>
      <c r="B1578" s="4" t="str">
        <f>HYPERLINK("https://twitter.com/sergio_fajardo","@sergio_fajardo")</f>
        <v>@sergio_fajardo</v>
      </c>
      <c r="C1578" s="5" t="s">
        <v>16</v>
      </c>
      <c r="D1578" s="5" t="s">
        <v>1599</v>
      </c>
      <c r="E1578" s="6" t="str">
        <f>HYPERLINK("https://twitter.com/sergio_fajardo/status/1315278052990083073","1315278052990083073")</f>
        <v>1315278052990083073</v>
      </c>
      <c r="F1578" s="7" t="s">
        <v>20</v>
      </c>
      <c r="G1578" s="7">
        <v>1557247</v>
      </c>
      <c r="H1578" s="7">
        <v>397</v>
      </c>
      <c r="I1578" s="7">
        <v>9</v>
      </c>
      <c r="J1578" s="7">
        <v>36</v>
      </c>
      <c r="K1578" s="7" t="s">
        <v>18</v>
      </c>
      <c r="L1578" s="8">
        <v>39891.213356481479</v>
      </c>
      <c r="M1578" s="9" t="s">
        <v>19</v>
      </c>
      <c r="N1578" s="9" t="s">
        <v>22</v>
      </c>
      <c r="O1578" s="6" t="str">
        <f>HYPERLINK("https://pbs.twimg.com/profile_images/988971255679324162/jrqiIYf__normal.jpg","View")</f>
        <v>View</v>
      </c>
      <c r="P1578" s="7"/>
    </row>
    <row r="1579" spans="1:16">
      <c r="A1579" s="3">
        <v>44116.005949074075</v>
      </c>
      <c r="B1579" s="4" t="str">
        <f>HYPERLINK("https://twitter.com/sergio_fajardo","@sergio_fajardo")</f>
        <v>@sergio_fajardo</v>
      </c>
      <c r="C1579" s="5" t="s">
        <v>16</v>
      </c>
      <c r="D1579" s="5" t="s">
        <v>1600</v>
      </c>
      <c r="E1579" s="6" t="str">
        <f>HYPERLINK("https://twitter.com/sergio_fajardo/status/1315361162419208192","1315361162419208192")</f>
        <v>1315361162419208192</v>
      </c>
      <c r="F1579" s="7" t="s">
        <v>17</v>
      </c>
      <c r="G1579" s="7">
        <v>1557294</v>
      </c>
      <c r="H1579" s="7">
        <v>397</v>
      </c>
      <c r="I1579" s="7">
        <v>4</v>
      </c>
      <c r="J1579" s="7">
        <v>0</v>
      </c>
      <c r="K1579" s="7" t="s">
        <v>18</v>
      </c>
      <c r="L1579" s="8">
        <v>39891.213356481479</v>
      </c>
      <c r="M1579" s="9" t="s">
        <v>19</v>
      </c>
      <c r="N1579" s="9" t="s">
        <v>22</v>
      </c>
      <c r="O1579" s="6" t="str">
        <f>HYPERLINK("https://pbs.twimg.com/profile_images/988971255679324162/jrqiIYf__normal.jpg","View")</f>
        <v>View</v>
      </c>
      <c r="P1579" s="7"/>
    </row>
    <row r="1580" spans="1:16">
      <c r="A1580" s="3">
        <v>44116.006724537037</v>
      </c>
      <c r="B1580" s="4" t="str">
        <f>HYPERLINK("https://twitter.com/sergio_fajardo","@sergio_fajardo")</f>
        <v>@sergio_fajardo</v>
      </c>
      <c r="C1580" s="5" t="s">
        <v>16</v>
      </c>
      <c r="D1580" s="5" t="s">
        <v>1601</v>
      </c>
      <c r="E1580" s="6" t="str">
        <f>HYPERLINK("https://twitter.com/sergio_fajardo/status/1315361443932504066","1315361443932504066")</f>
        <v>1315361443932504066</v>
      </c>
      <c r="F1580" s="7" t="s">
        <v>17</v>
      </c>
      <c r="G1580" s="7">
        <v>1557294</v>
      </c>
      <c r="H1580" s="7">
        <v>397</v>
      </c>
      <c r="I1580" s="7">
        <v>6</v>
      </c>
      <c r="J1580" s="7">
        <v>0</v>
      </c>
      <c r="K1580" s="7" t="s">
        <v>18</v>
      </c>
      <c r="L1580" s="8">
        <v>39891.213356481479</v>
      </c>
      <c r="M1580" s="9" t="s">
        <v>19</v>
      </c>
      <c r="N1580" s="9" t="s">
        <v>22</v>
      </c>
      <c r="O1580" s="6" t="str">
        <f>HYPERLINK("https://pbs.twimg.com/profile_images/988971255679324162/jrqiIYf__normal.jpg","View")</f>
        <v>View</v>
      </c>
      <c r="P1580" s="7"/>
    </row>
    <row r="1581" spans="1:16">
      <c r="A1581" s="3">
        <v>44116.142638888894</v>
      </c>
      <c r="B1581" s="4" t="str">
        <f>HYPERLINK("https://twitter.com/sergio_fajardo","@sergio_fajardo")</f>
        <v>@sergio_fajardo</v>
      </c>
      <c r="C1581" s="5" t="s">
        <v>16</v>
      </c>
      <c r="D1581" s="5" t="s">
        <v>1602</v>
      </c>
      <c r="E1581" s="6" t="str">
        <f>HYPERLINK("https://twitter.com/sergio_fajardo/status/1315410699108192256","1315410699108192256")</f>
        <v>1315410699108192256</v>
      </c>
      <c r="F1581" s="7" t="s">
        <v>17</v>
      </c>
      <c r="G1581" s="7">
        <v>1557304</v>
      </c>
      <c r="H1581" s="7">
        <v>397</v>
      </c>
      <c r="I1581" s="7">
        <v>73</v>
      </c>
      <c r="J1581" s="7">
        <v>0</v>
      </c>
      <c r="K1581" s="7" t="s">
        <v>18</v>
      </c>
      <c r="L1581" s="8">
        <v>39891.213356481479</v>
      </c>
      <c r="M1581" s="9" t="s">
        <v>19</v>
      </c>
      <c r="N1581" s="9" t="s">
        <v>22</v>
      </c>
      <c r="O1581" s="6" t="str">
        <f>HYPERLINK("https://pbs.twimg.com/profile_images/988971255679324162/jrqiIYf__normal.jpg","View")</f>
        <v>View</v>
      </c>
      <c r="P1581" s="7"/>
    </row>
    <row r="1582" spans="1:16">
      <c r="A1582" s="3">
        <v>44116.142743055556</v>
      </c>
      <c r="B1582" s="4" t="str">
        <f>HYPERLINK("https://twitter.com/sergio_fajardo","@sergio_fajardo")</f>
        <v>@sergio_fajardo</v>
      </c>
      <c r="C1582" s="5" t="s">
        <v>16</v>
      </c>
      <c r="D1582" s="5" t="s">
        <v>1603</v>
      </c>
      <c r="E1582" s="6" t="str">
        <f>HYPERLINK("https://twitter.com/sergio_fajardo/status/1315410737364336641","1315410737364336641")</f>
        <v>1315410737364336641</v>
      </c>
      <c r="F1582" s="7" t="s">
        <v>17</v>
      </c>
      <c r="G1582" s="7">
        <v>1557304</v>
      </c>
      <c r="H1582" s="7">
        <v>397</v>
      </c>
      <c r="I1582" s="7">
        <v>171</v>
      </c>
      <c r="J1582" s="7">
        <v>0</v>
      </c>
      <c r="K1582" s="7" t="s">
        <v>18</v>
      </c>
      <c r="L1582" s="8">
        <v>39891.213356481479</v>
      </c>
      <c r="M1582" s="9" t="s">
        <v>19</v>
      </c>
      <c r="N1582" s="9" t="s">
        <v>22</v>
      </c>
      <c r="O1582" s="6" t="str">
        <f>HYPERLINK("https://pbs.twimg.com/profile_images/988971255679324162/jrqiIYf__normal.jpg","View")</f>
        <v>View</v>
      </c>
      <c r="P1582" s="7"/>
    </row>
    <row r="1583" spans="1:16">
      <c r="A1583" s="3">
        <v>44117.180983796294</v>
      </c>
      <c r="B1583" s="4" t="str">
        <f>HYPERLINK("https://twitter.com/sergio_fajardo","@sergio_fajardo")</f>
        <v>@sergio_fajardo</v>
      </c>
      <c r="C1583" s="5" t="s">
        <v>16</v>
      </c>
      <c r="D1583" s="5" t="s">
        <v>1604</v>
      </c>
      <c r="E1583" s="6" t="str">
        <f>HYPERLINK("https://twitter.com/sergio_fajardo/status/1315786983822823424","1315786983822823424")</f>
        <v>1315786983822823424</v>
      </c>
      <c r="F1583" s="7" t="s">
        <v>17</v>
      </c>
      <c r="G1583" s="7">
        <v>1557367</v>
      </c>
      <c r="H1583" s="7">
        <v>397</v>
      </c>
      <c r="I1583" s="7">
        <v>955</v>
      </c>
      <c r="J1583" s="7">
        <v>0</v>
      </c>
      <c r="K1583" s="7" t="s">
        <v>18</v>
      </c>
      <c r="L1583" s="8">
        <v>39891.213356481479</v>
      </c>
      <c r="M1583" s="9" t="s">
        <v>19</v>
      </c>
      <c r="N1583" s="9" t="s">
        <v>22</v>
      </c>
      <c r="O1583" s="6" t="str">
        <f>HYPERLINK("https://pbs.twimg.com/profile_images/988971255679324162/jrqiIYf__normal.jpg","View")</f>
        <v>View</v>
      </c>
      <c r="P1583" s="7"/>
    </row>
    <row r="1584" spans="1:16">
      <c r="A1584" s="3">
        <v>44117.183645833335</v>
      </c>
      <c r="B1584" s="4" t="str">
        <f>HYPERLINK("https://twitter.com/sergio_fajardo","@sergio_fajardo")</f>
        <v>@sergio_fajardo</v>
      </c>
      <c r="C1584" s="5" t="s">
        <v>16</v>
      </c>
      <c r="D1584" s="5" t="s">
        <v>1605</v>
      </c>
      <c r="E1584" s="6" t="str">
        <f>HYPERLINK("https://twitter.com/sergio_fajardo/status/1315787947720007681","1315787947720007681")</f>
        <v>1315787947720007681</v>
      </c>
      <c r="F1584" s="7" t="s">
        <v>17</v>
      </c>
      <c r="G1584" s="7">
        <v>1557367</v>
      </c>
      <c r="H1584" s="7">
        <v>397</v>
      </c>
      <c r="I1584" s="7">
        <v>2</v>
      </c>
      <c r="J1584" s="7">
        <v>11</v>
      </c>
      <c r="K1584" s="7" t="s">
        <v>18</v>
      </c>
      <c r="L1584" s="8">
        <v>39891.213356481479</v>
      </c>
      <c r="M1584" s="9" t="s">
        <v>19</v>
      </c>
      <c r="N1584" s="9" t="s">
        <v>22</v>
      </c>
      <c r="O1584" s="6" t="str">
        <f>HYPERLINK("https://pbs.twimg.com/profile_images/988971255679324162/jrqiIYf__normal.jpg","View")</f>
        <v>View</v>
      </c>
      <c r="P1584" s="7"/>
    </row>
    <row r="1585" spans="1:16">
      <c r="A1585" s="3">
        <v>44117.903611111113</v>
      </c>
      <c r="B1585" s="4" t="str">
        <f>HYPERLINK("https://twitter.com/sergio_fajardo","@sergio_fajardo")</f>
        <v>@sergio_fajardo</v>
      </c>
      <c r="C1585" s="5" t="s">
        <v>16</v>
      </c>
      <c r="D1585" s="5" t="s">
        <v>1606</v>
      </c>
      <c r="E1585" s="6" t="str">
        <f>HYPERLINK("https://twitter.com/sergio_fajardo/status/1316048852521308162","1316048852521308162")</f>
        <v>1316048852521308162</v>
      </c>
      <c r="F1585" s="7" t="s">
        <v>23</v>
      </c>
      <c r="G1585" s="7">
        <v>1557453</v>
      </c>
      <c r="H1585" s="7">
        <v>397</v>
      </c>
      <c r="I1585" s="7">
        <v>8</v>
      </c>
      <c r="J1585" s="7">
        <v>24</v>
      </c>
      <c r="K1585" s="7" t="s">
        <v>18</v>
      </c>
      <c r="L1585" s="8">
        <v>39891.213356481479</v>
      </c>
      <c r="M1585" s="9" t="s">
        <v>19</v>
      </c>
      <c r="N1585" s="9" t="s">
        <v>22</v>
      </c>
      <c r="O1585" s="6" t="str">
        <f>HYPERLINK("https://pbs.twimg.com/profile_images/988971255679324162/jrqiIYf__normal.jpg","View")</f>
        <v>View</v>
      </c>
      <c r="P1585" s="7"/>
    </row>
    <row r="1586" spans="1:16">
      <c r="A1586" s="3">
        <v>44118.729131944448</v>
      </c>
      <c r="B1586" s="4" t="str">
        <f>HYPERLINK("https://twitter.com/sergio_fajardo","@sergio_fajardo")</f>
        <v>@sergio_fajardo</v>
      </c>
      <c r="C1586" s="5" t="s">
        <v>16</v>
      </c>
      <c r="D1586" s="5" t="s">
        <v>1607</v>
      </c>
      <c r="E1586" s="6" t="str">
        <f>HYPERLINK("https://twitter.com/sergio_fajardo/status/1316348011535110144","1316348011535110144")</f>
        <v>1316348011535110144</v>
      </c>
      <c r="F1586" s="7" t="s">
        <v>20</v>
      </c>
      <c r="G1586" s="7">
        <v>1557543</v>
      </c>
      <c r="H1586" s="7">
        <v>396</v>
      </c>
      <c r="I1586" s="7">
        <v>9</v>
      </c>
      <c r="J1586" s="7">
        <v>36</v>
      </c>
      <c r="K1586" s="7" t="s">
        <v>18</v>
      </c>
      <c r="L1586" s="8">
        <v>39891.213356481479</v>
      </c>
      <c r="M1586" s="9" t="s">
        <v>19</v>
      </c>
      <c r="N1586" s="9" t="s">
        <v>22</v>
      </c>
      <c r="O1586" s="6" t="str">
        <f>HYPERLINK("https://pbs.twimg.com/profile_images/988971255679324162/jrqiIYf__normal.jpg","View")</f>
        <v>View</v>
      </c>
      <c r="P1586" s="7"/>
    </row>
    <row r="1587" spans="1:16">
      <c r="A1587" s="3">
        <v>44118.753865740742</v>
      </c>
      <c r="B1587" s="4" t="str">
        <f>HYPERLINK("https://twitter.com/sergio_fajardo","@sergio_fajardo")</f>
        <v>@sergio_fajardo</v>
      </c>
      <c r="C1587" s="5" t="s">
        <v>16</v>
      </c>
      <c r="D1587" s="5" t="s">
        <v>1608</v>
      </c>
      <c r="E1587" s="6" t="str">
        <f>HYPERLINK("https://twitter.com/sergio_fajardo/status/1316356977740652544","1316356977740652544")</f>
        <v>1316356977740652544</v>
      </c>
      <c r="F1587" s="7" t="s">
        <v>20</v>
      </c>
      <c r="G1587" s="7">
        <v>1557544</v>
      </c>
      <c r="H1587" s="7">
        <v>396</v>
      </c>
      <c r="I1587" s="7">
        <v>6</v>
      </c>
      <c r="J1587" s="7">
        <v>23</v>
      </c>
      <c r="K1587" s="7" t="s">
        <v>18</v>
      </c>
      <c r="L1587" s="8">
        <v>39891.213356481479</v>
      </c>
      <c r="M1587" s="9" t="s">
        <v>19</v>
      </c>
      <c r="N1587" s="9" t="s">
        <v>22</v>
      </c>
      <c r="O1587" s="6" t="str">
        <f>HYPERLINK("https://pbs.twimg.com/profile_images/988971255679324162/jrqiIYf__normal.jpg","View")</f>
        <v>View</v>
      </c>
      <c r="P1587" s="7"/>
    </row>
    <row r="1588" spans="1:16">
      <c r="A1588" s="3">
        <v>44118.782592592594</v>
      </c>
      <c r="B1588" s="4" t="str">
        <f>HYPERLINK("https://twitter.com/sergio_fajardo","@sergio_fajardo")</f>
        <v>@sergio_fajardo</v>
      </c>
      <c r="C1588" s="5" t="s">
        <v>16</v>
      </c>
      <c r="D1588" s="5" t="s">
        <v>1609</v>
      </c>
      <c r="E1588" s="6" t="str">
        <f>HYPERLINK("https://twitter.com/sergio_fajardo/status/1316367386593964032","1316367386593964032")</f>
        <v>1316367386593964032</v>
      </c>
      <c r="F1588" s="7" t="s">
        <v>20</v>
      </c>
      <c r="G1588" s="7">
        <v>1557554</v>
      </c>
      <c r="H1588" s="7">
        <v>396</v>
      </c>
      <c r="I1588" s="7">
        <v>0</v>
      </c>
      <c r="J1588" s="7">
        <v>0</v>
      </c>
      <c r="K1588" s="7" t="s">
        <v>18</v>
      </c>
      <c r="L1588" s="8">
        <v>39891.213356481479</v>
      </c>
      <c r="M1588" s="9" t="s">
        <v>19</v>
      </c>
      <c r="N1588" s="9" t="s">
        <v>22</v>
      </c>
      <c r="O1588" s="6" t="str">
        <f>HYPERLINK("https://pbs.twimg.com/profile_images/988971255679324162/jrqiIYf__normal.jpg","View")</f>
        <v>View</v>
      </c>
      <c r="P1588" s="7"/>
    </row>
    <row r="1589" spans="1:16">
      <c r="A1589" s="3">
        <v>44118.783506944441</v>
      </c>
      <c r="B1589" s="4" t="str">
        <f>HYPERLINK("https://twitter.com/sergio_fajardo","@sergio_fajardo")</f>
        <v>@sergio_fajardo</v>
      </c>
      <c r="C1589" s="5" t="s">
        <v>16</v>
      </c>
      <c r="D1589" s="5" t="s">
        <v>1610</v>
      </c>
      <c r="E1589" s="6" t="str">
        <f>HYPERLINK("https://twitter.com/sergio_fajardo/status/1316367716689817603","1316367716689817603")</f>
        <v>1316367716689817603</v>
      </c>
      <c r="F1589" s="7" t="s">
        <v>20</v>
      </c>
      <c r="G1589" s="7">
        <v>1557548</v>
      </c>
      <c r="H1589" s="7">
        <v>396</v>
      </c>
      <c r="I1589" s="7">
        <v>2</v>
      </c>
      <c r="J1589" s="7">
        <v>19</v>
      </c>
      <c r="K1589" s="7" t="s">
        <v>18</v>
      </c>
      <c r="L1589" s="8">
        <v>39891.213356481479</v>
      </c>
      <c r="M1589" s="9" t="s">
        <v>19</v>
      </c>
      <c r="N1589" s="9" t="s">
        <v>22</v>
      </c>
      <c r="O1589" s="6" t="str">
        <f>HYPERLINK("https://pbs.twimg.com/profile_images/988971255679324162/jrqiIYf__normal.jpg","View")</f>
        <v>View</v>
      </c>
      <c r="P1589" s="7"/>
    </row>
    <row r="1590" spans="1:16">
      <c r="A1590" s="3">
        <v>44118.812430555554</v>
      </c>
      <c r="B1590" s="4" t="str">
        <f>HYPERLINK("https://twitter.com/sergio_fajardo","@sergio_fajardo")</f>
        <v>@sergio_fajardo</v>
      </c>
      <c r="C1590" s="5" t="s">
        <v>16</v>
      </c>
      <c r="D1590" s="5" t="s">
        <v>1611</v>
      </c>
      <c r="E1590" s="6" t="str">
        <f>HYPERLINK("https://twitter.com/sergio_fajardo/status/1316378197886480385","1316378197886480385")</f>
        <v>1316378197886480385</v>
      </c>
      <c r="F1590" s="7" t="s">
        <v>23</v>
      </c>
      <c r="G1590" s="7">
        <v>1557554</v>
      </c>
      <c r="H1590" s="7">
        <v>396</v>
      </c>
      <c r="I1590" s="7">
        <v>7</v>
      </c>
      <c r="J1590" s="7">
        <v>35</v>
      </c>
      <c r="K1590" s="7" t="s">
        <v>18</v>
      </c>
      <c r="L1590" s="8">
        <v>39891.213356481479</v>
      </c>
      <c r="M1590" s="9" t="s">
        <v>19</v>
      </c>
      <c r="N1590" s="9" t="s">
        <v>22</v>
      </c>
      <c r="O1590" s="6" t="str">
        <f>HYPERLINK("https://pbs.twimg.com/profile_images/988971255679324162/jrqiIYf__normal.jpg","View")</f>
        <v>View</v>
      </c>
      <c r="P1590" s="7"/>
    </row>
    <row r="1591" spans="1:16">
      <c r="A1591" s="3">
        <v>44118.854270833333</v>
      </c>
      <c r="B1591" s="4" t="str">
        <f>HYPERLINK("https://twitter.com/sergio_fajardo","@sergio_fajardo")</f>
        <v>@sergio_fajardo</v>
      </c>
      <c r="C1591" s="5" t="s">
        <v>16</v>
      </c>
      <c r="D1591" s="5" t="s">
        <v>1612</v>
      </c>
      <c r="E1591" s="6" t="str">
        <f>HYPERLINK("https://twitter.com/sergio_fajardo/status/1316393360379252737","1316393360379252737")</f>
        <v>1316393360379252737</v>
      </c>
      <c r="F1591" s="7" t="s">
        <v>20</v>
      </c>
      <c r="G1591" s="7">
        <v>1557559</v>
      </c>
      <c r="H1591" s="7">
        <v>396</v>
      </c>
      <c r="I1591" s="7">
        <v>9</v>
      </c>
      <c r="J1591" s="7">
        <v>106</v>
      </c>
      <c r="K1591" s="7" t="s">
        <v>18</v>
      </c>
      <c r="L1591" s="8">
        <v>39891.213356481479</v>
      </c>
      <c r="M1591" s="9" t="s">
        <v>19</v>
      </c>
      <c r="N1591" s="9" t="s">
        <v>22</v>
      </c>
      <c r="O1591" s="6" t="str">
        <f>HYPERLINK("https://pbs.twimg.com/profile_images/988971255679324162/jrqiIYf__normal.jpg","View")</f>
        <v>View</v>
      </c>
      <c r="P1591" s="7"/>
    </row>
    <row r="1592" spans="1:16">
      <c r="A1592" s="3">
        <v>44119.020868055552</v>
      </c>
      <c r="B1592" s="4" t="str">
        <f>HYPERLINK("https://twitter.com/sergio_fajardo","@sergio_fajardo")</f>
        <v>@sergio_fajardo</v>
      </c>
      <c r="C1592" s="5" t="s">
        <v>16</v>
      </c>
      <c r="D1592" s="5" t="s">
        <v>1613</v>
      </c>
      <c r="E1592" s="6" t="str">
        <f>HYPERLINK("https://twitter.com/sergio_fajardo/status/1316453733929230339","1316453733929230339")</f>
        <v>1316453733929230339</v>
      </c>
      <c r="F1592" s="7" t="s">
        <v>23</v>
      </c>
      <c r="G1592" s="7">
        <v>1557589</v>
      </c>
      <c r="H1592" s="7">
        <v>396</v>
      </c>
      <c r="I1592" s="7">
        <v>13</v>
      </c>
      <c r="J1592" s="7">
        <v>58</v>
      </c>
      <c r="K1592" s="7" t="s">
        <v>18</v>
      </c>
      <c r="L1592" s="8">
        <v>39891.213356481479</v>
      </c>
      <c r="M1592" s="9" t="s">
        <v>19</v>
      </c>
      <c r="N1592" s="9" t="s">
        <v>22</v>
      </c>
      <c r="O1592" s="6" t="str">
        <f>HYPERLINK("https://pbs.twimg.com/profile_images/988971255679324162/jrqiIYf__normal.jpg","View")</f>
        <v>View</v>
      </c>
      <c r="P1592" s="7"/>
    </row>
    <row r="1593" spans="1:16">
      <c r="A1593" s="3">
        <v>44119.813923611116</v>
      </c>
      <c r="B1593" s="4" t="str">
        <f>HYPERLINK("https://twitter.com/sergio_fajardo","@sergio_fajardo")</f>
        <v>@sergio_fajardo</v>
      </c>
      <c r="C1593" s="5" t="s">
        <v>16</v>
      </c>
      <c r="D1593" s="5" t="s">
        <v>1614</v>
      </c>
      <c r="E1593" s="6" t="str">
        <f>HYPERLINK("https://twitter.com/sergio_fajardo/status/1316741128645939200","1316741128645939200")</f>
        <v>1316741128645939200</v>
      </c>
      <c r="F1593" s="7" t="s">
        <v>23</v>
      </c>
      <c r="G1593" s="7">
        <v>1557629</v>
      </c>
      <c r="H1593" s="7">
        <v>396</v>
      </c>
      <c r="I1593" s="7">
        <v>21</v>
      </c>
      <c r="J1593" s="7">
        <v>180</v>
      </c>
      <c r="K1593" s="7" t="s">
        <v>18</v>
      </c>
      <c r="L1593" s="8">
        <v>39891.213356481479</v>
      </c>
      <c r="M1593" s="9" t="s">
        <v>19</v>
      </c>
      <c r="N1593" s="9" t="s">
        <v>22</v>
      </c>
      <c r="O1593" s="6" t="str">
        <f>HYPERLINK("https://pbs.twimg.com/profile_images/988971255679324162/jrqiIYf__normal.jpg","View")</f>
        <v>View</v>
      </c>
      <c r="P1593" s="7"/>
    </row>
    <row r="1594" spans="1:16">
      <c r="A1594" s="3">
        <v>44119.900879629626</v>
      </c>
      <c r="B1594" s="4" t="str">
        <f>HYPERLINK("https://twitter.com/sergio_fajardo","@sergio_fajardo")</f>
        <v>@sergio_fajardo</v>
      </c>
      <c r="C1594" s="5" t="s">
        <v>16</v>
      </c>
      <c r="D1594" s="5" t="s">
        <v>1615</v>
      </c>
      <c r="E1594" s="6" t="str">
        <f>HYPERLINK("https://twitter.com/sergio_fajardo/status/1316772638962987014","1316772638962987014")</f>
        <v>1316772638962987014</v>
      </c>
      <c r="F1594" s="7" t="s">
        <v>23</v>
      </c>
      <c r="G1594" s="7">
        <v>1557637</v>
      </c>
      <c r="H1594" s="7">
        <v>396</v>
      </c>
      <c r="I1594" s="7">
        <v>9</v>
      </c>
      <c r="J1594" s="7">
        <v>116</v>
      </c>
      <c r="K1594" s="7" t="s">
        <v>18</v>
      </c>
      <c r="L1594" s="8">
        <v>39891.213356481479</v>
      </c>
      <c r="M1594" s="9" t="s">
        <v>19</v>
      </c>
      <c r="N1594" s="9" t="s">
        <v>22</v>
      </c>
      <c r="O1594" s="6" t="str">
        <f>HYPERLINK("https://pbs.twimg.com/profile_images/988971255679324162/jrqiIYf__normal.jpg","View")</f>
        <v>View</v>
      </c>
      <c r="P1594" s="7"/>
    </row>
    <row r="1595" spans="1:16">
      <c r="A1595" s="3">
        <v>44120.050034722226</v>
      </c>
      <c r="B1595" s="4" t="str">
        <f>HYPERLINK("https://twitter.com/sergio_fajardo","@sergio_fajardo")</f>
        <v>@sergio_fajardo</v>
      </c>
      <c r="C1595" s="5" t="s">
        <v>16</v>
      </c>
      <c r="D1595" s="5" t="s">
        <v>1616</v>
      </c>
      <c r="E1595" s="6" t="str">
        <f>HYPERLINK("https://twitter.com/sergio_fajardo/status/1316826693118681088","1316826693118681088")</f>
        <v>1316826693118681088</v>
      </c>
      <c r="F1595" s="7" t="s">
        <v>20</v>
      </c>
      <c r="G1595" s="7">
        <v>1557655</v>
      </c>
      <c r="H1595" s="7">
        <v>396</v>
      </c>
      <c r="I1595" s="7">
        <v>7</v>
      </c>
      <c r="J1595" s="7">
        <v>0</v>
      </c>
      <c r="K1595" s="7" t="s">
        <v>18</v>
      </c>
      <c r="L1595" s="8">
        <v>39891.213356481479</v>
      </c>
      <c r="M1595" s="9" t="s">
        <v>19</v>
      </c>
      <c r="N1595" s="9" t="s">
        <v>22</v>
      </c>
      <c r="O1595" s="6" t="str">
        <f>HYPERLINK("https://pbs.twimg.com/profile_images/988971255679324162/jrqiIYf__normal.jpg","View")</f>
        <v>View</v>
      </c>
      <c r="P1595" s="7"/>
    </row>
    <row r="1596" spans="1:16">
      <c r="A1596" s="3">
        <v>44120.948564814811</v>
      </c>
      <c r="B1596" s="4" t="str">
        <f>HYPERLINK("https://twitter.com/sergio_fajardo","@sergio_fajardo")</f>
        <v>@sergio_fajardo</v>
      </c>
      <c r="C1596" s="5" t="s">
        <v>16</v>
      </c>
      <c r="D1596" s="5" t="s">
        <v>1617</v>
      </c>
      <c r="E1596" s="6" t="str">
        <f>HYPERLINK("https://twitter.com/sergio_fajardo/status/1317152307570708480","1317152307570708480")</f>
        <v>1317152307570708480</v>
      </c>
      <c r="F1596" s="7" t="s">
        <v>20</v>
      </c>
      <c r="G1596" s="7">
        <v>1557765</v>
      </c>
      <c r="H1596" s="7">
        <v>397</v>
      </c>
      <c r="I1596" s="7">
        <v>0</v>
      </c>
      <c r="J1596" s="7">
        <v>4</v>
      </c>
      <c r="K1596" s="7" t="s">
        <v>18</v>
      </c>
      <c r="L1596" s="8">
        <v>39891.213356481479</v>
      </c>
      <c r="M1596" s="9" t="s">
        <v>19</v>
      </c>
      <c r="N1596" s="9" t="s">
        <v>22</v>
      </c>
      <c r="O1596" s="6" t="str">
        <f>HYPERLINK("https://pbs.twimg.com/profile_images/988971255679324162/jrqiIYf__normal.jpg","View")</f>
        <v>View</v>
      </c>
      <c r="P1596" s="7"/>
    </row>
    <row r="1597" spans="1:16">
      <c r="A1597" s="3">
        <v>44120.953796296293</v>
      </c>
      <c r="B1597" s="4" t="str">
        <f>HYPERLINK("https://twitter.com/sergio_fajardo","@sergio_fajardo")</f>
        <v>@sergio_fajardo</v>
      </c>
      <c r="C1597" s="5" t="s">
        <v>16</v>
      </c>
      <c r="D1597" s="5" t="s">
        <v>1618</v>
      </c>
      <c r="E1597" s="6" t="str">
        <f>HYPERLINK("https://twitter.com/sergio_fajardo/status/1317154204792782848","1317154204792782848")</f>
        <v>1317154204792782848</v>
      </c>
      <c r="F1597" s="7" t="s">
        <v>23</v>
      </c>
      <c r="G1597" s="7">
        <v>1557764</v>
      </c>
      <c r="H1597" s="7">
        <v>397</v>
      </c>
      <c r="I1597" s="7">
        <v>23</v>
      </c>
      <c r="J1597" s="7">
        <v>91</v>
      </c>
      <c r="K1597" s="7" t="s">
        <v>18</v>
      </c>
      <c r="L1597" s="8">
        <v>39891.213356481479</v>
      </c>
      <c r="M1597" s="9" t="s">
        <v>19</v>
      </c>
      <c r="N1597" s="9" t="s">
        <v>22</v>
      </c>
      <c r="O1597" s="6" t="str">
        <f>HYPERLINK("https://pbs.twimg.com/profile_images/988971255679324162/jrqiIYf__normal.jpg","View")</f>
        <v>View</v>
      </c>
      <c r="P1597" s="7"/>
    </row>
    <row r="1598" spans="1:16">
      <c r="A1598" s="3">
        <v>44120.959756944445</v>
      </c>
      <c r="B1598" s="4" t="str">
        <f>HYPERLINK("https://twitter.com/sergio_fajardo","@sergio_fajardo")</f>
        <v>@sergio_fajardo</v>
      </c>
      <c r="C1598" s="5" t="s">
        <v>16</v>
      </c>
      <c r="D1598" s="5" t="s">
        <v>1619</v>
      </c>
      <c r="E1598" s="6" t="str">
        <f>HYPERLINK("https://twitter.com/sergio_fajardo/status/1317156365622779904","1317156365622779904")</f>
        <v>1317156365622779904</v>
      </c>
      <c r="F1598" s="7" t="s">
        <v>23</v>
      </c>
      <c r="G1598" s="7">
        <v>1557764</v>
      </c>
      <c r="H1598" s="7">
        <v>397</v>
      </c>
      <c r="I1598" s="7">
        <v>14</v>
      </c>
      <c r="J1598" s="7">
        <v>39</v>
      </c>
      <c r="K1598" s="7" t="s">
        <v>18</v>
      </c>
      <c r="L1598" s="8">
        <v>39891.213356481479</v>
      </c>
      <c r="M1598" s="9" t="s">
        <v>19</v>
      </c>
      <c r="N1598" s="9" t="s">
        <v>22</v>
      </c>
      <c r="O1598" s="6" t="str">
        <f>HYPERLINK("https://pbs.twimg.com/profile_images/988971255679324162/jrqiIYf__normal.jpg","View")</f>
        <v>View</v>
      </c>
      <c r="P1598" s="7"/>
    </row>
    <row r="1599" spans="1:16">
      <c r="A1599" s="3">
        <v>44121.098275462966</v>
      </c>
      <c r="B1599" s="4" t="str">
        <f>HYPERLINK("https://twitter.com/sergio_fajardo","@sergio_fajardo")</f>
        <v>@sergio_fajardo</v>
      </c>
      <c r="C1599" s="5" t="s">
        <v>16</v>
      </c>
      <c r="D1599" s="5" t="s">
        <v>1620</v>
      </c>
      <c r="E1599" s="6" t="str">
        <f>HYPERLINK("https://twitter.com/sergio_fajardo/status/1317206562532958212","1317206562532958212")</f>
        <v>1317206562532958212</v>
      </c>
      <c r="F1599" s="7" t="s">
        <v>20</v>
      </c>
      <c r="G1599" s="7">
        <v>1557769</v>
      </c>
      <c r="H1599" s="7">
        <v>397</v>
      </c>
      <c r="I1599" s="7">
        <v>47</v>
      </c>
      <c r="J1599" s="7">
        <v>343</v>
      </c>
      <c r="K1599" s="7" t="s">
        <v>18</v>
      </c>
      <c r="L1599" s="8">
        <v>39891.213356481479</v>
      </c>
      <c r="M1599" s="9" t="s">
        <v>19</v>
      </c>
      <c r="N1599" s="9" t="s">
        <v>22</v>
      </c>
      <c r="O1599" s="6" t="str">
        <f>HYPERLINK("https://pbs.twimg.com/profile_images/988971255679324162/jrqiIYf__normal.jpg","View")</f>
        <v>View</v>
      </c>
      <c r="P1599" s="7"/>
    </row>
    <row r="1600" spans="1:16">
      <c r="A1600" s="3">
        <v>44121.119745370372</v>
      </c>
      <c r="B1600" s="4" t="str">
        <f>HYPERLINK("https://twitter.com/sergio_fajardo","@sergio_fajardo")</f>
        <v>@sergio_fajardo</v>
      </c>
      <c r="C1600" s="5" t="s">
        <v>16</v>
      </c>
      <c r="D1600" s="5" t="s">
        <v>1621</v>
      </c>
      <c r="E1600" s="6" t="str">
        <f>HYPERLINK("https://twitter.com/sergio_fajardo/status/1317214341456855040","1317214341456855040")</f>
        <v>1317214341456855040</v>
      </c>
      <c r="F1600" s="7" t="s">
        <v>17</v>
      </c>
      <c r="G1600" s="7">
        <v>1557768</v>
      </c>
      <c r="H1600" s="7">
        <v>397</v>
      </c>
      <c r="I1600" s="7">
        <v>9</v>
      </c>
      <c r="J1600" s="7">
        <v>0</v>
      </c>
      <c r="K1600" s="7" t="s">
        <v>18</v>
      </c>
      <c r="L1600" s="8">
        <v>39891.213356481479</v>
      </c>
      <c r="M1600" s="9" t="s">
        <v>19</v>
      </c>
      <c r="N1600" s="9" t="s">
        <v>22</v>
      </c>
      <c r="O1600" s="6" t="str">
        <f>HYPERLINK("https://pbs.twimg.com/profile_images/988971255679324162/jrqiIYf__normal.jpg","View")</f>
        <v>View</v>
      </c>
      <c r="P1600" s="7"/>
    </row>
    <row r="1601" spans="1:16">
      <c r="A1601" s="3">
        <v>44121.120613425926</v>
      </c>
      <c r="B1601" s="4" t="str">
        <f>HYPERLINK("https://twitter.com/sergio_fajardo","@sergio_fajardo")</f>
        <v>@sergio_fajardo</v>
      </c>
      <c r="C1601" s="5" t="s">
        <v>16</v>
      </c>
      <c r="D1601" s="5" t="s">
        <v>1622</v>
      </c>
      <c r="E1601" s="6" t="str">
        <f>HYPERLINK("https://twitter.com/sergio_fajardo/status/1317214654934994952","1317214654934994952")</f>
        <v>1317214654934994952</v>
      </c>
      <c r="F1601" s="7" t="s">
        <v>17</v>
      </c>
      <c r="G1601" s="7">
        <v>1557768</v>
      </c>
      <c r="H1601" s="7">
        <v>397</v>
      </c>
      <c r="I1601" s="7">
        <v>114</v>
      </c>
      <c r="J1601" s="7">
        <v>0</v>
      </c>
      <c r="K1601" s="7" t="s">
        <v>18</v>
      </c>
      <c r="L1601" s="8">
        <v>39891.213356481479</v>
      </c>
      <c r="M1601" s="9" t="s">
        <v>19</v>
      </c>
      <c r="N1601" s="9" t="s">
        <v>22</v>
      </c>
      <c r="O1601" s="6" t="str">
        <f>HYPERLINK("https://pbs.twimg.com/profile_images/988971255679324162/jrqiIYf__normal.jpg","View")</f>
        <v>View</v>
      </c>
      <c r="P1601" s="7"/>
    </row>
    <row r="1602" spans="1:16">
      <c r="A1602" s="3">
        <v>44121.886458333334</v>
      </c>
      <c r="B1602" s="4" t="str">
        <f>HYPERLINK("https://twitter.com/sergio_fajardo","@sergio_fajardo")</f>
        <v>@sergio_fajardo</v>
      </c>
      <c r="C1602" s="5" t="s">
        <v>16</v>
      </c>
      <c r="D1602" s="5" t="s">
        <v>1623</v>
      </c>
      <c r="E1602" s="6" t="str">
        <f>HYPERLINK("https://twitter.com/sergio_fajardo/status/1317492188423618563","1317492188423618563")</f>
        <v>1317492188423618563</v>
      </c>
      <c r="F1602" s="7" t="s">
        <v>20</v>
      </c>
      <c r="G1602" s="7">
        <v>1557813</v>
      </c>
      <c r="H1602" s="7">
        <v>397</v>
      </c>
      <c r="I1602" s="7">
        <v>0</v>
      </c>
      <c r="J1602" s="7">
        <v>0</v>
      </c>
      <c r="K1602" s="7" t="s">
        <v>18</v>
      </c>
      <c r="L1602" s="8">
        <v>39891.213356481479</v>
      </c>
      <c r="M1602" s="9" t="s">
        <v>19</v>
      </c>
      <c r="N1602" s="9" t="s">
        <v>22</v>
      </c>
      <c r="O1602" s="6" t="str">
        <f>HYPERLINK("https://pbs.twimg.com/profile_images/988971255679324162/jrqiIYf__normal.jpg","View")</f>
        <v>View</v>
      </c>
      <c r="P1602" s="7"/>
    </row>
    <row r="1603" spans="1:16">
      <c r="A1603" s="3">
        <v>44121.887916666667</v>
      </c>
      <c r="B1603" s="4" t="str">
        <f>HYPERLINK("https://twitter.com/sergio_fajardo","@sergio_fajardo")</f>
        <v>@sergio_fajardo</v>
      </c>
      <c r="C1603" s="5" t="s">
        <v>16</v>
      </c>
      <c r="D1603" s="5" t="s">
        <v>1624</v>
      </c>
      <c r="E1603" s="6" t="str">
        <f>HYPERLINK("https://twitter.com/sergio_fajardo/status/1317492717459525632","1317492717459525632")</f>
        <v>1317492717459525632</v>
      </c>
      <c r="F1603" s="7" t="s">
        <v>20</v>
      </c>
      <c r="G1603" s="7">
        <v>1557813</v>
      </c>
      <c r="H1603" s="7">
        <v>397</v>
      </c>
      <c r="I1603" s="7">
        <v>13</v>
      </c>
      <c r="J1603" s="7">
        <v>45</v>
      </c>
      <c r="K1603" s="7" t="s">
        <v>18</v>
      </c>
      <c r="L1603" s="8">
        <v>39891.213356481479</v>
      </c>
      <c r="M1603" s="9" t="s">
        <v>19</v>
      </c>
      <c r="N1603" s="9" t="s">
        <v>22</v>
      </c>
      <c r="O1603" s="6" t="str">
        <f>HYPERLINK("https://pbs.twimg.com/profile_images/988971255679324162/jrqiIYf__normal.jpg","View")</f>
        <v>View</v>
      </c>
      <c r="P1603" s="7"/>
    </row>
    <row r="1604" spans="1:16">
      <c r="A1604" s="3">
        <v>44122.912187499998</v>
      </c>
      <c r="B1604" s="4" t="str">
        <f>HYPERLINK("https://twitter.com/sergio_fajardo","@sergio_fajardo")</f>
        <v>@sergio_fajardo</v>
      </c>
      <c r="C1604" s="5" t="s">
        <v>16</v>
      </c>
      <c r="D1604" s="5" t="s">
        <v>1625</v>
      </c>
      <c r="E1604" s="6" t="str">
        <f>HYPERLINK("https://twitter.com/sergio_fajardo/status/1317863901732667393","1317863901732667393")</f>
        <v>1317863901732667393</v>
      </c>
      <c r="F1604" s="7" t="s">
        <v>20</v>
      </c>
      <c r="G1604" s="7">
        <v>1557893</v>
      </c>
      <c r="H1604" s="7">
        <v>397</v>
      </c>
      <c r="I1604" s="7">
        <v>11</v>
      </c>
      <c r="J1604" s="7">
        <v>54</v>
      </c>
      <c r="K1604" s="7" t="s">
        <v>18</v>
      </c>
      <c r="L1604" s="8">
        <v>39891.213356481479</v>
      </c>
      <c r="M1604" s="9" t="s">
        <v>19</v>
      </c>
      <c r="N1604" s="9" t="s">
        <v>22</v>
      </c>
      <c r="O1604" s="6" t="str">
        <f>HYPERLINK("https://pbs.twimg.com/profile_images/988971255679324162/jrqiIYf__normal.jpg","View")</f>
        <v>View</v>
      </c>
      <c r="P1604" s="7"/>
    </row>
    <row r="1605" spans="1:16">
      <c r="A1605" s="3">
        <v>44123.846863425926</v>
      </c>
      <c r="B1605" s="4" t="str">
        <f>HYPERLINK("https://twitter.com/sergio_fajardo","@sergio_fajardo")</f>
        <v>@sergio_fajardo</v>
      </c>
      <c r="C1605" s="5" t="s">
        <v>16</v>
      </c>
      <c r="D1605" s="5" t="s">
        <v>1626</v>
      </c>
      <c r="E1605" s="6" t="str">
        <f>HYPERLINK("https://twitter.com/sergio_fajardo/status/1318202615474364416","1318202615474364416")</f>
        <v>1318202615474364416</v>
      </c>
      <c r="F1605" s="7" t="s">
        <v>23</v>
      </c>
      <c r="G1605" s="7">
        <v>1558016</v>
      </c>
      <c r="H1605" s="7">
        <v>397</v>
      </c>
      <c r="I1605" s="7">
        <v>18</v>
      </c>
      <c r="J1605" s="7">
        <v>99</v>
      </c>
      <c r="K1605" s="7" t="s">
        <v>18</v>
      </c>
      <c r="L1605" s="8">
        <v>39891.213356481479</v>
      </c>
      <c r="M1605" s="9" t="s">
        <v>19</v>
      </c>
      <c r="N1605" s="9" t="s">
        <v>22</v>
      </c>
      <c r="O1605" s="6" t="str">
        <f>HYPERLINK("https://pbs.twimg.com/profile_images/988971255679324162/jrqiIYf__normal.jpg","View")</f>
        <v>View</v>
      </c>
      <c r="P1605" s="7"/>
    </row>
    <row r="1606" spans="1:16">
      <c r="A1606" s="3">
        <v>44124.033483796295</v>
      </c>
      <c r="B1606" s="4" t="str">
        <f>HYPERLINK("https://twitter.com/sergio_fajardo","@sergio_fajardo")</f>
        <v>@sergio_fajardo</v>
      </c>
      <c r="C1606" s="5" t="s">
        <v>16</v>
      </c>
      <c r="D1606" s="5" t="s">
        <v>1627</v>
      </c>
      <c r="E1606" s="6" t="str">
        <f>HYPERLINK("https://twitter.com/sergio_fajardo/status/1318270243698081795","1318270243698081795")</f>
        <v>1318270243698081795</v>
      </c>
      <c r="F1606" s="7" t="s">
        <v>17</v>
      </c>
      <c r="G1606" s="7">
        <v>1558047</v>
      </c>
      <c r="H1606" s="7">
        <v>397</v>
      </c>
      <c r="I1606" s="7">
        <v>10</v>
      </c>
      <c r="J1606" s="7">
        <v>0</v>
      </c>
      <c r="K1606" s="7" t="s">
        <v>18</v>
      </c>
      <c r="L1606" s="8">
        <v>39891.213356481479</v>
      </c>
      <c r="M1606" s="9" t="s">
        <v>19</v>
      </c>
      <c r="N1606" s="9" t="s">
        <v>22</v>
      </c>
      <c r="O1606" s="6" t="str">
        <f>HYPERLINK("https://pbs.twimg.com/profile_images/988971255679324162/jrqiIYf__normal.jpg","View")</f>
        <v>View</v>
      </c>
      <c r="P1606" s="7"/>
    </row>
    <row r="1607" spans="1:16">
      <c r="A1607" s="3">
        <v>44124.210752314815</v>
      </c>
      <c r="B1607" s="4" t="str">
        <f>HYPERLINK("https://twitter.com/sergio_fajardo","@sergio_fajardo")</f>
        <v>@sergio_fajardo</v>
      </c>
      <c r="C1607" s="5" t="s">
        <v>16</v>
      </c>
      <c r="D1607" s="5" t="s">
        <v>1628</v>
      </c>
      <c r="E1607" s="6" t="str">
        <f>HYPERLINK("https://twitter.com/sergio_fajardo/status/1318334486208196614","1318334486208196614")</f>
        <v>1318334486208196614</v>
      </c>
      <c r="F1607" s="7" t="s">
        <v>17</v>
      </c>
      <c r="G1607" s="7">
        <v>1558078</v>
      </c>
      <c r="H1607" s="7">
        <v>397</v>
      </c>
      <c r="I1607" s="7">
        <v>13</v>
      </c>
      <c r="J1607" s="7">
        <v>50</v>
      </c>
      <c r="K1607" s="7" t="s">
        <v>18</v>
      </c>
      <c r="L1607" s="8">
        <v>39891.213356481479</v>
      </c>
      <c r="M1607" s="9" t="s">
        <v>19</v>
      </c>
      <c r="N1607" s="9" t="s">
        <v>22</v>
      </c>
      <c r="O1607" s="6" t="str">
        <f>HYPERLINK("https://pbs.twimg.com/profile_images/988971255679324162/jrqiIYf__normal.jpg","View")</f>
        <v>View</v>
      </c>
      <c r="P1607" s="7"/>
    </row>
    <row r="1608" spans="1:16">
      <c r="A1608" s="3">
        <v>44124.234525462962</v>
      </c>
      <c r="B1608" s="4" t="str">
        <f>HYPERLINK("https://twitter.com/sergio_fajardo","@sergio_fajardo")</f>
        <v>@sergio_fajardo</v>
      </c>
      <c r="C1608" s="5" t="s">
        <v>16</v>
      </c>
      <c r="D1608" s="5" t="s">
        <v>1629</v>
      </c>
      <c r="E1608" s="6" t="str">
        <f>HYPERLINK("https://twitter.com/sergio_fajardo/status/1318343099698024448","1318343099698024448")</f>
        <v>1318343099698024448</v>
      </c>
      <c r="F1608" s="7" t="s">
        <v>17</v>
      </c>
      <c r="G1608" s="7">
        <v>1558084</v>
      </c>
      <c r="H1608" s="7">
        <v>397</v>
      </c>
      <c r="I1608" s="7">
        <v>1473</v>
      </c>
      <c r="J1608" s="7">
        <v>0</v>
      </c>
      <c r="K1608" s="7" t="s">
        <v>18</v>
      </c>
      <c r="L1608" s="8">
        <v>39891.213356481479</v>
      </c>
      <c r="M1608" s="9" t="s">
        <v>19</v>
      </c>
      <c r="N1608" s="9" t="s">
        <v>22</v>
      </c>
      <c r="O1608" s="6" t="str">
        <f>HYPERLINK("https://pbs.twimg.com/profile_images/988971255679324162/jrqiIYf__normal.jpg","View")</f>
        <v>View</v>
      </c>
      <c r="P1608" s="7"/>
    </row>
    <row r="1609" spans="1:16">
      <c r="A1609" s="3">
        <v>44124.285486111112</v>
      </c>
      <c r="B1609" s="4" t="str">
        <f>HYPERLINK("https://twitter.com/sergio_fajardo","@sergio_fajardo")</f>
        <v>@sergio_fajardo</v>
      </c>
      <c r="C1609" s="5" t="s">
        <v>16</v>
      </c>
      <c r="D1609" s="5" t="s">
        <v>1630</v>
      </c>
      <c r="E1609" s="6" t="str">
        <f>HYPERLINK("https://twitter.com/sergio_fajardo/status/1318361569877700608","1318361569877700608")</f>
        <v>1318361569877700608</v>
      </c>
      <c r="F1609" s="7" t="s">
        <v>23</v>
      </c>
      <c r="G1609" s="7">
        <v>1558095</v>
      </c>
      <c r="H1609" s="7">
        <v>397</v>
      </c>
      <c r="I1609" s="7">
        <v>6</v>
      </c>
      <c r="J1609" s="7">
        <v>0</v>
      </c>
      <c r="K1609" s="7" t="s">
        <v>18</v>
      </c>
      <c r="L1609" s="8">
        <v>39891.213356481479</v>
      </c>
      <c r="M1609" s="9" t="s">
        <v>19</v>
      </c>
      <c r="N1609" s="9" t="s">
        <v>22</v>
      </c>
      <c r="O1609" s="6" t="str">
        <f>HYPERLINK("https://pbs.twimg.com/profile_images/988971255679324162/jrqiIYf__normal.jpg","View")</f>
        <v>View</v>
      </c>
      <c r="P1609" s="7"/>
    </row>
    <row r="1610" spans="1:16">
      <c r="A1610" s="3">
        <v>44124.349212962959</v>
      </c>
      <c r="B1610" s="4" t="str">
        <f>HYPERLINK("https://twitter.com/sergio_fajardo","@sergio_fajardo")</f>
        <v>@sergio_fajardo</v>
      </c>
      <c r="C1610" s="5" t="s">
        <v>16</v>
      </c>
      <c r="D1610" s="5" t="s">
        <v>1631</v>
      </c>
      <c r="E1610" s="6" t="str">
        <f>HYPERLINK("https://twitter.com/sergio_fajardo/status/1318384662385917952","1318384662385917952")</f>
        <v>1318384662385917952</v>
      </c>
      <c r="F1610" s="7" t="s">
        <v>23</v>
      </c>
      <c r="G1610" s="7">
        <v>1558107</v>
      </c>
      <c r="H1610" s="7">
        <v>397</v>
      </c>
      <c r="I1610" s="7">
        <v>1</v>
      </c>
      <c r="J1610" s="7">
        <v>14</v>
      </c>
      <c r="K1610" s="7" t="s">
        <v>18</v>
      </c>
      <c r="L1610" s="8">
        <v>39891.213356481479</v>
      </c>
      <c r="M1610" s="9" t="s">
        <v>19</v>
      </c>
      <c r="N1610" s="9" t="s">
        <v>22</v>
      </c>
      <c r="O1610" s="6" t="str">
        <f>HYPERLINK("https://pbs.twimg.com/profile_images/988971255679324162/jrqiIYf__normal.jpg","View")</f>
        <v>View</v>
      </c>
      <c r="P1610" s="7"/>
    </row>
    <row r="1611" spans="1:16">
      <c r="A1611" s="3">
        <v>44124.723321759258</v>
      </c>
      <c r="B1611" s="4" t="str">
        <f>HYPERLINK("https://twitter.com/sergio_fajardo","@sergio_fajardo")</f>
        <v>@sergio_fajardo</v>
      </c>
      <c r="C1611" s="5" t="s">
        <v>16</v>
      </c>
      <c r="D1611" s="5" t="s">
        <v>1632</v>
      </c>
      <c r="E1611" s="6" t="str">
        <f>HYPERLINK("https://twitter.com/sergio_fajardo/status/1318520235410980865","1318520235410980865")</f>
        <v>1318520235410980865</v>
      </c>
      <c r="F1611" s="7" t="s">
        <v>17</v>
      </c>
      <c r="G1611" s="7">
        <v>1558125</v>
      </c>
      <c r="H1611" s="7">
        <v>397</v>
      </c>
      <c r="I1611" s="7">
        <v>5</v>
      </c>
      <c r="J1611" s="7">
        <v>0</v>
      </c>
      <c r="K1611" s="7" t="s">
        <v>18</v>
      </c>
      <c r="L1611" s="8">
        <v>39891.213356481479</v>
      </c>
      <c r="M1611" s="9" t="s">
        <v>19</v>
      </c>
      <c r="N1611" s="9" t="s">
        <v>22</v>
      </c>
      <c r="O1611" s="6" t="str">
        <f>HYPERLINK("https://pbs.twimg.com/profile_images/988971255679324162/jrqiIYf__normal.jpg","View")</f>
        <v>View</v>
      </c>
      <c r="P1611" s="7"/>
    </row>
    <row r="1612" spans="1:16">
      <c r="A1612" s="3">
        <v>44124.854189814811</v>
      </c>
      <c r="B1612" s="4" t="str">
        <f>HYPERLINK("https://twitter.com/sergio_fajardo","@sergio_fajardo")</f>
        <v>@sergio_fajardo</v>
      </c>
      <c r="C1612" s="5" t="s">
        <v>16</v>
      </c>
      <c r="D1612" s="5" t="s">
        <v>1633</v>
      </c>
      <c r="E1612" s="6" t="str">
        <f>HYPERLINK("https://twitter.com/sergio_fajardo/status/1318567660372824064","1318567660372824064")</f>
        <v>1318567660372824064</v>
      </c>
      <c r="F1612" s="7" t="s">
        <v>20</v>
      </c>
      <c r="G1612" s="7">
        <v>1558140</v>
      </c>
      <c r="H1612" s="7">
        <v>397</v>
      </c>
      <c r="I1612" s="7">
        <v>13</v>
      </c>
      <c r="J1612" s="7">
        <v>47</v>
      </c>
      <c r="K1612" s="7" t="s">
        <v>18</v>
      </c>
      <c r="L1612" s="8">
        <v>39891.213356481479</v>
      </c>
      <c r="M1612" s="9" t="s">
        <v>19</v>
      </c>
      <c r="N1612" s="9" t="s">
        <v>22</v>
      </c>
      <c r="O1612" s="6" t="str">
        <f>HYPERLINK("https://pbs.twimg.com/profile_images/988971255679324162/jrqiIYf__normal.jpg","View")</f>
        <v>View</v>
      </c>
      <c r="P1612" s="7"/>
    </row>
    <row r="1613" spans="1:16">
      <c r="A1613" s="3">
        <v>44124.860358796301</v>
      </c>
      <c r="B1613" s="4" t="str">
        <f>HYPERLINK("https://twitter.com/sergio_fajardo","@sergio_fajardo")</f>
        <v>@sergio_fajardo</v>
      </c>
      <c r="C1613" s="5" t="s">
        <v>16</v>
      </c>
      <c r="D1613" s="5" t="s">
        <v>1634</v>
      </c>
      <c r="E1613" s="6" t="str">
        <f>HYPERLINK("https://twitter.com/sergio_fajardo/status/1318569895504846848","1318569895504846848")</f>
        <v>1318569895504846848</v>
      </c>
      <c r="F1613" s="7" t="s">
        <v>17</v>
      </c>
      <c r="G1613" s="7">
        <v>1558141</v>
      </c>
      <c r="H1613" s="7">
        <v>397</v>
      </c>
      <c r="I1613" s="7">
        <v>828</v>
      </c>
      <c r="J1613" s="7">
        <v>0</v>
      </c>
      <c r="K1613" s="7" t="s">
        <v>18</v>
      </c>
      <c r="L1613" s="8">
        <v>39891.213356481479</v>
      </c>
      <c r="M1613" s="9" t="s">
        <v>19</v>
      </c>
      <c r="N1613" s="9" t="s">
        <v>22</v>
      </c>
      <c r="O1613" s="6" t="str">
        <f>HYPERLINK("https://pbs.twimg.com/profile_images/988971255679324162/jrqiIYf__normal.jpg","View")</f>
        <v>View</v>
      </c>
      <c r="P1613" s="7"/>
    </row>
    <row r="1614" spans="1:16">
      <c r="A1614" s="3">
        <v>44125.136319444442</v>
      </c>
      <c r="B1614" s="4" t="str">
        <f>HYPERLINK("https://twitter.com/sergio_fajardo","@sergio_fajardo")</f>
        <v>@sergio_fajardo</v>
      </c>
      <c r="C1614" s="5" t="s">
        <v>16</v>
      </c>
      <c r="D1614" s="5" t="s">
        <v>1635</v>
      </c>
      <c r="E1614" s="6" t="str">
        <f>HYPERLINK("https://twitter.com/sergio_fajardo/status/1318669898852216832","1318669898852216832")</f>
        <v>1318669898852216832</v>
      </c>
      <c r="F1614" s="7" t="s">
        <v>23</v>
      </c>
      <c r="G1614" s="7">
        <v>1558185</v>
      </c>
      <c r="H1614" s="7">
        <v>397</v>
      </c>
      <c r="I1614" s="7">
        <v>19</v>
      </c>
      <c r="J1614" s="7">
        <v>126</v>
      </c>
      <c r="K1614" s="7" t="s">
        <v>18</v>
      </c>
      <c r="L1614" s="8">
        <v>39891.213356481479</v>
      </c>
      <c r="M1614" s="9" t="s">
        <v>19</v>
      </c>
      <c r="N1614" s="9" t="s">
        <v>22</v>
      </c>
      <c r="O1614" s="6" t="str">
        <f>HYPERLINK("https://pbs.twimg.com/profile_images/988971255679324162/jrqiIYf__normal.jpg","View")</f>
        <v>View</v>
      </c>
      <c r="P1614" s="7"/>
    </row>
    <row r="1615" spans="1:16">
      <c r="A1615" s="3">
        <v>44125.314942129626</v>
      </c>
      <c r="B1615" s="4" t="str">
        <f>HYPERLINK("https://twitter.com/sergio_fajardo","@sergio_fajardo")</f>
        <v>@sergio_fajardo</v>
      </c>
      <c r="C1615" s="5" t="s">
        <v>16</v>
      </c>
      <c r="D1615" s="5" t="s">
        <v>1636</v>
      </c>
      <c r="E1615" s="6" t="str">
        <f>HYPERLINK("https://twitter.com/sergio_fajardo/status/1318734628895793152","1318734628895793152")</f>
        <v>1318734628895793152</v>
      </c>
      <c r="F1615" s="7" t="s">
        <v>17</v>
      </c>
      <c r="G1615" s="7">
        <v>1558215</v>
      </c>
      <c r="H1615" s="7">
        <v>397</v>
      </c>
      <c r="I1615" s="7">
        <v>797</v>
      </c>
      <c r="J1615" s="7">
        <v>0</v>
      </c>
      <c r="K1615" s="7" t="s">
        <v>18</v>
      </c>
      <c r="L1615" s="8">
        <v>39891.213356481479</v>
      </c>
      <c r="M1615" s="9" t="s">
        <v>19</v>
      </c>
      <c r="N1615" s="9" t="s">
        <v>22</v>
      </c>
      <c r="O1615" s="6" t="str">
        <f>HYPERLINK("https://pbs.twimg.com/profile_images/988971255679324162/jrqiIYf__normal.jpg","View")</f>
        <v>View</v>
      </c>
      <c r="P1615" s="7"/>
    </row>
    <row r="1616" spans="1:16">
      <c r="A1616" s="3">
        <v>44125.723368055551</v>
      </c>
      <c r="B1616" s="4" t="str">
        <f>HYPERLINK("https://twitter.com/sergio_fajardo","@sergio_fajardo")</f>
        <v>@sergio_fajardo</v>
      </c>
      <c r="C1616" s="5" t="s">
        <v>16</v>
      </c>
      <c r="D1616" s="5" t="s">
        <v>1637</v>
      </c>
      <c r="E1616" s="6" t="str">
        <f>HYPERLINK("https://twitter.com/sergio_fajardo/status/1318882637222653953","1318882637222653953")</f>
        <v>1318882637222653953</v>
      </c>
      <c r="F1616" s="7" t="s">
        <v>20</v>
      </c>
      <c r="G1616" s="7">
        <v>1558232</v>
      </c>
      <c r="H1616" s="7">
        <v>397</v>
      </c>
      <c r="I1616" s="7">
        <v>10</v>
      </c>
      <c r="J1616" s="7">
        <v>55</v>
      </c>
      <c r="K1616" s="7" t="s">
        <v>18</v>
      </c>
      <c r="L1616" s="8">
        <v>39891.213356481479</v>
      </c>
      <c r="M1616" s="9" t="s">
        <v>19</v>
      </c>
      <c r="N1616" s="9" t="s">
        <v>22</v>
      </c>
      <c r="O1616" s="6" t="str">
        <f>HYPERLINK("https://pbs.twimg.com/profile_images/988971255679324162/jrqiIYf__normal.jpg","View")</f>
        <v>View</v>
      </c>
      <c r="P1616" s="7"/>
    </row>
    <row r="1617" spans="1:16">
      <c r="A1617" s="3">
        <v>44125.914861111116</v>
      </c>
      <c r="B1617" s="4" t="str">
        <f>HYPERLINK("https://twitter.com/sergio_fajardo","@sergio_fajardo")</f>
        <v>@sergio_fajardo</v>
      </c>
      <c r="C1617" s="5" t="s">
        <v>16</v>
      </c>
      <c r="D1617" s="5" t="s">
        <v>1638</v>
      </c>
      <c r="E1617" s="6" t="str">
        <f>HYPERLINK("https://twitter.com/sergio_fajardo/status/1318952035606286340","1318952035606286340")</f>
        <v>1318952035606286340</v>
      </c>
      <c r="F1617" s="7" t="s">
        <v>23</v>
      </c>
      <c r="G1617" s="7">
        <v>1558277</v>
      </c>
      <c r="H1617" s="7">
        <v>397</v>
      </c>
      <c r="I1617" s="7">
        <v>2</v>
      </c>
      <c r="J1617" s="7">
        <v>13</v>
      </c>
      <c r="K1617" s="7" t="s">
        <v>18</v>
      </c>
      <c r="L1617" s="8">
        <v>39891.213356481479</v>
      </c>
      <c r="M1617" s="9" t="s">
        <v>19</v>
      </c>
      <c r="N1617" s="9" t="s">
        <v>22</v>
      </c>
      <c r="O1617" s="6" t="str">
        <f>HYPERLINK("https://pbs.twimg.com/profile_images/988971255679324162/jrqiIYf__normal.jpg","View")</f>
        <v>View</v>
      </c>
      <c r="P1617" s="7"/>
    </row>
    <row r="1618" spans="1:16">
      <c r="A1618" s="3">
        <v>44126.605358796296</v>
      </c>
      <c r="B1618" s="4" t="str">
        <f>HYPERLINK("https://twitter.com/sergio_fajardo","@sergio_fajardo")</f>
        <v>@sergio_fajardo</v>
      </c>
      <c r="C1618" s="5" t="s">
        <v>16</v>
      </c>
      <c r="D1618" s="5" t="s">
        <v>1639</v>
      </c>
      <c r="E1618" s="6" t="str">
        <f>HYPERLINK("https://twitter.com/sergio_fajardo/status/1319202262036762624","1319202262036762624")</f>
        <v>1319202262036762624</v>
      </c>
      <c r="F1618" s="7" t="s">
        <v>17</v>
      </c>
      <c r="G1618" s="7">
        <v>1558363</v>
      </c>
      <c r="H1618" s="7">
        <v>397</v>
      </c>
      <c r="I1618" s="7">
        <v>389</v>
      </c>
      <c r="J1618" s="7">
        <v>0</v>
      </c>
      <c r="K1618" s="7" t="s">
        <v>18</v>
      </c>
      <c r="L1618" s="8">
        <v>39891.213356481479</v>
      </c>
      <c r="M1618" s="9" t="s">
        <v>19</v>
      </c>
      <c r="N1618" s="9" t="s">
        <v>22</v>
      </c>
      <c r="O1618" s="6" t="str">
        <f>HYPERLINK("https://pbs.twimg.com/profile_images/988971255679324162/jrqiIYf__normal.jpg","View")</f>
        <v>View</v>
      </c>
      <c r="P1618" s="7"/>
    </row>
    <row r="1619" spans="1:16">
      <c r="A1619" s="3">
        <v>44126.75645833333</v>
      </c>
      <c r="B1619" s="4" t="str">
        <f>HYPERLINK("https://twitter.com/sergio_fajardo","@sergio_fajardo")</f>
        <v>@sergio_fajardo</v>
      </c>
      <c r="C1619" s="5" t="s">
        <v>16</v>
      </c>
      <c r="D1619" s="5" t="s">
        <v>1640</v>
      </c>
      <c r="E1619" s="6" t="str">
        <f>HYPERLINK("https://twitter.com/sergio_fajardo/status/1319257016762773505","1319257016762773505")</f>
        <v>1319257016762773505</v>
      </c>
      <c r="F1619" s="7" t="s">
        <v>23</v>
      </c>
      <c r="G1619" s="7">
        <v>1558381</v>
      </c>
      <c r="H1619" s="7">
        <v>397</v>
      </c>
      <c r="I1619" s="7">
        <v>27</v>
      </c>
      <c r="J1619" s="7">
        <v>129</v>
      </c>
      <c r="K1619" s="7" t="s">
        <v>18</v>
      </c>
      <c r="L1619" s="8">
        <v>39891.213356481479</v>
      </c>
      <c r="M1619" s="9" t="s">
        <v>19</v>
      </c>
      <c r="N1619" s="9" t="s">
        <v>22</v>
      </c>
      <c r="O1619" s="6" t="str">
        <f>HYPERLINK("https://pbs.twimg.com/profile_images/988971255679324162/jrqiIYf__normal.jpg","View")</f>
        <v>View</v>
      </c>
      <c r="P1619" s="7"/>
    </row>
    <row r="1620" spans="1:16">
      <c r="A1620" s="3">
        <v>44126.835891203707</v>
      </c>
      <c r="B1620" s="4" t="str">
        <f>HYPERLINK("https://twitter.com/sergio_fajardo","@sergio_fajardo")</f>
        <v>@sergio_fajardo</v>
      </c>
      <c r="C1620" s="5" t="s">
        <v>16</v>
      </c>
      <c r="D1620" s="5" t="s">
        <v>1641</v>
      </c>
      <c r="E1620" s="6" t="str">
        <f>HYPERLINK("https://twitter.com/sergio_fajardo/status/1319285803499991040","1319285803499991040")</f>
        <v>1319285803499991040</v>
      </c>
      <c r="F1620" s="7" t="s">
        <v>23</v>
      </c>
      <c r="G1620" s="7">
        <v>1558388</v>
      </c>
      <c r="H1620" s="7">
        <v>397</v>
      </c>
      <c r="I1620" s="7">
        <v>0</v>
      </c>
      <c r="J1620" s="7">
        <v>0</v>
      </c>
      <c r="K1620" s="7" t="s">
        <v>18</v>
      </c>
      <c r="L1620" s="8">
        <v>39891.213356481479</v>
      </c>
      <c r="M1620" s="9" t="s">
        <v>19</v>
      </c>
      <c r="N1620" s="9" t="s">
        <v>22</v>
      </c>
      <c r="O1620" s="6" t="str">
        <f>HYPERLINK("https://pbs.twimg.com/profile_images/988971255679324162/jrqiIYf__normal.jpg","View")</f>
        <v>View</v>
      </c>
      <c r="P1620" s="7"/>
    </row>
    <row r="1621" spans="1:16">
      <c r="A1621" s="3">
        <v>44126.837881944448</v>
      </c>
      <c r="B1621" s="4" t="str">
        <f>HYPERLINK("https://twitter.com/sergio_fajardo","@sergio_fajardo")</f>
        <v>@sergio_fajardo</v>
      </c>
      <c r="C1621" s="5" t="s">
        <v>16</v>
      </c>
      <c r="D1621" s="5" t="s">
        <v>1642</v>
      </c>
      <c r="E1621" s="6" t="str">
        <f>HYPERLINK("https://twitter.com/sergio_fajardo/status/1319286524135890944","1319286524135890944")</f>
        <v>1319286524135890944</v>
      </c>
      <c r="F1621" s="7" t="s">
        <v>23</v>
      </c>
      <c r="G1621" s="7">
        <v>1558388</v>
      </c>
      <c r="H1621" s="7">
        <v>397</v>
      </c>
      <c r="I1621" s="7">
        <v>0</v>
      </c>
      <c r="J1621" s="7">
        <v>0</v>
      </c>
      <c r="K1621" s="7" t="s">
        <v>18</v>
      </c>
      <c r="L1621" s="8">
        <v>39891.213356481479</v>
      </c>
      <c r="M1621" s="9" t="s">
        <v>19</v>
      </c>
      <c r="N1621" s="9" t="s">
        <v>22</v>
      </c>
      <c r="O1621" s="6" t="str">
        <f>HYPERLINK("https://pbs.twimg.com/profile_images/988971255679324162/jrqiIYf__normal.jpg","View")</f>
        <v>View</v>
      </c>
      <c r="P1621" s="7"/>
    </row>
    <row r="1622" spans="1:16">
      <c r="A1622" s="3">
        <v>44126.857499999998</v>
      </c>
      <c r="B1622" s="4" t="str">
        <f>HYPERLINK("https://twitter.com/sergio_fajardo","@sergio_fajardo")</f>
        <v>@sergio_fajardo</v>
      </c>
      <c r="C1622" s="5" t="s">
        <v>16</v>
      </c>
      <c r="D1622" s="5" t="s">
        <v>1643</v>
      </c>
      <c r="E1622" s="6" t="str">
        <f>HYPERLINK("https://twitter.com/sergio_fajardo/status/1319293634756268032","1319293634756268032")</f>
        <v>1319293634756268032</v>
      </c>
      <c r="F1622" s="7" t="s">
        <v>23</v>
      </c>
      <c r="G1622" s="7">
        <v>1558373</v>
      </c>
      <c r="H1622" s="7">
        <v>397</v>
      </c>
      <c r="I1622" s="7">
        <v>24</v>
      </c>
      <c r="J1622" s="7">
        <v>228</v>
      </c>
      <c r="K1622" s="7" t="s">
        <v>18</v>
      </c>
      <c r="L1622" s="8">
        <v>39891.213356481479</v>
      </c>
      <c r="M1622" s="9" t="s">
        <v>19</v>
      </c>
      <c r="N1622" s="9" t="s">
        <v>22</v>
      </c>
      <c r="O1622" s="6" t="str">
        <f>HYPERLINK("https://pbs.twimg.com/profile_images/988971255679324162/jrqiIYf__normal.jpg","View")</f>
        <v>View</v>
      </c>
      <c r="P1622" s="7"/>
    </row>
    <row r="1623" spans="1:16">
      <c r="A1623" s="3">
        <v>44127.068159722221</v>
      </c>
      <c r="B1623" s="4" t="str">
        <f>HYPERLINK("https://twitter.com/sergio_fajardo","@sergio_fajardo")</f>
        <v>@sergio_fajardo</v>
      </c>
      <c r="C1623" s="5" t="s">
        <v>16</v>
      </c>
      <c r="D1623" s="5" t="s">
        <v>1644</v>
      </c>
      <c r="E1623" s="6" t="str">
        <f>HYPERLINK("https://twitter.com/sergio_fajardo/status/1319369975078047744","1319369975078047744")</f>
        <v>1319369975078047744</v>
      </c>
      <c r="F1623" s="7" t="s">
        <v>17</v>
      </c>
      <c r="G1623" s="7">
        <v>1558392</v>
      </c>
      <c r="H1623" s="7">
        <v>397</v>
      </c>
      <c r="I1623" s="7">
        <v>4</v>
      </c>
      <c r="J1623" s="7">
        <v>42</v>
      </c>
      <c r="K1623" s="7" t="s">
        <v>18</v>
      </c>
      <c r="L1623" s="8">
        <v>39891.213356481479</v>
      </c>
      <c r="M1623" s="9" t="s">
        <v>19</v>
      </c>
      <c r="N1623" s="9" t="s">
        <v>22</v>
      </c>
      <c r="O1623" s="6" t="str">
        <f>HYPERLINK("https://pbs.twimg.com/profile_images/988971255679324162/jrqiIYf__normal.jpg","View")</f>
        <v>View</v>
      </c>
      <c r="P1623" s="7"/>
    </row>
    <row r="1624" spans="1:16">
      <c r="A1624" s="3">
        <v>44127.069513888884</v>
      </c>
      <c r="B1624" s="4" t="str">
        <f>HYPERLINK("https://twitter.com/sergio_fajardo","@sergio_fajardo")</f>
        <v>@sergio_fajardo</v>
      </c>
      <c r="C1624" s="5" t="s">
        <v>16</v>
      </c>
      <c r="D1624" s="5" t="s">
        <v>1645</v>
      </c>
      <c r="E1624" s="6" t="str">
        <f>HYPERLINK("https://twitter.com/sergio_fajardo/status/1319370466453323776","1319370466453323776")</f>
        <v>1319370466453323776</v>
      </c>
      <c r="F1624" s="7" t="s">
        <v>17</v>
      </c>
      <c r="G1624" s="7">
        <v>1558392</v>
      </c>
      <c r="H1624" s="7">
        <v>397</v>
      </c>
      <c r="I1624" s="7">
        <v>4</v>
      </c>
      <c r="J1624" s="7">
        <v>18</v>
      </c>
      <c r="K1624" s="7" t="s">
        <v>18</v>
      </c>
      <c r="L1624" s="8">
        <v>39891.213356481479</v>
      </c>
      <c r="M1624" s="9" t="s">
        <v>19</v>
      </c>
      <c r="N1624" s="9" t="s">
        <v>22</v>
      </c>
      <c r="O1624" s="6" t="str">
        <f>HYPERLINK("https://pbs.twimg.com/profile_images/988971255679324162/jrqiIYf__normal.jpg","View")</f>
        <v>View</v>
      </c>
      <c r="P1624" s="7"/>
    </row>
    <row r="1625" spans="1:16">
      <c r="A1625" s="3">
        <v>44127.208912037036</v>
      </c>
      <c r="B1625" s="4" t="str">
        <f>HYPERLINK("https://twitter.com/sergio_fajardo","@sergio_fajardo")</f>
        <v>@sergio_fajardo</v>
      </c>
      <c r="C1625" s="5" t="s">
        <v>16</v>
      </c>
      <c r="D1625" s="5" t="s">
        <v>1646</v>
      </c>
      <c r="E1625" s="6" t="str">
        <f>HYPERLINK("https://twitter.com/sergio_fajardo/status/1319420983296446464","1319420983296446464")</f>
        <v>1319420983296446464</v>
      </c>
      <c r="F1625" s="7" t="s">
        <v>21</v>
      </c>
      <c r="G1625" s="7">
        <v>1558386</v>
      </c>
      <c r="H1625" s="7">
        <v>397</v>
      </c>
      <c r="I1625" s="7">
        <v>0</v>
      </c>
      <c r="J1625" s="7">
        <v>1</v>
      </c>
      <c r="K1625" s="7" t="s">
        <v>18</v>
      </c>
      <c r="L1625" s="8">
        <v>39891.213356481479</v>
      </c>
      <c r="M1625" s="9" t="s">
        <v>19</v>
      </c>
      <c r="N1625" s="9" t="s">
        <v>22</v>
      </c>
      <c r="O1625" s="6" t="str">
        <f>HYPERLINK("https://pbs.twimg.com/profile_images/988971255679324162/jrqiIYf__normal.jpg","View")</f>
        <v>View</v>
      </c>
      <c r="P1625" s="7"/>
    </row>
    <row r="1626" spans="1:16">
      <c r="A1626" s="3">
        <v>44128.175057870365</v>
      </c>
      <c r="B1626" s="4" t="str">
        <f>HYPERLINK("https://twitter.com/sergio_fajardo","@sergio_fajardo")</f>
        <v>@sergio_fajardo</v>
      </c>
      <c r="C1626" s="5" t="s">
        <v>16</v>
      </c>
      <c r="D1626" s="5" t="s">
        <v>1647</v>
      </c>
      <c r="E1626" s="6" t="str">
        <f>HYPERLINK("https://twitter.com/sergio_fajardo/status/1319771100100890631","1319771100100890631")</f>
        <v>1319771100100890631</v>
      </c>
      <c r="F1626" s="7" t="s">
        <v>17</v>
      </c>
      <c r="G1626" s="7">
        <v>1558443</v>
      </c>
      <c r="H1626" s="7">
        <v>397</v>
      </c>
      <c r="I1626" s="7">
        <v>7</v>
      </c>
      <c r="J1626" s="7">
        <v>0</v>
      </c>
      <c r="K1626" s="7" t="s">
        <v>18</v>
      </c>
      <c r="L1626" s="8">
        <v>39891.213356481479</v>
      </c>
      <c r="M1626" s="9" t="s">
        <v>19</v>
      </c>
      <c r="N1626" s="9" t="s">
        <v>22</v>
      </c>
      <c r="O1626" s="6" t="str">
        <f>HYPERLINK("https://pbs.twimg.com/profile_images/988971255679324162/jrqiIYf__normal.jpg","View")</f>
        <v>View</v>
      </c>
      <c r="P1626" s="7"/>
    </row>
    <row r="1627" spans="1:16">
      <c r="A1627" s="3">
        <v>44129.28606481482</v>
      </c>
      <c r="B1627" s="4" t="str">
        <f>HYPERLINK("https://twitter.com/sergio_fajardo","@sergio_fajardo")</f>
        <v>@sergio_fajardo</v>
      </c>
      <c r="C1627" s="5" t="s">
        <v>16</v>
      </c>
      <c r="D1627" s="5" t="s">
        <v>1648</v>
      </c>
      <c r="E1627" s="6" t="str">
        <f>HYPERLINK("https://twitter.com/sergio_fajardo/status/1320173715410329601","1320173715410329601")</f>
        <v>1320173715410329601</v>
      </c>
      <c r="F1627" s="7" t="s">
        <v>17</v>
      </c>
      <c r="G1627" s="7">
        <v>1558520</v>
      </c>
      <c r="H1627" s="7">
        <v>397</v>
      </c>
      <c r="I1627" s="7">
        <v>3</v>
      </c>
      <c r="J1627" s="7">
        <v>20</v>
      </c>
      <c r="K1627" s="7" t="s">
        <v>18</v>
      </c>
      <c r="L1627" s="8">
        <v>39891.213356481479</v>
      </c>
      <c r="M1627" s="9" t="s">
        <v>19</v>
      </c>
      <c r="N1627" s="9" t="s">
        <v>22</v>
      </c>
      <c r="O1627" s="6" t="str">
        <f>HYPERLINK("https://pbs.twimg.com/profile_images/988971255679324162/jrqiIYf__normal.jpg","View")</f>
        <v>View</v>
      </c>
      <c r="P1627" s="7"/>
    </row>
    <row r="1628" spans="1:16">
      <c r="A1628" s="3">
        <v>44130.711354166662</v>
      </c>
      <c r="B1628" s="4" t="str">
        <f>HYPERLINK("https://twitter.com/sergio_fajardo","@sergio_fajardo")</f>
        <v>@sergio_fajardo</v>
      </c>
      <c r="C1628" s="5" t="s">
        <v>16</v>
      </c>
      <c r="D1628" s="5" t="s">
        <v>1649</v>
      </c>
      <c r="E1628" s="6" t="str">
        <f>HYPERLINK("https://twitter.com/sergio_fajardo/status/1320690224524075008","1320690224524075008")</f>
        <v>1320690224524075008</v>
      </c>
      <c r="F1628" s="7" t="s">
        <v>20</v>
      </c>
      <c r="G1628" s="7">
        <v>1558659</v>
      </c>
      <c r="H1628" s="7">
        <v>397</v>
      </c>
      <c r="I1628" s="7">
        <v>7</v>
      </c>
      <c r="J1628" s="7">
        <v>55</v>
      </c>
      <c r="K1628" s="7" t="s">
        <v>18</v>
      </c>
      <c r="L1628" s="8">
        <v>39891.213356481479</v>
      </c>
      <c r="M1628" s="9" t="s">
        <v>19</v>
      </c>
      <c r="N1628" s="9" t="s">
        <v>22</v>
      </c>
      <c r="O1628" s="6" t="str">
        <f>HYPERLINK("https://pbs.twimg.com/profile_images/988971255679324162/jrqiIYf__normal.jpg","View")</f>
        <v>View</v>
      </c>
      <c r="P1628" s="7"/>
    </row>
    <row r="1629" spans="1:16">
      <c r="A1629" s="3">
        <v>44130.798113425924</v>
      </c>
      <c r="B1629" s="4" t="str">
        <f>HYPERLINK("https://twitter.com/sergio_fajardo","@sergio_fajardo")</f>
        <v>@sergio_fajardo</v>
      </c>
      <c r="C1629" s="5" t="s">
        <v>16</v>
      </c>
      <c r="D1629" s="5" t="s">
        <v>1650</v>
      </c>
      <c r="E1629" s="6" t="str">
        <f>HYPERLINK("https://twitter.com/sergio_fajardo/status/1320721666692009984","1320721666692009984")</f>
        <v>1320721666692009984</v>
      </c>
      <c r="F1629" s="7" t="s">
        <v>17</v>
      </c>
      <c r="G1629" s="7">
        <v>1558679</v>
      </c>
      <c r="H1629" s="7">
        <v>397</v>
      </c>
      <c r="I1629" s="7">
        <v>16</v>
      </c>
      <c r="J1629" s="7">
        <v>214</v>
      </c>
      <c r="K1629" s="7" t="s">
        <v>18</v>
      </c>
      <c r="L1629" s="8">
        <v>39891.213356481479</v>
      </c>
      <c r="M1629" s="9" t="s">
        <v>19</v>
      </c>
      <c r="N1629" s="9" t="s">
        <v>22</v>
      </c>
      <c r="O1629" s="6" t="str">
        <f>HYPERLINK("https://pbs.twimg.com/profile_images/988971255679324162/jrqiIYf__normal.jpg","View")</f>
        <v>View</v>
      </c>
      <c r="P1629" s="7"/>
    </row>
    <row r="1630" spans="1:16">
      <c r="A1630" s="3">
        <v>44131.23542824074</v>
      </c>
      <c r="B1630" s="4" t="str">
        <f>HYPERLINK("https://twitter.com/sergio_fajardo","@sergio_fajardo")</f>
        <v>@sergio_fajardo</v>
      </c>
      <c r="C1630" s="5" t="s">
        <v>16</v>
      </c>
      <c r="D1630" s="5" t="s">
        <v>1651</v>
      </c>
      <c r="E1630" s="6" t="str">
        <f>HYPERLINK("https://twitter.com/sergio_fajardo/status/1320880142022004738","1320880142022004738")</f>
        <v>1320880142022004738</v>
      </c>
      <c r="F1630" s="7" t="s">
        <v>17</v>
      </c>
      <c r="G1630" s="7">
        <v>1558784</v>
      </c>
      <c r="H1630" s="7">
        <v>397</v>
      </c>
      <c r="I1630" s="7">
        <v>19</v>
      </c>
      <c r="J1630" s="7">
        <v>0</v>
      </c>
      <c r="K1630" s="7" t="s">
        <v>18</v>
      </c>
      <c r="L1630" s="8">
        <v>39891.213356481479</v>
      </c>
      <c r="M1630" s="9" t="s">
        <v>19</v>
      </c>
      <c r="N1630" s="9" t="s">
        <v>22</v>
      </c>
      <c r="O1630" s="6" t="str">
        <f>HYPERLINK("https://pbs.twimg.com/profile_images/988971255679324162/jrqiIYf__normal.jpg","View")</f>
        <v>View</v>
      </c>
      <c r="P1630" s="7"/>
    </row>
    <row r="1631" spans="1:16">
      <c r="A1631" s="3">
        <v>44131.631053240737</v>
      </c>
      <c r="B1631" s="4" t="str">
        <f>HYPERLINK("https://twitter.com/sergio_fajardo","@sergio_fajardo")</f>
        <v>@sergio_fajardo</v>
      </c>
      <c r="C1631" s="5" t="s">
        <v>16</v>
      </c>
      <c r="D1631" s="5" t="s">
        <v>1652</v>
      </c>
      <c r="E1631" s="6" t="str">
        <f>HYPERLINK("https://twitter.com/sergio_fajardo/status/1321023513004773376","1321023513004773376")</f>
        <v>1321023513004773376</v>
      </c>
      <c r="F1631" s="7" t="s">
        <v>17</v>
      </c>
      <c r="G1631" s="7">
        <v>1558825</v>
      </c>
      <c r="H1631" s="7">
        <v>397</v>
      </c>
      <c r="I1631" s="7">
        <v>1</v>
      </c>
      <c r="J1631" s="7">
        <v>8</v>
      </c>
      <c r="K1631" s="7" t="s">
        <v>18</v>
      </c>
      <c r="L1631" s="8">
        <v>39891.213356481479</v>
      </c>
      <c r="M1631" s="9" t="s">
        <v>19</v>
      </c>
      <c r="N1631" s="9" t="s">
        <v>22</v>
      </c>
      <c r="O1631" s="6" t="str">
        <f>HYPERLINK("https://pbs.twimg.com/profile_images/988971255679324162/jrqiIYf__normal.jpg","View")</f>
        <v>View</v>
      </c>
      <c r="P1631" s="7"/>
    </row>
    <row r="1632" spans="1:16">
      <c r="A1632" s="3">
        <v>44131.673912037033</v>
      </c>
      <c r="B1632" s="4" t="str">
        <f>HYPERLINK("https://twitter.com/sergio_fajardo","@sergio_fajardo")</f>
        <v>@sergio_fajardo</v>
      </c>
      <c r="C1632" s="5" t="s">
        <v>16</v>
      </c>
      <c r="D1632" s="5" t="s">
        <v>1653</v>
      </c>
      <c r="E1632" s="6" t="str">
        <f>HYPERLINK("https://twitter.com/sergio_fajardo/status/1321039045573677058","1321039045573677058")</f>
        <v>1321039045573677058</v>
      </c>
      <c r="F1632" s="7" t="s">
        <v>17</v>
      </c>
      <c r="G1632" s="7">
        <v>1558811</v>
      </c>
      <c r="H1632" s="7">
        <v>397</v>
      </c>
      <c r="I1632" s="7">
        <v>1</v>
      </c>
      <c r="J1632" s="7">
        <v>0</v>
      </c>
      <c r="K1632" s="7" t="s">
        <v>18</v>
      </c>
      <c r="L1632" s="8">
        <v>39891.213356481479</v>
      </c>
      <c r="M1632" s="9" t="s">
        <v>19</v>
      </c>
      <c r="N1632" s="9" t="s">
        <v>22</v>
      </c>
      <c r="O1632" s="6" t="str">
        <f>HYPERLINK("https://pbs.twimg.com/profile_images/988971255679324162/jrqiIYf__normal.jpg","View")</f>
        <v>View</v>
      </c>
      <c r="P1632" s="7"/>
    </row>
    <row r="1633" spans="1:16">
      <c r="A1633" s="3">
        <v>44131.688125000001</v>
      </c>
      <c r="B1633" s="4" t="str">
        <f>HYPERLINK("https://twitter.com/sergio_fajardo","@sergio_fajardo")</f>
        <v>@sergio_fajardo</v>
      </c>
      <c r="C1633" s="5" t="s">
        <v>16</v>
      </c>
      <c r="D1633" s="5" t="s">
        <v>1654</v>
      </c>
      <c r="E1633" s="6" t="str">
        <f>HYPERLINK("https://twitter.com/sergio_fajardo/status/1321044195767963648","1321044195767963648")</f>
        <v>1321044195767963648</v>
      </c>
      <c r="F1633" s="7" t="s">
        <v>17</v>
      </c>
      <c r="G1633" s="7">
        <v>1558815</v>
      </c>
      <c r="H1633" s="7">
        <v>397</v>
      </c>
      <c r="I1633" s="7">
        <v>1</v>
      </c>
      <c r="J1633" s="7">
        <v>7</v>
      </c>
      <c r="K1633" s="7" t="s">
        <v>18</v>
      </c>
      <c r="L1633" s="8">
        <v>39891.213356481479</v>
      </c>
      <c r="M1633" s="9" t="s">
        <v>19</v>
      </c>
      <c r="N1633" s="9" t="s">
        <v>22</v>
      </c>
      <c r="O1633" s="6" t="str">
        <f>HYPERLINK("https://pbs.twimg.com/profile_images/988971255679324162/jrqiIYf__normal.jpg","View")</f>
        <v>View</v>
      </c>
      <c r="P1633" s="7"/>
    </row>
    <row r="1634" spans="1:16">
      <c r="A1634" s="3">
        <v>44131.737337962964</v>
      </c>
      <c r="B1634" s="4" t="str">
        <f>HYPERLINK("https://twitter.com/sergio_fajardo","@sergio_fajardo")</f>
        <v>@sergio_fajardo</v>
      </c>
      <c r="C1634" s="5" t="s">
        <v>16</v>
      </c>
      <c r="D1634" s="5" t="s">
        <v>1655</v>
      </c>
      <c r="E1634" s="6" t="str">
        <f>HYPERLINK("https://twitter.com/sergio_fajardo/status/1321062029462044674","1321062029462044674")</f>
        <v>1321062029462044674</v>
      </c>
      <c r="F1634" s="7" t="s">
        <v>17</v>
      </c>
      <c r="G1634" s="7">
        <v>1558821</v>
      </c>
      <c r="H1634" s="7">
        <v>397</v>
      </c>
      <c r="I1634" s="7">
        <v>1</v>
      </c>
      <c r="J1634" s="7">
        <v>12</v>
      </c>
      <c r="K1634" s="7" t="s">
        <v>18</v>
      </c>
      <c r="L1634" s="8">
        <v>39891.213356481479</v>
      </c>
      <c r="M1634" s="9" t="s">
        <v>19</v>
      </c>
      <c r="N1634" s="9" t="s">
        <v>22</v>
      </c>
      <c r="O1634" s="6" t="str">
        <f>HYPERLINK("https://pbs.twimg.com/profile_images/988971255679324162/jrqiIYf__normal.jpg","View")</f>
        <v>View</v>
      </c>
      <c r="P1634" s="7"/>
    </row>
    <row r="1635" spans="1:16">
      <c r="A1635" s="3">
        <v>44131.831527777773</v>
      </c>
      <c r="B1635" s="4" t="str">
        <f>HYPERLINK("https://twitter.com/sergio_fajardo","@sergio_fajardo")</f>
        <v>@sergio_fajardo</v>
      </c>
      <c r="C1635" s="5" t="s">
        <v>16</v>
      </c>
      <c r="D1635" s="5" t="s">
        <v>1656</v>
      </c>
      <c r="E1635" s="6" t="str">
        <f>HYPERLINK("https://twitter.com/sergio_fajardo/status/1321096162271776768","1321096162271776768")</f>
        <v>1321096162271776768</v>
      </c>
      <c r="F1635" s="7" t="s">
        <v>17</v>
      </c>
      <c r="G1635" s="7">
        <v>1558838</v>
      </c>
      <c r="H1635" s="7">
        <v>397</v>
      </c>
      <c r="I1635" s="7">
        <v>30</v>
      </c>
      <c r="J1635" s="7">
        <v>224</v>
      </c>
      <c r="K1635" s="7" t="s">
        <v>18</v>
      </c>
      <c r="L1635" s="8">
        <v>39891.213356481479</v>
      </c>
      <c r="M1635" s="9" t="s">
        <v>19</v>
      </c>
      <c r="N1635" s="9" t="s">
        <v>22</v>
      </c>
      <c r="O1635" s="6" t="str">
        <f>HYPERLINK("https://pbs.twimg.com/profile_images/988971255679324162/jrqiIYf__normal.jpg","View")</f>
        <v>View</v>
      </c>
      <c r="P1635" s="7"/>
    </row>
    <row r="1636" spans="1:16">
      <c r="A1636" s="3">
        <v>44131.844166666662</v>
      </c>
      <c r="B1636" s="4" t="str">
        <f>HYPERLINK("https://twitter.com/sergio_fajardo","@sergio_fajardo")</f>
        <v>@sergio_fajardo</v>
      </c>
      <c r="C1636" s="5" t="s">
        <v>16</v>
      </c>
      <c r="D1636" s="5" t="s">
        <v>1657</v>
      </c>
      <c r="E1636" s="6" t="str">
        <f>HYPERLINK("https://twitter.com/sergio_fajardo/status/1321100742829244418","1321100742829244418")</f>
        <v>1321100742829244418</v>
      </c>
      <c r="F1636" s="7" t="s">
        <v>17</v>
      </c>
      <c r="G1636" s="7">
        <v>1558838</v>
      </c>
      <c r="H1636" s="7">
        <v>397</v>
      </c>
      <c r="I1636" s="7">
        <v>101</v>
      </c>
      <c r="J1636" s="7">
        <v>0</v>
      </c>
      <c r="K1636" s="7" t="s">
        <v>18</v>
      </c>
      <c r="L1636" s="8">
        <v>39891.213356481479</v>
      </c>
      <c r="M1636" s="9" t="s">
        <v>19</v>
      </c>
      <c r="N1636" s="9" t="s">
        <v>22</v>
      </c>
      <c r="O1636" s="6" t="str">
        <f>HYPERLINK("https://pbs.twimg.com/profile_images/988971255679324162/jrqiIYf__normal.jpg","View")</f>
        <v>View</v>
      </c>
      <c r="P1636" s="7"/>
    </row>
    <row r="1637" spans="1:16">
      <c r="A1637" s="3">
        <v>44131.940648148149</v>
      </c>
      <c r="B1637" s="4" t="str">
        <f>HYPERLINK("https://twitter.com/sergio_fajardo","@sergio_fajardo")</f>
        <v>@sergio_fajardo</v>
      </c>
      <c r="C1637" s="5" t="s">
        <v>16</v>
      </c>
      <c r="D1637" s="5" t="s">
        <v>1658</v>
      </c>
      <c r="E1637" s="6" t="str">
        <f>HYPERLINK("https://twitter.com/sergio_fajardo/status/1321135704404070401","1321135704404070401")</f>
        <v>1321135704404070401</v>
      </c>
      <c r="F1637" s="7" t="s">
        <v>17</v>
      </c>
      <c r="G1637" s="7">
        <v>1558844</v>
      </c>
      <c r="H1637" s="7">
        <v>397</v>
      </c>
      <c r="I1637" s="7">
        <v>37</v>
      </c>
      <c r="J1637" s="7">
        <v>0</v>
      </c>
      <c r="K1637" s="7" t="s">
        <v>18</v>
      </c>
      <c r="L1637" s="8">
        <v>39891.213356481479</v>
      </c>
      <c r="M1637" s="9" t="s">
        <v>19</v>
      </c>
      <c r="N1637" s="9" t="s">
        <v>22</v>
      </c>
      <c r="O1637" s="6" t="str">
        <f>HYPERLINK("https://pbs.twimg.com/profile_images/988971255679324162/jrqiIYf__normal.jpg","View")</f>
        <v>View</v>
      </c>
      <c r="P1637" s="7"/>
    </row>
    <row r="1638" spans="1:16">
      <c r="A1638" s="3">
        <v>44131.947199074071</v>
      </c>
      <c r="B1638" s="4" t="str">
        <f>HYPERLINK("https://twitter.com/sergio_fajardo","@sergio_fajardo")</f>
        <v>@sergio_fajardo</v>
      </c>
      <c r="C1638" s="5" t="s">
        <v>16</v>
      </c>
      <c r="D1638" s="5" t="s">
        <v>1659</v>
      </c>
      <c r="E1638" s="6" t="str">
        <f>HYPERLINK("https://twitter.com/sergio_fajardo/status/1321138078254272512","1321138078254272512")</f>
        <v>1321138078254272512</v>
      </c>
      <c r="F1638" s="7" t="s">
        <v>17</v>
      </c>
      <c r="G1638" s="7">
        <v>1558844</v>
      </c>
      <c r="H1638" s="7">
        <v>397</v>
      </c>
      <c r="I1638" s="7">
        <v>2</v>
      </c>
      <c r="J1638" s="7">
        <v>0</v>
      </c>
      <c r="K1638" s="7" t="s">
        <v>18</v>
      </c>
      <c r="L1638" s="8">
        <v>39891.213356481479</v>
      </c>
      <c r="M1638" s="9" t="s">
        <v>19</v>
      </c>
      <c r="N1638" s="9" t="s">
        <v>22</v>
      </c>
      <c r="O1638" s="6" t="str">
        <f>HYPERLINK("https://pbs.twimg.com/profile_images/988971255679324162/jrqiIYf__normal.jpg","View")</f>
        <v>View</v>
      </c>
      <c r="P1638" s="7"/>
    </row>
    <row r="1639" spans="1:16">
      <c r="A1639" s="3">
        <v>44131.950671296298</v>
      </c>
      <c r="B1639" s="4" t="str">
        <f>HYPERLINK("https://twitter.com/sergio_fajardo","@sergio_fajardo")</f>
        <v>@sergio_fajardo</v>
      </c>
      <c r="C1639" s="5" t="s">
        <v>16</v>
      </c>
      <c r="D1639" s="5" t="s">
        <v>1660</v>
      </c>
      <c r="E1639" s="6" t="str">
        <f>HYPERLINK("https://twitter.com/sergio_fajardo/status/1321139336637784070","1321139336637784070")</f>
        <v>1321139336637784070</v>
      </c>
      <c r="F1639" s="7" t="s">
        <v>20</v>
      </c>
      <c r="G1639" s="7">
        <v>1558846</v>
      </c>
      <c r="H1639" s="7">
        <v>397</v>
      </c>
      <c r="I1639" s="7">
        <v>5</v>
      </c>
      <c r="J1639" s="7">
        <v>19</v>
      </c>
      <c r="K1639" s="7" t="s">
        <v>18</v>
      </c>
      <c r="L1639" s="8">
        <v>39891.213356481479</v>
      </c>
      <c r="M1639" s="9" t="s">
        <v>19</v>
      </c>
      <c r="N1639" s="9" t="s">
        <v>22</v>
      </c>
      <c r="O1639" s="6" t="str">
        <f>HYPERLINK("https://pbs.twimg.com/profile_images/988971255679324162/jrqiIYf__normal.jpg","View")</f>
        <v>View</v>
      </c>
      <c r="P1639" s="7"/>
    </row>
    <row r="1640" spans="1:16">
      <c r="A1640" s="3">
        <v>44132.000555555554</v>
      </c>
      <c r="B1640" s="4" t="str">
        <f>HYPERLINK("https://twitter.com/sergio_fajardo","@sergio_fajardo")</f>
        <v>@sergio_fajardo</v>
      </c>
      <c r="C1640" s="5" t="s">
        <v>16</v>
      </c>
      <c r="D1640" s="5" t="s">
        <v>1661</v>
      </c>
      <c r="E1640" s="6" t="str">
        <f>HYPERLINK("https://twitter.com/sergio_fajardo/status/1321157414792646656","1321157414792646656")</f>
        <v>1321157414792646656</v>
      </c>
      <c r="F1640" s="7" t="s">
        <v>17</v>
      </c>
      <c r="G1640" s="7">
        <v>1558855</v>
      </c>
      <c r="H1640" s="7">
        <v>397</v>
      </c>
      <c r="I1640" s="7">
        <v>2</v>
      </c>
      <c r="J1640" s="7">
        <v>0</v>
      </c>
      <c r="K1640" s="7" t="s">
        <v>18</v>
      </c>
      <c r="L1640" s="8">
        <v>39891.213356481479</v>
      </c>
      <c r="M1640" s="9" t="s">
        <v>19</v>
      </c>
      <c r="N1640" s="9" t="s">
        <v>22</v>
      </c>
      <c r="O1640" s="6" t="str">
        <f>HYPERLINK("https://pbs.twimg.com/profile_images/988971255679324162/jrqiIYf__normal.jpg","View")</f>
        <v>View</v>
      </c>
      <c r="P1640" s="7"/>
    </row>
    <row r="1641" spans="1:16">
      <c r="A1641" s="3">
        <v>44132.043796296297</v>
      </c>
      <c r="B1641" s="4" t="str">
        <f>HYPERLINK("https://twitter.com/sergio_fajardo","@sergio_fajardo")</f>
        <v>@sergio_fajardo</v>
      </c>
      <c r="C1641" s="5" t="s">
        <v>16</v>
      </c>
      <c r="D1641" s="5" t="s">
        <v>1662</v>
      </c>
      <c r="E1641" s="6" t="str">
        <f>HYPERLINK("https://twitter.com/sergio_fajardo/status/1321173085115109377","1321173085115109377")</f>
        <v>1321173085115109377</v>
      </c>
      <c r="F1641" s="7" t="s">
        <v>17</v>
      </c>
      <c r="G1641" s="7">
        <v>1558856</v>
      </c>
      <c r="H1641" s="7">
        <v>397</v>
      </c>
      <c r="I1641" s="7">
        <v>14</v>
      </c>
      <c r="J1641" s="7">
        <v>0</v>
      </c>
      <c r="K1641" s="7" t="s">
        <v>18</v>
      </c>
      <c r="L1641" s="8">
        <v>39891.213356481479</v>
      </c>
      <c r="M1641" s="9" t="s">
        <v>19</v>
      </c>
      <c r="N1641" s="9" t="s">
        <v>22</v>
      </c>
      <c r="O1641" s="6" t="str">
        <f>HYPERLINK("https://pbs.twimg.com/profile_images/988971255679324162/jrqiIYf__normal.jpg","View")</f>
        <v>View</v>
      </c>
      <c r="P1641" s="7"/>
    </row>
    <row r="1642" spans="1:16">
      <c r="A1642" s="3">
        <v>44132.162222222221</v>
      </c>
      <c r="B1642" s="4" t="str">
        <f>HYPERLINK("https://twitter.com/sergio_fajardo","@sergio_fajardo")</f>
        <v>@sergio_fajardo</v>
      </c>
      <c r="C1642" s="5" t="s">
        <v>16</v>
      </c>
      <c r="D1642" s="5" t="s">
        <v>1663</v>
      </c>
      <c r="E1642" s="6" t="str">
        <f>HYPERLINK("https://twitter.com/sergio_fajardo/status/1321216002110214148","1321216002110214148")</f>
        <v>1321216002110214148</v>
      </c>
      <c r="F1642" s="7" t="s">
        <v>17</v>
      </c>
      <c r="G1642" s="7">
        <v>1558875</v>
      </c>
      <c r="H1642" s="7">
        <v>397</v>
      </c>
      <c r="I1642" s="7">
        <v>312</v>
      </c>
      <c r="J1642" s="7">
        <v>0</v>
      </c>
      <c r="K1642" s="7" t="s">
        <v>18</v>
      </c>
      <c r="L1642" s="8">
        <v>39891.213356481479</v>
      </c>
      <c r="M1642" s="9" t="s">
        <v>19</v>
      </c>
      <c r="N1642" s="9" t="s">
        <v>22</v>
      </c>
      <c r="O1642" s="6" t="str">
        <f>HYPERLINK("https://pbs.twimg.com/profile_images/988971255679324162/jrqiIYf__normal.jpg","View")</f>
        <v>View</v>
      </c>
      <c r="P1642" s="7"/>
    </row>
    <row r="1643" spans="1:16">
      <c r="A1643" s="3">
        <v>44132.294699074075</v>
      </c>
      <c r="B1643" s="4" t="str">
        <f>HYPERLINK("https://twitter.com/sergio_fajardo","@sergio_fajardo")</f>
        <v>@sergio_fajardo</v>
      </c>
      <c r="C1643" s="5" t="s">
        <v>16</v>
      </c>
      <c r="D1643" s="5" t="s">
        <v>1664</v>
      </c>
      <c r="E1643" s="6" t="str">
        <f>HYPERLINK("https://twitter.com/sergio_fajardo/status/1321264008981340160","1321264008981340160")</f>
        <v>1321264008981340160</v>
      </c>
      <c r="F1643" s="7" t="s">
        <v>17</v>
      </c>
      <c r="G1643" s="7">
        <v>1558899</v>
      </c>
      <c r="H1643" s="7">
        <v>399</v>
      </c>
      <c r="I1643" s="7">
        <v>70</v>
      </c>
      <c r="J1643" s="7">
        <v>0</v>
      </c>
      <c r="K1643" s="7" t="s">
        <v>18</v>
      </c>
      <c r="L1643" s="8">
        <v>39891.213356481479</v>
      </c>
      <c r="M1643" s="9" t="s">
        <v>19</v>
      </c>
      <c r="N1643" s="9" t="s">
        <v>22</v>
      </c>
      <c r="O1643" s="6" t="str">
        <f>HYPERLINK("https://pbs.twimg.com/profile_images/988971255679324162/jrqiIYf__normal.jpg","View")</f>
        <v>View</v>
      </c>
      <c r="P1643" s="7"/>
    </row>
    <row r="1644" spans="1:16">
      <c r="A1644" s="3">
        <v>44132.900092592594</v>
      </c>
      <c r="B1644" s="4" t="str">
        <f>HYPERLINK("https://twitter.com/sergio_fajardo","@sergio_fajardo")</f>
        <v>@sergio_fajardo</v>
      </c>
      <c r="C1644" s="5" t="s">
        <v>16</v>
      </c>
      <c r="D1644" s="5" t="s">
        <v>1665</v>
      </c>
      <c r="E1644" s="6" t="str">
        <f>HYPERLINK("https://twitter.com/sergio_fajardo/status/1321483396615462912","1321483396615462912")</f>
        <v>1321483396615462912</v>
      </c>
      <c r="F1644" s="7" t="s">
        <v>17</v>
      </c>
      <c r="G1644" s="7">
        <v>1558968</v>
      </c>
      <c r="H1644" s="7">
        <v>401</v>
      </c>
      <c r="I1644" s="7">
        <v>21</v>
      </c>
      <c r="J1644" s="7">
        <v>0</v>
      </c>
      <c r="K1644" s="7" t="s">
        <v>18</v>
      </c>
      <c r="L1644" s="8">
        <v>39891.213356481479</v>
      </c>
      <c r="M1644" s="9" t="s">
        <v>19</v>
      </c>
      <c r="N1644" s="9" t="s">
        <v>22</v>
      </c>
      <c r="O1644" s="6" t="str">
        <f>HYPERLINK("https://pbs.twimg.com/profile_images/988971255679324162/jrqiIYf__normal.jpg","View")</f>
        <v>View</v>
      </c>
      <c r="P1644" s="7"/>
    </row>
    <row r="1645" spans="1:16">
      <c r="A1645" s="3">
        <v>44132.904085648144</v>
      </c>
      <c r="B1645" s="4" t="str">
        <f>HYPERLINK("https://twitter.com/sergio_fajardo","@sergio_fajardo")</f>
        <v>@sergio_fajardo</v>
      </c>
      <c r="C1645" s="5" t="s">
        <v>16</v>
      </c>
      <c r="D1645" s="5" t="s">
        <v>1666</v>
      </c>
      <c r="E1645" s="6" t="str">
        <f>HYPERLINK("https://twitter.com/sergio_fajardo/status/1321484842106789888","1321484842106789888")</f>
        <v>1321484842106789888</v>
      </c>
      <c r="F1645" s="7" t="s">
        <v>17</v>
      </c>
      <c r="G1645" s="7">
        <v>1558968</v>
      </c>
      <c r="H1645" s="7">
        <v>401</v>
      </c>
      <c r="I1645" s="7">
        <v>127</v>
      </c>
      <c r="J1645" s="7">
        <v>0</v>
      </c>
      <c r="K1645" s="7" t="s">
        <v>18</v>
      </c>
      <c r="L1645" s="8">
        <v>39891.213356481479</v>
      </c>
      <c r="M1645" s="9" t="s">
        <v>19</v>
      </c>
      <c r="N1645" s="9" t="s">
        <v>22</v>
      </c>
      <c r="O1645" s="6" t="str">
        <f>HYPERLINK("https://pbs.twimg.com/profile_images/988971255679324162/jrqiIYf__normal.jpg","View")</f>
        <v>View</v>
      </c>
      <c r="P1645" s="7"/>
    </row>
    <row r="1646" spans="1:16">
      <c r="A1646" s="3">
        <v>44133.212685185186</v>
      </c>
      <c r="B1646" s="4" t="str">
        <f>HYPERLINK("https://twitter.com/sergio_fajardo","@sergio_fajardo")</f>
        <v>@sergio_fajardo</v>
      </c>
      <c r="C1646" s="5" t="s">
        <v>16</v>
      </c>
      <c r="D1646" s="5" t="s">
        <v>1667</v>
      </c>
      <c r="E1646" s="6" t="str">
        <f>HYPERLINK("https://twitter.com/sergio_fajardo/status/1321596678152114176","1321596678152114176")</f>
        <v>1321596678152114176</v>
      </c>
      <c r="F1646" s="7" t="s">
        <v>17</v>
      </c>
      <c r="G1646" s="7">
        <v>1559045</v>
      </c>
      <c r="H1646" s="7">
        <v>400</v>
      </c>
      <c r="I1646" s="7">
        <v>13</v>
      </c>
      <c r="J1646" s="7">
        <v>0</v>
      </c>
      <c r="K1646" s="7" t="s">
        <v>18</v>
      </c>
      <c r="L1646" s="8">
        <v>39891.213356481479</v>
      </c>
      <c r="M1646" s="9" t="s">
        <v>19</v>
      </c>
      <c r="N1646" s="9" t="s">
        <v>22</v>
      </c>
      <c r="O1646" s="6" t="str">
        <f>HYPERLINK("https://pbs.twimg.com/profile_images/988971255679324162/jrqiIYf__normal.jpg","View")</f>
        <v>View</v>
      </c>
      <c r="P1646" s="7"/>
    </row>
    <row r="1647" spans="1:16">
      <c r="A1647" s="3">
        <v>44134.083900462967</v>
      </c>
      <c r="B1647" s="4" t="str">
        <f>HYPERLINK("https://twitter.com/sergio_fajardo","@sergio_fajardo")</f>
        <v>@sergio_fajardo</v>
      </c>
      <c r="C1647" s="5" t="s">
        <v>16</v>
      </c>
      <c r="D1647" s="5" t="s">
        <v>1668</v>
      </c>
      <c r="E1647" s="6" t="str">
        <f>HYPERLINK("https://twitter.com/sergio_fajardo/status/1321912393681821700","1321912393681821700")</f>
        <v>1321912393681821700</v>
      </c>
      <c r="F1647" s="7" t="s">
        <v>17</v>
      </c>
      <c r="G1647" s="7">
        <v>1559151</v>
      </c>
      <c r="H1647" s="7">
        <v>400</v>
      </c>
      <c r="I1647" s="7">
        <v>1</v>
      </c>
      <c r="J1647" s="7">
        <v>196</v>
      </c>
      <c r="K1647" s="7" t="s">
        <v>18</v>
      </c>
      <c r="L1647" s="8">
        <v>39891.213356481479</v>
      </c>
      <c r="M1647" s="9" t="s">
        <v>19</v>
      </c>
      <c r="N1647" s="9" t="s">
        <v>22</v>
      </c>
      <c r="O1647" s="6" t="str">
        <f>HYPERLINK("https://pbs.twimg.com/profile_images/988971255679324162/jrqiIYf__normal.jpg","View")</f>
        <v>View</v>
      </c>
      <c r="P1647" s="7"/>
    </row>
    <row r="1648" spans="1:16">
      <c r="A1648" s="3">
        <v>44134.099039351851</v>
      </c>
      <c r="B1648" s="4" t="str">
        <f>HYPERLINK("https://twitter.com/sergio_fajardo","@sergio_fajardo")</f>
        <v>@sergio_fajardo</v>
      </c>
      <c r="C1648" s="5" t="s">
        <v>16</v>
      </c>
      <c r="D1648" s="5" t="s">
        <v>1669</v>
      </c>
      <c r="E1648" s="6" t="str">
        <f>HYPERLINK("https://twitter.com/sergio_fajardo/status/1321917882368958465","1321917882368958465")</f>
        <v>1321917882368958465</v>
      </c>
      <c r="F1648" s="7" t="s">
        <v>17</v>
      </c>
      <c r="G1648" s="7">
        <v>1559155</v>
      </c>
      <c r="H1648" s="7">
        <v>400</v>
      </c>
      <c r="I1648" s="7">
        <v>12</v>
      </c>
      <c r="J1648" s="7">
        <v>72</v>
      </c>
      <c r="K1648" s="7" t="s">
        <v>18</v>
      </c>
      <c r="L1648" s="8">
        <v>39891.213356481479</v>
      </c>
      <c r="M1648" s="9" t="s">
        <v>19</v>
      </c>
      <c r="N1648" s="9" t="s">
        <v>22</v>
      </c>
      <c r="O1648" s="6" t="str">
        <f>HYPERLINK("https://pbs.twimg.com/profile_images/988971255679324162/jrqiIYf__normal.jpg","View")</f>
        <v>View</v>
      </c>
      <c r="P1648" s="7"/>
    </row>
    <row r="1649" spans="1:16">
      <c r="A1649" s="3">
        <v>44134.247858796298</v>
      </c>
      <c r="B1649" s="4" t="str">
        <f>HYPERLINK("https://twitter.com/sergio_fajardo","@sergio_fajardo")</f>
        <v>@sergio_fajardo</v>
      </c>
      <c r="C1649" s="5" t="s">
        <v>16</v>
      </c>
      <c r="D1649" s="5" t="s">
        <v>1670</v>
      </c>
      <c r="E1649" s="6" t="str">
        <f>HYPERLINK("https://twitter.com/sergio_fajardo/status/1321971812620787712","1321971812620787712")</f>
        <v>1321971812620787712</v>
      </c>
      <c r="F1649" s="7" t="s">
        <v>17</v>
      </c>
      <c r="G1649" s="7">
        <v>1559162</v>
      </c>
      <c r="H1649" s="7">
        <v>400</v>
      </c>
      <c r="I1649" s="7">
        <v>458</v>
      </c>
      <c r="J1649" s="7">
        <v>0</v>
      </c>
      <c r="K1649" s="7" t="s">
        <v>18</v>
      </c>
      <c r="L1649" s="8">
        <v>39891.213356481479</v>
      </c>
      <c r="M1649" s="9" t="s">
        <v>19</v>
      </c>
      <c r="N1649" s="9" t="s">
        <v>22</v>
      </c>
      <c r="O1649" s="6" t="str">
        <f>HYPERLINK("https://pbs.twimg.com/profile_images/988971255679324162/jrqiIYf__normal.jpg","View")</f>
        <v>View</v>
      </c>
      <c r="P1649" s="7"/>
    </row>
    <row r="1650" spans="1:16">
      <c r="A1650" s="3">
        <v>44134.299629629633</v>
      </c>
      <c r="B1650" s="4" t="str">
        <f>HYPERLINK("https://twitter.com/sergio_fajardo","@sergio_fajardo")</f>
        <v>@sergio_fajardo</v>
      </c>
      <c r="C1650" s="5" t="s">
        <v>16</v>
      </c>
      <c r="D1650" s="5" t="s">
        <v>1671</v>
      </c>
      <c r="E1650" s="6" t="str">
        <f>HYPERLINK("https://twitter.com/sergio_fajardo/status/1321990572152938497","1321990572152938497")</f>
        <v>1321990572152938497</v>
      </c>
      <c r="F1650" s="7" t="s">
        <v>17</v>
      </c>
      <c r="G1650" s="7">
        <v>1559166</v>
      </c>
      <c r="H1650" s="7">
        <v>400</v>
      </c>
      <c r="I1650" s="7">
        <v>18</v>
      </c>
      <c r="J1650" s="7">
        <v>45</v>
      </c>
      <c r="K1650" s="7" t="s">
        <v>18</v>
      </c>
      <c r="L1650" s="8">
        <v>39891.213356481479</v>
      </c>
      <c r="M1650" s="9" t="s">
        <v>19</v>
      </c>
      <c r="N1650" s="9" t="s">
        <v>22</v>
      </c>
      <c r="O1650" s="6" t="str">
        <f>HYPERLINK("https://pbs.twimg.com/profile_images/988971255679324162/jrqiIYf__normal.jpg","View")</f>
        <v>View</v>
      </c>
      <c r="P1650" s="7"/>
    </row>
    <row r="1651" spans="1:16">
      <c r="A1651" s="3">
        <v>44135.960520833338</v>
      </c>
      <c r="B1651" s="4" t="str">
        <f>HYPERLINK("https://twitter.com/sergio_fajardo","@sergio_fajardo")</f>
        <v>@sergio_fajardo</v>
      </c>
      <c r="C1651" s="5" t="s">
        <v>16</v>
      </c>
      <c r="D1651" s="5" t="s">
        <v>1672</v>
      </c>
      <c r="E1651" s="6" t="str">
        <f>HYPERLINK("https://twitter.com/sergio_fajardo/status/1322592459835248640","1322592459835248640")</f>
        <v>1322592459835248640</v>
      </c>
      <c r="F1651" s="7" t="s">
        <v>17</v>
      </c>
      <c r="G1651" s="7">
        <v>1559346</v>
      </c>
      <c r="H1651" s="7">
        <v>401</v>
      </c>
      <c r="I1651" s="7">
        <v>8</v>
      </c>
      <c r="J1651" s="7">
        <v>0</v>
      </c>
      <c r="K1651" s="7" t="s">
        <v>18</v>
      </c>
      <c r="L1651" s="8">
        <v>39891.213356481479</v>
      </c>
      <c r="M1651" s="9" t="s">
        <v>19</v>
      </c>
      <c r="N1651" s="9" t="s">
        <v>22</v>
      </c>
      <c r="O1651" s="6" t="str">
        <f>HYPERLINK("https://pbs.twimg.com/profile_images/988971255679324162/jrqiIYf__normal.jpg","View")</f>
        <v>View</v>
      </c>
      <c r="P1651" s="7"/>
    </row>
    <row r="1652" spans="1:16">
      <c r="A1652" s="3">
        <v>44136.194594907407</v>
      </c>
      <c r="B1652" s="4" t="str">
        <f>HYPERLINK("https://twitter.com/sergio_fajardo","@sergio_fajardo")</f>
        <v>@sergio_fajardo</v>
      </c>
      <c r="C1652" s="5" t="s">
        <v>16</v>
      </c>
      <c r="D1652" s="5" t="s">
        <v>1673</v>
      </c>
      <c r="E1652" s="6" t="str">
        <f>HYPERLINK("https://twitter.com/sergio_fajardo/status/1322677285011554306","1322677285011554306")</f>
        <v>1322677285011554306</v>
      </c>
      <c r="F1652" s="7" t="s">
        <v>17</v>
      </c>
      <c r="G1652" s="7">
        <v>1559388</v>
      </c>
      <c r="H1652" s="7">
        <v>401</v>
      </c>
      <c r="I1652" s="7">
        <v>6</v>
      </c>
      <c r="J1652" s="7">
        <v>55</v>
      </c>
      <c r="K1652" s="7" t="s">
        <v>18</v>
      </c>
      <c r="L1652" s="8">
        <v>39891.213356481479</v>
      </c>
      <c r="M1652" s="9" t="s">
        <v>19</v>
      </c>
      <c r="N1652" s="9" t="s">
        <v>22</v>
      </c>
      <c r="O1652" s="6" t="str">
        <f>HYPERLINK("https://pbs.twimg.com/profile_images/988971255679324162/jrqiIYf__normal.jpg","View")</f>
        <v>View</v>
      </c>
      <c r="P1652" s="7"/>
    </row>
    <row r="1653" spans="1:16">
      <c r="A1653" s="3">
        <v>44137.985300925924</v>
      </c>
      <c r="B1653" s="4" t="str">
        <f>HYPERLINK("https://twitter.com/sergio_fajardo","@sergio_fajardo")</f>
        <v>@sergio_fajardo</v>
      </c>
      <c r="C1653" s="5" t="s">
        <v>16</v>
      </c>
      <c r="D1653" s="5" t="s">
        <v>1674</v>
      </c>
      <c r="E1653" s="6" t="str">
        <f>HYPERLINK("https://twitter.com/sergio_fajardo/status/1323326214912827399","1323326214912827399")</f>
        <v>1323326214912827399</v>
      </c>
      <c r="F1653" s="7" t="s">
        <v>17</v>
      </c>
      <c r="G1653" s="7">
        <v>1559604</v>
      </c>
      <c r="H1653" s="7">
        <v>401</v>
      </c>
      <c r="I1653" s="7">
        <v>1</v>
      </c>
      <c r="J1653" s="7">
        <v>8</v>
      </c>
      <c r="K1653" s="7" t="s">
        <v>18</v>
      </c>
      <c r="L1653" s="8">
        <v>39891.213356481479</v>
      </c>
      <c r="M1653" s="9" t="s">
        <v>19</v>
      </c>
      <c r="N1653" s="9" t="s">
        <v>22</v>
      </c>
      <c r="O1653" s="6" t="str">
        <f>HYPERLINK("https://pbs.twimg.com/profile_images/988971255679324162/jrqiIYf__normal.jpg","View")</f>
        <v>View</v>
      </c>
      <c r="P1653" s="7"/>
    </row>
    <row r="1654" spans="1:16">
      <c r="A1654" s="3">
        <v>44138.717141203699</v>
      </c>
      <c r="B1654" s="4" t="str">
        <f>HYPERLINK("https://twitter.com/sergio_fajardo","@sergio_fajardo")</f>
        <v>@sergio_fajardo</v>
      </c>
      <c r="C1654" s="5" t="s">
        <v>16</v>
      </c>
      <c r="D1654" s="5" t="s">
        <v>1675</v>
      </c>
      <c r="E1654" s="6" t="str">
        <f>HYPERLINK("https://twitter.com/sergio_fajardo/status/1323591424470896641","1323591424470896641")</f>
        <v>1323591424470896641</v>
      </c>
      <c r="F1654" s="7" t="s">
        <v>17</v>
      </c>
      <c r="G1654" s="7">
        <v>1559675</v>
      </c>
      <c r="H1654" s="7">
        <v>401</v>
      </c>
      <c r="I1654" s="7">
        <v>2</v>
      </c>
      <c r="J1654" s="7">
        <v>11</v>
      </c>
      <c r="K1654" s="7" t="s">
        <v>18</v>
      </c>
      <c r="L1654" s="8">
        <v>39891.213356481479</v>
      </c>
      <c r="M1654" s="9" t="s">
        <v>19</v>
      </c>
      <c r="N1654" s="9" t="s">
        <v>22</v>
      </c>
      <c r="O1654" s="6" t="str">
        <f>HYPERLINK("https://pbs.twimg.com/profile_images/988971255679324162/jrqiIYf__normal.jpg","View")</f>
        <v>View</v>
      </c>
      <c r="P1654" s="7"/>
    </row>
    <row r="1655" spans="1:16">
      <c r="A1655" s="3">
        <v>44139.060266203705</v>
      </c>
      <c r="B1655" s="4" t="str">
        <f>HYPERLINK("https://twitter.com/sergio_fajardo","@sergio_fajardo")</f>
        <v>@sergio_fajardo</v>
      </c>
      <c r="C1655" s="5" t="s">
        <v>16</v>
      </c>
      <c r="D1655" s="5" t="s">
        <v>1676</v>
      </c>
      <c r="E1655" s="6" t="str">
        <f>HYPERLINK("https://twitter.com/sergio_fajardo/status/1323715769130209280","1323715769130209280")</f>
        <v>1323715769130209280</v>
      </c>
      <c r="F1655" s="7" t="s">
        <v>17</v>
      </c>
      <c r="G1655" s="7">
        <v>1559717</v>
      </c>
      <c r="H1655" s="7">
        <v>402</v>
      </c>
      <c r="I1655" s="7">
        <v>9</v>
      </c>
      <c r="J1655" s="7">
        <v>47</v>
      </c>
      <c r="K1655" s="7" t="s">
        <v>18</v>
      </c>
      <c r="L1655" s="8">
        <v>39891.213356481479</v>
      </c>
      <c r="M1655" s="9" t="s">
        <v>19</v>
      </c>
      <c r="N1655" s="9" t="s">
        <v>22</v>
      </c>
      <c r="O1655" s="6" t="str">
        <f>HYPERLINK("https://pbs.twimg.com/profile_images/988971255679324162/jrqiIYf__normal.jpg","View")</f>
        <v>View</v>
      </c>
      <c r="P1655" s="7"/>
    </row>
    <row r="1656" spans="1:16">
      <c r="A1656" s="3">
        <v>44140.233865740738</v>
      </c>
      <c r="B1656" s="4" t="str">
        <f>HYPERLINK("https://twitter.com/sergio_fajardo","@sergio_fajardo")</f>
        <v>@sergio_fajardo</v>
      </c>
      <c r="C1656" s="5" t="s">
        <v>16</v>
      </c>
      <c r="D1656" s="5" t="s">
        <v>1677</v>
      </c>
      <c r="E1656" s="6" t="str">
        <f>HYPERLINK("https://twitter.com/sergio_fajardo/status/1324141068372369409","1324141068372369409")</f>
        <v>1324141068372369409</v>
      </c>
      <c r="F1656" s="7" t="s">
        <v>17</v>
      </c>
      <c r="G1656" s="7">
        <v>1559950</v>
      </c>
      <c r="H1656" s="7">
        <v>402</v>
      </c>
      <c r="I1656" s="7">
        <v>32</v>
      </c>
      <c r="J1656" s="7">
        <v>153</v>
      </c>
      <c r="K1656" s="7" t="s">
        <v>18</v>
      </c>
      <c r="L1656" s="8">
        <v>39891.213356481479</v>
      </c>
      <c r="M1656" s="9" t="s">
        <v>19</v>
      </c>
      <c r="N1656" s="9" t="s">
        <v>22</v>
      </c>
      <c r="O1656" s="6" t="str">
        <f>HYPERLINK("https://pbs.twimg.com/profile_images/988971255679324162/jrqiIYf__normal.jpg","View")</f>
        <v>View</v>
      </c>
      <c r="P1656" s="7"/>
    </row>
    <row r="1657" spans="1:16">
      <c r="A1657" s="3">
        <v>44140.746261574073</v>
      </c>
      <c r="B1657" s="4" t="str">
        <f>HYPERLINK("https://twitter.com/sergio_fajardo","@sergio_fajardo")</f>
        <v>@sergio_fajardo</v>
      </c>
      <c r="C1657" s="5" t="s">
        <v>16</v>
      </c>
      <c r="D1657" s="5" t="s">
        <v>1678</v>
      </c>
      <c r="E1657" s="6" t="str">
        <f>HYPERLINK("https://twitter.com/sergio_fajardo/status/1324326753838551045","1324326753838551045")</f>
        <v>1324326753838551045</v>
      </c>
      <c r="F1657" s="7" t="s">
        <v>23</v>
      </c>
      <c r="G1657" s="7">
        <v>1560025</v>
      </c>
      <c r="H1657" s="7">
        <v>402</v>
      </c>
      <c r="I1657" s="7">
        <v>29</v>
      </c>
      <c r="J1657" s="7">
        <v>421</v>
      </c>
      <c r="K1657" s="7" t="s">
        <v>18</v>
      </c>
      <c r="L1657" s="8">
        <v>39891.213356481479</v>
      </c>
      <c r="M1657" s="9" t="s">
        <v>19</v>
      </c>
      <c r="N1657" s="9" t="s">
        <v>22</v>
      </c>
      <c r="O1657" s="6" t="str">
        <f>HYPERLINK("https://pbs.twimg.com/profile_images/988971255679324162/jrqiIYf__normal.jpg","View")</f>
        <v>View</v>
      </c>
      <c r="P1657" s="7"/>
    </row>
    <row r="1658" spans="1:16">
      <c r="A1658" s="3">
        <v>44140.971875000003</v>
      </c>
      <c r="B1658" s="4" t="str">
        <f>HYPERLINK("https://twitter.com/sergio_fajardo","@sergio_fajardo")</f>
        <v>@sergio_fajardo</v>
      </c>
      <c r="C1658" s="5" t="s">
        <v>16</v>
      </c>
      <c r="D1658" s="5" t="s">
        <v>1679</v>
      </c>
      <c r="E1658" s="6" t="str">
        <f>HYPERLINK("https://twitter.com/sergio_fajardo/status/1324408512731140100","1324408512731140100")</f>
        <v>1324408512731140100</v>
      </c>
      <c r="F1658" s="7" t="s">
        <v>17</v>
      </c>
      <c r="G1658" s="7">
        <v>1560075</v>
      </c>
      <c r="H1658" s="7">
        <v>402</v>
      </c>
      <c r="I1658" s="7">
        <v>6</v>
      </c>
      <c r="J1658" s="7">
        <v>0</v>
      </c>
      <c r="K1658" s="7" t="s">
        <v>18</v>
      </c>
      <c r="L1658" s="8">
        <v>39891.213356481479</v>
      </c>
      <c r="M1658" s="9" t="s">
        <v>19</v>
      </c>
      <c r="N1658" s="9" t="s">
        <v>22</v>
      </c>
      <c r="O1658" s="6" t="str">
        <f>HYPERLINK("https://pbs.twimg.com/profile_images/988971255679324162/jrqiIYf__normal.jpg","View")</f>
        <v>View</v>
      </c>
      <c r="P1658" s="7"/>
    </row>
    <row r="1659" spans="1:16">
      <c r="A1659" s="3">
        <v>44141.155162037037</v>
      </c>
      <c r="B1659" s="4" t="str">
        <f>HYPERLINK("https://twitter.com/sergio_fajardo","@sergio_fajardo")</f>
        <v>@sergio_fajardo</v>
      </c>
      <c r="C1659" s="5" t="s">
        <v>16</v>
      </c>
      <c r="D1659" s="5" t="s">
        <v>1680</v>
      </c>
      <c r="E1659" s="6" t="str">
        <f>HYPERLINK("https://twitter.com/sergio_fajardo/status/1324474933980909570","1324474933980909570")</f>
        <v>1324474933980909570</v>
      </c>
      <c r="F1659" s="7" t="s">
        <v>20</v>
      </c>
      <c r="G1659" s="7">
        <v>1560093</v>
      </c>
      <c r="H1659" s="7">
        <v>402</v>
      </c>
      <c r="I1659" s="7">
        <v>2</v>
      </c>
      <c r="J1659" s="7">
        <v>11</v>
      </c>
      <c r="K1659" s="7" t="s">
        <v>18</v>
      </c>
      <c r="L1659" s="8">
        <v>39891.213356481479</v>
      </c>
      <c r="M1659" s="9" t="s">
        <v>19</v>
      </c>
      <c r="N1659" s="9" t="s">
        <v>22</v>
      </c>
      <c r="O1659" s="6" t="str">
        <f>HYPERLINK("https://pbs.twimg.com/profile_images/988971255679324162/jrqiIYf__normal.jpg","View")</f>
        <v>View</v>
      </c>
      <c r="P1659" s="7"/>
    </row>
    <row r="1660" spans="1:16">
      <c r="A1660" s="3">
        <v>44141.689872685187</v>
      </c>
      <c r="B1660" s="4" t="str">
        <f>HYPERLINK("https://twitter.com/sergio_fajardo","@sergio_fajardo")</f>
        <v>@sergio_fajardo</v>
      </c>
      <c r="C1660" s="5" t="s">
        <v>16</v>
      </c>
      <c r="D1660" s="5" t="s">
        <v>1681</v>
      </c>
      <c r="E1660" s="6" t="str">
        <f>HYPERLINK("https://twitter.com/sergio_fajardo/status/1324668707046596608","1324668707046596608")</f>
        <v>1324668707046596608</v>
      </c>
      <c r="F1660" s="7" t="s">
        <v>17</v>
      </c>
      <c r="G1660" s="7">
        <v>1560131</v>
      </c>
      <c r="H1660" s="7">
        <v>402</v>
      </c>
      <c r="I1660" s="7">
        <v>141</v>
      </c>
      <c r="J1660" s="7">
        <v>0</v>
      </c>
      <c r="K1660" s="7" t="s">
        <v>18</v>
      </c>
      <c r="L1660" s="8">
        <v>39891.213356481479</v>
      </c>
      <c r="M1660" s="9" t="s">
        <v>19</v>
      </c>
      <c r="N1660" s="9" t="s">
        <v>22</v>
      </c>
      <c r="O1660" s="6" t="str">
        <f>HYPERLINK("https://pbs.twimg.com/profile_images/988971255679324162/jrqiIYf__normal.jpg","View")</f>
        <v>View</v>
      </c>
      <c r="P1660" s="7"/>
    </row>
    <row r="1661" spans="1:16">
      <c r="A1661" s="3">
        <v>44141.692118055551</v>
      </c>
      <c r="B1661" s="4" t="str">
        <f>HYPERLINK("https://twitter.com/sergio_fajardo","@sergio_fajardo")</f>
        <v>@sergio_fajardo</v>
      </c>
      <c r="C1661" s="5" t="s">
        <v>16</v>
      </c>
      <c r="D1661" s="5" t="s">
        <v>1682</v>
      </c>
      <c r="E1661" s="6" t="str">
        <f>HYPERLINK("https://twitter.com/sergio_fajardo/status/1324669520850624512","1324669520850624512")</f>
        <v>1324669520850624512</v>
      </c>
      <c r="F1661" s="7" t="s">
        <v>17</v>
      </c>
      <c r="G1661" s="7">
        <v>1560131</v>
      </c>
      <c r="H1661" s="7">
        <v>402</v>
      </c>
      <c r="I1661" s="7">
        <v>43622</v>
      </c>
      <c r="J1661" s="7">
        <v>0</v>
      </c>
      <c r="K1661" s="7" t="s">
        <v>18</v>
      </c>
      <c r="L1661" s="8">
        <v>39891.213356481479</v>
      </c>
      <c r="M1661" s="9" t="s">
        <v>19</v>
      </c>
      <c r="N1661" s="9" t="s">
        <v>22</v>
      </c>
      <c r="O1661" s="6" t="str">
        <f>HYPERLINK("https://pbs.twimg.com/profile_images/988971255679324162/jrqiIYf__normal.jpg","View")</f>
        <v>View</v>
      </c>
      <c r="P1661" s="7"/>
    </row>
    <row r="1662" spans="1:16">
      <c r="A1662" s="3">
        <v>44141.717048611114</v>
      </c>
      <c r="B1662" s="4" t="str">
        <f>HYPERLINK("https://twitter.com/sergio_fajardo","@sergio_fajardo")</f>
        <v>@sergio_fajardo</v>
      </c>
      <c r="C1662" s="5" t="s">
        <v>16</v>
      </c>
      <c r="D1662" s="4" t="s">
        <v>1683</v>
      </c>
      <c r="E1662" s="6" t="str">
        <f>HYPERLINK("https://twitter.com/sergio_fajardo/status/1324678553003327488","1324678553003327488")</f>
        <v>1324678553003327488</v>
      </c>
      <c r="F1662" s="7" t="s">
        <v>17</v>
      </c>
      <c r="G1662" s="7">
        <v>1560128</v>
      </c>
      <c r="H1662" s="7">
        <v>402</v>
      </c>
      <c r="I1662" s="7">
        <v>3</v>
      </c>
      <c r="J1662" s="7">
        <v>22</v>
      </c>
      <c r="K1662" s="7" t="s">
        <v>18</v>
      </c>
      <c r="L1662" s="8">
        <v>39891.213356481479</v>
      </c>
      <c r="M1662" s="9" t="s">
        <v>19</v>
      </c>
      <c r="N1662" s="9" t="s">
        <v>22</v>
      </c>
      <c r="O1662" s="6" t="str">
        <f>HYPERLINK("https://pbs.twimg.com/profile_images/988971255679324162/jrqiIYf__normal.jpg","View")</f>
        <v>View</v>
      </c>
      <c r="P1662" s="7"/>
    </row>
    <row r="1663" spans="1:16">
      <c r="A1663" s="3">
        <v>44141.773043981477</v>
      </c>
      <c r="B1663" s="4" t="str">
        <f>HYPERLINK("https://twitter.com/sergio_fajardo","@sergio_fajardo")</f>
        <v>@sergio_fajardo</v>
      </c>
      <c r="C1663" s="5" t="s">
        <v>16</v>
      </c>
      <c r="D1663" s="5" t="s">
        <v>1684</v>
      </c>
      <c r="E1663" s="6" t="str">
        <f>HYPERLINK("https://twitter.com/sergio_fajardo/status/1324698846807687169","1324698846807687169")</f>
        <v>1324698846807687169</v>
      </c>
      <c r="F1663" s="7" t="s">
        <v>17</v>
      </c>
      <c r="G1663" s="7">
        <v>1560137</v>
      </c>
      <c r="H1663" s="7">
        <v>402</v>
      </c>
      <c r="I1663" s="7">
        <v>2</v>
      </c>
      <c r="J1663" s="7">
        <v>18</v>
      </c>
      <c r="K1663" s="7" t="s">
        <v>18</v>
      </c>
      <c r="L1663" s="8">
        <v>39891.213356481479</v>
      </c>
      <c r="M1663" s="9" t="s">
        <v>19</v>
      </c>
      <c r="N1663" s="9" t="s">
        <v>22</v>
      </c>
      <c r="O1663" s="6" t="str">
        <f>HYPERLINK("https://pbs.twimg.com/profile_images/988971255679324162/jrqiIYf__normal.jpg","View")</f>
        <v>View</v>
      </c>
      <c r="P1663" s="7"/>
    </row>
    <row r="1664" spans="1:16">
      <c r="A1664" s="3">
        <v>44142.040231481486</v>
      </c>
      <c r="B1664" s="4" t="str">
        <f>HYPERLINK("https://twitter.com/sergio_fajardo","@sergio_fajardo")</f>
        <v>@sergio_fajardo</v>
      </c>
      <c r="C1664" s="5" t="s">
        <v>16</v>
      </c>
      <c r="D1664" s="5" t="s">
        <v>1685</v>
      </c>
      <c r="E1664" s="6" t="str">
        <f>HYPERLINK("https://twitter.com/sergio_fajardo/status/1324795671925477377","1324795671925477377")</f>
        <v>1324795671925477377</v>
      </c>
      <c r="F1664" s="7" t="s">
        <v>17</v>
      </c>
      <c r="G1664" s="7">
        <v>1560194</v>
      </c>
      <c r="H1664" s="7">
        <v>402</v>
      </c>
      <c r="I1664" s="7">
        <v>58</v>
      </c>
      <c r="J1664" s="7">
        <v>0</v>
      </c>
      <c r="K1664" s="7" t="s">
        <v>18</v>
      </c>
      <c r="L1664" s="8">
        <v>39891.213356481479</v>
      </c>
      <c r="M1664" s="9" t="s">
        <v>19</v>
      </c>
      <c r="N1664" s="9" t="s">
        <v>22</v>
      </c>
      <c r="O1664" s="6" t="str">
        <f>HYPERLINK("https://pbs.twimg.com/profile_images/988971255679324162/jrqiIYf__normal.jpg","View")</f>
        <v>View</v>
      </c>
      <c r="P1664" s="7"/>
    </row>
    <row r="1665" spans="1:16">
      <c r="A1665" s="3">
        <v>44142.989212962959</v>
      </c>
      <c r="B1665" s="4" t="str">
        <f>HYPERLINK("https://twitter.com/sergio_fajardo","@sergio_fajardo")</f>
        <v>@sergio_fajardo</v>
      </c>
      <c r="C1665" s="5" t="s">
        <v>16</v>
      </c>
      <c r="D1665" s="5" t="s">
        <v>1686</v>
      </c>
      <c r="E1665" s="6" t="str">
        <f>HYPERLINK("https://twitter.com/sergio_fajardo/status/1325139572582457344","1325139572582457344")</f>
        <v>1325139572582457344</v>
      </c>
      <c r="F1665" s="7" t="s">
        <v>17</v>
      </c>
      <c r="G1665" s="7">
        <v>1560323</v>
      </c>
      <c r="H1665" s="7">
        <v>402</v>
      </c>
      <c r="I1665" s="7">
        <v>44365</v>
      </c>
      <c r="J1665" s="7">
        <v>0</v>
      </c>
      <c r="K1665" s="7" t="s">
        <v>18</v>
      </c>
      <c r="L1665" s="8">
        <v>39891.213356481479</v>
      </c>
      <c r="M1665" s="9" t="s">
        <v>19</v>
      </c>
      <c r="N1665" s="9" t="s">
        <v>22</v>
      </c>
      <c r="O1665" s="6" t="str">
        <f>HYPERLINK("https://pbs.twimg.com/profile_images/988971255679324162/jrqiIYf__normal.jpg","View")</f>
        <v>View</v>
      </c>
      <c r="P1665" s="7"/>
    </row>
    <row r="1666" spans="1:16">
      <c r="A1666" s="3">
        <v>44142.992881944447</v>
      </c>
      <c r="B1666" s="4" t="str">
        <f>HYPERLINK("https://twitter.com/sergio_fajardo","@sergio_fajardo")</f>
        <v>@sergio_fajardo</v>
      </c>
      <c r="C1666" s="5" t="s">
        <v>16</v>
      </c>
      <c r="D1666" s="5" t="s">
        <v>1687</v>
      </c>
      <c r="E1666" s="6" t="str">
        <f>HYPERLINK("https://twitter.com/sergio_fajardo/status/1325140900926820352","1325140900926820352")</f>
        <v>1325140900926820352</v>
      </c>
      <c r="F1666" s="7" t="s">
        <v>17</v>
      </c>
      <c r="G1666" s="7">
        <v>1560336</v>
      </c>
      <c r="H1666" s="7">
        <v>402</v>
      </c>
      <c r="I1666" s="7">
        <v>61</v>
      </c>
      <c r="J1666" s="7">
        <v>656</v>
      </c>
      <c r="K1666" s="7" t="s">
        <v>18</v>
      </c>
      <c r="L1666" s="8">
        <v>39891.213356481479</v>
      </c>
      <c r="M1666" s="9" t="s">
        <v>19</v>
      </c>
      <c r="N1666" s="9" t="s">
        <v>22</v>
      </c>
      <c r="O1666" s="6" t="str">
        <f>HYPERLINK("https://pbs.twimg.com/profile_images/988971255679324162/jrqiIYf__normal.jpg","View")</f>
        <v>View</v>
      </c>
      <c r="P1666" s="7"/>
    </row>
    <row r="1667" spans="1:16">
      <c r="A1667" s="3">
        <v>44143.277037037042</v>
      </c>
      <c r="B1667" s="4" t="str">
        <f>HYPERLINK("https://twitter.com/sergio_fajardo","@sergio_fajardo")</f>
        <v>@sergio_fajardo</v>
      </c>
      <c r="C1667" s="5" t="s">
        <v>16</v>
      </c>
      <c r="D1667" s="5" t="s">
        <v>1688</v>
      </c>
      <c r="E1667" s="6" t="str">
        <f>HYPERLINK("https://twitter.com/sergio_fajardo/status/1325243876983115778","1325243876983115778")</f>
        <v>1325243876983115778</v>
      </c>
      <c r="F1667" s="7" t="s">
        <v>17</v>
      </c>
      <c r="G1667" s="7">
        <v>1560398</v>
      </c>
      <c r="H1667" s="7">
        <v>402</v>
      </c>
      <c r="I1667" s="7">
        <v>1</v>
      </c>
      <c r="J1667" s="7">
        <v>25</v>
      </c>
      <c r="K1667" s="7" t="s">
        <v>18</v>
      </c>
      <c r="L1667" s="8">
        <v>39891.213356481479</v>
      </c>
      <c r="M1667" s="9" t="s">
        <v>19</v>
      </c>
      <c r="N1667" s="9" t="s">
        <v>22</v>
      </c>
      <c r="O1667" s="6" t="str">
        <f>HYPERLINK("https://pbs.twimg.com/profile_images/988971255679324162/jrqiIYf__normal.jpg","View")</f>
        <v>View</v>
      </c>
      <c r="P1667" s="7"/>
    </row>
    <row r="1668" spans="1:16">
      <c r="A1668" s="3">
        <v>44143.282407407409</v>
      </c>
      <c r="B1668" s="4" t="str">
        <f>HYPERLINK("https://twitter.com/sergio_fajardo","@sergio_fajardo")</f>
        <v>@sergio_fajardo</v>
      </c>
      <c r="C1668" s="5" t="s">
        <v>16</v>
      </c>
      <c r="D1668" s="5" t="s">
        <v>1689</v>
      </c>
      <c r="E1668" s="6" t="str">
        <f>HYPERLINK("https://twitter.com/sergio_fajardo/status/1325245821902794752","1325245821902794752")</f>
        <v>1325245821902794752</v>
      </c>
      <c r="F1668" s="7" t="s">
        <v>17</v>
      </c>
      <c r="G1668" s="7">
        <v>1560398</v>
      </c>
      <c r="H1668" s="7">
        <v>402</v>
      </c>
      <c r="I1668" s="7">
        <v>1</v>
      </c>
      <c r="J1668" s="7">
        <v>3</v>
      </c>
      <c r="K1668" s="7" t="s">
        <v>18</v>
      </c>
      <c r="L1668" s="8">
        <v>39891.213356481479</v>
      </c>
      <c r="M1668" s="9" t="s">
        <v>19</v>
      </c>
      <c r="N1668" s="9" t="s">
        <v>22</v>
      </c>
      <c r="O1668" s="6" t="str">
        <f>HYPERLINK("https://pbs.twimg.com/profile_images/988971255679324162/jrqiIYf__normal.jpg","View")</f>
        <v>View</v>
      </c>
      <c r="P1668" s="7"/>
    </row>
    <row r="1669" spans="1:16">
      <c r="A1669" s="3">
        <v>44143.826793981483</v>
      </c>
      <c r="B1669" s="4" t="str">
        <f>HYPERLINK("https://twitter.com/sergio_fajardo","@sergio_fajardo")</f>
        <v>@sergio_fajardo</v>
      </c>
      <c r="C1669" s="5" t="s">
        <v>16</v>
      </c>
      <c r="D1669" s="5" t="s">
        <v>1690</v>
      </c>
      <c r="E1669" s="6" t="str">
        <f>HYPERLINK("https://twitter.com/sergio_fajardo/status/1325443101113135105","1325443101113135105")</f>
        <v>1325443101113135105</v>
      </c>
      <c r="F1669" s="7" t="s">
        <v>17</v>
      </c>
      <c r="G1669" s="7">
        <v>1560449</v>
      </c>
      <c r="H1669" s="7">
        <v>402</v>
      </c>
      <c r="I1669" s="7">
        <v>21</v>
      </c>
      <c r="J1669" s="7">
        <v>0</v>
      </c>
      <c r="K1669" s="7" t="s">
        <v>18</v>
      </c>
      <c r="L1669" s="8">
        <v>39891.213356481479</v>
      </c>
      <c r="M1669" s="9" t="s">
        <v>19</v>
      </c>
      <c r="N1669" s="9" t="s">
        <v>22</v>
      </c>
      <c r="O1669" s="6" t="str">
        <f>HYPERLINK("https://pbs.twimg.com/profile_images/988971255679324162/jrqiIYf__normal.jpg","View")</f>
        <v>View</v>
      </c>
      <c r="P1669" s="7"/>
    </row>
    <row r="1670" spans="1:16">
      <c r="A1670" s="3">
        <v>44144.245486111111</v>
      </c>
      <c r="B1670" s="4" t="str">
        <f>HYPERLINK("https://twitter.com/sergio_fajardo","@sergio_fajardo")</f>
        <v>@sergio_fajardo</v>
      </c>
      <c r="C1670" s="5" t="s">
        <v>16</v>
      </c>
      <c r="D1670" s="5" t="s">
        <v>1691</v>
      </c>
      <c r="E1670" s="6" t="str">
        <f>HYPERLINK("https://twitter.com/sergio_fajardo/status/1325594830240616449","1325594830240616449")</f>
        <v>1325594830240616449</v>
      </c>
      <c r="F1670" s="7" t="s">
        <v>17</v>
      </c>
      <c r="G1670" s="7">
        <v>1560517</v>
      </c>
      <c r="H1670" s="7">
        <v>402</v>
      </c>
      <c r="I1670" s="7">
        <v>23</v>
      </c>
      <c r="J1670" s="7">
        <v>255</v>
      </c>
      <c r="K1670" s="7" t="s">
        <v>18</v>
      </c>
      <c r="L1670" s="8">
        <v>39891.213356481479</v>
      </c>
      <c r="M1670" s="9" t="s">
        <v>19</v>
      </c>
      <c r="N1670" s="9" t="s">
        <v>22</v>
      </c>
      <c r="O1670" s="6" t="str">
        <f>HYPERLINK("https://pbs.twimg.com/profile_images/988971255679324162/jrqiIYf__normal.jpg","View")</f>
        <v>View</v>
      </c>
      <c r="P1670" s="7"/>
    </row>
    <row r="1671" spans="1:16">
      <c r="A1671" s="3">
        <v>44145.104178240741</v>
      </c>
      <c r="B1671" s="4" t="str">
        <f>HYPERLINK("https://twitter.com/sergio_fajardo","@sergio_fajardo")</f>
        <v>@sergio_fajardo</v>
      </c>
      <c r="C1671" s="5" t="s">
        <v>16</v>
      </c>
      <c r="D1671" s="5" t="s">
        <v>1692</v>
      </c>
      <c r="E1671" s="6" t="str">
        <f>HYPERLINK("https://twitter.com/sergio_fajardo/status/1325906008129085441","1325906008129085441")</f>
        <v>1325906008129085441</v>
      </c>
      <c r="F1671" s="7" t="s">
        <v>17</v>
      </c>
      <c r="G1671" s="7">
        <v>1560602</v>
      </c>
      <c r="H1671" s="7">
        <v>402</v>
      </c>
      <c r="I1671" s="7">
        <v>4</v>
      </c>
      <c r="J1671" s="7">
        <v>0</v>
      </c>
      <c r="K1671" s="7" t="s">
        <v>18</v>
      </c>
      <c r="L1671" s="8">
        <v>39891.213356481479</v>
      </c>
      <c r="M1671" s="9" t="s">
        <v>19</v>
      </c>
      <c r="N1671" s="9" t="s">
        <v>22</v>
      </c>
      <c r="O1671" s="6" t="str">
        <f>HYPERLINK("https://pbs.twimg.com/profile_images/988971255679324162/jrqiIYf__normal.jpg","View")</f>
        <v>View</v>
      </c>
      <c r="P1671" s="7"/>
    </row>
    <row r="1672" spans="1:16">
      <c r="A1672" s="3">
        <v>44146.023946759262</v>
      </c>
      <c r="B1672" s="4" t="str">
        <f>HYPERLINK("https://twitter.com/sergio_fajardo","@sergio_fajardo")</f>
        <v>@sergio_fajardo</v>
      </c>
      <c r="C1672" s="5" t="s">
        <v>16</v>
      </c>
      <c r="D1672" s="5" t="s">
        <v>1693</v>
      </c>
      <c r="E1672" s="6" t="str">
        <f>HYPERLINK("https://twitter.com/sergio_fajardo/status/1326239321410695169","1326239321410695169")</f>
        <v>1326239321410695169</v>
      </c>
      <c r="F1672" s="7" t="s">
        <v>17</v>
      </c>
      <c r="G1672" s="7">
        <v>1560730</v>
      </c>
      <c r="H1672" s="7">
        <v>402</v>
      </c>
      <c r="I1672" s="7">
        <v>4</v>
      </c>
      <c r="J1672" s="7">
        <v>0</v>
      </c>
      <c r="K1672" s="7" t="s">
        <v>18</v>
      </c>
      <c r="L1672" s="8">
        <v>39891.213356481479</v>
      </c>
      <c r="M1672" s="9" t="s">
        <v>19</v>
      </c>
      <c r="N1672" s="9" t="s">
        <v>22</v>
      </c>
      <c r="O1672" s="6" t="str">
        <f>HYPERLINK("https://pbs.twimg.com/profile_images/988971255679324162/jrqiIYf__normal.jpg","View")</f>
        <v>View</v>
      </c>
      <c r="P1672" s="7"/>
    </row>
    <row r="1673" spans="1:16">
      <c r="A1673" s="3">
        <v>44146.024236111116</v>
      </c>
      <c r="B1673" s="4" t="str">
        <f>HYPERLINK("https://twitter.com/sergio_fajardo","@sergio_fajardo")</f>
        <v>@sergio_fajardo</v>
      </c>
      <c r="C1673" s="5" t="s">
        <v>16</v>
      </c>
      <c r="D1673" s="5" t="s">
        <v>1694</v>
      </c>
      <c r="E1673" s="6" t="str">
        <f>HYPERLINK("https://twitter.com/sergio_fajardo/status/1326239426641530880","1326239426641530880")</f>
        <v>1326239426641530880</v>
      </c>
      <c r="F1673" s="7" t="s">
        <v>17</v>
      </c>
      <c r="G1673" s="7">
        <v>1560730</v>
      </c>
      <c r="H1673" s="7">
        <v>402</v>
      </c>
      <c r="I1673" s="7">
        <v>6</v>
      </c>
      <c r="J1673" s="7">
        <v>0</v>
      </c>
      <c r="K1673" s="7" t="s">
        <v>18</v>
      </c>
      <c r="L1673" s="8">
        <v>39891.213356481479</v>
      </c>
      <c r="M1673" s="9" t="s">
        <v>19</v>
      </c>
      <c r="N1673" s="9" t="s">
        <v>22</v>
      </c>
      <c r="O1673" s="6" t="str">
        <f>HYPERLINK("https://pbs.twimg.com/profile_images/988971255679324162/jrqiIYf__normal.jpg","View")</f>
        <v>View</v>
      </c>
      <c r="P1673" s="7"/>
    </row>
    <row r="1674" spans="1:16">
      <c r="A1674" s="3">
        <v>44146.998344907406</v>
      </c>
      <c r="B1674" s="4" t="str">
        <f>HYPERLINK("https://twitter.com/sergio_fajardo","@sergio_fajardo")</f>
        <v>@sergio_fajardo</v>
      </c>
      <c r="C1674" s="5" t="s">
        <v>16</v>
      </c>
      <c r="D1674" s="5" t="s">
        <v>1695</v>
      </c>
      <c r="E1674" s="6" t="str">
        <f>HYPERLINK("https://twitter.com/sergio_fajardo/status/1326592432851603458","1326592432851603458")</f>
        <v>1326592432851603458</v>
      </c>
      <c r="F1674" s="7" t="s">
        <v>17</v>
      </c>
      <c r="G1674" s="7">
        <v>1560934</v>
      </c>
      <c r="H1674" s="7">
        <v>402</v>
      </c>
      <c r="I1674" s="7">
        <v>6</v>
      </c>
      <c r="J1674" s="7">
        <v>0</v>
      </c>
      <c r="K1674" s="7" t="s">
        <v>18</v>
      </c>
      <c r="L1674" s="8">
        <v>39891.213356481479</v>
      </c>
      <c r="M1674" s="9" t="s">
        <v>19</v>
      </c>
      <c r="N1674" s="9" t="s">
        <v>22</v>
      </c>
      <c r="O1674" s="6" t="str">
        <f>HYPERLINK("https://pbs.twimg.com/profile_images/988971255679324162/jrqiIYf__normal.jpg","View")</f>
        <v>View</v>
      </c>
      <c r="P1674" s="7"/>
    </row>
    <row r="1675" spans="1:16">
      <c r="A1675" s="3">
        <v>44147.000937500001</v>
      </c>
      <c r="B1675" s="4" t="str">
        <f>HYPERLINK("https://twitter.com/sergio_fajardo","@sergio_fajardo")</f>
        <v>@sergio_fajardo</v>
      </c>
      <c r="C1675" s="5" t="s">
        <v>16</v>
      </c>
      <c r="D1675" s="5" t="s">
        <v>1696</v>
      </c>
      <c r="E1675" s="6" t="str">
        <f>HYPERLINK("https://twitter.com/sergio_fajardo/status/1326593370291101696","1326593370291101696")</f>
        <v>1326593370291101696</v>
      </c>
      <c r="F1675" s="7" t="s">
        <v>20</v>
      </c>
      <c r="G1675" s="7">
        <v>1560934</v>
      </c>
      <c r="H1675" s="7">
        <v>402</v>
      </c>
      <c r="I1675" s="7">
        <v>17</v>
      </c>
      <c r="J1675" s="7">
        <v>79</v>
      </c>
      <c r="K1675" s="7" t="s">
        <v>18</v>
      </c>
      <c r="L1675" s="8">
        <v>39891.213356481479</v>
      </c>
      <c r="M1675" s="9" t="s">
        <v>19</v>
      </c>
      <c r="N1675" s="9" t="s">
        <v>22</v>
      </c>
      <c r="O1675" s="6" t="str">
        <f>HYPERLINK("https://pbs.twimg.com/profile_images/988971255679324162/jrqiIYf__normal.jpg","View")</f>
        <v>View</v>
      </c>
      <c r="P1675" s="7"/>
    </row>
    <row r="1676" spans="1:16">
      <c r="A1676" s="3">
        <v>44147.753854166665</v>
      </c>
      <c r="B1676" s="4" t="str">
        <f>HYPERLINK("https://twitter.com/sergio_fajardo","@sergio_fajardo")</f>
        <v>@sergio_fajardo</v>
      </c>
      <c r="C1676" s="5" t="s">
        <v>16</v>
      </c>
      <c r="D1676" s="5" t="s">
        <v>1697</v>
      </c>
      <c r="E1676" s="6" t="str">
        <f>HYPERLINK("https://twitter.com/sergio_fajardo/status/1326866219706830850","1326866219706830850")</f>
        <v>1326866219706830850</v>
      </c>
      <c r="F1676" s="7" t="s">
        <v>20</v>
      </c>
      <c r="G1676" s="7">
        <v>1561061</v>
      </c>
      <c r="H1676" s="7">
        <v>402</v>
      </c>
      <c r="I1676" s="7">
        <v>21</v>
      </c>
      <c r="J1676" s="7">
        <v>215</v>
      </c>
      <c r="K1676" s="7" t="s">
        <v>18</v>
      </c>
      <c r="L1676" s="8">
        <v>39891.213356481479</v>
      </c>
      <c r="M1676" s="9" t="s">
        <v>19</v>
      </c>
      <c r="N1676" s="9" t="s">
        <v>22</v>
      </c>
      <c r="O1676" s="6" t="str">
        <f>HYPERLINK("https://pbs.twimg.com/profile_images/988971255679324162/jrqiIYf__normal.jpg","View")</f>
        <v>View</v>
      </c>
      <c r="P1676" s="7"/>
    </row>
    <row r="1677" spans="1:16">
      <c r="A1677" s="3">
        <v>44147.949687500004</v>
      </c>
      <c r="B1677" s="4" t="str">
        <f>HYPERLINK("https://twitter.com/sergio_fajardo","@sergio_fajardo")</f>
        <v>@sergio_fajardo</v>
      </c>
      <c r="C1677" s="5" t="s">
        <v>16</v>
      </c>
      <c r="D1677" s="5" t="s">
        <v>1698</v>
      </c>
      <c r="E1677" s="6" t="str">
        <f>HYPERLINK("https://twitter.com/sergio_fajardo/status/1326937185610838018","1326937185610838018")</f>
        <v>1326937185610838018</v>
      </c>
      <c r="F1677" s="7" t="s">
        <v>20</v>
      </c>
      <c r="G1677" s="7">
        <v>1561088</v>
      </c>
      <c r="H1677" s="7">
        <v>402</v>
      </c>
      <c r="I1677" s="7">
        <v>0</v>
      </c>
      <c r="J1677" s="7">
        <v>2</v>
      </c>
      <c r="K1677" s="7" t="s">
        <v>18</v>
      </c>
      <c r="L1677" s="8">
        <v>39891.213356481479</v>
      </c>
      <c r="M1677" s="9" t="s">
        <v>19</v>
      </c>
      <c r="N1677" s="9" t="s">
        <v>22</v>
      </c>
      <c r="O1677" s="6" t="str">
        <f>HYPERLINK("https://pbs.twimg.com/profile_images/988971255679324162/jrqiIYf__normal.jpg","View")</f>
        <v>View</v>
      </c>
      <c r="P1677" s="7"/>
    </row>
    <row r="1678" spans="1:16">
      <c r="A1678" s="3">
        <v>44147.982557870375</v>
      </c>
      <c r="B1678" s="4" t="str">
        <f>HYPERLINK("https://twitter.com/sergio_fajardo","@sergio_fajardo")</f>
        <v>@sergio_fajardo</v>
      </c>
      <c r="C1678" s="5" t="s">
        <v>16</v>
      </c>
      <c r="D1678" s="5" t="s">
        <v>1699</v>
      </c>
      <c r="E1678" s="6" t="str">
        <f>HYPERLINK("https://twitter.com/sergio_fajardo/status/1326949099522940928","1326949099522940928")</f>
        <v>1326949099522940928</v>
      </c>
      <c r="F1678" s="7" t="s">
        <v>17</v>
      </c>
      <c r="G1678" s="7">
        <v>1561083</v>
      </c>
      <c r="H1678" s="7">
        <v>402</v>
      </c>
      <c r="I1678" s="7">
        <v>24</v>
      </c>
      <c r="J1678" s="7">
        <v>0</v>
      </c>
      <c r="K1678" s="7" t="s">
        <v>18</v>
      </c>
      <c r="L1678" s="8">
        <v>39891.213356481479</v>
      </c>
      <c r="M1678" s="9" t="s">
        <v>19</v>
      </c>
      <c r="N1678" s="9" t="s">
        <v>22</v>
      </c>
      <c r="O1678" s="6" t="str">
        <f>HYPERLINK("https://pbs.twimg.com/profile_images/988971255679324162/jrqiIYf__normal.jpg","View")</f>
        <v>View</v>
      </c>
      <c r="P1678" s="7"/>
    </row>
    <row r="1679" spans="1:16">
      <c r="A1679" s="3">
        <v>44148.676736111112</v>
      </c>
      <c r="B1679" s="4" t="str">
        <f>HYPERLINK("https://twitter.com/sergio_fajardo","@sergio_fajardo")</f>
        <v>@sergio_fajardo</v>
      </c>
      <c r="C1679" s="5" t="s">
        <v>16</v>
      </c>
      <c r="D1679" s="5" t="s">
        <v>1700</v>
      </c>
      <c r="E1679" s="6" t="str">
        <f>HYPERLINK("https://twitter.com/sergio_fajardo/status/1327200660861947905","1327200660861947905")</f>
        <v>1327200660861947905</v>
      </c>
      <c r="F1679" s="7" t="s">
        <v>17</v>
      </c>
      <c r="G1679" s="7">
        <v>1561247</v>
      </c>
      <c r="H1679" s="7">
        <v>402</v>
      </c>
      <c r="I1679" s="7">
        <v>1</v>
      </c>
      <c r="J1679" s="7">
        <v>1</v>
      </c>
      <c r="K1679" s="7" t="s">
        <v>18</v>
      </c>
      <c r="L1679" s="8">
        <v>39891.213356481479</v>
      </c>
      <c r="M1679" s="9" t="s">
        <v>19</v>
      </c>
      <c r="N1679" s="9" t="s">
        <v>22</v>
      </c>
      <c r="O1679" s="6" t="str">
        <f>HYPERLINK("https://pbs.twimg.com/profile_images/988971255679324162/jrqiIYf__normal.jpg","View")</f>
        <v>View</v>
      </c>
      <c r="P1679" s="7"/>
    </row>
    <row r="1680" spans="1:16">
      <c r="A1680" s="3">
        <v>44148.742835648147</v>
      </c>
      <c r="B1680" s="4" t="str">
        <f>HYPERLINK("https://twitter.com/sergio_fajardo","@sergio_fajardo")</f>
        <v>@sergio_fajardo</v>
      </c>
      <c r="C1680" s="5" t="s">
        <v>16</v>
      </c>
      <c r="D1680" s="5" t="s">
        <v>1701</v>
      </c>
      <c r="E1680" s="6" t="str">
        <f>HYPERLINK("https://twitter.com/sergio_fajardo/status/1327224617031901184","1327224617031901184")</f>
        <v>1327224617031901184</v>
      </c>
      <c r="F1680" s="7" t="s">
        <v>17</v>
      </c>
      <c r="G1680" s="7">
        <v>1561264</v>
      </c>
      <c r="H1680" s="7">
        <v>402</v>
      </c>
      <c r="I1680" s="7">
        <v>3</v>
      </c>
      <c r="J1680" s="7">
        <v>51</v>
      </c>
      <c r="K1680" s="7" t="s">
        <v>18</v>
      </c>
      <c r="L1680" s="8">
        <v>39891.213356481479</v>
      </c>
      <c r="M1680" s="9" t="s">
        <v>19</v>
      </c>
      <c r="N1680" s="9" t="s">
        <v>22</v>
      </c>
      <c r="O1680" s="6" t="str">
        <f>HYPERLINK("https://pbs.twimg.com/profile_images/988971255679324162/jrqiIYf__normal.jpg","View")</f>
        <v>View</v>
      </c>
      <c r="P1680" s="7"/>
    </row>
    <row r="1681" spans="1:16">
      <c r="A1681" s="3">
        <v>44148.945532407408</v>
      </c>
      <c r="B1681" s="4" t="str">
        <f>HYPERLINK("https://twitter.com/sergio_fajardo","@sergio_fajardo")</f>
        <v>@sergio_fajardo</v>
      </c>
      <c r="C1681" s="5" t="s">
        <v>16</v>
      </c>
      <c r="D1681" s="5" t="s">
        <v>1702</v>
      </c>
      <c r="E1681" s="6" t="str">
        <f>HYPERLINK("https://twitter.com/sergio_fajardo/status/1327298070430818306","1327298070430818306")</f>
        <v>1327298070430818306</v>
      </c>
      <c r="F1681" s="7" t="s">
        <v>17</v>
      </c>
      <c r="G1681" s="7">
        <v>1561309</v>
      </c>
      <c r="H1681" s="7">
        <v>402</v>
      </c>
      <c r="I1681" s="7">
        <v>1</v>
      </c>
      <c r="J1681" s="7">
        <v>23</v>
      </c>
      <c r="K1681" s="7" t="s">
        <v>18</v>
      </c>
      <c r="L1681" s="8">
        <v>39891.213356481479</v>
      </c>
      <c r="M1681" s="9" t="s">
        <v>19</v>
      </c>
      <c r="N1681" s="9" t="s">
        <v>22</v>
      </c>
      <c r="O1681" s="6" t="str">
        <f>HYPERLINK("https://pbs.twimg.com/profile_images/988971255679324162/jrqiIYf__normal.jpg","View")</f>
        <v>View</v>
      </c>
      <c r="P1681" s="7"/>
    </row>
    <row r="1682" spans="1:16">
      <c r="A1682" s="3">
        <v>44150.001446759255</v>
      </c>
      <c r="B1682" s="4" t="str">
        <f>HYPERLINK("https://twitter.com/sergio_fajardo","@sergio_fajardo")</f>
        <v>@sergio_fajardo</v>
      </c>
      <c r="C1682" s="5" t="s">
        <v>16</v>
      </c>
      <c r="D1682" s="5" t="s">
        <v>1703</v>
      </c>
      <c r="E1682" s="6" t="str">
        <f>HYPERLINK("https://twitter.com/sergio_fajardo/status/1327680721293545474","1327680721293545474")</f>
        <v>1327680721293545474</v>
      </c>
      <c r="F1682" s="7" t="s">
        <v>17</v>
      </c>
      <c r="G1682" s="7">
        <v>1561472</v>
      </c>
      <c r="H1682" s="7">
        <v>402</v>
      </c>
      <c r="I1682" s="7">
        <v>112</v>
      </c>
      <c r="J1682" s="7">
        <v>0</v>
      </c>
      <c r="K1682" s="7" t="s">
        <v>18</v>
      </c>
      <c r="L1682" s="8">
        <v>39891.213356481479</v>
      </c>
      <c r="M1682" s="9" t="s">
        <v>19</v>
      </c>
      <c r="N1682" s="9" t="s">
        <v>22</v>
      </c>
      <c r="O1682" s="6" t="str">
        <f>HYPERLINK("https://pbs.twimg.com/profile_images/988971255679324162/jrqiIYf__normal.jpg","View")</f>
        <v>View</v>
      </c>
      <c r="P1682" s="7"/>
    </row>
    <row r="1683" spans="1:16">
      <c r="A1683" s="3">
        <v>44150.65623842593</v>
      </c>
      <c r="B1683" s="4" t="str">
        <f>HYPERLINK("https://twitter.com/sergio_fajardo","@sergio_fajardo")</f>
        <v>@sergio_fajardo</v>
      </c>
      <c r="C1683" s="5" t="s">
        <v>16</v>
      </c>
      <c r="D1683" s="4" t="s">
        <v>1704</v>
      </c>
      <c r="E1683" s="6" t="str">
        <f>HYPERLINK("https://twitter.com/sergio_fajardo/status/1327918007553765376","1327918007553765376")</f>
        <v>1327918007553765376</v>
      </c>
      <c r="F1683" s="7" t="s">
        <v>17</v>
      </c>
      <c r="G1683" s="7">
        <v>1561522</v>
      </c>
      <c r="H1683" s="7">
        <v>402</v>
      </c>
      <c r="I1683" s="7">
        <v>0</v>
      </c>
      <c r="J1683" s="7">
        <v>1</v>
      </c>
      <c r="K1683" s="7" t="s">
        <v>18</v>
      </c>
      <c r="L1683" s="8">
        <v>39891.213356481479</v>
      </c>
      <c r="M1683" s="9" t="s">
        <v>19</v>
      </c>
      <c r="N1683" s="9" t="s">
        <v>22</v>
      </c>
      <c r="O1683" s="6" t="str">
        <f>HYPERLINK("https://pbs.twimg.com/profile_images/988971255679324162/jrqiIYf__normal.jpg","View")</f>
        <v>View</v>
      </c>
      <c r="P1683" s="7"/>
    </row>
    <row r="1684" spans="1:16">
      <c r="A1684" s="3">
        <v>44151.055497685185</v>
      </c>
      <c r="B1684" s="4" t="str">
        <f>HYPERLINK("https://twitter.com/sergio_fajardo","@sergio_fajardo")</f>
        <v>@sergio_fajardo</v>
      </c>
      <c r="C1684" s="5" t="s">
        <v>16</v>
      </c>
      <c r="D1684" s="5" t="s">
        <v>1705</v>
      </c>
      <c r="E1684" s="6" t="str">
        <f>HYPERLINK("https://twitter.com/sergio_fajardo/status/1328062695522885632","1328062695522885632")</f>
        <v>1328062695522885632</v>
      </c>
      <c r="F1684" s="7" t="s">
        <v>20</v>
      </c>
      <c r="G1684" s="7">
        <v>1561599</v>
      </c>
      <c r="H1684" s="7">
        <v>402</v>
      </c>
      <c r="I1684" s="7">
        <v>6</v>
      </c>
      <c r="J1684" s="7">
        <v>36</v>
      </c>
      <c r="K1684" s="7" t="s">
        <v>18</v>
      </c>
      <c r="L1684" s="8">
        <v>39891.213356481479</v>
      </c>
      <c r="M1684" s="9" t="s">
        <v>19</v>
      </c>
      <c r="N1684" s="9" t="s">
        <v>22</v>
      </c>
      <c r="O1684" s="6" t="str">
        <f>HYPERLINK("https://pbs.twimg.com/profile_images/988971255679324162/jrqiIYf__normal.jpg","View")</f>
        <v>View</v>
      </c>
      <c r="P1684" s="7"/>
    </row>
    <row r="1685" spans="1:16">
      <c r="A1685" s="3">
        <v>44151.062465277777</v>
      </c>
      <c r="B1685" s="4" t="str">
        <f>HYPERLINK("https://twitter.com/sergio_fajardo","@sergio_fajardo")</f>
        <v>@sergio_fajardo</v>
      </c>
      <c r="C1685" s="5" t="s">
        <v>16</v>
      </c>
      <c r="D1685" s="5" t="s">
        <v>1706</v>
      </c>
      <c r="E1685" s="6" t="str">
        <f>HYPERLINK("https://twitter.com/sergio_fajardo/status/1328065222041624579","1328065222041624579")</f>
        <v>1328065222041624579</v>
      </c>
      <c r="F1685" s="7" t="s">
        <v>17</v>
      </c>
      <c r="G1685" s="7">
        <v>1561599</v>
      </c>
      <c r="H1685" s="7">
        <v>402</v>
      </c>
      <c r="I1685" s="7">
        <v>13</v>
      </c>
      <c r="J1685" s="7">
        <v>0</v>
      </c>
      <c r="K1685" s="7" t="s">
        <v>18</v>
      </c>
      <c r="L1685" s="8">
        <v>39891.213356481479</v>
      </c>
      <c r="M1685" s="9" t="s">
        <v>19</v>
      </c>
      <c r="N1685" s="9" t="s">
        <v>22</v>
      </c>
      <c r="O1685" s="6" t="str">
        <f>HYPERLINK("https://pbs.twimg.com/profile_images/988971255679324162/jrqiIYf__normal.jpg","View")</f>
        <v>View</v>
      </c>
      <c r="P1685" s="7"/>
    </row>
    <row r="1686" spans="1:16">
      <c r="A1686" s="3">
        <v>44151.097361111111</v>
      </c>
      <c r="B1686" s="4" t="str">
        <f>HYPERLINK("https://twitter.com/sergio_fajardo","@sergio_fajardo")</f>
        <v>@sergio_fajardo</v>
      </c>
      <c r="C1686" s="5" t="s">
        <v>16</v>
      </c>
      <c r="D1686" s="5" t="s">
        <v>1707</v>
      </c>
      <c r="E1686" s="6" t="str">
        <f>HYPERLINK("https://twitter.com/sergio_fajardo/status/1328077865292877825","1328077865292877825")</f>
        <v>1328077865292877825</v>
      </c>
      <c r="F1686" s="7" t="s">
        <v>20</v>
      </c>
      <c r="G1686" s="7">
        <v>1561603</v>
      </c>
      <c r="H1686" s="7">
        <v>402</v>
      </c>
      <c r="I1686" s="7">
        <v>7</v>
      </c>
      <c r="J1686" s="7">
        <v>82</v>
      </c>
      <c r="K1686" s="7" t="s">
        <v>18</v>
      </c>
      <c r="L1686" s="8">
        <v>39891.213356481479</v>
      </c>
      <c r="M1686" s="9" t="s">
        <v>19</v>
      </c>
      <c r="N1686" s="9" t="s">
        <v>22</v>
      </c>
      <c r="O1686" s="6" t="str">
        <f>HYPERLINK("https://pbs.twimg.com/profile_images/988971255679324162/jrqiIYf__normal.jpg","View")</f>
        <v>View</v>
      </c>
      <c r="P1686" s="7"/>
    </row>
    <row r="1687" spans="1:16">
      <c r="A1687" s="3">
        <v>44152.716215277775</v>
      </c>
      <c r="B1687" s="4" t="str">
        <f>HYPERLINK("https://twitter.com/sergio_fajardo","@sergio_fajardo")</f>
        <v>@sergio_fajardo</v>
      </c>
      <c r="C1687" s="5" t="s">
        <v>16</v>
      </c>
      <c r="D1687" s="5" t="s">
        <v>1708</v>
      </c>
      <c r="E1687" s="6" t="str">
        <f>HYPERLINK("https://twitter.com/sergio_fajardo/status/1328664520886267904","1328664520886267904")</f>
        <v>1328664520886267904</v>
      </c>
      <c r="F1687" s="7" t="s">
        <v>20</v>
      </c>
      <c r="G1687" s="7">
        <v>1561899</v>
      </c>
      <c r="H1687" s="7">
        <v>402</v>
      </c>
      <c r="I1687" s="7">
        <v>5</v>
      </c>
      <c r="J1687" s="7">
        <v>34</v>
      </c>
      <c r="K1687" s="7" t="s">
        <v>18</v>
      </c>
      <c r="L1687" s="8">
        <v>39891.213356481479</v>
      </c>
      <c r="M1687" s="9" t="s">
        <v>19</v>
      </c>
      <c r="N1687" s="9" t="s">
        <v>22</v>
      </c>
      <c r="O1687" s="6" t="str">
        <f>HYPERLINK("https://pbs.twimg.com/profile_images/988971255679324162/jrqiIYf__normal.jpg","View")</f>
        <v>View</v>
      </c>
      <c r="P1687" s="7"/>
    </row>
    <row r="1688" spans="1:16">
      <c r="A1688" s="3">
        <v>44152.740787037037</v>
      </c>
      <c r="B1688" s="4" t="str">
        <f>HYPERLINK("https://twitter.com/sergio_fajardo","@sergio_fajardo")</f>
        <v>@sergio_fajardo</v>
      </c>
      <c r="C1688" s="5" t="s">
        <v>16</v>
      </c>
      <c r="D1688" s="4" t="s">
        <v>1709</v>
      </c>
      <c r="E1688" s="6" t="str">
        <f>HYPERLINK("https://twitter.com/sergio_fajardo/status/1328673424156332033","1328673424156332033")</f>
        <v>1328673424156332033</v>
      </c>
      <c r="F1688" s="7" t="s">
        <v>17</v>
      </c>
      <c r="G1688" s="7">
        <v>1561893</v>
      </c>
      <c r="H1688" s="7">
        <v>402</v>
      </c>
      <c r="I1688" s="7">
        <v>0</v>
      </c>
      <c r="J1688" s="7">
        <v>7</v>
      </c>
      <c r="K1688" s="7" t="s">
        <v>18</v>
      </c>
      <c r="L1688" s="8">
        <v>39891.213356481479</v>
      </c>
      <c r="M1688" s="9" t="s">
        <v>19</v>
      </c>
      <c r="N1688" s="9" t="s">
        <v>22</v>
      </c>
      <c r="O1688" s="6" t="str">
        <f>HYPERLINK("https://pbs.twimg.com/profile_images/988971255679324162/jrqiIYf__normal.jpg","View")</f>
        <v>View</v>
      </c>
      <c r="P1688" s="7"/>
    </row>
    <row r="1689" spans="1:16">
      <c r="A1689" s="3">
        <v>44152.825729166667</v>
      </c>
      <c r="B1689" s="4" t="str">
        <f>HYPERLINK("https://twitter.com/sergio_fajardo","@sergio_fajardo")</f>
        <v>@sergio_fajardo</v>
      </c>
      <c r="C1689" s="5" t="s">
        <v>16</v>
      </c>
      <c r="D1689" s="5" t="s">
        <v>1710</v>
      </c>
      <c r="E1689" s="6" t="str">
        <f>HYPERLINK("https://twitter.com/sergio_fajardo/status/1328704205918511107","1328704205918511107")</f>
        <v>1328704205918511107</v>
      </c>
      <c r="F1689" s="7" t="s">
        <v>17</v>
      </c>
      <c r="G1689" s="7">
        <v>1561913</v>
      </c>
      <c r="H1689" s="7">
        <v>402</v>
      </c>
      <c r="I1689" s="7">
        <v>81</v>
      </c>
      <c r="J1689" s="7">
        <v>0</v>
      </c>
      <c r="K1689" s="7" t="s">
        <v>18</v>
      </c>
      <c r="L1689" s="8">
        <v>39891.213356481479</v>
      </c>
      <c r="M1689" s="9" t="s">
        <v>19</v>
      </c>
      <c r="N1689" s="9" t="s">
        <v>22</v>
      </c>
      <c r="O1689" s="6" t="str">
        <f>HYPERLINK("https://pbs.twimg.com/profile_images/988971255679324162/jrqiIYf__normal.jpg","View")</f>
        <v>View</v>
      </c>
      <c r="P1689" s="7"/>
    </row>
    <row r="1690" spans="1:16">
      <c r="A1690" s="3">
        <v>44155.177581018521</v>
      </c>
      <c r="B1690" s="4" t="str">
        <f>HYPERLINK("https://twitter.com/sergio_fajardo","@sergio_fajardo")</f>
        <v>@sergio_fajardo</v>
      </c>
      <c r="C1690" s="5" t="s">
        <v>16</v>
      </c>
      <c r="D1690" s="5" t="s">
        <v>1711</v>
      </c>
      <c r="E1690" s="6" t="str">
        <f>HYPERLINK("https://twitter.com/sergio_fajardo/status/1329556490663944195","1329556490663944195")</f>
        <v>1329556490663944195</v>
      </c>
      <c r="F1690" s="7" t="s">
        <v>17</v>
      </c>
      <c r="G1690" s="7">
        <v>1562265</v>
      </c>
      <c r="H1690" s="7">
        <v>403</v>
      </c>
      <c r="I1690" s="7">
        <v>33</v>
      </c>
      <c r="J1690" s="7">
        <v>0</v>
      </c>
      <c r="K1690" s="7" t="s">
        <v>18</v>
      </c>
      <c r="L1690" s="8">
        <v>39891.213356481479</v>
      </c>
      <c r="M1690" s="9" t="s">
        <v>19</v>
      </c>
      <c r="N1690" s="9" t="s">
        <v>22</v>
      </c>
      <c r="O1690" s="6" t="str">
        <f>HYPERLINK("https://pbs.twimg.com/profile_images/988971255679324162/jrqiIYf__normal.jpg","View")</f>
        <v>View</v>
      </c>
      <c r="P1690" s="7"/>
    </row>
    <row r="1691" spans="1:16">
      <c r="A1691" s="3">
        <v>44155.767523148148</v>
      </c>
      <c r="B1691" s="4" t="str">
        <f>HYPERLINK("https://twitter.com/sergio_fajardo","@sergio_fajardo")</f>
        <v>@sergio_fajardo</v>
      </c>
      <c r="C1691" s="5" t="s">
        <v>16</v>
      </c>
      <c r="D1691" s="5" t="s">
        <v>1712</v>
      </c>
      <c r="E1691" s="6" t="str">
        <f>HYPERLINK("https://twitter.com/sergio_fajardo/status/1329770277631299591","1329770277631299591")</f>
        <v>1329770277631299591</v>
      </c>
      <c r="F1691" s="7" t="s">
        <v>20</v>
      </c>
      <c r="G1691" s="7">
        <v>1562299</v>
      </c>
      <c r="H1691" s="7">
        <v>403</v>
      </c>
      <c r="I1691" s="7">
        <v>12</v>
      </c>
      <c r="J1691" s="7">
        <v>78</v>
      </c>
      <c r="K1691" s="7" t="s">
        <v>18</v>
      </c>
      <c r="L1691" s="8">
        <v>39891.213356481479</v>
      </c>
      <c r="M1691" s="9" t="s">
        <v>19</v>
      </c>
      <c r="N1691" s="9" t="s">
        <v>22</v>
      </c>
      <c r="O1691" s="6" t="str">
        <f>HYPERLINK("https://pbs.twimg.com/profile_images/988971255679324162/jrqiIYf__normal.jpg","View")</f>
        <v>View</v>
      </c>
      <c r="P1691" s="7"/>
    </row>
    <row r="1692" spans="1:16">
      <c r="A1692" s="3">
        <v>44155.944374999999</v>
      </c>
      <c r="B1692" s="4" t="str">
        <f>HYPERLINK("https://twitter.com/sergio_fajardo","@sergio_fajardo")</f>
        <v>@sergio_fajardo</v>
      </c>
      <c r="C1692" s="5" t="s">
        <v>16</v>
      </c>
      <c r="D1692" s="5" t="s">
        <v>1713</v>
      </c>
      <c r="E1692" s="6" t="str">
        <f>HYPERLINK("https://twitter.com/sergio_fajardo/status/1329834364662927361","1329834364662927361")</f>
        <v>1329834364662927361</v>
      </c>
      <c r="F1692" s="7" t="s">
        <v>17</v>
      </c>
      <c r="G1692" s="7">
        <v>1562331</v>
      </c>
      <c r="H1692" s="7">
        <v>403</v>
      </c>
      <c r="I1692" s="7">
        <v>0</v>
      </c>
      <c r="J1692" s="7">
        <v>10</v>
      </c>
      <c r="K1692" s="7" t="s">
        <v>18</v>
      </c>
      <c r="L1692" s="8">
        <v>39891.213356481479</v>
      </c>
      <c r="M1692" s="9" t="s">
        <v>19</v>
      </c>
      <c r="N1692" s="9" t="s">
        <v>22</v>
      </c>
      <c r="O1692" s="6" t="str">
        <f>HYPERLINK("https://pbs.twimg.com/profile_images/988971255679324162/jrqiIYf__normal.jpg","View")</f>
        <v>View</v>
      </c>
      <c r="P1692" s="7"/>
    </row>
    <row r="1693" spans="1:16">
      <c r="A1693" s="3">
        <v>44157.021412037036</v>
      </c>
      <c r="B1693" s="4" t="str">
        <f>HYPERLINK("https://twitter.com/sergio_fajardo","@sergio_fajardo")</f>
        <v>@sergio_fajardo</v>
      </c>
      <c r="C1693" s="5" t="s">
        <v>16</v>
      </c>
      <c r="D1693" s="5" t="s">
        <v>1714</v>
      </c>
      <c r="E1693" s="6" t="str">
        <f>HYPERLINK("https://twitter.com/sergio_fajardo/status/1330224668700192773","1330224668700192773")</f>
        <v>1330224668700192773</v>
      </c>
      <c r="F1693" s="7" t="s">
        <v>20</v>
      </c>
      <c r="G1693" s="7">
        <v>1562487</v>
      </c>
      <c r="H1693" s="7">
        <v>403</v>
      </c>
      <c r="I1693" s="7">
        <v>0</v>
      </c>
      <c r="J1693" s="7">
        <v>5</v>
      </c>
      <c r="K1693" s="7" t="s">
        <v>18</v>
      </c>
      <c r="L1693" s="8">
        <v>39891.213356481479</v>
      </c>
      <c r="M1693" s="9" t="s">
        <v>19</v>
      </c>
      <c r="N1693" s="9" t="s">
        <v>22</v>
      </c>
      <c r="O1693" s="6" t="str">
        <f>HYPERLINK("https://pbs.twimg.com/profile_images/988971255679324162/jrqiIYf__normal.jpg","View")</f>
        <v>View</v>
      </c>
      <c r="P1693" s="7"/>
    </row>
    <row r="1694" spans="1:16">
      <c r="A1694" s="3">
        <v>44157.320729166662</v>
      </c>
      <c r="B1694" s="4" t="str">
        <f>HYPERLINK("https://twitter.com/sergio_fajardo","@sergio_fajardo")</f>
        <v>@sergio_fajardo</v>
      </c>
      <c r="C1694" s="5" t="s">
        <v>16</v>
      </c>
      <c r="D1694" s="5" t="s">
        <v>1715</v>
      </c>
      <c r="E1694" s="6" t="str">
        <f>HYPERLINK("https://twitter.com/sergio_fajardo/status/1330333140573974528","1330333140573974528")</f>
        <v>1330333140573974528</v>
      </c>
      <c r="F1694" s="7" t="s">
        <v>17</v>
      </c>
      <c r="G1694" s="7">
        <v>1562529</v>
      </c>
      <c r="H1694" s="7">
        <v>403</v>
      </c>
      <c r="I1694" s="7">
        <v>16</v>
      </c>
      <c r="J1694" s="7">
        <v>0</v>
      </c>
      <c r="K1694" s="7" t="s">
        <v>18</v>
      </c>
      <c r="L1694" s="8">
        <v>39891.213356481479</v>
      </c>
      <c r="M1694" s="9" t="s">
        <v>19</v>
      </c>
      <c r="N1694" s="9" t="s">
        <v>22</v>
      </c>
      <c r="O1694" s="6" t="str">
        <f>HYPERLINK("https://pbs.twimg.com/profile_images/988971255679324162/jrqiIYf__normal.jpg","View")</f>
        <v>View</v>
      </c>
      <c r="P1694" s="7"/>
    </row>
    <row r="1695" spans="1:16">
      <c r="A1695" s="3">
        <v>44157.897870370369</v>
      </c>
      <c r="B1695" s="4" t="str">
        <f>HYPERLINK("https://twitter.com/sergio_fajardo","@sergio_fajardo")</f>
        <v>@sergio_fajardo</v>
      </c>
      <c r="C1695" s="5" t="s">
        <v>16</v>
      </c>
      <c r="D1695" s="5" t="s">
        <v>1716</v>
      </c>
      <c r="E1695" s="6" t="str">
        <f>HYPERLINK("https://twitter.com/sergio_fajardo/status/1330542286606913542","1330542286606913542")</f>
        <v>1330542286606913542</v>
      </c>
      <c r="F1695" s="7" t="s">
        <v>17</v>
      </c>
      <c r="G1695" s="7">
        <v>1562560</v>
      </c>
      <c r="H1695" s="7">
        <v>403</v>
      </c>
      <c r="I1695" s="7">
        <v>3</v>
      </c>
      <c r="J1695" s="7">
        <v>16</v>
      </c>
      <c r="K1695" s="7" t="s">
        <v>18</v>
      </c>
      <c r="L1695" s="8">
        <v>39891.213356481479</v>
      </c>
      <c r="M1695" s="9" t="s">
        <v>19</v>
      </c>
      <c r="N1695" s="9" t="s">
        <v>22</v>
      </c>
      <c r="O1695" s="6" t="str">
        <f>HYPERLINK("https://pbs.twimg.com/profile_images/988971255679324162/jrqiIYf__normal.jpg","View")</f>
        <v>View</v>
      </c>
      <c r="P1695" s="7"/>
    </row>
    <row r="1696" spans="1:16">
      <c r="A1696" s="3">
        <v>44158.182037037041</v>
      </c>
      <c r="B1696" s="4" t="str">
        <f>HYPERLINK("https://twitter.com/sergio_fajardo","@sergio_fajardo")</f>
        <v>@sergio_fajardo</v>
      </c>
      <c r="C1696" s="5" t="s">
        <v>16</v>
      </c>
      <c r="D1696" s="5" t="s">
        <v>1717</v>
      </c>
      <c r="E1696" s="6" t="str">
        <f>HYPERLINK("https://twitter.com/sergio_fajardo/status/1330645265775276032","1330645265775276032")</f>
        <v>1330645265775276032</v>
      </c>
      <c r="F1696" s="7" t="s">
        <v>17</v>
      </c>
      <c r="G1696" s="7">
        <v>1562591</v>
      </c>
      <c r="H1696" s="7">
        <v>403</v>
      </c>
      <c r="I1696" s="7">
        <v>1341</v>
      </c>
      <c r="J1696" s="7">
        <v>0</v>
      </c>
      <c r="K1696" s="7" t="s">
        <v>18</v>
      </c>
      <c r="L1696" s="8">
        <v>39891.213356481479</v>
      </c>
      <c r="M1696" s="9" t="s">
        <v>19</v>
      </c>
      <c r="N1696" s="9" t="s">
        <v>22</v>
      </c>
      <c r="O1696" s="6" t="str">
        <f>HYPERLINK("https://pbs.twimg.com/profile_images/988971255679324162/jrqiIYf__normal.jpg","View")</f>
        <v>View</v>
      </c>
      <c r="P1696" s="7"/>
    </row>
    <row r="1697" spans="1:16">
      <c r="A1697" s="3">
        <v>44158.183622685188</v>
      </c>
      <c r="B1697" s="4" t="str">
        <f>HYPERLINK("https://twitter.com/sergio_fajardo","@sergio_fajardo")</f>
        <v>@sergio_fajardo</v>
      </c>
      <c r="C1697" s="5" t="s">
        <v>16</v>
      </c>
      <c r="D1697" s="5" t="s">
        <v>1718</v>
      </c>
      <c r="E1697" s="6" t="str">
        <f>HYPERLINK("https://twitter.com/sergio_fajardo/status/1330645839803535360","1330645839803535360")</f>
        <v>1330645839803535360</v>
      </c>
      <c r="F1697" s="7" t="s">
        <v>20</v>
      </c>
      <c r="G1697" s="7">
        <v>1562591</v>
      </c>
      <c r="H1697" s="7">
        <v>403</v>
      </c>
      <c r="I1697" s="7">
        <v>28</v>
      </c>
      <c r="J1697" s="7">
        <v>139</v>
      </c>
      <c r="K1697" s="7" t="s">
        <v>18</v>
      </c>
      <c r="L1697" s="8">
        <v>39891.213356481479</v>
      </c>
      <c r="M1697" s="9" t="s">
        <v>19</v>
      </c>
      <c r="N1697" s="9" t="s">
        <v>22</v>
      </c>
      <c r="O1697" s="6" t="str">
        <f>HYPERLINK("https://pbs.twimg.com/profile_images/988971255679324162/jrqiIYf__normal.jpg","View")</f>
        <v>View</v>
      </c>
      <c r="P1697" s="7"/>
    </row>
    <row r="1698" spans="1:16">
      <c r="A1698" s="3">
        <v>44158.690057870372</v>
      </c>
      <c r="B1698" s="4" t="str">
        <f>HYPERLINK("https://twitter.com/sergio_fajardo","@sergio_fajardo")</f>
        <v>@sergio_fajardo</v>
      </c>
      <c r="C1698" s="5" t="s">
        <v>16</v>
      </c>
      <c r="D1698" s="5" t="s">
        <v>1719</v>
      </c>
      <c r="E1698" s="6" t="str">
        <f>HYPERLINK("https://twitter.com/sergio_fajardo/status/1330829368151707649","1330829368151707649")</f>
        <v>1330829368151707649</v>
      </c>
      <c r="F1698" s="7" t="s">
        <v>23</v>
      </c>
      <c r="G1698" s="7">
        <v>1562621</v>
      </c>
      <c r="H1698" s="7">
        <v>403</v>
      </c>
      <c r="I1698" s="7">
        <v>0</v>
      </c>
      <c r="J1698" s="7">
        <v>8</v>
      </c>
      <c r="K1698" s="7" t="s">
        <v>18</v>
      </c>
      <c r="L1698" s="8">
        <v>39891.213356481479</v>
      </c>
      <c r="M1698" s="9" t="s">
        <v>19</v>
      </c>
      <c r="N1698" s="9" t="s">
        <v>22</v>
      </c>
      <c r="O1698" s="6" t="str">
        <f>HYPERLINK("https://pbs.twimg.com/profile_images/988971255679324162/jrqiIYf__normal.jpg","View")</f>
        <v>View</v>
      </c>
      <c r="P1698" s="7"/>
    </row>
    <row r="1699" spans="1:16">
      <c r="A1699" s="3">
        <v>44158.693796296298</v>
      </c>
      <c r="B1699" s="4" t="str">
        <f>HYPERLINK("https://twitter.com/sergio_fajardo","@sergio_fajardo")</f>
        <v>@sergio_fajardo</v>
      </c>
      <c r="C1699" s="5" t="s">
        <v>16</v>
      </c>
      <c r="D1699" s="5" t="s">
        <v>1720</v>
      </c>
      <c r="E1699" s="6" t="str">
        <f>HYPERLINK("https://twitter.com/sergio_fajardo/status/1330830722001727493","1330830722001727493")</f>
        <v>1330830722001727493</v>
      </c>
      <c r="F1699" s="7" t="s">
        <v>23</v>
      </c>
      <c r="G1699" s="7">
        <v>1562621</v>
      </c>
      <c r="H1699" s="7">
        <v>403</v>
      </c>
      <c r="I1699" s="7">
        <v>9</v>
      </c>
      <c r="J1699" s="7">
        <v>68</v>
      </c>
      <c r="K1699" s="7" t="s">
        <v>18</v>
      </c>
      <c r="L1699" s="8">
        <v>39891.213356481479</v>
      </c>
      <c r="M1699" s="9" t="s">
        <v>19</v>
      </c>
      <c r="N1699" s="9" t="s">
        <v>22</v>
      </c>
      <c r="O1699" s="6" t="str">
        <f>HYPERLINK("https://pbs.twimg.com/profile_images/988971255679324162/jrqiIYf__normal.jpg","View")</f>
        <v>View</v>
      </c>
      <c r="P1699" s="7"/>
    </row>
    <row r="1700" spans="1:16">
      <c r="A1700" s="3">
        <v>44158.699733796297</v>
      </c>
      <c r="B1700" s="4" t="str">
        <f>HYPERLINK("https://twitter.com/sergio_fajardo","@sergio_fajardo")</f>
        <v>@sergio_fajardo</v>
      </c>
      <c r="C1700" s="5" t="s">
        <v>16</v>
      </c>
      <c r="D1700" s="5" t="s">
        <v>1721</v>
      </c>
      <c r="E1700" s="6" t="str">
        <f>HYPERLINK("https://twitter.com/sergio_fajardo/status/1330832873394495488","1330832873394495488")</f>
        <v>1330832873394495488</v>
      </c>
      <c r="F1700" s="7" t="s">
        <v>23</v>
      </c>
      <c r="G1700" s="7">
        <v>1562619</v>
      </c>
      <c r="H1700" s="7">
        <v>403</v>
      </c>
      <c r="I1700" s="7">
        <v>13</v>
      </c>
      <c r="J1700" s="7">
        <v>128</v>
      </c>
      <c r="K1700" s="7" t="s">
        <v>18</v>
      </c>
      <c r="L1700" s="8">
        <v>39891.213356481479</v>
      </c>
      <c r="M1700" s="9" t="s">
        <v>19</v>
      </c>
      <c r="N1700" s="9" t="s">
        <v>22</v>
      </c>
      <c r="O1700" s="6" t="str">
        <f>HYPERLINK("https://pbs.twimg.com/profile_images/988971255679324162/jrqiIYf__normal.jpg","View")</f>
        <v>View</v>
      </c>
      <c r="P1700" s="7"/>
    </row>
    <row r="1701" spans="1:16">
      <c r="A1701" s="3">
        <v>44158.735335648147</v>
      </c>
      <c r="B1701" s="4" t="str">
        <f>HYPERLINK("https://twitter.com/sergio_fajardo","@sergio_fajardo")</f>
        <v>@sergio_fajardo</v>
      </c>
      <c r="C1701" s="5" t="s">
        <v>16</v>
      </c>
      <c r="D1701" s="5" t="s">
        <v>1722</v>
      </c>
      <c r="E1701" s="6" t="str">
        <f>HYPERLINK("https://twitter.com/sergio_fajardo/status/1330845775828561927","1330845775828561927")</f>
        <v>1330845775828561927</v>
      </c>
      <c r="F1701" s="7" t="s">
        <v>23</v>
      </c>
      <c r="G1701" s="7">
        <v>1562620</v>
      </c>
      <c r="H1701" s="7">
        <v>403</v>
      </c>
      <c r="I1701" s="7">
        <v>0</v>
      </c>
      <c r="J1701" s="7">
        <v>6</v>
      </c>
      <c r="K1701" s="7" t="s">
        <v>18</v>
      </c>
      <c r="L1701" s="8">
        <v>39891.213356481479</v>
      </c>
      <c r="M1701" s="9" t="s">
        <v>19</v>
      </c>
      <c r="N1701" s="9" t="s">
        <v>22</v>
      </c>
      <c r="O1701" s="6" t="str">
        <f>HYPERLINK("https://pbs.twimg.com/profile_images/988971255679324162/jrqiIYf__normal.jpg","View")</f>
        <v>View</v>
      </c>
      <c r="P1701" s="7"/>
    </row>
    <row r="1702" spans="1:16">
      <c r="A1702" s="3">
        <v>44158.745347222226</v>
      </c>
      <c r="B1702" s="4" t="str">
        <f>HYPERLINK("https://twitter.com/sergio_fajardo","@sergio_fajardo")</f>
        <v>@sergio_fajardo</v>
      </c>
      <c r="C1702" s="5" t="s">
        <v>16</v>
      </c>
      <c r="D1702" s="5" t="s">
        <v>1723</v>
      </c>
      <c r="E1702" s="6" t="str">
        <f>HYPERLINK("https://twitter.com/sergio_fajardo/status/1330849404316753921","1330849404316753921")</f>
        <v>1330849404316753921</v>
      </c>
      <c r="F1702" s="7" t="s">
        <v>23</v>
      </c>
      <c r="G1702" s="7">
        <v>1562617</v>
      </c>
      <c r="H1702" s="7">
        <v>403</v>
      </c>
      <c r="I1702" s="7">
        <v>29</v>
      </c>
      <c r="J1702" s="7">
        <v>205</v>
      </c>
      <c r="K1702" s="7" t="s">
        <v>18</v>
      </c>
      <c r="L1702" s="8">
        <v>39891.213356481479</v>
      </c>
      <c r="M1702" s="9" t="s">
        <v>19</v>
      </c>
      <c r="N1702" s="9" t="s">
        <v>22</v>
      </c>
      <c r="O1702" s="6" t="str">
        <f>HYPERLINK("https://pbs.twimg.com/profile_images/988971255679324162/jrqiIYf__normal.jpg","View")</f>
        <v>View</v>
      </c>
      <c r="P1702" s="7"/>
    </row>
    <row r="1703" spans="1:16">
      <c r="A1703" s="3">
        <v>44159.127881944441</v>
      </c>
      <c r="B1703" s="4" t="str">
        <f>HYPERLINK("https://twitter.com/sergio_fajardo","@sergio_fajardo")</f>
        <v>@sergio_fajardo</v>
      </c>
      <c r="C1703" s="5" t="s">
        <v>16</v>
      </c>
      <c r="D1703" s="5" t="s">
        <v>1724</v>
      </c>
      <c r="E1703" s="6" t="str">
        <f>HYPERLINK("https://twitter.com/sergio_fajardo/status/1330988029322911747","1330988029322911747")</f>
        <v>1330988029322911747</v>
      </c>
      <c r="F1703" s="7" t="s">
        <v>23</v>
      </c>
      <c r="G1703" s="7">
        <v>1562639</v>
      </c>
      <c r="H1703" s="7">
        <v>403</v>
      </c>
      <c r="I1703" s="7">
        <v>8</v>
      </c>
      <c r="J1703" s="7">
        <v>51</v>
      </c>
      <c r="K1703" s="7" t="s">
        <v>18</v>
      </c>
      <c r="L1703" s="8">
        <v>39891.213356481479</v>
      </c>
      <c r="M1703" s="9" t="s">
        <v>19</v>
      </c>
      <c r="N1703" s="9" t="s">
        <v>22</v>
      </c>
      <c r="O1703" s="6" t="str">
        <f>HYPERLINK("https://pbs.twimg.com/profile_images/988971255679324162/jrqiIYf__normal.jpg","View")</f>
        <v>View</v>
      </c>
      <c r="P1703" s="7"/>
    </row>
    <row r="1704" spans="1:16">
      <c r="A1704" s="3">
        <v>44159.930173611108</v>
      </c>
      <c r="B1704" s="4" t="str">
        <f>HYPERLINK("https://twitter.com/sergio_fajardo","@sergio_fajardo")</f>
        <v>@sergio_fajardo</v>
      </c>
      <c r="C1704" s="5" t="s">
        <v>16</v>
      </c>
      <c r="D1704" s="5" t="s">
        <v>1725</v>
      </c>
      <c r="E1704" s="6" t="str">
        <f>HYPERLINK("https://twitter.com/sergio_fajardo/status/1331278771656290311","1331278771656290311")</f>
        <v>1331278771656290311</v>
      </c>
      <c r="F1704" s="7" t="s">
        <v>17</v>
      </c>
      <c r="G1704" s="7">
        <v>1562696</v>
      </c>
      <c r="H1704" s="7">
        <v>403</v>
      </c>
      <c r="I1704" s="7">
        <v>12</v>
      </c>
      <c r="J1704" s="7">
        <v>0</v>
      </c>
      <c r="K1704" s="7" t="s">
        <v>18</v>
      </c>
      <c r="L1704" s="8">
        <v>39891.213356481479</v>
      </c>
      <c r="M1704" s="9" t="s">
        <v>19</v>
      </c>
      <c r="N1704" s="9" t="s">
        <v>22</v>
      </c>
      <c r="O1704" s="6" t="str">
        <f>HYPERLINK("https://pbs.twimg.com/profile_images/988971255679324162/jrqiIYf__normal.jpg","View")</f>
        <v>View</v>
      </c>
      <c r="P1704" s="7"/>
    </row>
    <row r="1705" spans="1:16">
      <c r="A1705" s="3">
        <v>44159.941550925927</v>
      </c>
      <c r="B1705" s="4" t="str">
        <f>HYPERLINK("https://twitter.com/sergio_fajardo","@sergio_fajardo")</f>
        <v>@sergio_fajardo</v>
      </c>
      <c r="C1705" s="5" t="s">
        <v>16</v>
      </c>
      <c r="D1705" s="5" t="s">
        <v>1726</v>
      </c>
      <c r="E1705" s="6" t="str">
        <f>HYPERLINK("https://twitter.com/sergio_fajardo/status/1331282892962598915","1331282892962598915")</f>
        <v>1331282892962598915</v>
      </c>
      <c r="F1705" s="7" t="s">
        <v>17</v>
      </c>
      <c r="G1705" s="7">
        <v>1562696</v>
      </c>
      <c r="H1705" s="7">
        <v>403</v>
      </c>
      <c r="I1705" s="7">
        <v>20</v>
      </c>
      <c r="J1705" s="7">
        <v>109</v>
      </c>
      <c r="K1705" s="7" t="s">
        <v>18</v>
      </c>
      <c r="L1705" s="8">
        <v>39891.213356481479</v>
      </c>
      <c r="M1705" s="9" t="s">
        <v>19</v>
      </c>
      <c r="N1705" s="9" t="s">
        <v>22</v>
      </c>
      <c r="O1705" s="6" t="str">
        <f>HYPERLINK("https://pbs.twimg.com/profile_images/988971255679324162/jrqiIYf__normal.jpg","View")</f>
        <v>View</v>
      </c>
      <c r="P1705" s="7"/>
    </row>
    <row r="1706" spans="1:16">
      <c r="A1706" s="3">
        <v>44159.961863425924</v>
      </c>
      <c r="B1706" s="4" t="str">
        <f>HYPERLINK("https://twitter.com/sergio_fajardo","@sergio_fajardo")</f>
        <v>@sergio_fajardo</v>
      </c>
      <c r="C1706" s="5" t="s">
        <v>16</v>
      </c>
      <c r="D1706" s="5" t="s">
        <v>1727</v>
      </c>
      <c r="E1706" s="6" t="str">
        <f>HYPERLINK("https://twitter.com/sergio_fajardo/status/1331290254234488833","1331290254234488833")</f>
        <v>1331290254234488833</v>
      </c>
      <c r="F1706" s="7" t="s">
        <v>17</v>
      </c>
      <c r="G1706" s="7">
        <v>1562699</v>
      </c>
      <c r="H1706" s="7">
        <v>403</v>
      </c>
      <c r="I1706" s="7">
        <v>7</v>
      </c>
      <c r="J1706" s="7">
        <v>0</v>
      </c>
      <c r="K1706" s="7" t="s">
        <v>18</v>
      </c>
      <c r="L1706" s="8">
        <v>39891.213356481479</v>
      </c>
      <c r="M1706" s="9" t="s">
        <v>19</v>
      </c>
      <c r="N1706" s="9" t="s">
        <v>22</v>
      </c>
      <c r="O1706" s="6" t="str">
        <f>HYPERLINK("https://pbs.twimg.com/profile_images/988971255679324162/jrqiIYf__normal.jpg","View")</f>
        <v>View</v>
      </c>
      <c r="P1706" s="7"/>
    </row>
    <row r="1707" spans="1:16">
      <c r="A1707" s="3">
        <v>44160.149293981478</v>
      </c>
      <c r="B1707" s="4" t="str">
        <f>HYPERLINK("https://twitter.com/sergio_fajardo","@sergio_fajardo")</f>
        <v>@sergio_fajardo</v>
      </c>
      <c r="C1707" s="5" t="s">
        <v>16</v>
      </c>
      <c r="D1707" s="5" t="s">
        <v>1728</v>
      </c>
      <c r="E1707" s="6" t="str">
        <f>HYPERLINK("https://twitter.com/sergio_fajardo/status/1331358176063709185","1331358176063709185")</f>
        <v>1331358176063709185</v>
      </c>
      <c r="F1707" s="7" t="s">
        <v>20</v>
      </c>
      <c r="G1707" s="7">
        <v>1562717</v>
      </c>
      <c r="H1707" s="7">
        <v>403</v>
      </c>
      <c r="I1707" s="7">
        <v>7</v>
      </c>
      <c r="J1707" s="7">
        <v>0</v>
      </c>
      <c r="K1707" s="7" t="s">
        <v>18</v>
      </c>
      <c r="L1707" s="8">
        <v>39891.213356481479</v>
      </c>
      <c r="M1707" s="9" t="s">
        <v>19</v>
      </c>
      <c r="N1707" s="9" t="s">
        <v>22</v>
      </c>
      <c r="O1707" s="6" t="str">
        <f>HYPERLINK("https://pbs.twimg.com/profile_images/988971255679324162/jrqiIYf__normal.jpg","View")</f>
        <v>View</v>
      </c>
      <c r="P1707" s="7"/>
    </row>
    <row r="1708" spans="1:16">
      <c r="A1708" s="3">
        <v>44160.26934027778</v>
      </c>
      <c r="B1708" s="4" t="str">
        <f>HYPERLINK("https://twitter.com/sergio_fajardo","@sergio_fajardo")</f>
        <v>@sergio_fajardo</v>
      </c>
      <c r="C1708" s="5" t="s">
        <v>16</v>
      </c>
      <c r="D1708" s="5" t="s">
        <v>1729</v>
      </c>
      <c r="E1708" s="6" t="str">
        <f>HYPERLINK("https://twitter.com/sergio_fajardo/status/1331401681465200641","1331401681465200641")</f>
        <v>1331401681465200641</v>
      </c>
      <c r="F1708" s="7" t="s">
        <v>20</v>
      </c>
      <c r="G1708" s="7">
        <v>1562748</v>
      </c>
      <c r="H1708" s="7">
        <v>403</v>
      </c>
      <c r="I1708" s="7">
        <v>8</v>
      </c>
      <c r="J1708" s="7">
        <v>29</v>
      </c>
      <c r="K1708" s="7" t="s">
        <v>18</v>
      </c>
      <c r="L1708" s="8">
        <v>39891.213356481479</v>
      </c>
      <c r="M1708" s="9" t="s">
        <v>19</v>
      </c>
      <c r="N1708" s="9" t="s">
        <v>22</v>
      </c>
      <c r="O1708" s="6" t="str">
        <f>HYPERLINK("https://pbs.twimg.com/profile_images/988971255679324162/jrqiIYf__normal.jpg","View")</f>
        <v>View</v>
      </c>
      <c r="P1708" s="7"/>
    </row>
    <row r="1709" spans="1:16">
      <c r="A1709" s="3">
        <v>44160.343680555554</v>
      </c>
      <c r="B1709" s="4" t="str">
        <f>HYPERLINK("https://twitter.com/sergio_fajardo","@sergio_fajardo")</f>
        <v>@sergio_fajardo</v>
      </c>
      <c r="C1709" s="5" t="s">
        <v>16</v>
      </c>
      <c r="D1709" s="5" t="s">
        <v>1730</v>
      </c>
      <c r="E1709" s="6" t="str">
        <f>HYPERLINK("https://twitter.com/sergio_fajardo/status/1331428618711552000","1331428618711552000")</f>
        <v>1331428618711552000</v>
      </c>
      <c r="F1709" s="7" t="s">
        <v>17</v>
      </c>
      <c r="G1709" s="7">
        <v>1562757</v>
      </c>
      <c r="H1709" s="7">
        <v>403</v>
      </c>
      <c r="I1709" s="7">
        <v>3</v>
      </c>
      <c r="J1709" s="7">
        <v>27</v>
      </c>
      <c r="K1709" s="7" t="s">
        <v>18</v>
      </c>
      <c r="L1709" s="8">
        <v>39891.213356481479</v>
      </c>
      <c r="M1709" s="9" t="s">
        <v>19</v>
      </c>
      <c r="N1709" s="9" t="s">
        <v>22</v>
      </c>
      <c r="O1709" s="6" t="str">
        <f>HYPERLINK("https://pbs.twimg.com/profile_images/988971255679324162/jrqiIYf__normal.jpg","View")</f>
        <v>View</v>
      </c>
      <c r="P1709" s="7"/>
    </row>
    <row r="1710" spans="1:16">
      <c r="A1710" s="3">
        <v>44160.367222222223</v>
      </c>
      <c r="B1710" s="4" t="str">
        <f>HYPERLINK("https://twitter.com/sergio_fajardo","@sergio_fajardo")</f>
        <v>@sergio_fajardo</v>
      </c>
      <c r="C1710" s="5" t="s">
        <v>16</v>
      </c>
      <c r="D1710" s="5" t="s">
        <v>1731</v>
      </c>
      <c r="E1710" s="6" t="str">
        <f>HYPERLINK("https://twitter.com/sergio_fajardo/status/1331437152891252740","1331437152891252740")</f>
        <v>1331437152891252740</v>
      </c>
      <c r="F1710" s="7" t="s">
        <v>17</v>
      </c>
      <c r="G1710" s="7">
        <v>1562767</v>
      </c>
      <c r="H1710" s="7">
        <v>403</v>
      </c>
      <c r="I1710" s="7">
        <v>28</v>
      </c>
      <c r="J1710" s="7">
        <v>136</v>
      </c>
      <c r="K1710" s="7" t="s">
        <v>18</v>
      </c>
      <c r="L1710" s="8">
        <v>39891.213356481479</v>
      </c>
      <c r="M1710" s="9" t="s">
        <v>19</v>
      </c>
      <c r="N1710" s="9" t="s">
        <v>22</v>
      </c>
      <c r="O1710" s="6" t="str">
        <f>HYPERLINK("https://pbs.twimg.com/profile_images/988971255679324162/jrqiIYf__normal.jpg","View")</f>
        <v>View</v>
      </c>
      <c r="P1710" s="7"/>
    </row>
    <row r="1711" spans="1:16">
      <c r="A1711" s="3">
        <v>44160.856921296298</v>
      </c>
      <c r="B1711" s="4" t="str">
        <f>HYPERLINK("https://twitter.com/sergio_fajardo","@sergio_fajardo")</f>
        <v>@sergio_fajardo</v>
      </c>
      <c r="C1711" s="5" t="s">
        <v>16</v>
      </c>
      <c r="D1711" s="5" t="s">
        <v>1732</v>
      </c>
      <c r="E1711" s="6" t="str">
        <f>HYPERLINK("https://twitter.com/sergio_fajardo/status/1331614612861685760","1331614612861685760")</f>
        <v>1331614612861685760</v>
      </c>
      <c r="F1711" s="7" t="s">
        <v>17</v>
      </c>
      <c r="G1711" s="7">
        <v>1562804</v>
      </c>
      <c r="H1711" s="7">
        <v>403</v>
      </c>
      <c r="I1711" s="7">
        <v>5</v>
      </c>
      <c r="J1711" s="7">
        <v>0</v>
      </c>
      <c r="K1711" s="7" t="s">
        <v>18</v>
      </c>
      <c r="L1711" s="8">
        <v>39891.213356481479</v>
      </c>
      <c r="M1711" s="9" t="s">
        <v>19</v>
      </c>
      <c r="N1711" s="9" t="s">
        <v>22</v>
      </c>
      <c r="O1711" s="6" t="str">
        <f>HYPERLINK("https://pbs.twimg.com/profile_images/988971255679324162/jrqiIYf__normal.jpg","View")</f>
        <v>View</v>
      </c>
      <c r="P1711" s="7"/>
    </row>
    <row r="1712" spans="1:16">
      <c r="A1712" s="3">
        <v>44160.919444444444</v>
      </c>
      <c r="B1712" s="4" t="str">
        <f>HYPERLINK("https://twitter.com/sergio_fajardo","@sergio_fajardo")</f>
        <v>@sergio_fajardo</v>
      </c>
      <c r="C1712" s="5" t="s">
        <v>16</v>
      </c>
      <c r="D1712" s="5" t="s">
        <v>1733</v>
      </c>
      <c r="E1712" s="6" t="str">
        <f>HYPERLINK("https://twitter.com/sergio_fajardo/status/1331637269741117446","1331637269741117446")</f>
        <v>1331637269741117446</v>
      </c>
      <c r="F1712" s="7" t="s">
        <v>23</v>
      </c>
      <c r="G1712" s="7">
        <v>1562808</v>
      </c>
      <c r="H1712" s="7">
        <v>402</v>
      </c>
      <c r="I1712" s="7">
        <v>16</v>
      </c>
      <c r="J1712" s="7">
        <v>60</v>
      </c>
      <c r="K1712" s="7" t="s">
        <v>18</v>
      </c>
      <c r="L1712" s="8">
        <v>39891.213356481479</v>
      </c>
      <c r="M1712" s="9" t="s">
        <v>19</v>
      </c>
      <c r="N1712" s="9" t="s">
        <v>22</v>
      </c>
      <c r="O1712" s="6" t="str">
        <f>HYPERLINK("https://pbs.twimg.com/profile_images/988971255679324162/jrqiIYf__normal.jpg","View")</f>
        <v>View</v>
      </c>
      <c r="P1712" s="7"/>
    </row>
    <row r="1713" spans="1:16">
      <c r="A1713" s="3">
        <v>44160.920162037037</v>
      </c>
      <c r="B1713" s="4" t="str">
        <f>HYPERLINK("https://twitter.com/sergio_fajardo","@sergio_fajardo")</f>
        <v>@sergio_fajardo</v>
      </c>
      <c r="C1713" s="5" t="s">
        <v>16</v>
      </c>
      <c r="D1713" s="5" t="s">
        <v>1734</v>
      </c>
      <c r="E1713" s="6" t="str">
        <f>HYPERLINK("https://twitter.com/sergio_fajardo/status/1331637531788660741","1331637531788660741")</f>
        <v>1331637531788660741</v>
      </c>
      <c r="F1713" s="7" t="s">
        <v>23</v>
      </c>
      <c r="G1713" s="7">
        <v>1562808</v>
      </c>
      <c r="H1713" s="7">
        <v>402</v>
      </c>
      <c r="I1713" s="7">
        <v>3</v>
      </c>
      <c r="J1713" s="7">
        <v>23</v>
      </c>
      <c r="K1713" s="7" t="s">
        <v>18</v>
      </c>
      <c r="L1713" s="8">
        <v>39891.213356481479</v>
      </c>
      <c r="M1713" s="9" t="s">
        <v>19</v>
      </c>
      <c r="N1713" s="9" t="s">
        <v>22</v>
      </c>
      <c r="O1713" s="6" t="str">
        <f>HYPERLINK("https://pbs.twimg.com/profile_images/988971255679324162/jrqiIYf__normal.jpg","View")</f>
        <v>View</v>
      </c>
      <c r="P1713" s="7"/>
    </row>
    <row r="1714" spans="1:16">
      <c r="A1714" s="3">
        <v>44161.017696759256</v>
      </c>
      <c r="B1714" s="4" t="str">
        <f>HYPERLINK("https://twitter.com/sergio_fajardo","@sergio_fajardo")</f>
        <v>@sergio_fajardo</v>
      </c>
      <c r="C1714" s="5" t="s">
        <v>16</v>
      </c>
      <c r="D1714" s="5" t="s">
        <v>1735</v>
      </c>
      <c r="E1714" s="6" t="str">
        <f>HYPERLINK("https://twitter.com/sergio_fajardo/status/1331672875833708544","1331672875833708544")</f>
        <v>1331672875833708544</v>
      </c>
      <c r="F1714" s="7" t="s">
        <v>17</v>
      </c>
      <c r="G1714" s="7">
        <v>1562846</v>
      </c>
      <c r="H1714" s="7">
        <v>402</v>
      </c>
      <c r="I1714" s="7">
        <v>21</v>
      </c>
      <c r="J1714" s="7">
        <v>277</v>
      </c>
      <c r="K1714" s="7" t="s">
        <v>18</v>
      </c>
      <c r="L1714" s="8">
        <v>39891.213356481479</v>
      </c>
      <c r="M1714" s="9" t="s">
        <v>19</v>
      </c>
      <c r="N1714" s="9" t="s">
        <v>22</v>
      </c>
      <c r="O1714" s="6" t="str">
        <f>HYPERLINK("https://pbs.twimg.com/profile_images/988971255679324162/jrqiIYf__normal.jpg","View")</f>
        <v>View</v>
      </c>
      <c r="P1714" s="7"/>
    </row>
    <row r="1715" spans="1:16">
      <c r="A1715" s="3">
        <v>44161.183090277773</v>
      </c>
      <c r="B1715" s="4" t="str">
        <f>HYPERLINK("https://twitter.com/sergio_fajardo","@sergio_fajardo")</f>
        <v>@sergio_fajardo</v>
      </c>
      <c r="C1715" s="5" t="s">
        <v>16</v>
      </c>
      <c r="D1715" s="5" t="s">
        <v>1736</v>
      </c>
      <c r="E1715" s="6" t="str">
        <f>HYPERLINK("https://twitter.com/sergio_fajardo/status/1331732811309600776","1331732811309600776")</f>
        <v>1331732811309600776</v>
      </c>
      <c r="F1715" s="7" t="s">
        <v>17</v>
      </c>
      <c r="G1715" s="7">
        <v>1562865</v>
      </c>
      <c r="H1715" s="7">
        <v>402</v>
      </c>
      <c r="I1715" s="7">
        <v>939</v>
      </c>
      <c r="J1715" s="7">
        <v>0</v>
      </c>
      <c r="K1715" s="7" t="s">
        <v>18</v>
      </c>
      <c r="L1715" s="8">
        <v>39891.213356481479</v>
      </c>
      <c r="M1715" s="9" t="s">
        <v>19</v>
      </c>
      <c r="N1715" s="9" t="s">
        <v>22</v>
      </c>
      <c r="O1715" s="6" t="str">
        <f>HYPERLINK("https://pbs.twimg.com/profile_images/988971255679324162/jrqiIYf__normal.jpg","View")</f>
        <v>View</v>
      </c>
      <c r="P1715" s="7"/>
    </row>
    <row r="1716" spans="1:16">
      <c r="A1716" s="3">
        <v>44161.865810185191</v>
      </c>
      <c r="B1716" s="4" t="str">
        <f>HYPERLINK("https://twitter.com/sergio_fajardo","@sergio_fajardo")</f>
        <v>@sergio_fajardo</v>
      </c>
      <c r="C1716" s="5" t="s">
        <v>16</v>
      </c>
      <c r="D1716" s="5" t="s">
        <v>1737</v>
      </c>
      <c r="E1716" s="6" t="str">
        <f>HYPERLINK("https://twitter.com/sergio_fajardo/status/1331980221311033344","1331980221311033344")</f>
        <v>1331980221311033344</v>
      </c>
      <c r="F1716" s="7" t="s">
        <v>17</v>
      </c>
      <c r="G1716" s="7">
        <v>1562905</v>
      </c>
      <c r="H1716" s="7">
        <v>402</v>
      </c>
      <c r="I1716" s="7">
        <v>1</v>
      </c>
      <c r="J1716" s="7">
        <v>0</v>
      </c>
      <c r="K1716" s="7" t="s">
        <v>18</v>
      </c>
      <c r="L1716" s="8">
        <v>39891.213356481479</v>
      </c>
      <c r="M1716" s="9" t="s">
        <v>19</v>
      </c>
      <c r="N1716" s="9" t="s">
        <v>22</v>
      </c>
      <c r="O1716" s="6" t="str">
        <f>HYPERLINK("https://pbs.twimg.com/profile_images/988971255679324162/jrqiIYf__normal.jpg","View")</f>
        <v>View</v>
      </c>
      <c r="P1716" s="7"/>
    </row>
    <row r="1717" spans="1:16">
      <c r="A1717" s="3">
        <v>44162.099340277782</v>
      </c>
      <c r="B1717" s="4" t="str">
        <f>HYPERLINK("https://twitter.com/sergio_fajardo","@sergio_fajardo")</f>
        <v>@sergio_fajardo</v>
      </c>
      <c r="C1717" s="5" t="s">
        <v>16</v>
      </c>
      <c r="D1717" s="5" t="s">
        <v>1738</v>
      </c>
      <c r="E1717" s="6" t="str">
        <f>HYPERLINK("https://twitter.com/sergio_fajardo/status/1332064848935587856","1332064848935587856")</f>
        <v>1332064848935587856</v>
      </c>
      <c r="F1717" s="7" t="s">
        <v>17</v>
      </c>
      <c r="G1717" s="7">
        <v>1562957</v>
      </c>
      <c r="H1717" s="7">
        <v>402</v>
      </c>
      <c r="I1717" s="7">
        <v>11</v>
      </c>
      <c r="J1717" s="7">
        <v>41</v>
      </c>
      <c r="K1717" s="7" t="s">
        <v>18</v>
      </c>
      <c r="L1717" s="8">
        <v>39891.213356481479</v>
      </c>
      <c r="M1717" s="9" t="s">
        <v>19</v>
      </c>
      <c r="N1717" s="9" t="s">
        <v>22</v>
      </c>
      <c r="O1717" s="6" t="str">
        <f>HYPERLINK("https://pbs.twimg.com/profile_images/988971255679324162/jrqiIYf__normal.jpg","View")</f>
        <v>View</v>
      </c>
      <c r="P1717" s="7"/>
    </row>
    <row r="1718" spans="1:16">
      <c r="A1718" s="3">
        <v>44162.123958333337</v>
      </c>
      <c r="B1718" s="4" t="str">
        <f>HYPERLINK("https://twitter.com/sergio_fajardo","@sergio_fajardo")</f>
        <v>@sergio_fajardo</v>
      </c>
      <c r="C1718" s="5" t="s">
        <v>16</v>
      </c>
      <c r="D1718" s="5" t="s">
        <v>1739</v>
      </c>
      <c r="E1718" s="6" t="str">
        <f>HYPERLINK("https://twitter.com/sergio_fajardo/status/1332073771902111745","1332073771902111745")</f>
        <v>1332073771902111745</v>
      </c>
      <c r="F1718" s="7" t="s">
        <v>17</v>
      </c>
      <c r="G1718" s="7">
        <v>1562959</v>
      </c>
      <c r="H1718" s="7">
        <v>402</v>
      </c>
      <c r="I1718" s="7">
        <v>4</v>
      </c>
      <c r="J1718" s="7">
        <v>0</v>
      </c>
      <c r="K1718" s="7" t="s">
        <v>18</v>
      </c>
      <c r="L1718" s="8">
        <v>39891.213356481479</v>
      </c>
      <c r="M1718" s="9" t="s">
        <v>19</v>
      </c>
      <c r="N1718" s="9" t="s">
        <v>22</v>
      </c>
      <c r="O1718" s="6" t="str">
        <f>HYPERLINK("https://pbs.twimg.com/profile_images/988971255679324162/jrqiIYf__normal.jpg","View")</f>
        <v>View</v>
      </c>
      <c r="P1718" s="7"/>
    </row>
    <row r="1719" spans="1:16">
      <c r="A1719" s="3">
        <v>44162.135694444441</v>
      </c>
      <c r="B1719" s="4" t="str">
        <f>HYPERLINK("https://twitter.com/sergio_fajardo","@sergio_fajardo")</f>
        <v>@sergio_fajardo</v>
      </c>
      <c r="C1719" s="5" t="s">
        <v>16</v>
      </c>
      <c r="D1719" s="5" t="s">
        <v>1740</v>
      </c>
      <c r="E1719" s="6" t="str">
        <f>HYPERLINK("https://twitter.com/sergio_fajardo/status/1332078024762810372","1332078024762810372")</f>
        <v>1332078024762810372</v>
      </c>
      <c r="F1719" s="7" t="s">
        <v>17</v>
      </c>
      <c r="G1719" s="7">
        <v>1562959</v>
      </c>
      <c r="H1719" s="7">
        <v>402</v>
      </c>
      <c r="I1719" s="7">
        <v>21</v>
      </c>
      <c r="J1719" s="7">
        <v>0</v>
      </c>
      <c r="K1719" s="7" t="s">
        <v>18</v>
      </c>
      <c r="L1719" s="8">
        <v>39891.213356481479</v>
      </c>
      <c r="M1719" s="9" t="s">
        <v>19</v>
      </c>
      <c r="N1719" s="9" t="s">
        <v>22</v>
      </c>
      <c r="O1719" s="6" t="str">
        <f>HYPERLINK("https://pbs.twimg.com/profile_images/988971255679324162/jrqiIYf__normal.jpg","View")</f>
        <v>View</v>
      </c>
      <c r="P1719" s="7"/>
    </row>
    <row r="1720" spans="1:16">
      <c r="A1720" s="3">
        <v>44163.049398148149</v>
      </c>
      <c r="B1720" s="4" t="str">
        <f>HYPERLINK("https://twitter.com/sergio_fajardo","@sergio_fajardo")</f>
        <v>@sergio_fajardo</v>
      </c>
      <c r="C1720" s="5" t="s">
        <v>16</v>
      </c>
      <c r="D1720" s="5" t="s">
        <v>1741</v>
      </c>
      <c r="E1720" s="6" t="str">
        <f>HYPERLINK("https://twitter.com/sergio_fajardo/status/1332409140199763969","1332409140199763969")</f>
        <v>1332409140199763969</v>
      </c>
      <c r="F1720" s="7" t="s">
        <v>17</v>
      </c>
      <c r="G1720" s="7">
        <v>1563038</v>
      </c>
      <c r="H1720" s="7">
        <v>402</v>
      </c>
      <c r="I1720" s="7">
        <v>23</v>
      </c>
      <c r="J1720" s="7">
        <v>78</v>
      </c>
      <c r="K1720" s="7" t="s">
        <v>18</v>
      </c>
      <c r="L1720" s="8">
        <v>39891.213356481479</v>
      </c>
      <c r="M1720" s="9" t="s">
        <v>19</v>
      </c>
      <c r="N1720" s="9" t="s">
        <v>22</v>
      </c>
      <c r="O1720" s="6" t="str">
        <f>HYPERLINK("https://pbs.twimg.com/profile_images/988971255679324162/jrqiIYf__normal.jpg","View")</f>
        <v>View</v>
      </c>
      <c r="P1720" s="7"/>
    </row>
    <row r="1721" spans="1:16">
      <c r="A1721" s="3">
        <v>44163.824560185181</v>
      </c>
      <c r="B1721" s="4" t="str">
        <f>HYPERLINK("https://twitter.com/sergio_fajardo","@sergio_fajardo")</f>
        <v>@sergio_fajardo</v>
      </c>
      <c r="C1721" s="5" t="s">
        <v>16</v>
      </c>
      <c r="D1721" s="5" t="s">
        <v>1742</v>
      </c>
      <c r="E1721" s="6" t="str">
        <f>HYPERLINK("https://twitter.com/sergio_fajardo/status/1332690047687143425","1332690047687143425")</f>
        <v>1332690047687143425</v>
      </c>
      <c r="F1721" s="7" t="s">
        <v>17</v>
      </c>
      <c r="G1721" s="7">
        <v>1563089</v>
      </c>
      <c r="H1721" s="7">
        <v>402</v>
      </c>
      <c r="I1721" s="7">
        <v>13</v>
      </c>
      <c r="J1721" s="7">
        <v>0</v>
      </c>
      <c r="K1721" s="7" t="s">
        <v>18</v>
      </c>
      <c r="L1721" s="8">
        <v>39891.213356481479</v>
      </c>
      <c r="M1721" s="9" t="s">
        <v>19</v>
      </c>
      <c r="N1721" s="9" t="s">
        <v>22</v>
      </c>
      <c r="O1721" s="6" t="str">
        <f>HYPERLINK("https://pbs.twimg.com/profile_images/988971255679324162/jrqiIYf__normal.jpg","View")</f>
        <v>View</v>
      </c>
      <c r="P1721" s="7"/>
    </row>
    <row r="1722" spans="1:16">
      <c r="A1722" s="3">
        <v>44164.231053240743</v>
      </c>
      <c r="B1722" s="4" t="str">
        <f>HYPERLINK("https://twitter.com/sergio_fajardo","@sergio_fajardo")</f>
        <v>@sergio_fajardo</v>
      </c>
      <c r="C1722" s="5" t="s">
        <v>16</v>
      </c>
      <c r="D1722" s="5" t="s">
        <v>1743</v>
      </c>
      <c r="E1722" s="6" t="str">
        <f>HYPERLINK("https://twitter.com/sergio_fajardo/status/1332837355003260928","1332837355003260928")</f>
        <v>1332837355003260928</v>
      </c>
      <c r="F1722" s="7" t="s">
        <v>20</v>
      </c>
      <c r="G1722" s="7">
        <v>1563147</v>
      </c>
      <c r="H1722" s="7">
        <v>402</v>
      </c>
      <c r="I1722" s="7">
        <v>2</v>
      </c>
      <c r="J1722" s="7">
        <v>0</v>
      </c>
      <c r="K1722" s="7" t="s">
        <v>18</v>
      </c>
      <c r="L1722" s="8">
        <v>39891.213356481479</v>
      </c>
      <c r="M1722" s="9" t="s">
        <v>19</v>
      </c>
      <c r="N1722" s="9" t="s">
        <v>22</v>
      </c>
      <c r="O1722" s="6" t="str">
        <f>HYPERLINK("https://pbs.twimg.com/profile_images/988971255679324162/jrqiIYf__normal.jpg","View")</f>
        <v>View</v>
      </c>
      <c r="P1722" s="7"/>
    </row>
    <row r="1723" spans="1:16">
      <c r="A1723" s="3">
        <v>44164.670057870375</v>
      </c>
      <c r="B1723" s="4" t="str">
        <f>HYPERLINK("https://twitter.com/sergio_fajardo","@sergio_fajardo")</f>
        <v>@sergio_fajardo</v>
      </c>
      <c r="C1723" s="5" t="s">
        <v>16</v>
      </c>
      <c r="D1723" s="5" t="s">
        <v>1744</v>
      </c>
      <c r="E1723" s="6" t="str">
        <f>HYPERLINK("https://twitter.com/sergio_fajardo/status/1332996448783372290","1332996448783372290")</f>
        <v>1332996448783372290</v>
      </c>
      <c r="F1723" s="7" t="s">
        <v>17</v>
      </c>
      <c r="G1723" s="7">
        <v>1563155</v>
      </c>
      <c r="H1723" s="7">
        <v>402</v>
      </c>
      <c r="I1723" s="7">
        <v>15</v>
      </c>
      <c r="J1723" s="7">
        <v>0</v>
      </c>
      <c r="K1723" s="7" t="s">
        <v>18</v>
      </c>
      <c r="L1723" s="8">
        <v>39891.213356481479</v>
      </c>
      <c r="M1723" s="9" t="s">
        <v>19</v>
      </c>
      <c r="N1723" s="9" t="s">
        <v>22</v>
      </c>
      <c r="O1723" s="6" t="str">
        <f>HYPERLINK("https://pbs.twimg.com/profile_images/988971255679324162/jrqiIYf__normal.jpg","View")</f>
        <v>View</v>
      </c>
      <c r="P1723" s="7"/>
    </row>
    <row r="1724" spans="1:16">
      <c r="A1724" s="3">
        <v>44165.679664351846</v>
      </c>
      <c r="B1724" s="4" t="str">
        <f>HYPERLINK("https://twitter.com/sergio_fajardo","@sergio_fajardo")</f>
        <v>@sergio_fajardo</v>
      </c>
      <c r="C1724" s="5" t="s">
        <v>16</v>
      </c>
      <c r="D1724" s="5" t="s">
        <v>1745</v>
      </c>
      <c r="E1724" s="6" t="str">
        <f>HYPERLINK("https://twitter.com/sergio_fajardo/status/1333362317283774465","1333362317283774465")</f>
        <v>1333362317283774465</v>
      </c>
      <c r="F1724" s="7" t="s">
        <v>17</v>
      </c>
      <c r="G1724" s="7">
        <v>1563229</v>
      </c>
      <c r="H1724" s="7">
        <v>402</v>
      </c>
      <c r="I1724" s="7">
        <v>0</v>
      </c>
      <c r="J1724" s="7">
        <v>11</v>
      </c>
      <c r="K1724" s="7" t="s">
        <v>18</v>
      </c>
      <c r="L1724" s="8">
        <v>39891.213356481479</v>
      </c>
      <c r="M1724" s="9" t="s">
        <v>19</v>
      </c>
      <c r="N1724" s="9" t="s">
        <v>22</v>
      </c>
      <c r="O1724" s="6" t="str">
        <f>HYPERLINK("https://pbs.twimg.com/profile_images/988971255679324162/jrqiIYf__normal.jpg","View")</f>
        <v>View</v>
      </c>
      <c r="P1724" s="7"/>
    </row>
    <row r="1725" spans="1:16">
      <c r="A1725" s="3">
        <v>44165.799166666664</v>
      </c>
      <c r="B1725" s="4" t="str">
        <f>HYPERLINK("https://twitter.com/sergio_fajardo","@sergio_fajardo")</f>
        <v>@sergio_fajardo</v>
      </c>
      <c r="C1725" s="5" t="s">
        <v>16</v>
      </c>
      <c r="D1725" s="5" t="s">
        <v>1746</v>
      </c>
      <c r="E1725" s="6" t="str">
        <f>HYPERLINK("https://twitter.com/sergio_fajardo/status/1333405622126202889","1333405622126202889")</f>
        <v>1333405622126202889</v>
      </c>
      <c r="F1725" s="7" t="s">
        <v>17</v>
      </c>
      <c r="G1725" s="7">
        <v>1563228</v>
      </c>
      <c r="H1725" s="7">
        <v>402</v>
      </c>
      <c r="I1725" s="7">
        <v>186</v>
      </c>
      <c r="J1725" s="7">
        <v>0</v>
      </c>
      <c r="K1725" s="7" t="s">
        <v>18</v>
      </c>
      <c r="L1725" s="8">
        <v>39891.213356481479</v>
      </c>
      <c r="M1725" s="9" t="s">
        <v>19</v>
      </c>
      <c r="N1725" s="9" t="s">
        <v>22</v>
      </c>
      <c r="O1725" s="6" t="str">
        <f>HYPERLINK("https://pbs.twimg.com/profile_images/988971255679324162/jrqiIYf__normal.jpg","View")</f>
        <v>View</v>
      </c>
      <c r="P1725" s="7"/>
    </row>
    <row r="1726" spans="1:16">
      <c r="A1726" s="3">
        <v>44166.169189814813</v>
      </c>
      <c r="B1726" s="4" t="str">
        <f>HYPERLINK("https://twitter.com/sergio_fajardo","@sergio_fajardo")</f>
        <v>@sergio_fajardo</v>
      </c>
      <c r="C1726" s="5" t="s">
        <v>16</v>
      </c>
      <c r="D1726" s="5" t="s">
        <v>1747</v>
      </c>
      <c r="E1726" s="6" t="str">
        <f>HYPERLINK("https://twitter.com/sergio_fajardo/status/1333539715744718849","1333539715744718849")</f>
        <v>1333539715744718849</v>
      </c>
      <c r="F1726" s="7" t="s">
        <v>17</v>
      </c>
      <c r="G1726" s="7">
        <v>1563279</v>
      </c>
      <c r="H1726" s="7">
        <v>402</v>
      </c>
      <c r="I1726" s="7">
        <v>459</v>
      </c>
      <c r="J1726" s="7">
        <v>0</v>
      </c>
      <c r="K1726" s="7" t="s">
        <v>18</v>
      </c>
      <c r="L1726" s="8">
        <v>39891.213356481479</v>
      </c>
      <c r="M1726" s="9" t="s">
        <v>19</v>
      </c>
      <c r="N1726" s="9" t="s">
        <v>22</v>
      </c>
      <c r="O1726" s="6" t="str">
        <f>HYPERLINK("https://pbs.twimg.com/profile_images/988971255679324162/jrqiIYf__normal.jpg","View")</f>
        <v>View</v>
      </c>
      <c r="P1726" s="7"/>
    </row>
    <row r="1727" spans="1:16">
      <c r="A1727" s="3">
        <v>44166.777777777781</v>
      </c>
      <c r="B1727" s="4" t="str">
        <f>HYPERLINK("https://twitter.com/sergio_fajardo","@sergio_fajardo")</f>
        <v>@sergio_fajardo</v>
      </c>
      <c r="C1727" s="5" t="s">
        <v>16</v>
      </c>
      <c r="D1727" s="5" t="s">
        <v>1748</v>
      </c>
      <c r="E1727" s="6" t="str">
        <f>HYPERLINK("https://twitter.com/sergio_fajardo/status/1333760260801257472","1333760260801257472")</f>
        <v>1333760260801257472</v>
      </c>
      <c r="F1727" s="7" t="s">
        <v>17</v>
      </c>
      <c r="G1727" s="7">
        <v>1563338</v>
      </c>
      <c r="H1727" s="7">
        <v>402</v>
      </c>
      <c r="I1727" s="7">
        <v>3</v>
      </c>
      <c r="J1727" s="7">
        <v>12</v>
      </c>
      <c r="K1727" s="7" t="s">
        <v>18</v>
      </c>
      <c r="L1727" s="8">
        <v>39891.213356481479</v>
      </c>
      <c r="M1727" s="9" t="s">
        <v>19</v>
      </c>
      <c r="N1727" s="9" t="s">
        <v>22</v>
      </c>
      <c r="O1727" s="6" t="str">
        <f>HYPERLINK("https://pbs.twimg.com/profile_images/988971255679324162/jrqiIYf__normal.jpg","View")</f>
        <v>View</v>
      </c>
      <c r="P1727" s="7"/>
    </row>
    <row r="1728" spans="1:16">
      <c r="A1728" s="3">
        <v>44166.809618055559</v>
      </c>
      <c r="B1728" s="4" t="str">
        <f>HYPERLINK("https://twitter.com/sergio_fajardo","@sergio_fajardo")</f>
        <v>@sergio_fajardo</v>
      </c>
      <c r="C1728" s="5" t="s">
        <v>16</v>
      </c>
      <c r="D1728" s="5" t="s">
        <v>1749</v>
      </c>
      <c r="E1728" s="6" t="str">
        <f>HYPERLINK("https://twitter.com/sergio_fajardo/status/1333771798106820609","1333771798106820609")</f>
        <v>1333771798106820609</v>
      </c>
      <c r="F1728" s="7" t="s">
        <v>17</v>
      </c>
      <c r="G1728" s="7">
        <v>1563346</v>
      </c>
      <c r="H1728" s="7">
        <v>402</v>
      </c>
      <c r="I1728" s="7">
        <v>4</v>
      </c>
      <c r="J1728" s="7">
        <v>0</v>
      </c>
      <c r="K1728" s="7" t="s">
        <v>18</v>
      </c>
      <c r="L1728" s="8">
        <v>39891.213356481479</v>
      </c>
      <c r="M1728" s="9" t="s">
        <v>19</v>
      </c>
      <c r="N1728" s="9" t="s">
        <v>22</v>
      </c>
      <c r="O1728" s="6" t="str">
        <f>HYPERLINK("https://pbs.twimg.com/profile_images/988971255679324162/jrqiIYf__normal.jpg","View")</f>
        <v>View</v>
      </c>
      <c r="P1728" s="7"/>
    </row>
    <row r="1729" spans="1:16">
      <c r="A1729" s="3">
        <v>44166.881689814814</v>
      </c>
      <c r="B1729" s="4" t="str">
        <f>HYPERLINK("https://twitter.com/sergio_fajardo","@sergio_fajardo")</f>
        <v>@sergio_fajardo</v>
      </c>
      <c r="C1729" s="5" t="s">
        <v>16</v>
      </c>
      <c r="D1729" s="5" t="s">
        <v>1750</v>
      </c>
      <c r="E1729" s="6" t="str">
        <f>HYPERLINK("https://twitter.com/sergio_fajardo/status/1333797916486483968","1333797916486483968")</f>
        <v>1333797916486483968</v>
      </c>
      <c r="F1729" s="7" t="s">
        <v>23</v>
      </c>
      <c r="G1729" s="7">
        <v>1563367</v>
      </c>
      <c r="H1729" s="7">
        <v>402</v>
      </c>
      <c r="I1729" s="7">
        <v>17</v>
      </c>
      <c r="J1729" s="7">
        <v>149</v>
      </c>
      <c r="K1729" s="7" t="s">
        <v>18</v>
      </c>
      <c r="L1729" s="8">
        <v>39891.213356481479</v>
      </c>
      <c r="M1729" s="9" t="s">
        <v>19</v>
      </c>
      <c r="N1729" s="9" t="s">
        <v>22</v>
      </c>
      <c r="O1729" s="6" t="str">
        <f>HYPERLINK("https://pbs.twimg.com/profile_images/988971255679324162/jrqiIYf__normal.jpg","View")</f>
        <v>View</v>
      </c>
      <c r="P1729" s="7"/>
    </row>
    <row r="1730" spans="1:16">
      <c r="A1730" s="3">
        <v>44166.882013888884</v>
      </c>
      <c r="B1730" s="4" t="str">
        <f>HYPERLINK("https://twitter.com/sergio_fajardo","@sergio_fajardo")</f>
        <v>@sergio_fajardo</v>
      </c>
      <c r="C1730" s="5" t="s">
        <v>16</v>
      </c>
      <c r="D1730" s="5" t="s">
        <v>1751</v>
      </c>
      <c r="E1730" s="6" t="str">
        <f>HYPERLINK("https://twitter.com/sergio_fajardo/status/1333798031980859393","1333798031980859393")</f>
        <v>1333798031980859393</v>
      </c>
      <c r="F1730" s="7" t="s">
        <v>23</v>
      </c>
      <c r="G1730" s="7">
        <v>1563367</v>
      </c>
      <c r="H1730" s="7">
        <v>402</v>
      </c>
      <c r="I1730" s="7">
        <v>5</v>
      </c>
      <c r="J1730" s="7">
        <v>42</v>
      </c>
      <c r="K1730" s="7" t="s">
        <v>18</v>
      </c>
      <c r="L1730" s="8">
        <v>39891.213356481479</v>
      </c>
      <c r="M1730" s="9" t="s">
        <v>19</v>
      </c>
      <c r="N1730" s="9" t="s">
        <v>22</v>
      </c>
      <c r="O1730" s="6" t="str">
        <f>HYPERLINK("https://pbs.twimg.com/profile_images/988971255679324162/jrqiIYf__normal.jpg","View")</f>
        <v>View</v>
      </c>
      <c r="P1730" s="7"/>
    </row>
    <row r="1731" spans="1:16">
      <c r="A1731" s="3">
        <v>44166.885266203702</v>
      </c>
      <c r="B1731" s="4" t="str">
        <f>HYPERLINK("https://twitter.com/sergio_fajardo","@sergio_fajardo")</f>
        <v>@sergio_fajardo</v>
      </c>
      <c r="C1731" s="5" t="s">
        <v>16</v>
      </c>
      <c r="D1731" s="5" t="s">
        <v>1752</v>
      </c>
      <c r="E1731" s="6" t="str">
        <f>HYPERLINK("https://twitter.com/sergio_fajardo/status/1333799212958380036","1333799212958380036")</f>
        <v>1333799212958380036</v>
      </c>
      <c r="F1731" s="7" t="s">
        <v>23</v>
      </c>
      <c r="G1731" s="7">
        <v>1563367</v>
      </c>
      <c r="H1731" s="7">
        <v>402</v>
      </c>
      <c r="I1731" s="7">
        <v>2</v>
      </c>
      <c r="J1731" s="7">
        <v>12</v>
      </c>
      <c r="K1731" s="7" t="s">
        <v>18</v>
      </c>
      <c r="L1731" s="8">
        <v>39891.213356481479</v>
      </c>
      <c r="M1731" s="9" t="s">
        <v>19</v>
      </c>
      <c r="N1731" s="9" t="s">
        <v>22</v>
      </c>
      <c r="O1731" s="6" t="str">
        <f>HYPERLINK("https://pbs.twimg.com/profile_images/988971255679324162/jrqiIYf__normal.jpg","View")</f>
        <v>View</v>
      </c>
      <c r="P1731" s="7"/>
    </row>
    <row r="1732" spans="1:16">
      <c r="A1732" s="3">
        <v>44167.770532407405</v>
      </c>
      <c r="B1732" s="4" t="str">
        <f>HYPERLINK("https://twitter.com/sergio_fajardo","@sergio_fajardo")</f>
        <v>@sergio_fajardo</v>
      </c>
      <c r="C1732" s="5" t="s">
        <v>16</v>
      </c>
      <c r="D1732" s="5" t="s">
        <v>1753</v>
      </c>
      <c r="E1732" s="6" t="str">
        <f>HYPERLINK("https://twitter.com/sergio_fajardo/status/1334120020130062336","1334120020130062336")</f>
        <v>1334120020130062336</v>
      </c>
      <c r="F1732" s="7" t="s">
        <v>23</v>
      </c>
      <c r="G1732" s="7">
        <v>1563420</v>
      </c>
      <c r="H1732" s="7">
        <v>402</v>
      </c>
      <c r="I1732" s="7">
        <v>34</v>
      </c>
      <c r="J1732" s="7">
        <v>183</v>
      </c>
      <c r="K1732" s="7" t="s">
        <v>18</v>
      </c>
      <c r="L1732" s="8">
        <v>39891.213356481479</v>
      </c>
      <c r="M1732" s="9" t="s">
        <v>19</v>
      </c>
      <c r="N1732" s="9" t="s">
        <v>22</v>
      </c>
      <c r="O1732" s="6" t="str">
        <f>HYPERLINK("https://pbs.twimg.com/profile_images/988971255679324162/jrqiIYf__normal.jpg","View")</f>
        <v>View</v>
      </c>
      <c r="P1732" s="7"/>
    </row>
    <row r="1733" spans="1:16">
      <c r="A1733" s="3">
        <v>44167.959606481483</v>
      </c>
      <c r="B1733" s="4" t="str">
        <f>HYPERLINK("https://twitter.com/sergio_fajardo","@sergio_fajardo")</f>
        <v>@sergio_fajardo</v>
      </c>
      <c r="C1733" s="5" t="s">
        <v>16</v>
      </c>
      <c r="D1733" s="5" t="s">
        <v>1754</v>
      </c>
      <c r="E1733" s="6" t="str">
        <f>HYPERLINK("https://twitter.com/sergio_fajardo/status/1334188541212024833","1334188541212024833")</f>
        <v>1334188541212024833</v>
      </c>
      <c r="F1733" s="7" t="s">
        <v>17</v>
      </c>
      <c r="G1733" s="7">
        <v>1563444</v>
      </c>
      <c r="H1733" s="7">
        <v>402</v>
      </c>
      <c r="I1733" s="7">
        <v>5</v>
      </c>
      <c r="J1733" s="7">
        <v>0</v>
      </c>
      <c r="K1733" s="7" t="s">
        <v>18</v>
      </c>
      <c r="L1733" s="8">
        <v>39891.213356481479</v>
      </c>
      <c r="M1733" s="9" t="s">
        <v>19</v>
      </c>
      <c r="N1733" s="9" t="s">
        <v>22</v>
      </c>
      <c r="O1733" s="6" t="str">
        <f>HYPERLINK("https://pbs.twimg.com/profile_images/988971255679324162/jrqiIYf__normal.jpg","View")</f>
        <v>View</v>
      </c>
      <c r="P1733" s="7"/>
    </row>
    <row r="1734" spans="1:16">
      <c r="A1734" s="3">
        <v>44168.196423611109</v>
      </c>
      <c r="B1734" s="4" t="str">
        <f>HYPERLINK("https://twitter.com/sergio_fajardo","@sergio_fajardo")</f>
        <v>@sergio_fajardo</v>
      </c>
      <c r="C1734" s="5" t="s">
        <v>16</v>
      </c>
      <c r="D1734" s="5" t="s">
        <v>1755</v>
      </c>
      <c r="E1734" s="6" t="str">
        <f>HYPERLINK("https://twitter.com/sergio_fajardo/status/1334274357313605633","1334274357313605633")</f>
        <v>1334274357313605633</v>
      </c>
      <c r="F1734" s="7" t="s">
        <v>17</v>
      </c>
      <c r="G1734" s="7">
        <v>1563354</v>
      </c>
      <c r="H1734" s="7">
        <v>402</v>
      </c>
      <c r="I1734" s="7">
        <v>40</v>
      </c>
      <c r="J1734" s="7">
        <v>0</v>
      </c>
      <c r="K1734" s="7" t="s">
        <v>18</v>
      </c>
      <c r="L1734" s="8">
        <v>39891.213356481479</v>
      </c>
      <c r="M1734" s="9" t="s">
        <v>19</v>
      </c>
      <c r="N1734" s="9" t="s">
        <v>22</v>
      </c>
      <c r="O1734" s="6" t="str">
        <f>HYPERLINK("https://pbs.twimg.com/profile_images/988971255679324162/jrqiIYf__normal.jpg","View")</f>
        <v>View</v>
      </c>
      <c r="P1734" s="7"/>
    </row>
    <row r="1735" spans="1:16">
      <c r="A1735" s="3">
        <v>44169.1487962963</v>
      </c>
      <c r="B1735" s="4" t="str">
        <f>HYPERLINK("https://twitter.com/sergio_fajardo","@sergio_fajardo")</f>
        <v>@sergio_fajardo</v>
      </c>
      <c r="C1735" s="5" t="s">
        <v>16</v>
      </c>
      <c r="D1735" s="5" t="s">
        <v>1756</v>
      </c>
      <c r="E1735" s="6" t="str">
        <f>HYPERLINK("https://twitter.com/sergio_fajardo/status/1334619488877162499","1334619488877162499")</f>
        <v>1334619488877162499</v>
      </c>
      <c r="F1735" s="7" t="s">
        <v>20</v>
      </c>
      <c r="G1735" s="7">
        <v>1563415</v>
      </c>
      <c r="H1735" s="7">
        <v>402</v>
      </c>
      <c r="I1735" s="7">
        <v>55</v>
      </c>
      <c r="J1735" s="7">
        <v>192</v>
      </c>
      <c r="K1735" s="7" t="s">
        <v>18</v>
      </c>
      <c r="L1735" s="8">
        <v>39891.213356481479</v>
      </c>
      <c r="M1735" s="9" t="s">
        <v>19</v>
      </c>
      <c r="N1735" s="9" t="s">
        <v>22</v>
      </c>
      <c r="O1735" s="6" t="str">
        <f>HYPERLINK("https://pbs.twimg.com/profile_images/988971255679324162/jrqiIYf__normal.jpg","View")</f>
        <v>View</v>
      </c>
      <c r="P1735" s="7"/>
    </row>
    <row r="1736" spans="1:16">
      <c r="A1736" s="3">
        <v>44169.259999999995</v>
      </c>
      <c r="B1736" s="4" t="str">
        <f>HYPERLINK("https://twitter.com/sergio_fajardo","@sergio_fajardo")</f>
        <v>@sergio_fajardo</v>
      </c>
      <c r="C1736" s="5" t="s">
        <v>16</v>
      </c>
      <c r="D1736" s="5" t="s">
        <v>1757</v>
      </c>
      <c r="E1736" s="6" t="str">
        <f>HYPERLINK("https://twitter.com/sergio_fajardo/status/1334659786663747584","1334659786663747584")</f>
        <v>1334659786663747584</v>
      </c>
      <c r="F1736" s="7" t="s">
        <v>23</v>
      </c>
      <c r="G1736" s="7">
        <v>1563406</v>
      </c>
      <c r="H1736" s="7">
        <v>402</v>
      </c>
      <c r="I1736" s="7">
        <v>3</v>
      </c>
      <c r="J1736" s="7">
        <v>17</v>
      </c>
      <c r="K1736" s="7" t="s">
        <v>18</v>
      </c>
      <c r="L1736" s="8">
        <v>39891.213356481479</v>
      </c>
      <c r="M1736" s="9" t="s">
        <v>19</v>
      </c>
      <c r="N1736" s="9" t="s">
        <v>22</v>
      </c>
      <c r="O1736" s="6" t="str">
        <f>HYPERLINK("https://pbs.twimg.com/profile_images/988971255679324162/jrqiIYf__normal.jpg","View")</f>
        <v>View</v>
      </c>
      <c r="P1736" s="7"/>
    </row>
    <row r="1737" spans="1:16">
      <c r="A1737" s="3">
        <v>44169.263217592597</v>
      </c>
      <c r="B1737" s="4" t="str">
        <f>HYPERLINK("https://twitter.com/sergio_fajardo","@sergio_fajardo")</f>
        <v>@sergio_fajardo</v>
      </c>
      <c r="C1737" s="5" t="s">
        <v>16</v>
      </c>
      <c r="D1737" s="5" t="s">
        <v>1758</v>
      </c>
      <c r="E1737" s="6" t="str">
        <f>HYPERLINK("https://twitter.com/sergio_fajardo/status/1334660953988849664","1334660953988849664")</f>
        <v>1334660953988849664</v>
      </c>
      <c r="F1737" s="7" t="s">
        <v>23</v>
      </c>
      <c r="G1737" s="7">
        <v>1563408</v>
      </c>
      <c r="H1737" s="7">
        <v>402</v>
      </c>
      <c r="I1737" s="7">
        <v>35</v>
      </c>
      <c r="J1737" s="7">
        <v>150</v>
      </c>
      <c r="K1737" s="7" t="s">
        <v>18</v>
      </c>
      <c r="L1737" s="8">
        <v>39891.213356481479</v>
      </c>
      <c r="M1737" s="9" t="s">
        <v>19</v>
      </c>
      <c r="N1737" s="9" t="s">
        <v>22</v>
      </c>
      <c r="O1737" s="6" t="str">
        <f>HYPERLINK("https://pbs.twimg.com/profile_images/988971255679324162/jrqiIYf__normal.jpg","View")</f>
        <v>View</v>
      </c>
      <c r="P1737" s="7"/>
    </row>
    <row r="1738" spans="1:16">
      <c r="A1738" s="3">
        <v>44169.265509259261</v>
      </c>
      <c r="B1738" s="4" t="str">
        <f>HYPERLINK("https://twitter.com/sergio_fajardo","@sergio_fajardo")</f>
        <v>@sergio_fajardo</v>
      </c>
      <c r="C1738" s="5" t="s">
        <v>16</v>
      </c>
      <c r="D1738" s="5" t="s">
        <v>1759</v>
      </c>
      <c r="E1738" s="6" t="str">
        <f>HYPERLINK("https://twitter.com/sergio_fajardo/status/1334661781256626184","1334661781256626184")</f>
        <v>1334661781256626184</v>
      </c>
      <c r="F1738" s="7" t="s">
        <v>23</v>
      </c>
      <c r="G1738" s="7">
        <v>1563408</v>
      </c>
      <c r="H1738" s="7">
        <v>402</v>
      </c>
      <c r="I1738" s="7">
        <v>54</v>
      </c>
      <c r="J1738" s="7">
        <v>294</v>
      </c>
      <c r="K1738" s="7" t="s">
        <v>18</v>
      </c>
      <c r="L1738" s="8">
        <v>39891.213356481479</v>
      </c>
      <c r="M1738" s="9" t="s">
        <v>19</v>
      </c>
      <c r="N1738" s="9" t="s">
        <v>22</v>
      </c>
      <c r="O1738" s="6" t="str">
        <f>HYPERLINK("https://pbs.twimg.com/profile_images/988971255679324162/jrqiIYf__normal.jpg","View")</f>
        <v>View</v>
      </c>
      <c r="P1738" s="7"/>
    </row>
    <row r="1739" spans="1:16">
      <c r="A1739" s="3">
        <v>44170.884108796294</v>
      </c>
      <c r="B1739" s="4" t="str">
        <f>HYPERLINK("https://twitter.com/sergio_fajardo","@sergio_fajardo")</f>
        <v>@sergio_fajardo</v>
      </c>
      <c r="C1739" s="5" t="s">
        <v>16</v>
      </c>
      <c r="D1739" s="5" t="s">
        <v>1760</v>
      </c>
      <c r="E1739" s="6" t="str">
        <f>HYPERLINK("https://twitter.com/sergio_fajardo/status/1335248345238003712","1335248345238003712")</f>
        <v>1335248345238003712</v>
      </c>
      <c r="F1739" s="7" t="s">
        <v>23</v>
      </c>
      <c r="G1739" s="7">
        <v>1563427</v>
      </c>
      <c r="H1739" s="7">
        <v>402</v>
      </c>
      <c r="I1739" s="7">
        <v>1</v>
      </c>
      <c r="J1739" s="7">
        <v>0</v>
      </c>
      <c r="K1739" s="7" t="s">
        <v>18</v>
      </c>
      <c r="L1739" s="8">
        <v>39891.213356481479</v>
      </c>
      <c r="M1739" s="9" t="s">
        <v>19</v>
      </c>
      <c r="N1739" s="9" t="s">
        <v>22</v>
      </c>
      <c r="O1739" s="6" t="str">
        <f>HYPERLINK("https://pbs.twimg.com/profile_images/988971255679324162/jrqiIYf__normal.jpg","View")</f>
        <v>View</v>
      </c>
      <c r="P1739" s="7"/>
    </row>
    <row r="1740" spans="1:16">
      <c r="A1740" s="3">
        <v>44170.97383101852</v>
      </c>
      <c r="B1740" s="4" t="str">
        <f>HYPERLINK("https://twitter.com/sergio_fajardo","@sergio_fajardo")</f>
        <v>@sergio_fajardo</v>
      </c>
      <c r="C1740" s="5" t="s">
        <v>16</v>
      </c>
      <c r="D1740" s="5" t="s">
        <v>1761</v>
      </c>
      <c r="E1740" s="6" t="str">
        <f>HYPERLINK("https://twitter.com/sergio_fajardo/status/1335280855900680194","1335280855900680194")</f>
        <v>1335280855900680194</v>
      </c>
      <c r="F1740" s="7" t="s">
        <v>20</v>
      </c>
      <c r="G1740" s="7">
        <v>1563435</v>
      </c>
      <c r="H1740" s="7">
        <v>402</v>
      </c>
      <c r="I1740" s="7">
        <v>6</v>
      </c>
      <c r="J1740" s="7">
        <v>35</v>
      </c>
      <c r="K1740" s="7" t="s">
        <v>18</v>
      </c>
      <c r="L1740" s="8">
        <v>39891.213356481479</v>
      </c>
      <c r="M1740" s="9" t="s">
        <v>19</v>
      </c>
      <c r="N1740" s="9" t="s">
        <v>22</v>
      </c>
      <c r="O1740" s="6" t="str">
        <f>HYPERLINK("https://pbs.twimg.com/profile_images/988971255679324162/jrqiIYf__normal.jpg","View")</f>
        <v>View</v>
      </c>
      <c r="P1740" s="7"/>
    </row>
    <row r="1741" spans="1:16">
      <c r="A1741" s="3">
        <v>44171.246203703704</v>
      </c>
      <c r="B1741" s="4" t="str">
        <f>HYPERLINK("https://twitter.com/sergio_fajardo","@sergio_fajardo")</f>
        <v>@sergio_fajardo</v>
      </c>
      <c r="C1741" s="5" t="s">
        <v>16</v>
      </c>
      <c r="D1741" s="5" t="s">
        <v>1762</v>
      </c>
      <c r="E1741" s="6" t="str">
        <f>HYPERLINK("https://twitter.com/sergio_fajardo/status/1335379561735917571","1335379561735917571")</f>
        <v>1335379561735917571</v>
      </c>
      <c r="F1741" s="7" t="s">
        <v>17</v>
      </c>
      <c r="G1741" s="7">
        <v>1563455</v>
      </c>
      <c r="H1741" s="7">
        <v>402</v>
      </c>
      <c r="I1741" s="7">
        <v>51</v>
      </c>
      <c r="J1741" s="7">
        <v>0</v>
      </c>
      <c r="K1741" s="7" t="s">
        <v>18</v>
      </c>
      <c r="L1741" s="8">
        <v>39891.213356481479</v>
      </c>
      <c r="M1741" s="9" t="s">
        <v>19</v>
      </c>
      <c r="N1741" s="9" t="s">
        <v>22</v>
      </c>
      <c r="O1741" s="6" t="str">
        <f>HYPERLINK("https://pbs.twimg.com/profile_images/988971255679324162/jrqiIYf__normal.jpg","View")</f>
        <v>View</v>
      </c>
      <c r="P1741" s="7"/>
    </row>
    <row r="1742" spans="1:16">
      <c r="A1742" s="3">
        <v>44171.262314814812</v>
      </c>
      <c r="B1742" s="4" t="str">
        <f>HYPERLINK("https://twitter.com/sergio_fajardo","@sergio_fajardo")</f>
        <v>@sergio_fajardo</v>
      </c>
      <c r="C1742" s="5" t="s">
        <v>16</v>
      </c>
      <c r="D1742" s="5" t="s">
        <v>1763</v>
      </c>
      <c r="E1742" s="6" t="str">
        <f>HYPERLINK("https://twitter.com/sergio_fajardo/status/1335385399385067520","1335385399385067520")</f>
        <v>1335385399385067520</v>
      </c>
      <c r="F1742" s="7" t="s">
        <v>17</v>
      </c>
      <c r="G1742" s="7">
        <v>1563455</v>
      </c>
      <c r="H1742" s="7">
        <v>402</v>
      </c>
      <c r="I1742" s="7">
        <v>5</v>
      </c>
      <c r="J1742" s="7">
        <v>0</v>
      </c>
      <c r="K1742" s="7" t="s">
        <v>18</v>
      </c>
      <c r="L1742" s="8">
        <v>39891.213356481479</v>
      </c>
      <c r="M1742" s="9" t="s">
        <v>19</v>
      </c>
      <c r="N1742" s="9" t="s">
        <v>22</v>
      </c>
      <c r="O1742" s="6" t="str">
        <f>HYPERLINK("https://pbs.twimg.com/profile_images/988971255679324162/jrqiIYf__normal.jpg","View")</f>
        <v>View</v>
      </c>
      <c r="P1742" s="7"/>
    </row>
    <row r="1743" spans="1:16">
      <c r="A1743" s="3">
        <v>44171.270844907413</v>
      </c>
      <c r="B1743" s="4" t="str">
        <f>HYPERLINK("https://twitter.com/sergio_fajardo","@sergio_fajardo")</f>
        <v>@sergio_fajardo</v>
      </c>
      <c r="C1743" s="5" t="s">
        <v>16</v>
      </c>
      <c r="D1743" s="5" t="s">
        <v>1764</v>
      </c>
      <c r="E1743" s="6" t="str">
        <f>HYPERLINK("https://twitter.com/sergio_fajardo/status/1335388490947817472","1335388490947817472")</f>
        <v>1335388490947817472</v>
      </c>
      <c r="F1743" s="7" t="s">
        <v>17</v>
      </c>
      <c r="G1743" s="7">
        <v>1563457</v>
      </c>
      <c r="H1743" s="7">
        <v>402</v>
      </c>
      <c r="I1743" s="7">
        <v>13</v>
      </c>
      <c r="J1743" s="7">
        <v>0</v>
      </c>
      <c r="K1743" s="7" t="s">
        <v>18</v>
      </c>
      <c r="L1743" s="8">
        <v>39891.213356481479</v>
      </c>
      <c r="M1743" s="9" t="s">
        <v>19</v>
      </c>
      <c r="N1743" s="9" t="s">
        <v>22</v>
      </c>
      <c r="O1743" s="6" t="str">
        <f>HYPERLINK("https://pbs.twimg.com/profile_images/988971255679324162/jrqiIYf__normal.jpg","View")</f>
        <v>View</v>
      </c>
      <c r="P1743" s="7"/>
    </row>
    <row r="1744" spans="1:16">
      <c r="A1744" s="3">
        <v>44172.207546296297</v>
      </c>
      <c r="B1744" s="4" t="str">
        <f>HYPERLINK("https://twitter.com/sergio_fajardo","@sergio_fajardo")</f>
        <v>@sergio_fajardo</v>
      </c>
      <c r="C1744" s="5" t="s">
        <v>16</v>
      </c>
      <c r="D1744" s="5" t="s">
        <v>1765</v>
      </c>
      <c r="E1744" s="6" t="str">
        <f>HYPERLINK("https://twitter.com/sergio_fajardo/status/1335727942526242822","1335727942526242822")</f>
        <v>1335727942526242822</v>
      </c>
      <c r="F1744" s="7" t="s">
        <v>17</v>
      </c>
      <c r="G1744" s="7">
        <v>1563444</v>
      </c>
      <c r="H1744" s="7">
        <v>402</v>
      </c>
      <c r="I1744" s="7">
        <v>13</v>
      </c>
      <c r="J1744" s="7">
        <v>119</v>
      </c>
      <c r="K1744" s="7" t="s">
        <v>18</v>
      </c>
      <c r="L1744" s="8">
        <v>39891.213356481479</v>
      </c>
      <c r="M1744" s="9" t="s">
        <v>19</v>
      </c>
      <c r="N1744" s="9" t="s">
        <v>22</v>
      </c>
      <c r="O1744" s="6" t="str">
        <f>HYPERLINK("https://pbs.twimg.com/profile_images/988971255679324162/jrqiIYf__normal.jpg","View")</f>
        <v>View</v>
      </c>
      <c r="P1744" s="7"/>
    </row>
    <row r="1745" spans="1:16">
      <c r="A1745" s="3">
        <v>44172.770381944443</v>
      </c>
      <c r="B1745" s="4" t="str">
        <f>HYPERLINK("https://twitter.com/sergio_fajardo","@sergio_fajardo")</f>
        <v>@sergio_fajardo</v>
      </c>
      <c r="C1745" s="5" t="s">
        <v>16</v>
      </c>
      <c r="D1745" s="5" t="s">
        <v>1766</v>
      </c>
      <c r="E1745" s="6" t="str">
        <f>HYPERLINK("https://twitter.com/sergio_fajardo/status/1335931904282030080","1335931904282030080")</f>
        <v>1335931904282030080</v>
      </c>
      <c r="F1745" s="7" t="s">
        <v>17</v>
      </c>
      <c r="G1745" s="7">
        <v>1563436</v>
      </c>
      <c r="H1745" s="7">
        <v>402</v>
      </c>
      <c r="I1745" s="7">
        <v>1</v>
      </c>
      <c r="J1745" s="7">
        <v>14</v>
      </c>
      <c r="K1745" s="7" t="s">
        <v>18</v>
      </c>
      <c r="L1745" s="8">
        <v>39891.213356481479</v>
      </c>
      <c r="M1745" s="9" t="s">
        <v>19</v>
      </c>
      <c r="N1745" s="9" t="s">
        <v>22</v>
      </c>
      <c r="O1745" s="6" t="str">
        <f>HYPERLINK("https://pbs.twimg.com/profile_images/988971255679324162/jrqiIYf__normal.jpg","View")</f>
        <v>View</v>
      </c>
      <c r="P1745" s="7"/>
    </row>
    <row r="1746" spans="1:16">
      <c r="A1746" s="3">
        <v>44172.96539351852</v>
      </c>
      <c r="B1746" s="4" t="str">
        <f>HYPERLINK("https://twitter.com/sergio_fajardo","@sergio_fajardo")</f>
        <v>@sergio_fajardo</v>
      </c>
      <c r="C1746" s="5" t="s">
        <v>16</v>
      </c>
      <c r="D1746" s="5" t="s">
        <v>1767</v>
      </c>
      <c r="E1746" s="6" t="str">
        <f>HYPERLINK("https://twitter.com/sergio_fajardo/status/1336002576265998336","1336002576265998336")</f>
        <v>1336002576265998336</v>
      </c>
      <c r="F1746" s="7" t="s">
        <v>17</v>
      </c>
      <c r="G1746" s="7">
        <v>1563462</v>
      </c>
      <c r="H1746" s="7">
        <v>402</v>
      </c>
      <c r="I1746" s="7">
        <v>4</v>
      </c>
      <c r="J1746" s="7">
        <v>12</v>
      </c>
      <c r="K1746" s="7" t="s">
        <v>18</v>
      </c>
      <c r="L1746" s="8">
        <v>39891.213356481479</v>
      </c>
      <c r="M1746" s="9" t="s">
        <v>19</v>
      </c>
      <c r="N1746" s="9" t="s">
        <v>22</v>
      </c>
      <c r="O1746" s="6" t="str">
        <f>HYPERLINK("https://pbs.twimg.com/profile_images/988971255679324162/jrqiIYf__normal.jpg","View")</f>
        <v>View</v>
      </c>
      <c r="P1746" s="7"/>
    </row>
    <row r="1747" spans="1:16">
      <c r="A1747" s="3">
        <v>44175.099664351852</v>
      </c>
      <c r="B1747" s="4" t="str">
        <f>HYPERLINK("https://twitter.com/sergio_fajardo","@sergio_fajardo")</f>
        <v>@sergio_fajardo</v>
      </c>
      <c r="C1747" s="5" t="s">
        <v>16</v>
      </c>
      <c r="D1747" s="5" t="s">
        <v>1768</v>
      </c>
      <c r="E1747" s="6" t="str">
        <f>HYPERLINK("https://twitter.com/sergio_fajardo/status/1336776011367772172","1336776011367772172")</f>
        <v>1336776011367772172</v>
      </c>
      <c r="F1747" s="7" t="s">
        <v>23</v>
      </c>
      <c r="G1747" s="7">
        <v>1563627</v>
      </c>
      <c r="H1747" s="7">
        <v>402</v>
      </c>
      <c r="I1747" s="7">
        <v>275</v>
      </c>
      <c r="J1747" s="7">
        <v>0</v>
      </c>
      <c r="K1747" s="7" t="s">
        <v>18</v>
      </c>
      <c r="L1747" s="8">
        <v>39891.213356481479</v>
      </c>
      <c r="M1747" s="9" t="s">
        <v>19</v>
      </c>
      <c r="N1747" s="9" t="s">
        <v>22</v>
      </c>
      <c r="O1747" s="6" t="str">
        <f>HYPERLINK("https://pbs.twimg.com/profile_images/988971255679324162/jrqiIYf__normal.jpg","View")</f>
        <v>View</v>
      </c>
      <c r="P1747" s="7"/>
    </row>
    <row r="1748" spans="1:16">
      <c r="A1748" s="3">
        <v>44175.136087962965</v>
      </c>
      <c r="B1748" s="4" t="str">
        <f>HYPERLINK("https://twitter.com/sergio_fajardo","@sergio_fajardo")</f>
        <v>@sergio_fajardo</v>
      </c>
      <c r="C1748" s="5" t="s">
        <v>16</v>
      </c>
      <c r="D1748" s="5" t="s">
        <v>1769</v>
      </c>
      <c r="E1748" s="6" t="str">
        <f>HYPERLINK("https://twitter.com/sergio_fajardo/status/1336789210511122432","1336789210511122432")</f>
        <v>1336789210511122432</v>
      </c>
      <c r="F1748" s="7" t="s">
        <v>20</v>
      </c>
      <c r="G1748" s="7">
        <v>1563606</v>
      </c>
      <c r="H1748" s="7">
        <v>402</v>
      </c>
      <c r="I1748" s="7">
        <v>6</v>
      </c>
      <c r="J1748" s="7">
        <v>0</v>
      </c>
      <c r="K1748" s="7" t="s">
        <v>18</v>
      </c>
      <c r="L1748" s="8">
        <v>39891.213356481479</v>
      </c>
      <c r="M1748" s="9" t="s">
        <v>19</v>
      </c>
      <c r="N1748" s="9" t="s">
        <v>22</v>
      </c>
      <c r="O1748" s="6" t="str">
        <f>HYPERLINK("https://pbs.twimg.com/profile_images/988971255679324162/jrqiIYf__normal.jpg","View")</f>
        <v>View</v>
      </c>
      <c r="P1748" s="7"/>
    </row>
    <row r="1749" spans="1:16">
      <c r="A1749" s="3">
        <v>44175.814537037033</v>
      </c>
      <c r="B1749" s="4" t="str">
        <f>HYPERLINK("https://twitter.com/sergio_fajardo","@sergio_fajardo")</f>
        <v>@sergio_fajardo</v>
      </c>
      <c r="C1749" s="5" t="s">
        <v>16</v>
      </c>
      <c r="D1749" s="5" t="s">
        <v>1770</v>
      </c>
      <c r="E1749" s="6" t="str">
        <f>HYPERLINK("https://twitter.com/sergio_fajardo/status/1337035072143302656","1337035072143302656")</f>
        <v>1337035072143302656</v>
      </c>
      <c r="F1749" s="7" t="s">
        <v>17</v>
      </c>
      <c r="G1749" s="7">
        <v>1563608</v>
      </c>
      <c r="H1749" s="7">
        <v>403</v>
      </c>
      <c r="I1749" s="7">
        <v>10</v>
      </c>
      <c r="J1749" s="7">
        <v>0</v>
      </c>
      <c r="K1749" s="7" t="s">
        <v>18</v>
      </c>
      <c r="L1749" s="8">
        <v>39891.213356481479</v>
      </c>
      <c r="M1749" s="9" t="s">
        <v>19</v>
      </c>
      <c r="N1749" s="9" t="s">
        <v>22</v>
      </c>
      <c r="O1749" s="6" t="str">
        <f>HYPERLINK("https://pbs.twimg.com/profile_images/988971255679324162/jrqiIYf__normal.jpg","View")</f>
        <v>View</v>
      </c>
      <c r="P1749" s="7"/>
    </row>
    <row r="1750" spans="1:16">
      <c r="A1750" s="3">
        <v>44176.103668981479</v>
      </c>
      <c r="B1750" s="4" t="str">
        <f>HYPERLINK("https://twitter.com/sergio_fajardo","@sergio_fajardo")</f>
        <v>@sergio_fajardo</v>
      </c>
      <c r="C1750" s="5" t="s">
        <v>16</v>
      </c>
      <c r="D1750" s="5" t="s">
        <v>1771</v>
      </c>
      <c r="E1750" s="6" t="str">
        <f>HYPERLINK("https://twitter.com/sergio_fajardo/status/1337139850621935619","1337139850621935619")</f>
        <v>1337139850621935619</v>
      </c>
      <c r="F1750" s="7" t="s">
        <v>20</v>
      </c>
      <c r="G1750" s="7">
        <v>1563617</v>
      </c>
      <c r="H1750" s="7">
        <v>403</v>
      </c>
      <c r="I1750" s="7">
        <v>5</v>
      </c>
      <c r="J1750" s="7">
        <v>0</v>
      </c>
      <c r="K1750" s="7" t="s">
        <v>18</v>
      </c>
      <c r="L1750" s="8">
        <v>39891.213356481479</v>
      </c>
      <c r="M1750" s="9" t="s">
        <v>19</v>
      </c>
      <c r="N1750" s="9" t="s">
        <v>22</v>
      </c>
      <c r="O1750" s="6" t="str">
        <f>HYPERLINK("https://pbs.twimg.com/profile_images/988971255679324162/jrqiIYf__normal.jpg","View")</f>
        <v>View</v>
      </c>
      <c r="P1750" s="7"/>
    </row>
    <row r="1751" spans="1:16">
      <c r="A1751" s="3">
        <v>44176.128252314811</v>
      </c>
      <c r="B1751" s="4" t="str">
        <f>HYPERLINK("https://twitter.com/sergio_fajardo","@sergio_fajardo")</f>
        <v>@sergio_fajardo</v>
      </c>
      <c r="C1751" s="5" t="s">
        <v>16</v>
      </c>
      <c r="D1751" s="5" t="s">
        <v>1772</v>
      </c>
      <c r="E1751" s="6" t="str">
        <f>HYPERLINK("https://twitter.com/sergio_fajardo/status/1337148757444583424","1337148757444583424")</f>
        <v>1337148757444583424</v>
      </c>
      <c r="F1751" s="7" t="s">
        <v>20</v>
      </c>
      <c r="G1751" s="7">
        <v>1563617</v>
      </c>
      <c r="H1751" s="7">
        <v>404</v>
      </c>
      <c r="I1751" s="7">
        <v>5</v>
      </c>
      <c r="J1751" s="7">
        <v>0</v>
      </c>
      <c r="K1751" s="7" t="s">
        <v>18</v>
      </c>
      <c r="L1751" s="8">
        <v>39891.213356481479</v>
      </c>
      <c r="M1751" s="9" t="s">
        <v>19</v>
      </c>
      <c r="N1751" s="9" t="s">
        <v>22</v>
      </c>
      <c r="O1751" s="6" t="str">
        <f>HYPERLINK("https://pbs.twimg.com/profile_images/988971255679324162/jrqiIYf__normal.jpg","View")</f>
        <v>View</v>
      </c>
      <c r="P1751" s="7"/>
    </row>
    <row r="1752" spans="1:16">
      <c r="A1752" s="3">
        <v>44178.785960648151</v>
      </c>
      <c r="B1752" s="4" t="str">
        <f>HYPERLINK("https://twitter.com/sergio_fajardo","@sergio_fajardo")</f>
        <v>@sergio_fajardo</v>
      </c>
      <c r="C1752" s="5" t="s">
        <v>16</v>
      </c>
      <c r="D1752" s="5" t="s">
        <v>1773</v>
      </c>
      <c r="E1752" s="6" t="str">
        <f>HYPERLINK("https://twitter.com/sergio_fajardo/status/1338111878774583297","1338111878774583297")</f>
        <v>1338111878774583297</v>
      </c>
      <c r="F1752" s="7" t="s">
        <v>20</v>
      </c>
      <c r="G1752" s="7">
        <v>1563730</v>
      </c>
      <c r="H1752" s="7">
        <v>404</v>
      </c>
      <c r="I1752" s="7">
        <v>22</v>
      </c>
      <c r="J1752" s="7">
        <v>165</v>
      </c>
      <c r="K1752" s="7" t="s">
        <v>18</v>
      </c>
      <c r="L1752" s="8">
        <v>39891.213356481479</v>
      </c>
      <c r="M1752" s="9" t="s">
        <v>19</v>
      </c>
      <c r="N1752" s="9" t="s">
        <v>22</v>
      </c>
      <c r="O1752" s="6" t="str">
        <f>HYPERLINK("https://pbs.twimg.com/profile_images/988971255679324162/jrqiIYf__normal.jpg","View")</f>
        <v>View</v>
      </c>
      <c r="P1752" s="7"/>
    </row>
    <row r="1753" spans="1:16">
      <c r="A1753" s="3">
        <v>44178.923495370371</v>
      </c>
      <c r="B1753" s="4" t="str">
        <f>HYPERLINK("https://twitter.com/sergio_fajardo","@sergio_fajardo")</f>
        <v>@sergio_fajardo</v>
      </c>
      <c r="C1753" s="5" t="s">
        <v>16</v>
      </c>
      <c r="D1753" s="5" t="s">
        <v>1774</v>
      </c>
      <c r="E1753" s="6" t="str">
        <f>HYPERLINK("https://twitter.com/sergio_fajardo/status/1338161720733425665","1338161720733425665")</f>
        <v>1338161720733425665</v>
      </c>
      <c r="F1753" s="7" t="s">
        <v>23</v>
      </c>
      <c r="G1753" s="7">
        <v>1563723</v>
      </c>
      <c r="H1753" s="7">
        <v>404</v>
      </c>
      <c r="I1753" s="7">
        <v>10</v>
      </c>
      <c r="J1753" s="7">
        <v>38</v>
      </c>
      <c r="K1753" s="7" t="s">
        <v>18</v>
      </c>
      <c r="L1753" s="8">
        <v>39891.213356481479</v>
      </c>
      <c r="M1753" s="9" t="s">
        <v>19</v>
      </c>
      <c r="N1753" s="9" t="s">
        <v>22</v>
      </c>
      <c r="O1753" s="6" t="str">
        <f>HYPERLINK("https://pbs.twimg.com/profile_images/988971255679324162/jrqiIYf__normal.jpg","View")</f>
        <v>View</v>
      </c>
      <c r="P1753" s="7"/>
    </row>
    <row r="1754" spans="1:16">
      <c r="A1754" s="3">
        <v>44178.925937499997</v>
      </c>
      <c r="B1754" s="4" t="str">
        <f>HYPERLINK("https://twitter.com/sergio_fajardo","@sergio_fajardo")</f>
        <v>@sergio_fajardo</v>
      </c>
      <c r="C1754" s="5" t="s">
        <v>16</v>
      </c>
      <c r="D1754" s="5" t="s">
        <v>1775</v>
      </c>
      <c r="E1754" s="6" t="str">
        <f>HYPERLINK("https://twitter.com/sergio_fajardo/status/1338162602950668289","1338162602950668289")</f>
        <v>1338162602950668289</v>
      </c>
      <c r="F1754" s="7" t="s">
        <v>23</v>
      </c>
      <c r="G1754" s="7">
        <v>1563723</v>
      </c>
      <c r="H1754" s="7">
        <v>404</v>
      </c>
      <c r="I1754" s="7">
        <v>4</v>
      </c>
      <c r="J1754" s="7">
        <v>13</v>
      </c>
      <c r="K1754" s="7" t="s">
        <v>18</v>
      </c>
      <c r="L1754" s="8">
        <v>39891.213356481479</v>
      </c>
      <c r="M1754" s="9" t="s">
        <v>19</v>
      </c>
      <c r="N1754" s="9" t="s">
        <v>22</v>
      </c>
      <c r="O1754" s="6" t="str">
        <f>HYPERLINK("https://pbs.twimg.com/profile_images/988971255679324162/jrqiIYf__normal.jpg","View")</f>
        <v>View</v>
      </c>
      <c r="P1754" s="7"/>
    </row>
    <row r="1755" spans="1:16">
      <c r="A1755" s="3">
        <v>44178.936851851853</v>
      </c>
      <c r="B1755" s="4" t="str">
        <f>HYPERLINK("https://twitter.com/sergio_fajardo","@sergio_fajardo")</f>
        <v>@sergio_fajardo</v>
      </c>
      <c r="C1755" s="5" t="s">
        <v>16</v>
      </c>
      <c r="D1755" s="5" t="s">
        <v>1776</v>
      </c>
      <c r="E1755" s="6" t="str">
        <f>HYPERLINK("https://twitter.com/sergio_fajardo/status/1338166559949410305","1338166559949410305")</f>
        <v>1338166559949410305</v>
      </c>
      <c r="F1755" s="7" t="s">
        <v>23</v>
      </c>
      <c r="G1755" s="7">
        <v>1563715</v>
      </c>
      <c r="H1755" s="7">
        <v>404</v>
      </c>
      <c r="I1755" s="7">
        <v>8</v>
      </c>
      <c r="J1755" s="7">
        <v>20</v>
      </c>
      <c r="K1755" s="7" t="s">
        <v>18</v>
      </c>
      <c r="L1755" s="8">
        <v>39891.213356481479</v>
      </c>
      <c r="M1755" s="9" t="s">
        <v>19</v>
      </c>
      <c r="N1755" s="9" t="s">
        <v>22</v>
      </c>
      <c r="O1755" s="6" t="str">
        <f>HYPERLINK("https://pbs.twimg.com/profile_images/988971255679324162/jrqiIYf__normal.jpg","View")</f>
        <v>View</v>
      </c>
      <c r="P1755" s="7"/>
    </row>
    <row r="1756" spans="1:16">
      <c r="A1756" s="3">
        <v>44178.937754629631</v>
      </c>
      <c r="B1756" s="4" t="str">
        <f>HYPERLINK("https://twitter.com/sergio_fajardo","@sergio_fajardo")</f>
        <v>@sergio_fajardo</v>
      </c>
      <c r="C1756" s="5" t="s">
        <v>16</v>
      </c>
      <c r="D1756" s="5" t="s">
        <v>1777</v>
      </c>
      <c r="E1756" s="6" t="str">
        <f>HYPERLINK("https://twitter.com/sergio_fajardo/status/1338166888283705348","1338166888283705348")</f>
        <v>1338166888283705348</v>
      </c>
      <c r="F1756" s="7" t="s">
        <v>23</v>
      </c>
      <c r="G1756" s="7">
        <v>1563715</v>
      </c>
      <c r="H1756" s="7">
        <v>404</v>
      </c>
      <c r="I1756" s="7">
        <v>4</v>
      </c>
      <c r="J1756" s="7">
        <v>19</v>
      </c>
      <c r="K1756" s="7" t="s">
        <v>18</v>
      </c>
      <c r="L1756" s="8">
        <v>39891.213356481479</v>
      </c>
      <c r="M1756" s="9" t="s">
        <v>19</v>
      </c>
      <c r="N1756" s="9" t="s">
        <v>22</v>
      </c>
      <c r="O1756" s="6" t="str">
        <f>HYPERLINK("https://pbs.twimg.com/profile_images/988971255679324162/jrqiIYf__normal.jpg","View")</f>
        <v>View</v>
      </c>
      <c r="P1756" s="7"/>
    </row>
    <row r="1757" spans="1:16">
      <c r="A1757" s="3">
        <v>44178.939027777778</v>
      </c>
      <c r="B1757" s="4" t="str">
        <f>HYPERLINK("https://twitter.com/sergio_fajardo","@sergio_fajardo")</f>
        <v>@sergio_fajardo</v>
      </c>
      <c r="C1757" s="5" t="s">
        <v>16</v>
      </c>
      <c r="D1757" s="5" t="s">
        <v>1778</v>
      </c>
      <c r="E1757" s="6" t="str">
        <f>HYPERLINK("https://twitter.com/sergio_fajardo/status/1338167349732642823","1338167349732642823")</f>
        <v>1338167349732642823</v>
      </c>
      <c r="F1757" s="7" t="s">
        <v>23</v>
      </c>
      <c r="G1757" s="7">
        <v>1563715</v>
      </c>
      <c r="H1757" s="7">
        <v>404</v>
      </c>
      <c r="I1757" s="7">
        <v>7</v>
      </c>
      <c r="J1757" s="7">
        <v>30</v>
      </c>
      <c r="K1757" s="7" t="s">
        <v>18</v>
      </c>
      <c r="L1757" s="8">
        <v>39891.213356481479</v>
      </c>
      <c r="M1757" s="9" t="s">
        <v>19</v>
      </c>
      <c r="N1757" s="9" t="s">
        <v>22</v>
      </c>
      <c r="O1757" s="6" t="str">
        <f>HYPERLINK("https://pbs.twimg.com/profile_images/988971255679324162/jrqiIYf__normal.jpg","View")</f>
        <v>View</v>
      </c>
      <c r="P1757" s="7"/>
    </row>
    <row r="1758" spans="1:16">
      <c r="A1758" s="3">
        <v>44178.942488425921</v>
      </c>
      <c r="B1758" s="4" t="str">
        <f>HYPERLINK("https://twitter.com/sergio_fajardo","@sergio_fajardo")</f>
        <v>@sergio_fajardo</v>
      </c>
      <c r="C1758" s="5" t="s">
        <v>16</v>
      </c>
      <c r="D1758" s="5" t="s">
        <v>1779</v>
      </c>
      <c r="E1758" s="6" t="str">
        <f>HYPERLINK("https://twitter.com/sergio_fajardo/status/1338168600914432001","1338168600914432001")</f>
        <v>1338168600914432001</v>
      </c>
      <c r="F1758" s="7" t="s">
        <v>23</v>
      </c>
      <c r="G1758" s="7">
        <v>1563715</v>
      </c>
      <c r="H1758" s="7">
        <v>404</v>
      </c>
      <c r="I1758" s="7">
        <v>7</v>
      </c>
      <c r="J1758" s="7">
        <v>52</v>
      </c>
      <c r="K1758" s="7" t="s">
        <v>18</v>
      </c>
      <c r="L1758" s="8">
        <v>39891.213356481479</v>
      </c>
      <c r="M1758" s="9" t="s">
        <v>19</v>
      </c>
      <c r="N1758" s="9" t="s">
        <v>22</v>
      </c>
      <c r="O1758" s="6" t="str">
        <f>HYPERLINK("https://pbs.twimg.com/profile_images/988971255679324162/jrqiIYf__normal.jpg","View")</f>
        <v>View</v>
      </c>
      <c r="P1758" s="7"/>
    </row>
    <row r="1759" spans="1:16">
      <c r="A1759" s="3">
        <v>44178.948148148149</v>
      </c>
      <c r="B1759" s="4" t="str">
        <f>HYPERLINK("https://twitter.com/sergio_fajardo","@sergio_fajardo")</f>
        <v>@sergio_fajardo</v>
      </c>
      <c r="C1759" s="5" t="s">
        <v>16</v>
      </c>
      <c r="D1759" s="5" t="s">
        <v>1780</v>
      </c>
      <c r="E1759" s="6" t="str">
        <f>HYPERLINK("https://twitter.com/sergio_fajardo/status/1338170655682998277","1338170655682998277")</f>
        <v>1338170655682998277</v>
      </c>
      <c r="F1759" s="7" t="s">
        <v>23</v>
      </c>
      <c r="G1759" s="7">
        <v>1563715</v>
      </c>
      <c r="H1759" s="7">
        <v>404</v>
      </c>
      <c r="I1759" s="7">
        <v>4</v>
      </c>
      <c r="J1759" s="7">
        <v>23</v>
      </c>
      <c r="K1759" s="7" t="s">
        <v>18</v>
      </c>
      <c r="L1759" s="8">
        <v>39891.213356481479</v>
      </c>
      <c r="M1759" s="9" t="s">
        <v>19</v>
      </c>
      <c r="N1759" s="9" t="s">
        <v>22</v>
      </c>
      <c r="O1759" s="6" t="str">
        <f>HYPERLINK("https://pbs.twimg.com/profile_images/988971255679324162/jrqiIYf__normal.jpg","View")</f>
        <v>View</v>
      </c>
      <c r="P1759" s="7"/>
    </row>
    <row r="1760" spans="1:16">
      <c r="A1760" s="3">
        <v>44178.960763888885</v>
      </c>
      <c r="B1760" s="4" t="str">
        <f>HYPERLINK("https://twitter.com/sergio_fajardo","@sergio_fajardo")</f>
        <v>@sergio_fajardo</v>
      </c>
      <c r="C1760" s="5" t="s">
        <v>16</v>
      </c>
      <c r="D1760" s="5" t="s">
        <v>1781</v>
      </c>
      <c r="E1760" s="6" t="str">
        <f>HYPERLINK("https://twitter.com/sergio_fajardo/status/1338175224844574722","1338175224844574722")</f>
        <v>1338175224844574722</v>
      </c>
      <c r="F1760" s="7" t="s">
        <v>23</v>
      </c>
      <c r="G1760" s="7">
        <v>1563713</v>
      </c>
      <c r="H1760" s="7">
        <v>404</v>
      </c>
      <c r="I1760" s="7">
        <v>2</v>
      </c>
      <c r="J1760" s="7">
        <v>30</v>
      </c>
      <c r="K1760" s="7" t="s">
        <v>18</v>
      </c>
      <c r="L1760" s="8">
        <v>39891.213356481479</v>
      </c>
      <c r="M1760" s="9" t="s">
        <v>19</v>
      </c>
      <c r="N1760" s="9" t="s">
        <v>22</v>
      </c>
      <c r="O1760" s="6" t="str">
        <f>HYPERLINK("https://pbs.twimg.com/profile_images/988971255679324162/jrqiIYf__normal.jpg","View")</f>
        <v>View</v>
      </c>
      <c r="P1760" s="7"/>
    </row>
    <row r="1761" spans="1:16">
      <c r="A1761" s="3">
        <v>44178.967546296291</v>
      </c>
      <c r="B1761" s="4" t="str">
        <f>HYPERLINK("https://twitter.com/sergio_fajardo","@sergio_fajardo")</f>
        <v>@sergio_fajardo</v>
      </c>
      <c r="C1761" s="5" t="s">
        <v>16</v>
      </c>
      <c r="D1761" s="5" t="s">
        <v>1782</v>
      </c>
      <c r="E1761" s="6" t="str">
        <f>HYPERLINK("https://twitter.com/sergio_fajardo/status/1338177681490403329","1338177681490403329")</f>
        <v>1338177681490403329</v>
      </c>
      <c r="F1761" s="7" t="s">
        <v>23</v>
      </c>
      <c r="G1761" s="7">
        <v>1563713</v>
      </c>
      <c r="H1761" s="7">
        <v>404</v>
      </c>
      <c r="I1761" s="7">
        <v>7</v>
      </c>
      <c r="J1761" s="7">
        <v>20</v>
      </c>
      <c r="K1761" s="7" t="s">
        <v>18</v>
      </c>
      <c r="L1761" s="8">
        <v>39891.213356481479</v>
      </c>
      <c r="M1761" s="9" t="s">
        <v>19</v>
      </c>
      <c r="N1761" s="9" t="s">
        <v>22</v>
      </c>
      <c r="O1761" s="6" t="str">
        <f>HYPERLINK("https://pbs.twimg.com/profile_images/988971255679324162/jrqiIYf__normal.jpg","View")</f>
        <v>View</v>
      </c>
      <c r="P1761" s="7"/>
    </row>
    <row r="1762" spans="1:16">
      <c r="A1762" s="3">
        <v>44178.975856481484</v>
      </c>
      <c r="B1762" s="4" t="str">
        <f>HYPERLINK("https://twitter.com/sergio_fajardo","@sergio_fajardo")</f>
        <v>@sergio_fajardo</v>
      </c>
      <c r="C1762" s="5" t="s">
        <v>16</v>
      </c>
      <c r="D1762" s="5" t="s">
        <v>1783</v>
      </c>
      <c r="E1762" s="6" t="str">
        <f>HYPERLINK("https://twitter.com/sergio_fajardo/status/1338180695240355844","1338180695240355844")</f>
        <v>1338180695240355844</v>
      </c>
      <c r="F1762" s="7" t="s">
        <v>23</v>
      </c>
      <c r="G1762" s="7">
        <v>1563711</v>
      </c>
      <c r="H1762" s="7">
        <v>404</v>
      </c>
      <c r="I1762" s="7">
        <v>40</v>
      </c>
      <c r="J1762" s="7">
        <v>210</v>
      </c>
      <c r="K1762" s="7" t="s">
        <v>18</v>
      </c>
      <c r="L1762" s="8">
        <v>39891.213356481479</v>
      </c>
      <c r="M1762" s="9" t="s">
        <v>19</v>
      </c>
      <c r="N1762" s="9" t="s">
        <v>22</v>
      </c>
      <c r="O1762" s="6" t="str">
        <f>HYPERLINK("https://pbs.twimg.com/profile_images/988971255679324162/jrqiIYf__normal.jpg","View")</f>
        <v>View</v>
      </c>
      <c r="P1762" s="7"/>
    </row>
    <row r="1763" spans="1:16">
      <c r="A1763" s="3">
        <v>44179.102986111116</v>
      </c>
      <c r="B1763" s="4" t="str">
        <f>HYPERLINK("https://twitter.com/sergio_fajardo","@sergio_fajardo")</f>
        <v>@sergio_fajardo</v>
      </c>
      <c r="C1763" s="5" t="s">
        <v>16</v>
      </c>
      <c r="D1763" s="5" t="s">
        <v>1784</v>
      </c>
      <c r="E1763" s="6" t="str">
        <f>HYPERLINK("https://twitter.com/sergio_fajardo/status/1338226765332951042","1338226765332951042")</f>
        <v>1338226765332951042</v>
      </c>
      <c r="F1763" s="7" t="s">
        <v>17</v>
      </c>
      <c r="G1763" s="7">
        <v>1563696</v>
      </c>
      <c r="H1763" s="7">
        <v>404</v>
      </c>
      <c r="I1763" s="7">
        <v>16</v>
      </c>
      <c r="J1763" s="7">
        <v>92</v>
      </c>
      <c r="K1763" s="7" t="s">
        <v>18</v>
      </c>
      <c r="L1763" s="8">
        <v>39891.213356481479</v>
      </c>
      <c r="M1763" s="9" t="s">
        <v>19</v>
      </c>
      <c r="N1763" s="9" t="s">
        <v>22</v>
      </c>
      <c r="O1763" s="6" t="str">
        <f>HYPERLINK("https://pbs.twimg.com/profile_images/988971255679324162/jrqiIYf__normal.jpg","View")</f>
        <v>View</v>
      </c>
      <c r="P1763" s="7"/>
    </row>
    <row r="1764" spans="1:16">
      <c r="A1764" s="3">
        <v>44179.20417824074</v>
      </c>
      <c r="B1764" s="4" t="str">
        <f>HYPERLINK("https://twitter.com/sergio_fajardo","@sergio_fajardo")</f>
        <v>@sergio_fajardo</v>
      </c>
      <c r="C1764" s="5" t="s">
        <v>16</v>
      </c>
      <c r="D1764" s="5" t="s">
        <v>1785</v>
      </c>
      <c r="E1764" s="6" t="str">
        <f>HYPERLINK("https://twitter.com/sergio_fajardo/status/1338263437386911744","1338263437386911744")</f>
        <v>1338263437386911744</v>
      </c>
      <c r="F1764" s="7" t="s">
        <v>20</v>
      </c>
      <c r="G1764" s="7">
        <v>1563690</v>
      </c>
      <c r="H1764" s="7">
        <v>404</v>
      </c>
      <c r="I1764" s="7">
        <v>12</v>
      </c>
      <c r="J1764" s="7">
        <v>54</v>
      </c>
      <c r="K1764" s="7" t="s">
        <v>18</v>
      </c>
      <c r="L1764" s="8">
        <v>39891.213356481479</v>
      </c>
      <c r="M1764" s="9" t="s">
        <v>19</v>
      </c>
      <c r="N1764" s="9" t="s">
        <v>22</v>
      </c>
      <c r="O1764" s="6" t="str">
        <f>HYPERLINK("https://pbs.twimg.com/profile_images/988971255679324162/jrqiIYf__normal.jpg","View")</f>
        <v>View</v>
      </c>
      <c r="P1764" s="7"/>
    </row>
    <row r="1765" spans="1:16">
      <c r="A1765" s="3">
        <v>44179.753171296295</v>
      </c>
      <c r="B1765" s="4" t="str">
        <f>HYPERLINK("https://twitter.com/sergio_fajardo","@sergio_fajardo")</f>
        <v>@sergio_fajardo</v>
      </c>
      <c r="C1765" s="5" t="s">
        <v>16</v>
      </c>
      <c r="D1765" s="5" t="s">
        <v>1786</v>
      </c>
      <c r="E1765" s="6" t="str">
        <f>HYPERLINK("https://twitter.com/sergio_fajardo/status/1338462386047606786","1338462386047606786")</f>
        <v>1338462386047606786</v>
      </c>
      <c r="F1765" s="7" t="s">
        <v>20</v>
      </c>
      <c r="G1765" s="7">
        <v>1563647</v>
      </c>
      <c r="H1765" s="7">
        <v>404</v>
      </c>
      <c r="I1765" s="7">
        <v>8</v>
      </c>
      <c r="J1765" s="7">
        <v>72</v>
      </c>
      <c r="K1765" s="7" t="s">
        <v>18</v>
      </c>
      <c r="L1765" s="8">
        <v>39891.213356481479</v>
      </c>
      <c r="M1765" s="9" t="s">
        <v>19</v>
      </c>
      <c r="N1765" s="9" t="s">
        <v>22</v>
      </c>
      <c r="O1765" s="6" t="str">
        <f>HYPERLINK("https://pbs.twimg.com/profile_images/988971255679324162/jrqiIYf__normal.jpg","View")</f>
        <v>View</v>
      </c>
      <c r="P1765" s="7"/>
    </row>
    <row r="1766" spans="1:16">
      <c r="A1766" s="3">
        <v>44180.030185185184</v>
      </c>
      <c r="B1766" s="4" t="str">
        <f>HYPERLINK("https://twitter.com/sergio_fajardo","@sergio_fajardo")</f>
        <v>@sergio_fajardo</v>
      </c>
      <c r="C1766" s="5" t="s">
        <v>16</v>
      </c>
      <c r="D1766" s="5" t="s">
        <v>1787</v>
      </c>
      <c r="E1766" s="6" t="str">
        <f>HYPERLINK("https://twitter.com/sergio_fajardo/status/1338562769512173574","1338562769512173574")</f>
        <v>1338562769512173574</v>
      </c>
      <c r="F1766" s="7" t="s">
        <v>23</v>
      </c>
      <c r="G1766" s="7">
        <v>1563646</v>
      </c>
      <c r="H1766" s="7">
        <v>404</v>
      </c>
      <c r="I1766" s="7">
        <v>10</v>
      </c>
      <c r="J1766" s="7">
        <v>37</v>
      </c>
      <c r="K1766" s="7" t="s">
        <v>18</v>
      </c>
      <c r="L1766" s="8">
        <v>39891.213356481479</v>
      </c>
      <c r="M1766" s="9" t="s">
        <v>19</v>
      </c>
      <c r="N1766" s="9" t="s">
        <v>22</v>
      </c>
      <c r="O1766" s="6" t="str">
        <f>HYPERLINK("https://pbs.twimg.com/profile_images/988971255679324162/jrqiIYf__normal.jpg","View")</f>
        <v>View</v>
      </c>
      <c r="P1766" s="7"/>
    </row>
    <row r="1767" spans="1:16">
      <c r="A1767" s="3">
        <v>44180.148530092592</v>
      </c>
      <c r="B1767" s="4" t="str">
        <f>HYPERLINK("https://twitter.com/sergio_fajardo","@sergio_fajardo")</f>
        <v>@sergio_fajardo</v>
      </c>
      <c r="C1767" s="5" t="s">
        <v>16</v>
      </c>
      <c r="D1767" s="5" t="s">
        <v>1788</v>
      </c>
      <c r="E1767" s="6" t="str">
        <f>HYPERLINK("https://twitter.com/sergio_fajardo/status/1338605658036445184","1338605658036445184")</f>
        <v>1338605658036445184</v>
      </c>
      <c r="F1767" s="7" t="s">
        <v>20</v>
      </c>
      <c r="G1767" s="7">
        <v>1563638</v>
      </c>
      <c r="H1767" s="7">
        <v>404</v>
      </c>
      <c r="I1767" s="7">
        <v>6</v>
      </c>
      <c r="J1767" s="7">
        <v>74</v>
      </c>
      <c r="K1767" s="7" t="s">
        <v>18</v>
      </c>
      <c r="L1767" s="8">
        <v>39891.213356481479</v>
      </c>
      <c r="M1767" s="9" t="s">
        <v>19</v>
      </c>
      <c r="N1767" s="9" t="s">
        <v>22</v>
      </c>
      <c r="O1767" s="6" t="str">
        <f>HYPERLINK("https://pbs.twimg.com/profile_images/988971255679324162/jrqiIYf__normal.jpg","View")</f>
        <v>View</v>
      </c>
      <c r="P1767" s="7"/>
    </row>
    <row r="1768" spans="1:16">
      <c r="A1768" s="3">
        <v>44180.221736111111</v>
      </c>
      <c r="B1768" s="4" t="str">
        <f>HYPERLINK("https://twitter.com/sergio_fajardo","@sergio_fajardo")</f>
        <v>@sergio_fajardo</v>
      </c>
      <c r="C1768" s="5" t="s">
        <v>16</v>
      </c>
      <c r="D1768" s="5" t="s">
        <v>1789</v>
      </c>
      <c r="E1768" s="6" t="str">
        <f>HYPERLINK("https://twitter.com/sergio_fajardo/status/1338632184765308932","1338632184765308932")</f>
        <v>1338632184765308932</v>
      </c>
      <c r="F1768" s="7" t="s">
        <v>17</v>
      </c>
      <c r="G1768" s="7">
        <v>1563644</v>
      </c>
      <c r="H1768" s="7">
        <v>404</v>
      </c>
      <c r="I1768" s="7">
        <v>8</v>
      </c>
      <c r="J1768" s="7">
        <v>0</v>
      </c>
      <c r="K1768" s="7" t="s">
        <v>18</v>
      </c>
      <c r="L1768" s="8">
        <v>39891.213356481479</v>
      </c>
      <c r="M1768" s="9" t="s">
        <v>19</v>
      </c>
      <c r="N1768" s="9" t="s">
        <v>22</v>
      </c>
      <c r="O1768" s="6" t="str">
        <f>HYPERLINK("https://pbs.twimg.com/profile_images/988971255679324162/jrqiIYf__normal.jpg","View")</f>
        <v>View</v>
      </c>
      <c r="P1768" s="7"/>
    </row>
    <row r="1769" spans="1:16">
      <c r="A1769" s="3">
        <v>44181.241585648153</v>
      </c>
      <c r="B1769" s="4" t="str">
        <f>HYPERLINK("https://twitter.com/sergio_fajardo","@sergio_fajardo")</f>
        <v>@sergio_fajardo</v>
      </c>
      <c r="C1769" s="5" t="s">
        <v>16</v>
      </c>
      <c r="D1769" s="5" t="s">
        <v>1790</v>
      </c>
      <c r="E1769" s="6" t="str">
        <f>HYPERLINK("https://twitter.com/sergio_fajardo/status/1339001765509869573","1339001765509869573")</f>
        <v>1339001765509869573</v>
      </c>
      <c r="F1769" s="7" t="s">
        <v>17</v>
      </c>
      <c r="G1769" s="7">
        <v>1563722</v>
      </c>
      <c r="H1769" s="7">
        <v>404</v>
      </c>
      <c r="I1769" s="7">
        <v>22</v>
      </c>
      <c r="J1769" s="7">
        <v>0</v>
      </c>
      <c r="K1769" s="7" t="s">
        <v>18</v>
      </c>
      <c r="L1769" s="8">
        <v>39891.213356481479</v>
      </c>
      <c r="M1769" s="9" t="s">
        <v>19</v>
      </c>
      <c r="N1769" s="9" t="s">
        <v>22</v>
      </c>
      <c r="O1769" s="6" t="str">
        <f>HYPERLINK("https://pbs.twimg.com/profile_images/988971255679324162/jrqiIYf__normal.jpg","View")</f>
        <v>View</v>
      </c>
      <c r="P1769" s="7"/>
    </row>
    <row r="1770" spans="1:16">
      <c r="A1770" s="3">
        <v>44181.825590277775</v>
      </c>
      <c r="B1770" s="4" t="str">
        <f>HYPERLINK("https://twitter.com/sergio_fajardo","@sergio_fajardo")</f>
        <v>@sergio_fajardo</v>
      </c>
      <c r="C1770" s="5" t="s">
        <v>16</v>
      </c>
      <c r="D1770" s="5" t="s">
        <v>1791</v>
      </c>
      <c r="E1770" s="6" t="str">
        <f>HYPERLINK("https://twitter.com/sergio_fajardo/status/1339213403735404545","1339213403735404545")</f>
        <v>1339213403735404545</v>
      </c>
      <c r="F1770" s="7" t="s">
        <v>17</v>
      </c>
      <c r="G1770" s="7">
        <v>1563764</v>
      </c>
      <c r="H1770" s="7">
        <v>404</v>
      </c>
      <c r="I1770" s="7">
        <v>5</v>
      </c>
      <c r="J1770" s="7">
        <v>33</v>
      </c>
      <c r="K1770" s="7" t="s">
        <v>18</v>
      </c>
      <c r="L1770" s="8">
        <v>39891.213356481479</v>
      </c>
      <c r="M1770" s="9" t="s">
        <v>19</v>
      </c>
      <c r="N1770" s="9" t="s">
        <v>22</v>
      </c>
      <c r="O1770" s="6" t="str">
        <f>HYPERLINK("https://pbs.twimg.com/profile_images/988971255679324162/jrqiIYf__normal.jpg","View")</f>
        <v>View</v>
      </c>
      <c r="P1770" s="7"/>
    </row>
    <row r="1771" spans="1:16">
      <c r="A1771" s="3">
        <v>44181.901655092588</v>
      </c>
      <c r="B1771" s="4" t="str">
        <f>HYPERLINK("https://twitter.com/sergio_fajardo","@sergio_fajardo")</f>
        <v>@sergio_fajardo</v>
      </c>
      <c r="C1771" s="5" t="s">
        <v>16</v>
      </c>
      <c r="D1771" s="5" t="s">
        <v>1792</v>
      </c>
      <c r="E1771" s="6" t="str">
        <f>HYPERLINK("https://twitter.com/sergio_fajardo/status/1339240970039267329","1339240970039267329")</f>
        <v>1339240970039267329</v>
      </c>
      <c r="F1771" s="7" t="s">
        <v>17</v>
      </c>
      <c r="G1771" s="7">
        <v>1563770</v>
      </c>
      <c r="H1771" s="7">
        <v>404</v>
      </c>
      <c r="I1771" s="7">
        <v>3</v>
      </c>
      <c r="J1771" s="7">
        <v>8</v>
      </c>
      <c r="K1771" s="7" t="s">
        <v>18</v>
      </c>
      <c r="L1771" s="8">
        <v>39891.213356481479</v>
      </c>
      <c r="M1771" s="9" t="s">
        <v>19</v>
      </c>
      <c r="N1771" s="9" t="s">
        <v>22</v>
      </c>
      <c r="O1771" s="6" t="str">
        <f>HYPERLINK("https://pbs.twimg.com/profile_images/988971255679324162/jrqiIYf__normal.jpg","View")</f>
        <v>View</v>
      </c>
      <c r="P1771" s="7"/>
    </row>
    <row r="1772" spans="1:16">
      <c r="A1772" s="3">
        <v>44181.902743055558</v>
      </c>
      <c r="B1772" s="4" t="str">
        <f>HYPERLINK("https://twitter.com/sergio_fajardo","@sergio_fajardo")</f>
        <v>@sergio_fajardo</v>
      </c>
      <c r="C1772" s="5" t="s">
        <v>16</v>
      </c>
      <c r="D1772" s="5" t="s">
        <v>1793</v>
      </c>
      <c r="E1772" s="6" t="str">
        <f>HYPERLINK("https://twitter.com/sergio_fajardo/status/1339241361527214083","1339241361527214083")</f>
        <v>1339241361527214083</v>
      </c>
      <c r="F1772" s="7" t="s">
        <v>17</v>
      </c>
      <c r="G1772" s="7">
        <v>1563770</v>
      </c>
      <c r="H1772" s="7">
        <v>404</v>
      </c>
      <c r="I1772" s="7">
        <v>215</v>
      </c>
      <c r="J1772" s="7">
        <v>0</v>
      </c>
      <c r="K1772" s="7" t="s">
        <v>18</v>
      </c>
      <c r="L1772" s="8">
        <v>39891.213356481479</v>
      </c>
      <c r="M1772" s="9" t="s">
        <v>19</v>
      </c>
      <c r="N1772" s="9" t="s">
        <v>22</v>
      </c>
      <c r="O1772" s="6" t="str">
        <f>HYPERLINK("https://pbs.twimg.com/profile_images/988971255679324162/jrqiIYf__normal.jpg","View")</f>
        <v>View</v>
      </c>
      <c r="P1772" s="7"/>
    </row>
    <row r="1773" spans="1:16">
      <c r="A1773" s="3">
        <v>44181.98819444445</v>
      </c>
      <c r="B1773" s="4" t="str">
        <f>HYPERLINK("https://twitter.com/sergio_fajardo","@sergio_fajardo")</f>
        <v>@sergio_fajardo</v>
      </c>
      <c r="C1773" s="5" t="s">
        <v>16</v>
      </c>
      <c r="D1773" s="5" t="s">
        <v>1794</v>
      </c>
      <c r="E1773" s="6" t="str">
        <f>HYPERLINK("https://twitter.com/sergio_fajardo/status/1339272331600990208","1339272331600990208")</f>
        <v>1339272331600990208</v>
      </c>
      <c r="F1773" s="7" t="s">
        <v>20</v>
      </c>
      <c r="G1773" s="7">
        <v>1563775</v>
      </c>
      <c r="H1773" s="7">
        <v>404</v>
      </c>
      <c r="I1773" s="7">
        <v>4</v>
      </c>
      <c r="J1773" s="7">
        <v>21</v>
      </c>
      <c r="K1773" s="7" t="s">
        <v>18</v>
      </c>
      <c r="L1773" s="8">
        <v>39891.213356481479</v>
      </c>
      <c r="M1773" s="9" t="s">
        <v>19</v>
      </c>
      <c r="N1773" s="9" t="s">
        <v>22</v>
      </c>
      <c r="O1773" s="6" t="str">
        <f>HYPERLINK("https://pbs.twimg.com/profile_images/988971255679324162/jrqiIYf__normal.jpg","View")</f>
        <v>View</v>
      </c>
      <c r="P1773" s="7"/>
    </row>
    <row r="1774" spans="1:16">
      <c r="A1774" s="3">
        <v>44182.086446759262</v>
      </c>
      <c r="B1774" s="4" t="str">
        <f>HYPERLINK("https://twitter.com/sergio_fajardo","@sergio_fajardo")</f>
        <v>@sergio_fajardo</v>
      </c>
      <c r="C1774" s="5" t="s">
        <v>16</v>
      </c>
      <c r="D1774" s="5" t="s">
        <v>1795</v>
      </c>
      <c r="E1774" s="6" t="str">
        <f>HYPERLINK("https://twitter.com/sergio_fajardo/status/1339307936183689216","1339307936183689216")</f>
        <v>1339307936183689216</v>
      </c>
      <c r="F1774" s="7" t="s">
        <v>17</v>
      </c>
      <c r="G1774" s="7">
        <v>1563779</v>
      </c>
      <c r="H1774" s="7">
        <v>404</v>
      </c>
      <c r="I1774" s="7">
        <v>19</v>
      </c>
      <c r="J1774" s="7">
        <v>0</v>
      </c>
      <c r="K1774" s="7" t="s">
        <v>18</v>
      </c>
      <c r="L1774" s="8">
        <v>39891.213356481479</v>
      </c>
      <c r="M1774" s="9" t="s">
        <v>19</v>
      </c>
      <c r="N1774" s="9" t="s">
        <v>22</v>
      </c>
      <c r="O1774" s="6" t="str">
        <f>HYPERLINK("https://pbs.twimg.com/profile_images/988971255679324162/jrqiIYf__normal.jpg","View")</f>
        <v>View</v>
      </c>
      <c r="P1774" s="7"/>
    </row>
    <row r="1775" spans="1:16">
      <c r="A1775" s="3">
        <v>44182.147604166668</v>
      </c>
      <c r="B1775" s="4" t="str">
        <f>HYPERLINK("https://twitter.com/sergio_fajardo","@sergio_fajardo")</f>
        <v>@sergio_fajardo</v>
      </c>
      <c r="C1775" s="5" t="s">
        <v>16</v>
      </c>
      <c r="D1775" s="5" t="s">
        <v>1796</v>
      </c>
      <c r="E1775" s="6" t="str">
        <f>HYPERLINK("https://twitter.com/sergio_fajardo/status/1339330099229888513","1339330099229888513")</f>
        <v>1339330099229888513</v>
      </c>
      <c r="F1775" s="7" t="s">
        <v>20</v>
      </c>
      <c r="G1775" s="7">
        <v>1563775</v>
      </c>
      <c r="H1775" s="7">
        <v>404</v>
      </c>
      <c r="I1775" s="7">
        <v>7</v>
      </c>
      <c r="J1775" s="7">
        <v>50</v>
      </c>
      <c r="K1775" s="7" t="s">
        <v>18</v>
      </c>
      <c r="L1775" s="8">
        <v>39891.213356481479</v>
      </c>
      <c r="M1775" s="9" t="s">
        <v>19</v>
      </c>
      <c r="N1775" s="9" t="s">
        <v>22</v>
      </c>
      <c r="O1775" s="6" t="str">
        <f>HYPERLINK("https://pbs.twimg.com/profile_images/988971255679324162/jrqiIYf__normal.jpg","View")</f>
        <v>View</v>
      </c>
      <c r="P1775" s="7"/>
    </row>
    <row r="1776" spans="1:16">
      <c r="A1776" s="3">
        <v>44182.895254629635</v>
      </c>
      <c r="B1776" s="4" t="str">
        <f>HYPERLINK("https://twitter.com/sergio_fajardo","@sergio_fajardo")</f>
        <v>@sergio_fajardo</v>
      </c>
      <c r="C1776" s="5" t="s">
        <v>16</v>
      </c>
      <c r="D1776" s="5" t="s">
        <v>1797</v>
      </c>
      <c r="E1776" s="6" t="str">
        <f>HYPERLINK("https://twitter.com/sergio_fajardo/status/1339601035266904064","1339601035266904064")</f>
        <v>1339601035266904064</v>
      </c>
      <c r="F1776" s="7" t="s">
        <v>20</v>
      </c>
      <c r="G1776" s="7">
        <v>1563858</v>
      </c>
      <c r="H1776" s="7">
        <v>404</v>
      </c>
      <c r="I1776" s="7">
        <v>231</v>
      </c>
      <c r="J1776" s="7">
        <v>0</v>
      </c>
      <c r="K1776" s="7" t="s">
        <v>18</v>
      </c>
      <c r="L1776" s="8">
        <v>39891.213356481479</v>
      </c>
      <c r="M1776" s="9" t="s">
        <v>19</v>
      </c>
      <c r="N1776" s="9" t="s">
        <v>22</v>
      </c>
      <c r="O1776" s="6" t="str">
        <f>HYPERLINK("https://pbs.twimg.com/profile_images/988971255679324162/jrqiIYf__normal.jpg","View")</f>
        <v>View</v>
      </c>
      <c r="P1776" s="7"/>
    </row>
    <row r="1777" spans="1:16">
      <c r="A1777" s="3">
        <v>44182.912997685184</v>
      </c>
      <c r="B1777" s="4" t="str">
        <f>HYPERLINK("https://twitter.com/sergio_fajardo","@sergio_fajardo")</f>
        <v>@sergio_fajardo</v>
      </c>
      <c r="C1777" s="5" t="s">
        <v>16</v>
      </c>
      <c r="D1777" s="5" t="s">
        <v>1798</v>
      </c>
      <c r="E1777" s="6" t="str">
        <f>HYPERLINK("https://twitter.com/sergio_fajardo/status/1339607465453907969","1339607465453907969")</f>
        <v>1339607465453907969</v>
      </c>
      <c r="F1777" s="7" t="s">
        <v>17</v>
      </c>
      <c r="G1777" s="7">
        <v>1563862</v>
      </c>
      <c r="H1777" s="7">
        <v>404</v>
      </c>
      <c r="I1777" s="7">
        <v>15</v>
      </c>
      <c r="J1777" s="7">
        <v>0</v>
      </c>
      <c r="K1777" s="7" t="s">
        <v>18</v>
      </c>
      <c r="L1777" s="8">
        <v>39891.213356481479</v>
      </c>
      <c r="M1777" s="9" t="s">
        <v>19</v>
      </c>
      <c r="N1777" s="9" t="s">
        <v>22</v>
      </c>
      <c r="O1777" s="6" t="str">
        <f>HYPERLINK("https://pbs.twimg.com/profile_images/988971255679324162/jrqiIYf__normal.jpg","View")</f>
        <v>View</v>
      </c>
      <c r="P1777" s="7"/>
    </row>
    <row r="1778" spans="1:16">
      <c r="A1778" s="3">
        <v>44183.047268518523</v>
      </c>
      <c r="B1778" s="4" t="str">
        <f>HYPERLINK("https://twitter.com/sergio_fajardo","@sergio_fajardo")</f>
        <v>@sergio_fajardo</v>
      </c>
      <c r="C1778" s="5" t="s">
        <v>16</v>
      </c>
      <c r="D1778" s="5" t="s">
        <v>1799</v>
      </c>
      <c r="E1778" s="6" t="str">
        <f>HYPERLINK("https://twitter.com/sergio_fajardo/status/1339656126309298176","1339656126309298176")</f>
        <v>1339656126309298176</v>
      </c>
      <c r="F1778" s="7" t="s">
        <v>20</v>
      </c>
      <c r="G1778" s="7">
        <v>1563854</v>
      </c>
      <c r="H1778" s="7">
        <v>404</v>
      </c>
      <c r="I1778" s="7">
        <v>6</v>
      </c>
      <c r="J1778" s="7">
        <v>20</v>
      </c>
      <c r="K1778" s="7" t="s">
        <v>18</v>
      </c>
      <c r="L1778" s="8">
        <v>39891.213356481479</v>
      </c>
      <c r="M1778" s="9" t="s">
        <v>19</v>
      </c>
      <c r="N1778" s="9" t="s">
        <v>22</v>
      </c>
      <c r="O1778" s="6" t="str">
        <f>HYPERLINK("https://pbs.twimg.com/profile_images/988971255679324162/jrqiIYf__normal.jpg","View")</f>
        <v>View</v>
      </c>
      <c r="P1778" s="7"/>
    </row>
    <row r="1779" spans="1:16">
      <c r="A1779" s="3">
        <v>44184.672858796301</v>
      </c>
      <c r="B1779" s="4" t="str">
        <f>HYPERLINK("https://twitter.com/sergio_fajardo","@sergio_fajardo")</f>
        <v>@sergio_fajardo</v>
      </c>
      <c r="C1779" s="5" t="s">
        <v>16</v>
      </c>
      <c r="D1779" s="5" t="s">
        <v>1800</v>
      </c>
      <c r="E1779" s="6" t="str">
        <f>HYPERLINK("https://twitter.com/sergio_fajardo/status/1340245220525486080","1340245220525486080")</f>
        <v>1340245220525486080</v>
      </c>
      <c r="F1779" s="7" t="s">
        <v>17</v>
      </c>
      <c r="G1779" s="7">
        <v>1563941</v>
      </c>
      <c r="H1779" s="7">
        <v>403</v>
      </c>
      <c r="I1779" s="7">
        <v>3</v>
      </c>
      <c r="J1779" s="7">
        <v>13</v>
      </c>
      <c r="K1779" s="7" t="s">
        <v>18</v>
      </c>
      <c r="L1779" s="8">
        <v>39891.213356481479</v>
      </c>
      <c r="M1779" s="9" t="s">
        <v>19</v>
      </c>
      <c r="N1779" s="9" t="s">
        <v>22</v>
      </c>
      <c r="O1779" s="6" t="str">
        <f>HYPERLINK("https://pbs.twimg.com/profile_images/988971255679324162/jrqiIYf__normal.jpg","View")</f>
        <v>View</v>
      </c>
      <c r="P1779" s="7"/>
    </row>
    <row r="1780" spans="1:16">
      <c r="A1780" s="3">
        <v>44184.68885416667</v>
      </c>
      <c r="B1780" s="4" t="str">
        <f>HYPERLINK("https://twitter.com/sergio_fajardo","@sergio_fajardo")</f>
        <v>@sergio_fajardo</v>
      </c>
      <c r="C1780" s="5" t="s">
        <v>16</v>
      </c>
      <c r="D1780" s="5" t="s">
        <v>1801</v>
      </c>
      <c r="E1780" s="6" t="str">
        <f>HYPERLINK("https://twitter.com/sergio_fajardo/status/1340251015656960002","1340251015656960002")</f>
        <v>1340251015656960002</v>
      </c>
      <c r="F1780" s="7" t="s">
        <v>17</v>
      </c>
      <c r="G1780" s="7">
        <v>1563937</v>
      </c>
      <c r="H1780" s="7">
        <v>403</v>
      </c>
      <c r="I1780" s="7">
        <v>6</v>
      </c>
      <c r="J1780" s="7">
        <v>42</v>
      </c>
      <c r="K1780" s="7" t="s">
        <v>18</v>
      </c>
      <c r="L1780" s="8">
        <v>39891.213356481479</v>
      </c>
      <c r="M1780" s="9" t="s">
        <v>19</v>
      </c>
      <c r="N1780" s="9" t="s">
        <v>22</v>
      </c>
      <c r="O1780" s="6" t="str">
        <f>HYPERLINK("https://pbs.twimg.com/profile_images/988971255679324162/jrqiIYf__normal.jpg","View")</f>
        <v>View</v>
      </c>
      <c r="P1780" s="7"/>
    </row>
    <row r="1781" spans="1:16">
      <c r="A1781" s="3">
        <v>44184.779456018514</v>
      </c>
      <c r="B1781" s="4" t="str">
        <f>HYPERLINK("https://twitter.com/sergio_fajardo","@sergio_fajardo")</f>
        <v>@sergio_fajardo</v>
      </c>
      <c r="C1781" s="5" t="s">
        <v>16</v>
      </c>
      <c r="D1781" s="4" t="s">
        <v>1802</v>
      </c>
      <c r="E1781" s="6" t="str">
        <f>HYPERLINK("https://twitter.com/sergio_fajardo/status/1340283846818979840","1340283846818979840")</f>
        <v>1340283846818979840</v>
      </c>
      <c r="F1781" s="7" t="s">
        <v>17</v>
      </c>
      <c r="G1781" s="7">
        <v>1563945</v>
      </c>
      <c r="H1781" s="7">
        <v>403</v>
      </c>
      <c r="I1781" s="7">
        <v>1</v>
      </c>
      <c r="J1781" s="7">
        <v>4</v>
      </c>
      <c r="K1781" s="7" t="s">
        <v>18</v>
      </c>
      <c r="L1781" s="8">
        <v>39891.213356481479</v>
      </c>
      <c r="M1781" s="9" t="s">
        <v>19</v>
      </c>
      <c r="N1781" s="9" t="s">
        <v>22</v>
      </c>
      <c r="O1781" s="6" t="str">
        <f>HYPERLINK("https://pbs.twimg.com/profile_images/988971255679324162/jrqiIYf__normal.jpg","View")</f>
        <v>View</v>
      </c>
      <c r="P1781" s="7"/>
    </row>
    <row r="1782" spans="1:16">
      <c r="A1782" s="3">
        <v>44185.891331018516</v>
      </c>
      <c r="B1782" s="4" t="str">
        <f>HYPERLINK("https://twitter.com/sergio_fajardo","@sergio_fajardo")</f>
        <v>@sergio_fajardo</v>
      </c>
      <c r="C1782" s="5" t="s">
        <v>16</v>
      </c>
      <c r="D1782" s="5" t="s">
        <v>1803</v>
      </c>
      <c r="E1782" s="6" t="str">
        <f>HYPERLINK("https://twitter.com/sergio_fajardo/status/1340686777091301376","1340686777091301376")</f>
        <v>1340686777091301376</v>
      </c>
      <c r="F1782" s="7" t="s">
        <v>17</v>
      </c>
      <c r="G1782" s="7">
        <v>1563970</v>
      </c>
      <c r="H1782" s="7">
        <v>403</v>
      </c>
      <c r="I1782" s="7">
        <v>9</v>
      </c>
      <c r="J1782" s="7">
        <v>58</v>
      </c>
      <c r="K1782" s="7" t="s">
        <v>18</v>
      </c>
      <c r="L1782" s="8">
        <v>39891.213356481479</v>
      </c>
      <c r="M1782" s="9" t="s">
        <v>19</v>
      </c>
      <c r="N1782" s="9" t="s">
        <v>22</v>
      </c>
      <c r="O1782" s="6" t="str">
        <f>HYPERLINK("https://pbs.twimg.com/profile_images/988971255679324162/jrqiIYf__normal.jpg","View")</f>
        <v>View</v>
      </c>
      <c r="P1782" s="7"/>
    </row>
    <row r="1783" spans="1:16">
      <c r="A1783" s="3">
        <v>44186.212465277778</v>
      </c>
      <c r="B1783" s="4" t="str">
        <f>HYPERLINK("https://twitter.com/sergio_fajardo","@sergio_fajardo")</f>
        <v>@sergio_fajardo</v>
      </c>
      <c r="C1783" s="5" t="s">
        <v>16</v>
      </c>
      <c r="D1783" s="5" t="s">
        <v>1804</v>
      </c>
      <c r="E1783" s="6" t="str">
        <f>HYPERLINK("https://twitter.com/sergio_fajardo/status/1340803154288533504","1340803154288533504")</f>
        <v>1340803154288533504</v>
      </c>
      <c r="F1783" s="7" t="s">
        <v>23</v>
      </c>
      <c r="G1783" s="7">
        <v>1563976</v>
      </c>
      <c r="H1783" s="7">
        <v>403</v>
      </c>
      <c r="I1783" s="7">
        <v>8</v>
      </c>
      <c r="J1783" s="7">
        <v>20</v>
      </c>
      <c r="K1783" s="7" t="s">
        <v>18</v>
      </c>
      <c r="L1783" s="8">
        <v>39891.213356481479</v>
      </c>
      <c r="M1783" s="9" t="s">
        <v>19</v>
      </c>
      <c r="N1783" s="9" t="s">
        <v>22</v>
      </c>
      <c r="O1783" s="6" t="str">
        <f>HYPERLINK("https://pbs.twimg.com/profile_images/988971255679324162/jrqiIYf__normal.jpg","View")</f>
        <v>View</v>
      </c>
      <c r="P1783" s="7"/>
    </row>
    <row r="1784" spans="1:16">
      <c r="A1784" s="3">
        <v>44187.892268518517</v>
      </c>
      <c r="B1784" s="4" t="str">
        <f>HYPERLINK("https://twitter.com/sergio_fajardo","@sergio_fajardo")</f>
        <v>@sergio_fajardo</v>
      </c>
      <c r="C1784" s="5" t="s">
        <v>16</v>
      </c>
      <c r="D1784" s="5" t="s">
        <v>1805</v>
      </c>
      <c r="E1784" s="6" t="str">
        <f>HYPERLINK("https://twitter.com/sergio_fajardo/status/1341411895841071108","1341411895841071108")</f>
        <v>1341411895841071108</v>
      </c>
      <c r="F1784" s="7" t="s">
        <v>17</v>
      </c>
      <c r="G1784" s="7">
        <v>1564150</v>
      </c>
      <c r="H1784" s="7">
        <v>403</v>
      </c>
      <c r="I1784" s="7">
        <v>6</v>
      </c>
      <c r="J1784" s="7">
        <v>35</v>
      </c>
      <c r="K1784" s="7" t="s">
        <v>18</v>
      </c>
      <c r="L1784" s="8">
        <v>39891.213356481479</v>
      </c>
      <c r="M1784" s="9" t="s">
        <v>19</v>
      </c>
      <c r="N1784" s="9" t="s">
        <v>22</v>
      </c>
      <c r="O1784" s="6" t="str">
        <f>HYPERLINK("https://pbs.twimg.com/profile_images/988971255679324162/jrqiIYf__normal.jpg","View")</f>
        <v>View</v>
      </c>
      <c r="P1784" s="7"/>
    </row>
    <row r="1785" spans="1:16">
      <c r="A1785" s="3">
        <v>44189.64471064815</v>
      </c>
      <c r="B1785" s="4" t="str">
        <f>HYPERLINK("https://twitter.com/sergio_fajardo","@sergio_fajardo")</f>
        <v>@sergio_fajardo</v>
      </c>
      <c r="C1785" s="5" t="s">
        <v>16</v>
      </c>
      <c r="D1785" s="5" t="s">
        <v>1806</v>
      </c>
      <c r="E1785" s="6" t="str">
        <f>HYPERLINK("https://twitter.com/sergio_fajardo/status/1342046956873539584","1342046956873539584")</f>
        <v>1342046956873539584</v>
      </c>
      <c r="F1785" s="7" t="s">
        <v>17</v>
      </c>
      <c r="G1785" s="7">
        <v>1564241</v>
      </c>
      <c r="H1785" s="7">
        <v>403</v>
      </c>
      <c r="I1785" s="7">
        <v>0</v>
      </c>
      <c r="J1785" s="7">
        <v>7</v>
      </c>
      <c r="K1785" s="7" t="s">
        <v>18</v>
      </c>
      <c r="L1785" s="8">
        <v>39891.213356481479</v>
      </c>
      <c r="M1785" s="9" t="s">
        <v>19</v>
      </c>
      <c r="N1785" s="9" t="s">
        <v>22</v>
      </c>
      <c r="O1785" s="6" t="str">
        <f>HYPERLINK("https://pbs.twimg.com/profile_images/988971255679324162/jrqiIYf__normal.jpg","View")</f>
        <v>View</v>
      </c>
      <c r="P1785" s="7"/>
    </row>
    <row r="1786" spans="1:16">
      <c r="A1786" s="3">
        <v>44190.958750000005</v>
      </c>
      <c r="B1786" s="4" t="str">
        <f>HYPERLINK("https://twitter.com/sergio_fajardo","@sergio_fajardo")</f>
        <v>@sergio_fajardo</v>
      </c>
      <c r="C1786" s="5" t="s">
        <v>16</v>
      </c>
      <c r="D1786" s="5" t="s">
        <v>1807</v>
      </c>
      <c r="E1786" s="6" t="str">
        <f>HYPERLINK("https://twitter.com/sergio_fajardo/status/1342523149825568772","1342523149825568772")</f>
        <v>1342523149825568772</v>
      </c>
      <c r="F1786" s="7" t="s">
        <v>17</v>
      </c>
      <c r="G1786" s="7">
        <v>1564288</v>
      </c>
      <c r="H1786" s="7">
        <v>403</v>
      </c>
      <c r="I1786" s="7">
        <v>41</v>
      </c>
      <c r="J1786" s="7">
        <v>0</v>
      </c>
      <c r="K1786" s="7" t="s">
        <v>18</v>
      </c>
      <c r="L1786" s="8">
        <v>39891.213356481479</v>
      </c>
      <c r="M1786" s="9" t="s">
        <v>19</v>
      </c>
      <c r="N1786" s="9" t="s">
        <v>22</v>
      </c>
      <c r="O1786" s="6" t="str">
        <f>HYPERLINK("https://pbs.twimg.com/profile_images/988971255679324162/jrqiIYf__normal.jpg","View")</f>
        <v>View</v>
      </c>
      <c r="P1786" s="7"/>
    </row>
    <row r="1787" spans="1:16">
      <c r="A1787" s="3">
        <v>44195.161770833336</v>
      </c>
      <c r="B1787" s="4" t="str">
        <f>HYPERLINK("https://twitter.com/sergio_fajardo","@sergio_fajardo")</f>
        <v>@sergio_fajardo</v>
      </c>
      <c r="C1787" s="5" t="s">
        <v>16</v>
      </c>
      <c r="D1787" s="5" t="s">
        <v>1808</v>
      </c>
      <c r="E1787" s="6" t="str">
        <f>HYPERLINK("https://twitter.com/sergio_fajardo/status/1344046274677526528","1344046274677526528")</f>
        <v>1344046274677526528</v>
      </c>
      <c r="F1787" s="7" t="s">
        <v>20</v>
      </c>
      <c r="G1787" s="7">
        <v>1564476</v>
      </c>
      <c r="H1787" s="7">
        <v>403</v>
      </c>
      <c r="I1787" s="7">
        <v>18</v>
      </c>
      <c r="J1787" s="7">
        <v>49</v>
      </c>
      <c r="K1787" s="7" t="s">
        <v>18</v>
      </c>
      <c r="L1787" s="8">
        <v>39891.213356481479</v>
      </c>
      <c r="M1787" s="9" t="s">
        <v>19</v>
      </c>
      <c r="N1787" s="9" t="s">
        <v>22</v>
      </c>
      <c r="O1787" s="6" t="str">
        <f>HYPERLINK("https://pbs.twimg.com/profile_images/988971255679324162/jrqiIYf__normal.jpg","View")</f>
        <v>View</v>
      </c>
      <c r="P1787" s="7"/>
    </row>
    <row r="1788" spans="1:16">
      <c r="A1788" s="3">
        <v>44196.128564814819</v>
      </c>
      <c r="B1788" s="4" t="str">
        <f>HYPERLINK("https://twitter.com/sergio_fajardo","@sergio_fajardo")</f>
        <v>@sergio_fajardo</v>
      </c>
      <c r="C1788" s="5" t="s">
        <v>16</v>
      </c>
      <c r="D1788" s="5" t="s">
        <v>1809</v>
      </c>
      <c r="E1788" s="6" t="str">
        <f>HYPERLINK("https://twitter.com/sergio_fajardo/status/1344396628850040833","1344396628850040833")</f>
        <v>1344396628850040833</v>
      </c>
      <c r="F1788" s="7" t="s">
        <v>17</v>
      </c>
      <c r="G1788" s="7">
        <v>1564494</v>
      </c>
      <c r="H1788" s="7">
        <v>403</v>
      </c>
      <c r="I1788" s="7">
        <v>0</v>
      </c>
      <c r="J1788" s="7">
        <v>10</v>
      </c>
      <c r="K1788" s="7" t="s">
        <v>18</v>
      </c>
      <c r="L1788" s="8">
        <v>39891.213356481479</v>
      </c>
      <c r="M1788" s="9" t="s">
        <v>19</v>
      </c>
      <c r="N1788" s="9" t="s">
        <v>22</v>
      </c>
      <c r="O1788" s="6" t="str">
        <f>HYPERLINK("https://pbs.twimg.com/profile_images/988971255679324162/jrqiIYf__normal.jpg","View")</f>
        <v>View</v>
      </c>
      <c r="P1788" s="7"/>
    </row>
    <row r="1789" spans="1:16">
      <c r="A1789" s="3">
        <v>44196.711018518516</v>
      </c>
      <c r="B1789" s="4" t="str">
        <f>HYPERLINK("https://twitter.com/sergio_fajardo","@sergio_fajardo")</f>
        <v>@sergio_fajardo</v>
      </c>
      <c r="C1789" s="5" t="s">
        <v>16</v>
      </c>
      <c r="D1789" s="5" t="s">
        <v>1810</v>
      </c>
      <c r="E1789" s="6" t="str">
        <f>HYPERLINK("https://twitter.com/sergio_fajardo/status/1344607701020585984","1344607701020585984")</f>
        <v>1344607701020585984</v>
      </c>
      <c r="F1789" s="7" t="s">
        <v>17</v>
      </c>
      <c r="G1789" s="7">
        <v>1564532</v>
      </c>
      <c r="H1789" s="7">
        <v>403</v>
      </c>
      <c r="I1789" s="7">
        <v>4</v>
      </c>
      <c r="J1789" s="7">
        <v>21</v>
      </c>
      <c r="K1789" s="7" t="s">
        <v>18</v>
      </c>
      <c r="L1789" s="8">
        <v>39891.213356481479</v>
      </c>
      <c r="M1789" s="9" t="s">
        <v>19</v>
      </c>
      <c r="N1789" s="9" t="s">
        <v>22</v>
      </c>
      <c r="O1789" s="6" t="str">
        <f>HYPERLINK("https://pbs.twimg.com/profile_images/988971255679324162/jrqiIYf__normal.jpg","View")</f>
        <v>View</v>
      </c>
      <c r="P1789" s="7"/>
    </row>
    <row r="1790" spans="1:16">
      <c r="A1790" s="3">
        <v>44202.420775462961</v>
      </c>
      <c r="B1790" s="4" t="str">
        <f>HYPERLINK("https://twitter.com/sergio_fajardo","@sergio_fajardo")</f>
        <v>@sergio_fajardo</v>
      </c>
      <c r="C1790" s="5" t="s">
        <v>16</v>
      </c>
      <c r="D1790" s="5" t="s">
        <v>1811</v>
      </c>
      <c r="E1790" s="6" t="str">
        <f>HYPERLINK("https://twitter.com/sergio_fajardo/status/1346676847300501506","1346676847300501506")</f>
        <v>1346676847300501506</v>
      </c>
      <c r="F1790" s="7" t="s">
        <v>17</v>
      </c>
      <c r="G1790" s="7">
        <v>1564626</v>
      </c>
      <c r="H1790" s="7">
        <v>404</v>
      </c>
      <c r="I1790" s="7">
        <v>4</v>
      </c>
      <c r="J1790" s="7">
        <v>11</v>
      </c>
      <c r="K1790" s="7" t="s">
        <v>18</v>
      </c>
      <c r="L1790" s="8">
        <v>39891.213356481479</v>
      </c>
      <c r="M1790" s="9" t="s">
        <v>19</v>
      </c>
      <c r="N1790" s="9" t="s">
        <v>22</v>
      </c>
      <c r="O1790" s="6" t="str">
        <f>HYPERLINK("https://pbs.twimg.com/profile_images/988971255679324162/jrqiIYf__normal.jpg","View")</f>
        <v>View</v>
      </c>
      <c r="P1790" s="7"/>
    </row>
    <row r="1791" spans="1:16">
      <c r="A1791" s="3">
        <v>44203.09375</v>
      </c>
      <c r="B1791" s="4" t="str">
        <f>HYPERLINK("https://twitter.com/sergio_fajardo","@sergio_fajardo")</f>
        <v>@sergio_fajardo</v>
      </c>
      <c r="C1791" s="5" t="s">
        <v>16</v>
      </c>
      <c r="D1791" s="5" t="s">
        <v>1812</v>
      </c>
      <c r="E1791" s="6" t="str">
        <f>HYPERLINK("https://twitter.com/sergio_fajardo/status/1346920728717889543","1346920728717889543")</f>
        <v>1346920728717889543</v>
      </c>
      <c r="F1791" s="7" t="s">
        <v>17</v>
      </c>
      <c r="G1791" s="7">
        <v>1564666</v>
      </c>
      <c r="H1791" s="7">
        <v>404</v>
      </c>
      <c r="I1791" s="7">
        <v>96</v>
      </c>
      <c r="J1791" s="7">
        <v>423</v>
      </c>
      <c r="K1791" s="7" t="s">
        <v>18</v>
      </c>
      <c r="L1791" s="8">
        <v>39891.213356481479</v>
      </c>
      <c r="M1791" s="9" t="s">
        <v>19</v>
      </c>
      <c r="N1791" s="9" t="s">
        <v>22</v>
      </c>
      <c r="O1791" s="6" t="str">
        <f>HYPERLINK("https://pbs.twimg.com/profile_images/988971255679324162/jrqiIYf__normal.jpg","View")</f>
        <v>View</v>
      </c>
      <c r="P1791" s="7"/>
    </row>
    <row r="1792" spans="1:16">
      <c r="A1792" s="3">
        <v>44204.360300925924</v>
      </c>
      <c r="B1792" s="4" t="str">
        <f>HYPERLINK("https://twitter.com/sergio_fajardo","@sergio_fajardo")</f>
        <v>@sergio_fajardo</v>
      </c>
      <c r="C1792" s="5" t="s">
        <v>16</v>
      </c>
      <c r="D1792" s="5" t="s">
        <v>1813</v>
      </c>
      <c r="E1792" s="6" t="str">
        <f>HYPERLINK("https://twitter.com/sergio_fajardo/status/1347379709450084356","1347379709450084356")</f>
        <v>1347379709450084356</v>
      </c>
      <c r="F1792" s="7" t="s">
        <v>17</v>
      </c>
      <c r="G1792" s="7">
        <v>1564817</v>
      </c>
      <c r="H1792" s="7">
        <v>404</v>
      </c>
      <c r="I1792" s="7">
        <v>114</v>
      </c>
      <c r="J1792" s="7">
        <v>0</v>
      </c>
      <c r="K1792" s="7" t="s">
        <v>18</v>
      </c>
      <c r="L1792" s="8">
        <v>39891.213356481479</v>
      </c>
      <c r="M1792" s="9" t="s">
        <v>19</v>
      </c>
      <c r="N1792" s="9" t="s">
        <v>22</v>
      </c>
      <c r="O1792" s="6" t="str">
        <f>HYPERLINK("https://pbs.twimg.com/profile_images/988971255679324162/jrqiIYf__normal.jpg","View")</f>
        <v>View</v>
      </c>
      <c r="P1792" s="7"/>
    </row>
    <row r="1793" spans="1:16">
      <c r="A1793" s="3">
        <v>44205.213020833333</v>
      </c>
      <c r="B1793" s="4" t="str">
        <f>HYPERLINK("https://twitter.com/sergio_fajardo","@sergio_fajardo")</f>
        <v>@sergio_fajardo</v>
      </c>
      <c r="C1793" s="5" t="s">
        <v>16</v>
      </c>
      <c r="D1793" s="5" t="s">
        <v>1814</v>
      </c>
      <c r="E1793" s="6" t="str">
        <f>HYPERLINK("https://twitter.com/sergio_fajardo/status/1347688724864368646","1347688724864368646")</f>
        <v>1347688724864368646</v>
      </c>
      <c r="F1793" s="7" t="s">
        <v>17</v>
      </c>
      <c r="G1793" s="7">
        <v>1564867</v>
      </c>
      <c r="H1793" s="7">
        <v>404</v>
      </c>
      <c r="I1793" s="7">
        <v>180</v>
      </c>
      <c r="J1793" s="7">
        <v>0</v>
      </c>
      <c r="K1793" s="7" t="s">
        <v>18</v>
      </c>
      <c r="L1793" s="8">
        <v>39891.213356481479</v>
      </c>
      <c r="M1793" s="9" t="s">
        <v>19</v>
      </c>
      <c r="N1793" s="9" t="s">
        <v>22</v>
      </c>
      <c r="O1793" s="6" t="str">
        <f>HYPERLINK("https://pbs.twimg.com/profile_images/988971255679324162/jrqiIYf__normal.jpg","View")</f>
        <v>View</v>
      </c>
      <c r="P1793" s="7"/>
    </row>
    <row r="1794" spans="1:16">
      <c r="A1794" s="3">
        <v>44206.946215277778</v>
      </c>
      <c r="B1794" s="4" t="str">
        <f>HYPERLINK("https://twitter.com/sergio_fajardo","@sergio_fajardo")</f>
        <v>@sergio_fajardo</v>
      </c>
      <c r="C1794" s="5" t="s">
        <v>16</v>
      </c>
      <c r="D1794" s="5" t="s">
        <v>1815</v>
      </c>
      <c r="E1794" s="6" t="str">
        <f>HYPERLINK("https://twitter.com/sergio_fajardo/status/1348316811415138305","1348316811415138305")</f>
        <v>1348316811415138305</v>
      </c>
      <c r="F1794" s="7" t="s">
        <v>17</v>
      </c>
      <c r="G1794" s="7">
        <v>1564903</v>
      </c>
      <c r="H1794" s="7">
        <v>404</v>
      </c>
      <c r="I1794" s="7">
        <v>3</v>
      </c>
      <c r="J1794" s="7">
        <v>0</v>
      </c>
      <c r="K1794" s="7" t="s">
        <v>18</v>
      </c>
      <c r="L1794" s="8">
        <v>39891.213356481479</v>
      </c>
      <c r="M1794" s="9" t="s">
        <v>19</v>
      </c>
      <c r="N1794" s="9" t="s">
        <v>22</v>
      </c>
      <c r="O1794" s="6" t="str">
        <f>HYPERLINK("https://pbs.twimg.com/profile_images/988971255679324162/jrqiIYf__normal.jpg","View")</f>
        <v>View</v>
      </c>
      <c r="P1794" s="7"/>
    </row>
    <row r="1795" spans="1:16">
      <c r="A1795" s="3">
        <v>44206.947835648149</v>
      </c>
      <c r="B1795" s="4" t="str">
        <f>HYPERLINK("https://twitter.com/sergio_fajardo","@sergio_fajardo")</f>
        <v>@sergio_fajardo</v>
      </c>
      <c r="C1795" s="5" t="s">
        <v>16</v>
      </c>
      <c r="D1795" s="4" t="s">
        <v>1816</v>
      </c>
      <c r="E1795" s="6" t="str">
        <f>HYPERLINK("https://twitter.com/sergio_fajardo/status/1348317401608318977","1348317401608318977")</f>
        <v>1348317401608318977</v>
      </c>
      <c r="F1795" s="7" t="s">
        <v>17</v>
      </c>
      <c r="G1795" s="7">
        <v>1564903</v>
      </c>
      <c r="H1795" s="7">
        <v>404</v>
      </c>
      <c r="I1795" s="7">
        <v>2</v>
      </c>
      <c r="J1795" s="7">
        <v>7</v>
      </c>
      <c r="K1795" s="7" t="s">
        <v>18</v>
      </c>
      <c r="L1795" s="8">
        <v>39891.213356481479</v>
      </c>
      <c r="M1795" s="9" t="s">
        <v>19</v>
      </c>
      <c r="N1795" s="9" t="s">
        <v>22</v>
      </c>
      <c r="O1795" s="6" t="str">
        <f>HYPERLINK("https://pbs.twimg.com/profile_images/988971255679324162/jrqiIYf__normal.jpg","View")</f>
        <v>View</v>
      </c>
      <c r="P1795" s="7"/>
    </row>
    <row r="1796" spans="1:16">
      <c r="A1796" s="3">
        <v>44207.406064814815</v>
      </c>
      <c r="B1796" s="4" t="str">
        <f>HYPERLINK("https://twitter.com/sergio_fajardo","@sergio_fajardo")</f>
        <v>@sergio_fajardo</v>
      </c>
      <c r="C1796" s="5" t="s">
        <v>16</v>
      </c>
      <c r="D1796" s="5" t="s">
        <v>1817</v>
      </c>
      <c r="E1796" s="6" t="str">
        <f>HYPERLINK("https://twitter.com/sergio_fajardo/status/1348483457601646594","1348483457601646594")</f>
        <v>1348483457601646594</v>
      </c>
      <c r="F1796" s="7" t="s">
        <v>17</v>
      </c>
      <c r="G1796" s="7">
        <v>1564920</v>
      </c>
      <c r="H1796" s="7">
        <v>404</v>
      </c>
      <c r="I1796" s="7">
        <v>1174</v>
      </c>
      <c r="J1796" s="7">
        <v>0</v>
      </c>
      <c r="K1796" s="7" t="s">
        <v>18</v>
      </c>
      <c r="L1796" s="8">
        <v>39891.213356481479</v>
      </c>
      <c r="M1796" s="9" t="s">
        <v>19</v>
      </c>
      <c r="N1796" s="9" t="s">
        <v>22</v>
      </c>
      <c r="O1796" s="6" t="str">
        <f>HYPERLINK("https://pbs.twimg.com/profile_images/988971255679324162/jrqiIYf__normal.jpg","View")</f>
        <v>View</v>
      </c>
      <c r="P1796" s="7"/>
    </row>
    <row r="1797" spans="1:16">
      <c r="A1797" s="3">
        <v>44209.233425925922</v>
      </c>
      <c r="B1797" s="4" t="str">
        <f>HYPERLINK("https://twitter.com/sergio_fajardo","@sergio_fajardo")</f>
        <v>@sergio_fajardo</v>
      </c>
      <c r="C1797" s="5" t="s">
        <v>16</v>
      </c>
      <c r="D1797" s="5" t="s">
        <v>1818</v>
      </c>
      <c r="E1797" s="6" t="str">
        <f>HYPERLINK("https://twitter.com/sergio_fajardo/status/1349145670595305472","1349145670595305472")</f>
        <v>1349145670595305472</v>
      </c>
      <c r="F1797" s="7" t="s">
        <v>20</v>
      </c>
      <c r="G1797" s="7">
        <v>1564978</v>
      </c>
      <c r="H1797" s="7">
        <v>405</v>
      </c>
      <c r="I1797" s="7">
        <v>38</v>
      </c>
      <c r="J1797" s="7">
        <v>184</v>
      </c>
      <c r="K1797" s="7" t="s">
        <v>18</v>
      </c>
      <c r="L1797" s="8">
        <v>39891.213356481479</v>
      </c>
      <c r="M1797" s="9" t="s">
        <v>19</v>
      </c>
      <c r="N1797" s="9" t="s">
        <v>22</v>
      </c>
      <c r="O1797" s="6" t="str">
        <f>HYPERLINK("https://pbs.twimg.com/profile_images/988971255679324162/jrqiIYf__normal.jpg","View")</f>
        <v>View</v>
      </c>
      <c r="P1797" s="7"/>
    </row>
    <row r="1798" spans="1:16">
      <c r="A1798" s="3">
        <v>44209.370613425926</v>
      </c>
      <c r="B1798" s="4" t="str">
        <f>HYPERLINK("https://twitter.com/sergio_fajardo","@sergio_fajardo")</f>
        <v>@sergio_fajardo</v>
      </c>
      <c r="C1798" s="5" t="s">
        <v>16</v>
      </c>
      <c r="D1798" s="5" t="s">
        <v>1819</v>
      </c>
      <c r="E1798" s="6" t="str">
        <f>HYPERLINK("https://twitter.com/sergio_fajardo/status/1349195384397197318","1349195384397197318")</f>
        <v>1349195384397197318</v>
      </c>
      <c r="F1798" s="7" t="s">
        <v>17</v>
      </c>
      <c r="G1798" s="7">
        <v>1564997</v>
      </c>
      <c r="H1798" s="7">
        <v>405</v>
      </c>
      <c r="I1798" s="7">
        <v>17</v>
      </c>
      <c r="J1798" s="7">
        <v>0</v>
      </c>
      <c r="K1798" s="7" t="s">
        <v>18</v>
      </c>
      <c r="L1798" s="8">
        <v>39891.213356481479</v>
      </c>
      <c r="M1798" s="9" t="s">
        <v>19</v>
      </c>
      <c r="N1798" s="9" t="s">
        <v>22</v>
      </c>
      <c r="O1798" s="6" t="str">
        <f>HYPERLINK("https://pbs.twimg.com/profile_images/988971255679324162/jrqiIYf__normal.jpg","View")</f>
        <v>View</v>
      </c>
      <c r="P1798" s="7"/>
    </row>
    <row r="1799" spans="1:16">
      <c r="A1799" s="3">
        <v>44209.736296296294</v>
      </c>
      <c r="B1799" s="4" t="str">
        <f>HYPERLINK("https://twitter.com/sergio_fajardo","@sergio_fajardo")</f>
        <v>@sergio_fajardo</v>
      </c>
      <c r="C1799" s="5" t="s">
        <v>16</v>
      </c>
      <c r="D1799" s="5" t="s">
        <v>1820</v>
      </c>
      <c r="E1799" s="6" t="str">
        <f>HYPERLINK("https://twitter.com/sergio_fajardo/status/1349327903016820737","1349327903016820737")</f>
        <v>1349327903016820737</v>
      </c>
      <c r="F1799" s="7" t="s">
        <v>17</v>
      </c>
      <c r="G1799" s="7">
        <v>1565013</v>
      </c>
      <c r="H1799" s="7">
        <v>405</v>
      </c>
      <c r="I1799" s="7">
        <v>1</v>
      </c>
      <c r="J1799" s="7">
        <v>2</v>
      </c>
      <c r="K1799" s="7" t="s">
        <v>18</v>
      </c>
      <c r="L1799" s="8">
        <v>39891.213356481479</v>
      </c>
      <c r="M1799" s="9" t="s">
        <v>19</v>
      </c>
      <c r="N1799" s="9" t="s">
        <v>22</v>
      </c>
      <c r="O1799" s="6" t="str">
        <f>HYPERLINK("https://pbs.twimg.com/profile_images/988971255679324162/jrqiIYf__normal.jpg","View")</f>
        <v>View</v>
      </c>
      <c r="P1799" s="7"/>
    </row>
    <row r="1800" spans="1:16">
      <c r="A1800" s="3">
        <v>44209.938819444447</v>
      </c>
      <c r="B1800" s="4" t="str">
        <f>HYPERLINK("https://twitter.com/sergio_fajardo","@sergio_fajardo")</f>
        <v>@sergio_fajardo</v>
      </c>
      <c r="C1800" s="5" t="s">
        <v>16</v>
      </c>
      <c r="D1800" s="5" t="s">
        <v>1821</v>
      </c>
      <c r="E1800" s="6" t="str">
        <f>HYPERLINK("https://twitter.com/sergio_fajardo/status/1349401294964994048","1349401294964994048")</f>
        <v>1349401294964994048</v>
      </c>
      <c r="F1800" s="7" t="s">
        <v>20</v>
      </c>
      <c r="G1800" s="7">
        <v>1565020</v>
      </c>
      <c r="H1800" s="7">
        <v>405</v>
      </c>
      <c r="I1800" s="7">
        <v>4</v>
      </c>
      <c r="J1800" s="7">
        <v>11</v>
      </c>
      <c r="K1800" s="7" t="s">
        <v>18</v>
      </c>
      <c r="L1800" s="8">
        <v>39891.213356481479</v>
      </c>
      <c r="M1800" s="9" t="s">
        <v>19</v>
      </c>
      <c r="N1800" s="9" t="s">
        <v>22</v>
      </c>
      <c r="O1800" s="6" t="str">
        <f>HYPERLINK("https://pbs.twimg.com/profile_images/988971255679324162/jrqiIYf__normal.jpg","View")</f>
        <v>View</v>
      </c>
      <c r="P1800" s="7"/>
    </row>
    <row r="1801" spans="1:16">
      <c r="A1801" s="3">
        <v>44210.685833333337</v>
      </c>
      <c r="B1801" s="4" t="str">
        <f>HYPERLINK("https://twitter.com/sergio_fajardo","@sergio_fajardo")</f>
        <v>@sergio_fajardo</v>
      </c>
      <c r="C1801" s="5" t="s">
        <v>16</v>
      </c>
      <c r="D1801" s="5" t="s">
        <v>1822</v>
      </c>
      <c r="E1801" s="6" t="str">
        <f>HYPERLINK("https://twitter.com/sergio_fajardo/status/1349672005948354560","1349672005948354560")</f>
        <v>1349672005948354560</v>
      </c>
      <c r="F1801" s="7" t="s">
        <v>17</v>
      </c>
      <c r="G1801" s="7">
        <v>1565060</v>
      </c>
      <c r="H1801" s="7">
        <v>406</v>
      </c>
      <c r="I1801" s="7">
        <v>3</v>
      </c>
      <c r="J1801" s="7">
        <v>9</v>
      </c>
      <c r="K1801" s="7" t="s">
        <v>18</v>
      </c>
      <c r="L1801" s="8">
        <v>39891.213356481479</v>
      </c>
      <c r="M1801" s="9" t="s">
        <v>19</v>
      </c>
      <c r="N1801" s="9" t="s">
        <v>22</v>
      </c>
      <c r="O1801" s="6" t="str">
        <f>HYPERLINK("https://pbs.twimg.com/profile_images/988971255679324162/jrqiIYf__normal.jpg","View")</f>
        <v>View</v>
      </c>
      <c r="P1801" s="7"/>
    </row>
    <row r="1802" spans="1:16">
      <c r="A1802" s="3">
        <v>44211.702638888892</v>
      </c>
      <c r="B1802" s="4" t="str">
        <f>HYPERLINK("https://twitter.com/sergio_fajardo","@sergio_fajardo")</f>
        <v>@sergio_fajardo</v>
      </c>
      <c r="C1802" s="5" t="s">
        <v>16</v>
      </c>
      <c r="D1802" s="5" t="s">
        <v>1823</v>
      </c>
      <c r="E1802" s="6" t="str">
        <f>HYPERLINK("https://twitter.com/sergio_fajardo/status/1350040481699344385","1350040481699344385")</f>
        <v>1350040481699344385</v>
      </c>
      <c r="F1802" s="7" t="s">
        <v>17</v>
      </c>
      <c r="G1802" s="7">
        <v>1565108</v>
      </c>
      <c r="H1802" s="7">
        <v>406</v>
      </c>
      <c r="I1802" s="7">
        <v>28</v>
      </c>
      <c r="J1802" s="7">
        <v>0</v>
      </c>
      <c r="K1802" s="7" t="s">
        <v>18</v>
      </c>
      <c r="L1802" s="8">
        <v>39891.213356481479</v>
      </c>
      <c r="M1802" s="9" t="s">
        <v>19</v>
      </c>
      <c r="N1802" s="9" t="s">
        <v>22</v>
      </c>
      <c r="O1802" s="6" t="str">
        <f>HYPERLINK("https://pbs.twimg.com/profile_images/988971255679324162/jrqiIYf__normal.jpg","View")</f>
        <v>View</v>
      </c>
      <c r="P1802" s="7"/>
    </row>
    <row r="1803" spans="1:16">
      <c r="A1803" s="3">
        <v>44211.702905092592</v>
      </c>
      <c r="B1803" s="4" t="str">
        <f>HYPERLINK("https://twitter.com/sergio_fajardo","@sergio_fajardo")</f>
        <v>@sergio_fajardo</v>
      </c>
      <c r="C1803" s="5" t="s">
        <v>16</v>
      </c>
      <c r="D1803" s="5" t="s">
        <v>1824</v>
      </c>
      <c r="E1803" s="6" t="str">
        <f>HYPERLINK("https://twitter.com/sergio_fajardo/status/1350040581075046400","1350040581075046400")</f>
        <v>1350040581075046400</v>
      </c>
      <c r="F1803" s="7" t="s">
        <v>17</v>
      </c>
      <c r="G1803" s="7">
        <v>1565108</v>
      </c>
      <c r="H1803" s="7">
        <v>406</v>
      </c>
      <c r="I1803" s="7">
        <v>244</v>
      </c>
      <c r="J1803" s="7">
        <v>0</v>
      </c>
      <c r="K1803" s="7" t="s">
        <v>18</v>
      </c>
      <c r="L1803" s="8">
        <v>39891.213356481479</v>
      </c>
      <c r="M1803" s="9" t="s">
        <v>19</v>
      </c>
      <c r="N1803" s="9" t="s">
        <v>22</v>
      </c>
      <c r="O1803" s="6" t="str">
        <f>HYPERLINK("https://pbs.twimg.com/profile_images/988971255679324162/jrqiIYf__normal.jpg","View")</f>
        <v>View</v>
      </c>
      <c r="P1803" s="7"/>
    </row>
    <row r="1804" spans="1:16">
      <c r="A1804" s="3">
        <v>44211.704965277779</v>
      </c>
      <c r="B1804" s="4" t="str">
        <f>HYPERLINK("https://twitter.com/sergio_fajardo","@sergio_fajardo")</f>
        <v>@sergio_fajardo</v>
      </c>
      <c r="C1804" s="5" t="s">
        <v>16</v>
      </c>
      <c r="D1804" s="5" t="s">
        <v>1825</v>
      </c>
      <c r="E1804" s="6" t="str">
        <f>HYPERLINK("https://twitter.com/sergio_fajardo/status/1350041327346577408","1350041327346577408")</f>
        <v>1350041327346577408</v>
      </c>
      <c r="F1804" s="7" t="s">
        <v>17</v>
      </c>
      <c r="G1804" s="7">
        <v>1565108</v>
      </c>
      <c r="H1804" s="7">
        <v>406</v>
      </c>
      <c r="I1804" s="7">
        <v>336</v>
      </c>
      <c r="J1804" s="7">
        <v>0</v>
      </c>
      <c r="K1804" s="7" t="s">
        <v>18</v>
      </c>
      <c r="L1804" s="8">
        <v>39891.213356481479</v>
      </c>
      <c r="M1804" s="9" t="s">
        <v>19</v>
      </c>
      <c r="N1804" s="9" t="s">
        <v>22</v>
      </c>
      <c r="O1804" s="6" t="str">
        <f>HYPERLINK("https://pbs.twimg.com/profile_images/988971255679324162/jrqiIYf__normal.jpg","View")</f>
        <v>View</v>
      </c>
      <c r="P1804" s="7"/>
    </row>
    <row r="1805" spans="1:16">
      <c r="A1805" s="3">
        <v>44212.676006944443</v>
      </c>
      <c r="B1805" s="4" t="str">
        <f>HYPERLINK("https://twitter.com/sergio_fajardo","@sergio_fajardo")</f>
        <v>@sergio_fajardo</v>
      </c>
      <c r="C1805" s="5" t="s">
        <v>16</v>
      </c>
      <c r="D1805" s="5" t="s">
        <v>1826</v>
      </c>
      <c r="E1805" s="6" t="str">
        <f>HYPERLINK("https://twitter.com/sergio_fajardo/status/1350393221474611200","1350393221474611200")</f>
        <v>1350393221474611200</v>
      </c>
      <c r="F1805" s="7" t="s">
        <v>17</v>
      </c>
      <c r="G1805" s="7">
        <v>1565311</v>
      </c>
      <c r="H1805" s="7">
        <v>406</v>
      </c>
      <c r="I1805" s="7">
        <v>5</v>
      </c>
      <c r="J1805" s="7">
        <v>0</v>
      </c>
      <c r="K1805" s="7" t="s">
        <v>18</v>
      </c>
      <c r="L1805" s="8">
        <v>39891.213356481479</v>
      </c>
      <c r="M1805" s="9" t="s">
        <v>19</v>
      </c>
      <c r="N1805" s="9" t="s">
        <v>22</v>
      </c>
      <c r="O1805" s="6" t="str">
        <f>HYPERLINK("https://pbs.twimg.com/profile_images/988971255679324162/jrqiIYf__normal.jpg","View")</f>
        <v>View</v>
      </c>
      <c r="P1805" s="7"/>
    </row>
    <row r="1806" spans="1:16">
      <c r="A1806" s="3">
        <v>44213.176840277782</v>
      </c>
      <c r="B1806" s="4" t="str">
        <f>HYPERLINK("https://twitter.com/sergio_fajardo","@sergio_fajardo")</f>
        <v>@sergio_fajardo</v>
      </c>
      <c r="C1806" s="5" t="s">
        <v>16</v>
      </c>
      <c r="D1806" s="5" t="s">
        <v>1827</v>
      </c>
      <c r="E1806" s="6" t="str">
        <f>HYPERLINK("https://twitter.com/sergio_fajardo/status/1350574715002355716","1350574715002355716")</f>
        <v>1350574715002355716</v>
      </c>
      <c r="F1806" s="7" t="s">
        <v>20</v>
      </c>
      <c r="G1806" s="7">
        <v>1565399</v>
      </c>
      <c r="H1806" s="7">
        <v>406</v>
      </c>
      <c r="I1806" s="7">
        <v>2</v>
      </c>
      <c r="J1806" s="7">
        <v>0</v>
      </c>
      <c r="K1806" s="7" t="s">
        <v>18</v>
      </c>
      <c r="L1806" s="8">
        <v>39891.213356481479</v>
      </c>
      <c r="M1806" s="9" t="s">
        <v>19</v>
      </c>
      <c r="N1806" s="9" t="s">
        <v>22</v>
      </c>
      <c r="O1806" s="6" t="str">
        <f>HYPERLINK("https://pbs.twimg.com/profile_images/988971255679324162/jrqiIYf__normal.jpg","View")</f>
        <v>View</v>
      </c>
      <c r="P1806" s="7"/>
    </row>
    <row r="1807" spans="1:16">
      <c r="A1807" s="3">
        <v>44213.187997685185</v>
      </c>
      <c r="B1807" s="4" t="str">
        <f>HYPERLINK("https://twitter.com/sergio_fajardo","@sergio_fajardo")</f>
        <v>@sergio_fajardo</v>
      </c>
      <c r="C1807" s="5" t="s">
        <v>16</v>
      </c>
      <c r="D1807" s="5" t="s">
        <v>1828</v>
      </c>
      <c r="E1807" s="6" t="str">
        <f>HYPERLINK("https://twitter.com/sergio_fajardo/status/1350578758118481922","1350578758118481922")</f>
        <v>1350578758118481922</v>
      </c>
      <c r="F1807" s="7" t="s">
        <v>17</v>
      </c>
      <c r="G1807" s="7">
        <v>1565403</v>
      </c>
      <c r="H1807" s="7">
        <v>406</v>
      </c>
      <c r="I1807" s="7">
        <v>145</v>
      </c>
      <c r="J1807" s="7">
        <v>0</v>
      </c>
      <c r="K1807" s="7" t="s">
        <v>18</v>
      </c>
      <c r="L1807" s="8">
        <v>39891.213356481479</v>
      </c>
      <c r="M1807" s="9" t="s">
        <v>19</v>
      </c>
      <c r="N1807" s="9" t="s">
        <v>22</v>
      </c>
      <c r="O1807" s="6" t="str">
        <f>HYPERLINK("https://pbs.twimg.com/profile_images/988971255679324162/jrqiIYf__normal.jpg","View")</f>
        <v>View</v>
      </c>
      <c r="P1807" s="7"/>
    </row>
    <row r="1808" spans="1:16">
      <c r="A1808" s="3">
        <v>44213.846458333333</v>
      </c>
      <c r="B1808" s="4" t="str">
        <f>HYPERLINK("https://twitter.com/sergio_fajardo","@sergio_fajardo")</f>
        <v>@sergio_fajardo</v>
      </c>
      <c r="C1808" s="5" t="s">
        <v>16</v>
      </c>
      <c r="D1808" s="5" t="s">
        <v>1829</v>
      </c>
      <c r="E1808" s="6" t="str">
        <f>HYPERLINK("https://twitter.com/sergio_fajardo/status/1350817376997175298","1350817376997175298")</f>
        <v>1350817376997175298</v>
      </c>
      <c r="F1808" s="7" t="s">
        <v>17</v>
      </c>
      <c r="G1808" s="7">
        <v>1565459</v>
      </c>
      <c r="H1808" s="7">
        <v>405</v>
      </c>
      <c r="I1808" s="7">
        <v>42</v>
      </c>
      <c r="J1808" s="7">
        <v>0</v>
      </c>
      <c r="K1808" s="7" t="s">
        <v>18</v>
      </c>
      <c r="L1808" s="8">
        <v>39891.213356481479</v>
      </c>
      <c r="M1808" s="9" t="s">
        <v>19</v>
      </c>
      <c r="N1808" s="9" t="s">
        <v>22</v>
      </c>
      <c r="O1808" s="6" t="str">
        <f>HYPERLINK("https://pbs.twimg.com/profile_images/988971255679324162/jrqiIYf__normal.jpg","View")</f>
        <v>View</v>
      </c>
      <c r="P1808" s="7"/>
    </row>
    <row r="1809" spans="1:16">
      <c r="A1809" s="3">
        <v>44213.847083333334</v>
      </c>
      <c r="B1809" s="4" t="str">
        <f>HYPERLINK("https://twitter.com/sergio_fajardo","@sergio_fajardo")</f>
        <v>@sergio_fajardo</v>
      </c>
      <c r="C1809" s="5" t="s">
        <v>16</v>
      </c>
      <c r="D1809" s="5" t="s">
        <v>1830</v>
      </c>
      <c r="E1809" s="6" t="str">
        <f>HYPERLINK("https://twitter.com/sergio_fajardo/status/1350817605918011395","1350817605918011395")</f>
        <v>1350817605918011395</v>
      </c>
      <c r="F1809" s="7" t="s">
        <v>17</v>
      </c>
      <c r="G1809" s="7">
        <v>1565459</v>
      </c>
      <c r="H1809" s="7">
        <v>405</v>
      </c>
      <c r="I1809" s="7">
        <v>42</v>
      </c>
      <c r="J1809" s="7">
        <v>0</v>
      </c>
      <c r="K1809" s="7" t="s">
        <v>18</v>
      </c>
      <c r="L1809" s="8">
        <v>39891.213356481479</v>
      </c>
      <c r="M1809" s="9" t="s">
        <v>19</v>
      </c>
      <c r="N1809" s="9" t="s">
        <v>22</v>
      </c>
      <c r="O1809" s="6" t="str">
        <f>HYPERLINK("https://pbs.twimg.com/profile_images/988971255679324162/jrqiIYf__normal.jpg","View")</f>
        <v>View</v>
      </c>
      <c r="P1809" s="7"/>
    </row>
    <row r="1810" spans="1:16">
      <c r="A1810" s="3">
        <v>44213.859618055554</v>
      </c>
      <c r="B1810" s="4" t="str">
        <f>HYPERLINK("https://twitter.com/sergio_fajardo","@sergio_fajardo")</f>
        <v>@sergio_fajardo</v>
      </c>
      <c r="C1810" s="5" t="s">
        <v>16</v>
      </c>
      <c r="D1810" s="5" t="s">
        <v>1831</v>
      </c>
      <c r="E1810" s="6" t="str">
        <f>HYPERLINK("https://twitter.com/sergio_fajardo/status/1350822145648193536","1350822145648193536")</f>
        <v>1350822145648193536</v>
      </c>
      <c r="F1810" s="7" t="s">
        <v>17</v>
      </c>
      <c r="G1810" s="7">
        <v>1565459</v>
      </c>
      <c r="H1810" s="7">
        <v>405</v>
      </c>
      <c r="I1810" s="7">
        <v>14</v>
      </c>
      <c r="J1810" s="7">
        <v>79</v>
      </c>
      <c r="K1810" s="7" t="s">
        <v>18</v>
      </c>
      <c r="L1810" s="8">
        <v>39891.213356481479</v>
      </c>
      <c r="M1810" s="9" t="s">
        <v>19</v>
      </c>
      <c r="N1810" s="9" t="s">
        <v>22</v>
      </c>
      <c r="O1810" s="6" t="str">
        <f>HYPERLINK("https://pbs.twimg.com/profile_images/988971255679324162/jrqiIYf__normal.jpg","View")</f>
        <v>View</v>
      </c>
      <c r="P1810" s="7"/>
    </row>
    <row r="1811" spans="1:16">
      <c r="A1811" s="3">
        <v>44213.890694444446</v>
      </c>
      <c r="B1811" s="4" t="str">
        <f>HYPERLINK("https://twitter.com/sergio_fajardo","@sergio_fajardo")</f>
        <v>@sergio_fajardo</v>
      </c>
      <c r="C1811" s="5" t="s">
        <v>16</v>
      </c>
      <c r="D1811" s="5" t="s">
        <v>1832</v>
      </c>
      <c r="E1811" s="6" t="str">
        <f>HYPERLINK("https://twitter.com/sergio_fajardo/status/1350833409438986245","1350833409438986245")</f>
        <v>1350833409438986245</v>
      </c>
      <c r="F1811" s="7" t="s">
        <v>20</v>
      </c>
      <c r="G1811" s="7">
        <v>1565463</v>
      </c>
      <c r="H1811" s="7">
        <v>405</v>
      </c>
      <c r="I1811" s="7">
        <v>8</v>
      </c>
      <c r="J1811" s="7">
        <v>30</v>
      </c>
      <c r="K1811" s="7" t="s">
        <v>18</v>
      </c>
      <c r="L1811" s="8">
        <v>39891.213356481479</v>
      </c>
      <c r="M1811" s="9" t="s">
        <v>19</v>
      </c>
      <c r="N1811" s="9" t="s">
        <v>22</v>
      </c>
      <c r="O1811" s="6" t="str">
        <f>HYPERLINK("https://pbs.twimg.com/profile_images/988971255679324162/jrqiIYf__normal.jpg","View")</f>
        <v>View</v>
      </c>
      <c r="P1811" s="7"/>
    </row>
    <row r="1812" spans="1:16">
      <c r="A1812" s="3">
        <v>44215.869143518517</v>
      </c>
      <c r="B1812" s="4" t="str">
        <f>HYPERLINK("https://twitter.com/sergio_fajardo","@sergio_fajardo")</f>
        <v>@sergio_fajardo</v>
      </c>
      <c r="C1812" s="5" t="s">
        <v>16</v>
      </c>
      <c r="D1812" s="5" t="s">
        <v>1833</v>
      </c>
      <c r="E1812" s="6" t="str">
        <f>HYPERLINK("https://twitter.com/sergio_fajardo/status/1351550373148942337","1351550373148942337")</f>
        <v>1351550373148942337</v>
      </c>
      <c r="F1812" s="7" t="s">
        <v>17</v>
      </c>
      <c r="G1812" s="7">
        <v>1565606</v>
      </c>
      <c r="H1812" s="7">
        <v>405</v>
      </c>
      <c r="I1812" s="7">
        <v>384</v>
      </c>
      <c r="J1812" s="7">
        <v>0</v>
      </c>
      <c r="K1812" s="7" t="s">
        <v>18</v>
      </c>
      <c r="L1812" s="8">
        <v>39891.213356481479</v>
      </c>
      <c r="M1812" s="9" t="s">
        <v>19</v>
      </c>
      <c r="N1812" s="9" t="s">
        <v>22</v>
      </c>
      <c r="O1812" s="6" t="str">
        <f>HYPERLINK("https://pbs.twimg.com/profile_images/988971255679324162/jrqiIYf__normal.jpg","View")</f>
        <v>View</v>
      </c>
      <c r="P1812" s="7"/>
    </row>
    <row r="1813" spans="1:16">
      <c r="A1813" s="3">
        <v>44216.77920138889</v>
      </c>
      <c r="B1813" s="4" t="str">
        <f>HYPERLINK("https://twitter.com/sergio_fajardo","@sergio_fajardo")</f>
        <v>@sergio_fajardo</v>
      </c>
      <c r="C1813" s="5" t="s">
        <v>16</v>
      </c>
      <c r="D1813" s="5" t="s">
        <v>1834</v>
      </c>
      <c r="E1813" s="6" t="str">
        <f>HYPERLINK("https://twitter.com/sergio_fajardo/status/1351880170219712515","1351880170219712515")</f>
        <v>1351880170219712515</v>
      </c>
      <c r="F1813" s="7" t="s">
        <v>17</v>
      </c>
      <c r="G1813" s="7">
        <v>1565665</v>
      </c>
      <c r="H1813" s="7">
        <v>405</v>
      </c>
      <c r="I1813" s="7">
        <v>20</v>
      </c>
      <c r="J1813" s="7">
        <v>104</v>
      </c>
      <c r="K1813" s="7" t="s">
        <v>18</v>
      </c>
      <c r="L1813" s="8">
        <v>39891.213356481479</v>
      </c>
      <c r="M1813" s="9" t="s">
        <v>19</v>
      </c>
      <c r="N1813" s="9" t="s">
        <v>22</v>
      </c>
      <c r="O1813" s="6" t="str">
        <f>HYPERLINK("https://pbs.twimg.com/profile_images/988971255679324162/jrqiIYf__normal.jpg","View")</f>
        <v>View</v>
      </c>
      <c r="P1813" s="7"/>
    </row>
    <row r="1814" spans="1:16">
      <c r="A1814" s="3">
        <v>44218.252395833333</v>
      </c>
      <c r="B1814" s="4" t="str">
        <f>HYPERLINK("https://twitter.com/sergio_fajardo","@sergio_fajardo")</f>
        <v>@sergio_fajardo</v>
      </c>
      <c r="C1814" s="5" t="s">
        <v>16</v>
      </c>
      <c r="D1814" s="5" t="s">
        <v>1835</v>
      </c>
      <c r="E1814" s="6" t="str">
        <f>HYPERLINK("https://twitter.com/sergio_fajardo/status/1352414035828998146","1352414035828998146")</f>
        <v>1352414035828998146</v>
      </c>
      <c r="F1814" s="7" t="s">
        <v>20</v>
      </c>
      <c r="G1814" s="7">
        <v>1565759</v>
      </c>
      <c r="H1814" s="7">
        <v>405</v>
      </c>
      <c r="I1814" s="7">
        <v>23</v>
      </c>
      <c r="J1814" s="7">
        <v>164</v>
      </c>
      <c r="K1814" s="7" t="s">
        <v>18</v>
      </c>
      <c r="L1814" s="8">
        <v>39891.213356481479</v>
      </c>
      <c r="M1814" s="9" t="s">
        <v>19</v>
      </c>
      <c r="N1814" s="9" t="s">
        <v>22</v>
      </c>
      <c r="O1814" s="6" t="str">
        <f>HYPERLINK("https://pbs.twimg.com/profile_images/988971255679324162/jrqiIYf__normal.jpg","View")</f>
        <v>View</v>
      </c>
      <c r="P1814" s="7"/>
    </row>
    <row r="1815" spans="1:16">
      <c r="A1815" s="3">
        <v>44218.349490740744</v>
      </c>
      <c r="B1815" s="4" t="str">
        <f>HYPERLINK("https://twitter.com/sergio_fajardo","@sergio_fajardo")</f>
        <v>@sergio_fajardo</v>
      </c>
      <c r="C1815" s="5" t="s">
        <v>16</v>
      </c>
      <c r="D1815" s="5" t="s">
        <v>1836</v>
      </c>
      <c r="E1815" s="6" t="str">
        <f>HYPERLINK("https://twitter.com/sergio_fajardo/status/1352449221941743618","1352449221941743618")</f>
        <v>1352449221941743618</v>
      </c>
      <c r="F1815" s="7" t="s">
        <v>17</v>
      </c>
      <c r="G1815" s="7">
        <v>1565754</v>
      </c>
      <c r="H1815" s="7">
        <v>405</v>
      </c>
      <c r="I1815" s="7">
        <v>2</v>
      </c>
      <c r="J1815" s="7">
        <v>19</v>
      </c>
      <c r="K1815" s="7" t="s">
        <v>18</v>
      </c>
      <c r="L1815" s="8">
        <v>39891.213356481479</v>
      </c>
      <c r="M1815" s="9" t="s">
        <v>19</v>
      </c>
      <c r="N1815" s="9" t="s">
        <v>22</v>
      </c>
      <c r="O1815" s="6" t="str">
        <f>HYPERLINK("https://pbs.twimg.com/profile_images/988971255679324162/jrqiIYf__normal.jpg","View")</f>
        <v>View</v>
      </c>
      <c r="P1815" s="7"/>
    </row>
    <row r="1816" spans="1:16">
      <c r="A1816" s="3">
        <v>44218.688611111109</v>
      </c>
      <c r="B1816" s="4" t="str">
        <f>HYPERLINK("https://twitter.com/sergio_fajardo","@sergio_fajardo")</f>
        <v>@sergio_fajardo</v>
      </c>
      <c r="C1816" s="5" t="s">
        <v>16</v>
      </c>
      <c r="D1816" s="5" t="s">
        <v>1837</v>
      </c>
      <c r="E1816" s="6" t="str">
        <f>HYPERLINK("https://twitter.com/sergio_fajardo/status/1352572115485155330","1352572115485155330")</f>
        <v>1352572115485155330</v>
      </c>
      <c r="F1816" s="7" t="s">
        <v>17</v>
      </c>
      <c r="G1816" s="7">
        <v>1565806</v>
      </c>
      <c r="H1816" s="7">
        <v>405</v>
      </c>
      <c r="I1816" s="7">
        <v>0</v>
      </c>
      <c r="J1816" s="7">
        <v>3</v>
      </c>
      <c r="K1816" s="7" t="s">
        <v>18</v>
      </c>
      <c r="L1816" s="8">
        <v>39891.213356481479</v>
      </c>
      <c r="M1816" s="9" t="s">
        <v>19</v>
      </c>
      <c r="N1816" s="9" t="s">
        <v>22</v>
      </c>
      <c r="O1816" s="6" t="str">
        <f>HYPERLINK("https://pbs.twimg.com/profile_images/988971255679324162/jrqiIYf__normal.jpg","View")</f>
        <v>View</v>
      </c>
      <c r="P1816" s="7"/>
    </row>
    <row r="1817" spans="1:16">
      <c r="A1817" s="3">
        <v>44219.049768518518</v>
      </c>
      <c r="B1817" s="4" t="str">
        <f>HYPERLINK("https://twitter.com/sergio_fajardo","@sergio_fajardo")</f>
        <v>@sergio_fajardo</v>
      </c>
      <c r="C1817" s="5" t="s">
        <v>16</v>
      </c>
      <c r="D1817" s="4" t="s">
        <v>1838</v>
      </c>
      <c r="E1817" s="6" t="str">
        <f>HYPERLINK("https://twitter.com/sergio_fajardo/status/1352702993129492481","1352702993129492481")</f>
        <v>1352702993129492481</v>
      </c>
      <c r="F1817" s="7" t="s">
        <v>17</v>
      </c>
      <c r="G1817" s="7">
        <v>1565814</v>
      </c>
      <c r="H1817" s="7">
        <v>405</v>
      </c>
      <c r="I1817" s="7">
        <v>0</v>
      </c>
      <c r="J1817" s="7">
        <v>3</v>
      </c>
      <c r="K1817" s="7" t="s">
        <v>18</v>
      </c>
      <c r="L1817" s="8">
        <v>39891.213356481479</v>
      </c>
      <c r="M1817" s="9" t="s">
        <v>19</v>
      </c>
      <c r="N1817" s="9" t="s">
        <v>22</v>
      </c>
      <c r="O1817" s="6" t="str">
        <f>HYPERLINK("https://pbs.twimg.com/profile_images/988971255679324162/jrqiIYf__normal.jpg","View")</f>
        <v>View</v>
      </c>
      <c r="P1817" s="7"/>
    </row>
    <row r="1818" spans="1:16">
      <c r="A1818" s="3">
        <v>44219.724768518514</v>
      </c>
      <c r="B1818" s="4" t="str">
        <f>HYPERLINK("https://twitter.com/sergio_fajardo","@sergio_fajardo")</f>
        <v>@sergio_fajardo</v>
      </c>
      <c r="C1818" s="5" t="s">
        <v>16</v>
      </c>
      <c r="D1818" s="5" t="s">
        <v>1839</v>
      </c>
      <c r="E1818" s="6" t="str">
        <f>HYPERLINK("https://twitter.com/sergio_fajardo/status/1352947605437882370","1352947605437882370")</f>
        <v>1352947605437882370</v>
      </c>
      <c r="F1818" s="7" t="s">
        <v>17</v>
      </c>
      <c r="G1818" s="7">
        <v>1565866</v>
      </c>
      <c r="H1818" s="7">
        <v>405</v>
      </c>
      <c r="I1818" s="7">
        <v>5</v>
      </c>
      <c r="J1818" s="7">
        <v>15</v>
      </c>
      <c r="K1818" s="7" t="s">
        <v>18</v>
      </c>
      <c r="L1818" s="8">
        <v>39891.213356481479</v>
      </c>
      <c r="M1818" s="9" t="s">
        <v>19</v>
      </c>
      <c r="N1818" s="9" t="s">
        <v>22</v>
      </c>
      <c r="O1818" s="6" t="str">
        <f>HYPERLINK("https://pbs.twimg.com/profile_images/988971255679324162/jrqiIYf__normal.jpg","View")</f>
        <v>View</v>
      </c>
      <c r="P1818" s="7"/>
    </row>
    <row r="1819" spans="1:16">
      <c r="A1819" s="3">
        <v>44219.915173611109</v>
      </c>
      <c r="B1819" s="4" t="str">
        <f>HYPERLINK("https://twitter.com/sergio_fajardo","@sergio_fajardo")</f>
        <v>@sergio_fajardo</v>
      </c>
      <c r="C1819" s="5" t="s">
        <v>16</v>
      </c>
      <c r="D1819" s="5" t="s">
        <v>1840</v>
      </c>
      <c r="E1819" s="6" t="str">
        <f>HYPERLINK("https://twitter.com/sergio_fajardo/status/1353016606411141122","1353016606411141122")</f>
        <v>1353016606411141122</v>
      </c>
      <c r="F1819" s="7" t="s">
        <v>17</v>
      </c>
      <c r="G1819" s="7">
        <v>1565881</v>
      </c>
      <c r="H1819" s="7">
        <v>405</v>
      </c>
      <c r="I1819" s="7">
        <v>22</v>
      </c>
      <c r="J1819" s="7">
        <v>0</v>
      </c>
      <c r="K1819" s="7" t="s">
        <v>18</v>
      </c>
      <c r="L1819" s="8">
        <v>39891.213356481479</v>
      </c>
      <c r="M1819" s="9" t="s">
        <v>19</v>
      </c>
      <c r="N1819" s="9" t="s">
        <v>22</v>
      </c>
      <c r="O1819" s="6" t="str">
        <f>HYPERLINK("https://pbs.twimg.com/profile_images/988971255679324162/jrqiIYf__normal.jpg","View")</f>
        <v>View</v>
      </c>
      <c r="P1819" s="7"/>
    </row>
    <row r="1820" spans="1:16">
      <c r="A1820" s="3">
        <v>44219.917800925927</v>
      </c>
      <c r="B1820" s="4" t="str">
        <f>HYPERLINK("https://twitter.com/sergio_fajardo","@sergio_fajardo")</f>
        <v>@sergio_fajardo</v>
      </c>
      <c r="C1820" s="5" t="s">
        <v>16</v>
      </c>
      <c r="D1820" s="5" t="s">
        <v>1841</v>
      </c>
      <c r="E1820" s="6" t="str">
        <f>HYPERLINK("https://twitter.com/sergio_fajardo/status/1353017558300024840","1353017558300024840")</f>
        <v>1353017558300024840</v>
      </c>
      <c r="F1820" s="7" t="s">
        <v>17</v>
      </c>
      <c r="G1820" s="7">
        <v>1565881</v>
      </c>
      <c r="H1820" s="7">
        <v>405</v>
      </c>
      <c r="I1820" s="7">
        <v>106</v>
      </c>
      <c r="J1820" s="7">
        <v>0</v>
      </c>
      <c r="K1820" s="7" t="s">
        <v>18</v>
      </c>
      <c r="L1820" s="8">
        <v>39891.213356481479</v>
      </c>
      <c r="M1820" s="9" t="s">
        <v>19</v>
      </c>
      <c r="N1820" s="9" t="s">
        <v>22</v>
      </c>
      <c r="O1820" s="6" t="str">
        <f>HYPERLINK("https://pbs.twimg.com/profile_images/988971255679324162/jrqiIYf__normal.jpg","View")</f>
        <v>View</v>
      </c>
      <c r="P1820" s="7"/>
    </row>
    <row r="1821" spans="1:16">
      <c r="A1821" s="3">
        <v>44219.919004629628</v>
      </c>
      <c r="B1821" s="4" t="str">
        <f>HYPERLINK("https://twitter.com/sergio_fajardo","@sergio_fajardo")</f>
        <v>@sergio_fajardo</v>
      </c>
      <c r="C1821" s="5" t="s">
        <v>16</v>
      </c>
      <c r="D1821" s="5" t="s">
        <v>1842</v>
      </c>
      <c r="E1821" s="6" t="str">
        <f>HYPERLINK("https://twitter.com/sergio_fajardo/status/1353017994658664453","1353017994658664453")</f>
        <v>1353017994658664453</v>
      </c>
      <c r="F1821" s="7" t="s">
        <v>17</v>
      </c>
      <c r="G1821" s="7">
        <v>1565885</v>
      </c>
      <c r="H1821" s="7">
        <v>405</v>
      </c>
      <c r="I1821" s="7">
        <v>10</v>
      </c>
      <c r="J1821" s="7">
        <v>0</v>
      </c>
      <c r="K1821" s="7" t="s">
        <v>18</v>
      </c>
      <c r="L1821" s="8">
        <v>39891.213356481479</v>
      </c>
      <c r="M1821" s="9" t="s">
        <v>19</v>
      </c>
      <c r="N1821" s="9" t="s">
        <v>22</v>
      </c>
      <c r="O1821" s="6" t="str">
        <f>HYPERLINK("https://pbs.twimg.com/profile_images/988971255679324162/jrqiIYf__normal.jpg","View")</f>
        <v>View</v>
      </c>
      <c r="P1821" s="7"/>
    </row>
    <row r="1822" spans="1:16">
      <c r="A1822" s="3">
        <v>44219.919756944444</v>
      </c>
      <c r="B1822" s="4" t="str">
        <f>HYPERLINK("https://twitter.com/sergio_fajardo","@sergio_fajardo")</f>
        <v>@sergio_fajardo</v>
      </c>
      <c r="C1822" s="5" t="s">
        <v>16</v>
      </c>
      <c r="D1822" s="5" t="s">
        <v>1843</v>
      </c>
      <c r="E1822" s="6" t="str">
        <f>HYPERLINK("https://twitter.com/sergio_fajardo/status/1353018266499895296","1353018266499895296")</f>
        <v>1353018266499895296</v>
      </c>
      <c r="F1822" s="7" t="s">
        <v>17</v>
      </c>
      <c r="G1822" s="7">
        <v>1565885</v>
      </c>
      <c r="H1822" s="7">
        <v>405</v>
      </c>
      <c r="I1822" s="7">
        <v>30</v>
      </c>
      <c r="J1822" s="7">
        <v>0</v>
      </c>
      <c r="K1822" s="7" t="s">
        <v>18</v>
      </c>
      <c r="L1822" s="8">
        <v>39891.213356481479</v>
      </c>
      <c r="M1822" s="9" t="s">
        <v>19</v>
      </c>
      <c r="N1822" s="9" t="s">
        <v>22</v>
      </c>
      <c r="O1822" s="6" t="str">
        <f>HYPERLINK("https://pbs.twimg.com/profile_images/988971255679324162/jrqiIYf__normal.jpg","View")</f>
        <v>View</v>
      </c>
      <c r="P1822" s="7"/>
    </row>
    <row r="1823" spans="1:16">
      <c r="A1823" s="3">
        <v>44220.141041666662</v>
      </c>
      <c r="B1823" s="4" t="str">
        <f>HYPERLINK("https://twitter.com/sergio_fajardo","@sergio_fajardo")</f>
        <v>@sergio_fajardo</v>
      </c>
      <c r="C1823" s="5" t="s">
        <v>16</v>
      </c>
      <c r="D1823" s="5" t="s">
        <v>1844</v>
      </c>
      <c r="E1823" s="6" t="str">
        <f>HYPERLINK("https://twitter.com/sergio_fajardo/status/1353098460422090753","1353098460422090753")</f>
        <v>1353098460422090753</v>
      </c>
      <c r="F1823" s="7" t="s">
        <v>17</v>
      </c>
      <c r="G1823" s="7">
        <v>1565896</v>
      </c>
      <c r="H1823" s="7">
        <v>405</v>
      </c>
      <c r="I1823" s="7">
        <v>2009</v>
      </c>
      <c r="J1823" s="7">
        <v>0</v>
      </c>
      <c r="K1823" s="7" t="s">
        <v>18</v>
      </c>
      <c r="L1823" s="8">
        <v>39891.213356481479</v>
      </c>
      <c r="M1823" s="9" t="s">
        <v>19</v>
      </c>
      <c r="N1823" s="9" t="s">
        <v>22</v>
      </c>
      <c r="O1823" s="6" t="str">
        <f>HYPERLINK("https://pbs.twimg.com/profile_images/988971255679324162/jrqiIYf__normal.jpg","View")</f>
        <v>View</v>
      </c>
      <c r="P1823" s="7"/>
    </row>
    <row r="1824" spans="1:16">
      <c r="A1824" s="3">
        <v>44220.473541666666</v>
      </c>
      <c r="B1824" s="4" t="str">
        <f>HYPERLINK("https://twitter.com/sergio_fajardo","@sergio_fajardo")</f>
        <v>@sergio_fajardo</v>
      </c>
      <c r="C1824" s="5" t="s">
        <v>16</v>
      </c>
      <c r="D1824" s="4" t="s">
        <v>1845</v>
      </c>
      <c r="E1824" s="6" t="str">
        <f>HYPERLINK("https://twitter.com/sergio_fajardo/status/1353218953674371073","1353218953674371073")</f>
        <v>1353218953674371073</v>
      </c>
      <c r="F1824" s="7" t="s">
        <v>17</v>
      </c>
      <c r="G1824" s="7">
        <v>1565922</v>
      </c>
      <c r="H1824" s="7">
        <v>405</v>
      </c>
      <c r="I1824" s="7">
        <v>4</v>
      </c>
      <c r="J1824" s="7">
        <v>4</v>
      </c>
      <c r="K1824" s="7" t="s">
        <v>18</v>
      </c>
      <c r="L1824" s="8">
        <v>39891.213356481479</v>
      </c>
      <c r="M1824" s="9" t="s">
        <v>19</v>
      </c>
      <c r="N1824" s="9" t="s">
        <v>22</v>
      </c>
      <c r="O1824" s="6" t="str">
        <f>HYPERLINK("https://pbs.twimg.com/profile_images/988971255679324162/jrqiIYf__normal.jpg","View")</f>
        <v>View</v>
      </c>
      <c r="P1824" s="7"/>
    </row>
    <row r="1825" spans="1:16">
      <c r="A1825" s="3">
        <v>44220.685127314813</v>
      </c>
      <c r="B1825" s="4" t="str">
        <f>HYPERLINK("https://twitter.com/sergio_fajardo","@sergio_fajardo")</f>
        <v>@sergio_fajardo</v>
      </c>
      <c r="C1825" s="5" t="s">
        <v>16</v>
      </c>
      <c r="D1825" s="4" t="s">
        <v>1845</v>
      </c>
      <c r="E1825" s="6" t="str">
        <f>HYPERLINK("https://twitter.com/sergio_fajardo/status/1353295629401919489","1353295629401919489")</f>
        <v>1353295629401919489</v>
      </c>
      <c r="F1825" s="7" t="s">
        <v>17</v>
      </c>
      <c r="G1825" s="7">
        <v>1565925</v>
      </c>
      <c r="H1825" s="7">
        <v>405</v>
      </c>
      <c r="I1825" s="7">
        <v>0</v>
      </c>
      <c r="J1825" s="7">
        <v>0</v>
      </c>
      <c r="K1825" s="7" t="s">
        <v>18</v>
      </c>
      <c r="L1825" s="8">
        <v>39891.213356481479</v>
      </c>
      <c r="M1825" s="9" t="s">
        <v>19</v>
      </c>
      <c r="N1825" s="9" t="s">
        <v>22</v>
      </c>
      <c r="O1825" s="6" t="str">
        <f>HYPERLINK("https://pbs.twimg.com/profile_images/988971255679324162/jrqiIYf__normal.jpg","View")</f>
        <v>View</v>
      </c>
      <c r="P1825" s="7"/>
    </row>
    <row r="1826" spans="1:16">
      <c r="A1826" s="3">
        <v>44221.258622685185</v>
      </c>
      <c r="B1826" s="4" t="str">
        <f>HYPERLINK("https://twitter.com/sergio_fajardo","@sergio_fajardo")</f>
        <v>@sergio_fajardo</v>
      </c>
      <c r="C1826" s="5" t="s">
        <v>16</v>
      </c>
      <c r="D1826" s="5" t="s">
        <v>1846</v>
      </c>
      <c r="E1826" s="6" t="str">
        <f>HYPERLINK("https://twitter.com/sergio_fajardo/status/1353503456233926664","1353503456233926664")</f>
        <v>1353503456233926664</v>
      </c>
      <c r="F1826" s="7" t="s">
        <v>23</v>
      </c>
      <c r="G1826" s="7">
        <v>1565956</v>
      </c>
      <c r="H1826" s="7">
        <v>405</v>
      </c>
      <c r="I1826" s="7">
        <v>3</v>
      </c>
      <c r="J1826" s="7">
        <v>26</v>
      </c>
      <c r="K1826" s="7" t="s">
        <v>18</v>
      </c>
      <c r="L1826" s="8">
        <v>39891.213356481479</v>
      </c>
      <c r="M1826" s="9" t="s">
        <v>19</v>
      </c>
      <c r="N1826" s="9" t="s">
        <v>22</v>
      </c>
      <c r="O1826" s="6" t="str">
        <f>HYPERLINK("https://pbs.twimg.com/profile_images/988971255679324162/jrqiIYf__normal.jpg","View")</f>
        <v>View</v>
      </c>
      <c r="P1826" s="7"/>
    </row>
    <row r="1827" spans="1:16">
      <c r="A1827" s="3">
        <v>44221.993356481486</v>
      </c>
      <c r="B1827" s="4" t="str">
        <f>HYPERLINK("https://twitter.com/sergio_fajardo","@sergio_fajardo")</f>
        <v>@sergio_fajardo</v>
      </c>
      <c r="C1827" s="5" t="s">
        <v>16</v>
      </c>
      <c r="D1827" s="5" t="s">
        <v>1847</v>
      </c>
      <c r="E1827" s="6" t="str">
        <f>HYPERLINK("https://twitter.com/sergio_fajardo/status/1353769716897230853","1353769716897230853")</f>
        <v>1353769716897230853</v>
      </c>
      <c r="F1827" s="7" t="s">
        <v>20</v>
      </c>
      <c r="G1827" s="7">
        <v>1565984</v>
      </c>
      <c r="H1827" s="7">
        <v>405</v>
      </c>
      <c r="I1827" s="7">
        <v>11</v>
      </c>
      <c r="J1827" s="7">
        <v>59</v>
      </c>
      <c r="K1827" s="7" t="s">
        <v>18</v>
      </c>
      <c r="L1827" s="8">
        <v>39891.213356481479</v>
      </c>
      <c r="M1827" s="9" t="s">
        <v>19</v>
      </c>
      <c r="N1827" s="9" t="s">
        <v>22</v>
      </c>
      <c r="O1827" s="6" t="str">
        <f>HYPERLINK("https://pbs.twimg.com/profile_images/988971255679324162/jrqiIYf__normal.jpg","View")</f>
        <v>View</v>
      </c>
      <c r="P1827" s="7"/>
    </row>
    <row r="1828" spans="1:16">
      <c r="A1828" s="3">
        <v>44222.211099537039</v>
      </c>
      <c r="B1828" s="4" t="str">
        <f>HYPERLINK("https://twitter.com/sergio_fajardo","@sergio_fajardo")</f>
        <v>@sergio_fajardo</v>
      </c>
      <c r="C1828" s="5" t="s">
        <v>16</v>
      </c>
      <c r="D1828" s="5" t="s">
        <v>1848</v>
      </c>
      <c r="E1828" s="6" t="str">
        <f>HYPERLINK("https://twitter.com/sergio_fajardo/status/1353848620467056642","1353848620467056642")</f>
        <v>1353848620467056642</v>
      </c>
      <c r="F1828" s="7" t="s">
        <v>17</v>
      </c>
      <c r="G1828" s="7">
        <v>1565996</v>
      </c>
      <c r="H1828" s="7">
        <v>405</v>
      </c>
      <c r="I1828" s="7">
        <v>9</v>
      </c>
      <c r="J1828" s="7">
        <v>0</v>
      </c>
      <c r="K1828" s="7" t="s">
        <v>18</v>
      </c>
      <c r="L1828" s="8">
        <v>39891.213356481479</v>
      </c>
      <c r="M1828" s="9" t="s">
        <v>19</v>
      </c>
      <c r="N1828" s="9" t="s">
        <v>22</v>
      </c>
      <c r="O1828" s="6" t="str">
        <f>HYPERLINK("https://pbs.twimg.com/profile_images/988971255679324162/jrqiIYf__normal.jpg","View")</f>
        <v>View</v>
      </c>
      <c r="P1828" s="7"/>
    </row>
    <row r="1829" spans="1:16">
      <c r="A1829" s="3">
        <v>44222.414270833338</v>
      </c>
      <c r="B1829" s="4" t="str">
        <f>HYPERLINK("https://twitter.com/sergio_fajardo","@sergio_fajardo")</f>
        <v>@sergio_fajardo</v>
      </c>
      <c r="C1829" s="5" t="s">
        <v>16</v>
      </c>
      <c r="D1829" s="5" t="s">
        <v>1849</v>
      </c>
      <c r="E1829" s="6" t="str">
        <f>HYPERLINK("https://twitter.com/sergio_fajardo/status/1353922248365780992","1353922248365780992")</f>
        <v>1353922248365780992</v>
      </c>
      <c r="F1829" s="7" t="s">
        <v>17</v>
      </c>
      <c r="G1829" s="7">
        <v>1566007</v>
      </c>
      <c r="H1829" s="7">
        <v>405</v>
      </c>
      <c r="I1829" s="7">
        <v>4</v>
      </c>
      <c r="J1829" s="7">
        <v>59</v>
      </c>
      <c r="K1829" s="7" t="s">
        <v>18</v>
      </c>
      <c r="L1829" s="8">
        <v>39891.213356481479</v>
      </c>
      <c r="M1829" s="9" t="s">
        <v>19</v>
      </c>
      <c r="N1829" s="9" t="s">
        <v>22</v>
      </c>
      <c r="O1829" s="6" t="str">
        <f>HYPERLINK("https://pbs.twimg.com/profile_images/988971255679324162/jrqiIYf__normal.jpg","View")</f>
        <v>View</v>
      </c>
      <c r="P1829" s="7"/>
    </row>
    <row r="1830" spans="1:16">
      <c r="A1830" s="3">
        <v>44222.6715162037</v>
      </c>
      <c r="B1830" s="4" t="str">
        <f>HYPERLINK("https://twitter.com/sergio_fajardo","@sergio_fajardo")</f>
        <v>@sergio_fajardo</v>
      </c>
      <c r="C1830" s="5" t="s">
        <v>16</v>
      </c>
      <c r="D1830" s="5" t="s">
        <v>1850</v>
      </c>
      <c r="E1830" s="6" t="str">
        <f>HYPERLINK("https://twitter.com/sergio_fajardo/status/1354015472333819906","1354015472333819906")</f>
        <v>1354015472333819906</v>
      </c>
      <c r="F1830" s="7" t="s">
        <v>17</v>
      </c>
      <c r="G1830" s="7">
        <v>1566011</v>
      </c>
      <c r="H1830" s="7">
        <v>405</v>
      </c>
      <c r="I1830" s="7">
        <v>13</v>
      </c>
      <c r="J1830" s="7">
        <v>122</v>
      </c>
      <c r="K1830" s="7" t="s">
        <v>18</v>
      </c>
      <c r="L1830" s="8">
        <v>39891.213356481479</v>
      </c>
      <c r="M1830" s="9" t="s">
        <v>19</v>
      </c>
      <c r="N1830" s="9" t="s">
        <v>22</v>
      </c>
      <c r="O1830" s="6" t="str">
        <f>HYPERLINK("https://pbs.twimg.com/profile_images/988971255679324162/jrqiIYf__normal.jpg","View")</f>
        <v>View</v>
      </c>
      <c r="P1830" s="7"/>
    </row>
    <row r="1831" spans="1:16">
      <c r="A1831" s="3">
        <v>44222.67255787037</v>
      </c>
      <c r="B1831" s="4" t="str">
        <f>HYPERLINK("https://twitter.com/sergio_fajardo","@sergio_fajardo")</f>
        <v>@sergio_fajardo</v>
      </c>
      <c r="C1831" s="5" t="s">
        <v>16</v>
      </c>
      <c r="D1831" s="5" t="s">
        <v>1851</v>
      </c>
      <c r="E1831" s="6" t="str">
        <f>HYPERLINK("https://twitter.com/sergio_fajardo/status/1354015849552748549","1354015849552748549")</f>
        <v>1354015849552748549</v>
      </c>
      <c r="F1831" s="7" t="s">
        <v>17</v>
      </c>
      <c r="G1831" s="7">
        <v>1566011</v>
      </c>
      <c r="H1831" s="7">
        <v>405</v>
      </c>
      <c r="I1831" s="7">
        <v>52</v>
      </c>
      <c r="J1831" s="7">
        <v>0</v>
      </c>
      <c r="K1831" s="7" t="s">
        <v>18</v>
      </c>
      <c r="L1831" s="8">
        <v>39891.213356481479</v>
      </c>
      <c r="M1831" s="9" t="s">
        <v>19</v>
      </c>
      <c r="N1831" s="9" t="s">
        <v>22</v>
      </c>
      <c r="O1831" s="6" t="str">
        <f>HYPERLINK("https://pbs.twimg.com/profile_images/988971255679324162/jrqiIYf__normal.jpg","View")</f>
        <v>View</v>
      </c>
      <c r="P1831" s="7"/>
    </row>
    <row r="1832" spans="1:16">
      <c r="A1832" s="3">
        <v>44222.677395833336</v>
      </c>
      <c r="B1832" s="4" t="str">
        <f>HYPERLINK("https://twitter.com/sergio_fajardo","@sergio_fajardo")</f>
        <v>@sergio_fajardo</v>
      </c>
      <c r="C1832" s="5" t="s">
        <v>16</v>
      </c>
      <c r="D1832" s="5" t="s">
        <v>1852</v>
      </c>
      <c r="E1832" s="6" t="str">
        <f>HYPERLINK("https://twitter.com/sergio_fajardo/status/1354017600758554626","1354017600758554626")</f>
        <v>1354017600758554626</v>
      </c>
      <c r="F1832" s="7" t="s">
        <v>17</v>
      </c>
      <c r="G1832" s="7">
        <v>1566011</v>
      </c>
      <c r="H1832" s="7">
        <v>405</v>
      </c>
      <c r="I1832" s="7">
        <v>7</v>
      </c>
      <c r="J1832" s="7">
        <v>28</v>
      </c>
      <c r="K1832" s="7" t="s">
        <v>18</v>
      </c>
      <c r="L1832" s="8">
        <v>39891.213356481479</v>
      </c>
      <c r="M1832" s="9" t="s">
        <v>19</v>
      </c>
      <c r="N1832" s="9" t="s">
        <v>22</v>
      </c>
      <c r="O1832" s="6" t="str">
        <f>HYPERLINK("https://pbs.twimg.com/profile_images/988971255679324162/jrqiIYf__normal.jpg","View")</f>
        <v>View</v>
      </c>
      <c r="P1832" s="7"/>
    </row>
    <row r="1833" spans="1:16">
      <c r="A1833" s="3">
        <v>44223.806539351848</v>
      </c>
      <c r="B1833" s="4" t="str">
        <f>HYPERLINK("https://twitter.com/sergio_fajardo","@sergio_fajardo")</f>
        <v>@sergio_fajardo</v>
      </c>
      <c r="C1833" s="5" t="s">
        <v>16</v>
      </c>
      <c r="D1833" s="5" t="s">
        <v>1853</v>
      </c>
      <c r="E1833" s="6" t="str">
        <f>HYPERLINK("https://twitter.com/sergio_fajardo/status/1354426789087600642","1354426789087600642")</f>
        <v>1354426789087600642</v>
      </c>
      <c r="F1833" s="7" t="s">
        <v>17</v>
      </c>
      <c r="G1833" s="7">
        <v>1566108</v>
      </c>
      <c r="H1833" s="7">
        <v>405</v>
      </c>
      <c r="I1833" s="7">
        <v>4</v>
      </c>
      <c r="J1833" s="7">
        <v>24</v>
      </c>
      <c r="K1833" s="7" t="s">
        <v>18</v>
      </c>
      <c r="L1833" s="8">
        <v>39891.213356481479</v>
      </c>
      <c r="M1833" s="9" t="s">
        <v>19</v>
      </c>
      <c r="N1833" s="9" t="s">
        <v>22</v>
      </c>
      <c r="O1833" s="6" t="str">
        <f>HYPERLINK("https://pbs.twimg.com/profile_images/988971255679324162/jrqiIYf__normal.jpg","View")</f>
        <v>View</v>
      </c>
      <c r="P1833" s="7"/>
    </row>
    <row r="1834" spans="1:16">
      <c r="A1834" s="3">
        <v>44224.133379629631</v>
      </c>
      <c r="B1834" s="4" t="str">
        <f>HYPERLINK("https://twitter.com/sergio_fajardo","@sergio_fajardo")</f>
        <v>@sergio_fajardo</v>
      </c>
      <c r="C1834" s="5" t="s">
        <v>16</v>
      </c>
      <c r="D1834" s="5" t="s">
        <v>1854</v>
      </c>
      <c r="E1834" s="6" t="str">
        <f>HYPERLINK("https://twitter.com/sergio_fajardo/status/1354545233820790784","1354545233820790784")</f>
        <v>1354545233820790784</v>
      </c>
      <c r="F1834" s="7" t="s">
        <v>17</v>
      </c>
      <c r="G1834" s="7">
        <v>1566144</v>
      </c>
      <c r="H1834" s="7">
        <v>405</v>
      </c>
      <c r="I1834" s="7">
        <v>2</v>
      </c>
      <c r="J1834" s="7">
        <v>9</v>
      </c>
      <c r="K1834" s="7" t="s">
        <v>18</v>
      </c>
      <c r="L1834" s="8">
        <v>39891.213356481479</v>
      </c>
      <c r="M1834" s="9" t="s">
        <v>19</v>
      </c>
      <c r="N1834" s="9" t="s">
        <v>22</v>
      </c>
      <c r="O1834" s="6" t="str">
        <f>HYPERLINK("https://pbs.twimg.com/profile_images/988971255679324162/jrqiIYf__normal.jpg","View")</f>
        <v>View</v>
      </c>
      <c r="P1834" s="7"/>
    </row>
    <row r="1835" spans="1:16">
      <c r="A1835" s="3">
        <v>44225.659594907411</v>
      </c>
      <c r="B1835" s="4" t="str">
        <f>HYPERLINK("https://twitter.com/sergio_fajardo","@sergio_fajardo")</f>
        <v>@sergio_fajardo</v>
      </c>
      <c r="C1835" s="5" t="s">
        <v>16</v>
      </c>
      <c r="D1835" s="5" t="s">
        <v>1855</v>
      </c>
      <c r="E1835" s="6" t="str">
        <f>HYPERLINK("https://twitter.com/sergio_fajardo/status/1355098314002325506","1355098314002325506")</f>
        <v>1355098314002325506</v>
      </c>
      <c r="F1835" s="7" t="s">
        <v>17</v>
      </c>
      <c r="G1835" s="7">
        <v>1566321</v>
      </c>
      <c r="H1835" s="7">
        <v>405</v>
      </c>
      <c r="I1835" s="7">
        <v>3</v>
      </c>
      <c r="J1835" s="7">
        <v>13</v>
      </c>
      <c r="K1835" s="7" t="s">
        <v>18</v>
      </c>
      <c r="L1835" s="8">
        <v>39891.213356481479</v>
      </c>
      <c r="M1835" s="9" t="s">
        <v>19</v>
      </c>
      <c r="N1835" s="9" t="s">
        <v>22</v>
      </c>
      <c r="O1835" s="6" t="str">
        <f>HYPERLINK("https://pbs.twimg.com/profile_images/988971255679324162/jrqiIYf__normal.jpg","View")</f>
        <v>View</v>
      </c>
      <c r="P1835" s="7"/>
    </row>
    <row r="1836" spans="1:16">
      <c r="A1836" s="3">
        <v>44225.669652777782</v>
      </c>
      <c r="B1836" s="4" t="str">
        <f>HYPERLINK("https://twitter.com/sergio_fajardo","@sergio_fajardo")</f>
        <v>@sergio_fajardo</v>
      </c>
      <c r="C1836" s="5" t="s">
        <v>16</v>
      </c>
      <c r="D1836" s="5" t="s">
        <v>1856</v>
      </c>
      <c r="E1836" s="6" t="str">
        <f>HYPERLINK("https://twitter.com/sergio_fajardo/status/1355101958282092548","1355101958282092548")</f>
        <v>1355101958282092548</v>
      </c>
      <c r="F1836" s="7" t="s">
        <v>17</v>
      </c>
      <c r="G1836" s="7">
        <v>1566321</v>
      </c>
      <c r="H1836" s="7">
        <v>405</v>
      </c>
      <c r="I1836" s="7">
        <v>26</v>
      </c>
      <c r="J1836" s="7">
        <v>0</v>
      </c>
      <c r="K1836" s="7" t="s">
        <v>18</v>
      </c>
      <c r="L1836" s="8">
        <v>39891.213356481479</v>
      </c>
      <c r="M1836" s="9" t="s">
        <v>19</v>
      </c>
      <c r="N1836" s="9" t="s">
        <v>22</v>
      </c>
      <c r="O1836" s="6" t="str">
        <f>HYPERLINK("https://pbs.twimg.com/profile_images/988971255679324162/jrqiIYf__normal.jpg","View")</f>
        <v>View</v>
      </c>
      <c r="P1836" s="7"/>
    </row>
    <row r="1837" spans="1:16">
      <c r="A1837" s="3">
        <v>44225.738333333335</v>
      </c>
      <c r="B1837" s="4" t="str">
        <f>HYPERLINK("https://twitter.com/sergio_fajardo","@sergio_fajardo")</f>
        <v>@sergio_fajardo</v>
      </c>
      <c r="C1837" s="5" t="s">
        <v>16</v>
      </c>
      <c r="D1837" s="5" t="s">
        <v>1857</v>
      </c>
      <c r="E1837" s="6" t="str">
        <f>HYPERLINK("https://twitter.com/sergio_fajardo/status/1355126850314498048","1355126850314498048")</f>
        <v>1355126850314498048</v>
      </c>
      <c r="F1837" s="7" t="s">
        <v>20</v>
      </c>
      <c r="G1837" s="7">
        <v>1566316</v>
      </c>
      <c r="H1837" s="7">
        <v>405</v>
      </c>
      <c r="I1837" s="7">
        <v>7</v>
      </c>
      <c r="J1837" s="7">
        <v>20</v>
      </c>
      <c r="K1837" s="7" t="s">
        <v>18</v>
      </c>
      <c r="L1837" s="8">
        <v>39891.213356481479</v>
      </c>
      <c r="M1837" s="9" t="s">
        <v>19</v>
      </c>
      <c r="N1837" s="9" t="s">
        <v>22</v>
      </c>
      <c r="O1837" s="6" t="str">
        <f>HYPERLINK("https://pbs.twimg.com/profile_images/988971255679324162/jrqiIYf__normal.jpg","View")</f>
        <v>View</v>
      </c>
      <c r="P1837" s="7"/>
    </row>
    <row r="1838" spans="1:16">
      <c r="A1838" s="3">
        <v>44225.858749999999</v>
      </c>
      <c r="B1838" s="4" t="str">
        <f>HYPERLINK("https://twitter.com/sergio_fajardo","@sergio_fajardo")</f>
        <v>@sergio_fajardo</v>
      </c>
      <c r="C1838" s="5" t="s">
        <v>16</v>
      </c>
      <c r="D1838" s="5" t="s">
        <v>1858</v>
      </c>
      <c r="E1838" s="6" t="str">
        <f>HYPERLINK("https://twitter.com/sergio_fajardo/status/1355170484472700930","1355170484472700930")</f>
        <v>1355170484472700930</v>
      </c>
      <c r="F1838" s="7" t="s">
        <v>17</v>
      </c>
      <c r="G1838" s="7">
        <v>1566325</v>
      </c>
      <c r="H1838" s="7">
        <v>405</v>
      </c>
      <c r="I1838" s="7">
        <v>11</v>
      </c>
      <c r="J1838" s="7">
        <v>0</v>
      </c>
      <c r="K1838" s="7" t="s">
        <v>18</v>
      </c>
      <c r="L1838" s="8">
        <v>39891.213356481479</v>
      </c>
      <c r="M1838" s="9" t="s">
        <v>19</v>
      </c>
      <c r="N1838" s="9" t="s">
        <v>22</v>
      </c>
      <c r="O1838" s="6" t="str">
        <f>HYPERLINK("https://pbs.twimg.com/profile_images/988971255679324162/jrqiIYf__normal.jpg","View")</f>
        <v>View</v>
      </c>
      <c r="P1838" s="7"/>
    </row>
    <row r="1839" spans="1:16">
      <c r="A1839" s="3">
        <v>44226.146608796298</v>
      </c>
      <c r="B1839" s="4" t="str">
        <f>HYPERLINK("https://twitter.com/sergio_fajardo","@sergio_fajardo")</f>
        <v>@sergio_fajardo</v>
      </c>
      <c r="C1839" s="5" t="s">
        <v>16</v>
      </c>
      <c r="D1839" s="5" t="s">
        <v>1859</v>
      </c>
      <c r="E1839" s="6" t="str">
        <f>HYPERLINK("https://twitter.com/sergio_fajardo/status/1355274802450354182","1355274802450354182")</f>
        <v>1355274802450354182</v>
      </c>
      <c r="F1839" s="7" t="s">
        <v>17</v>
      </c>
      <c r="G1839" s="7">
        <v>1566362</v>
      </c>
      <c r="H1839" s="7">
        <v>405</v>
      </c>
      <c r="I1839" s="7">
        <v>4</v>
      </c>
      <c r="J1839" s="7">
        <v>10</v>
      </c>
      <c r="K1839" s="7" t="s">
        <v>18</v>
      </c>
      <c r="L1839" s="8">
        <v>39891.213356481479</v>
      </c>
      <c r="M1839" s="9" t="s">
        <v>19</v>
      </c>
      <c r="N1839" s="9" t="s">
        <v>22</v>
      </c>
      <c r="O1839" s="6" t="str">
        <f>HYPERLINK("https://pbs.twimg.com/profile_images/988971255679324162/jrqiIYf__normal.jpg","View")</f>
        <v>View</v>
      </c>
      <c r="P1839" s="7"/>
    </row>
    <row r="1840" spans="1:16">
      <c r="A1840" s="3">
        <v>44227.238715277781</v>
      </c>
      <c r="B1840" s="4" t="str">
        <f>HYPERLINK("https://twitter.com/sergio_fajardo","@sergio_fajardo")</f>
        <v>@sergio_fajardo</v>
      </c>
      <c r="C1840" s="5" t="s">
        <v>16</v>
      </c>
      <c r="D1840" s="5" t="s">
        <v>1860</v>
      </c>
      <c r="E1840" s="6" t="str">
        <f>HYPERLINK("https://twitter.com/sergio_fajardo/status/1355670569581228065","1355670569581228065")</f>
        <v>1355670569581228065</v>
      </c>
      <c r="F1840" s="7" t="s">
        <v>20</v>
      </c>
      <c r="G1840" s="7">
        <v>1566436</v>
      </c>
      <c r="H1840" s="7">
        <v>405</v>
      </c>
      <c r="I1840" s="7">
        <v>1</v>
      </c>
      <c r="J1840" s="7">
        <v>6</v>
      </c>
      <c r="K1840" s="7" t="s">
        <v>18</v>
      </c>
      <c r="L1840" s="8">
        <v>39891.213356481479</v>
      </c>
      <c r="M1840" s="9" t="s">
        <v>19</v>
      </c>
      <c r="N1840" s="9" t="s">
        <v>22</v>
      </c>
      <c r="O1840" s="6" t="str">
        <f>HYPERLINK("https://pbs.twimg.com/profile_images/988971255679324162/jrqiIYf__normal.jpg","View")</f>
        <v>View</v>
      </c>
      <c r="P1840" s="7"/>
    </row>
    <row r="1841" spans="1:16">
      <c r="A1841" s="3">
        <v>44227.254050925927</v>
      </c>
      <c r="B1841" s="4" t="str">
        <f>HYPERLINK("https://twitter.com/sergio_fajardo","@sergio_fajardo")</f>
        <v>@sergio_fajardo</v>
      </c>
      <c r="C1841" s="5" t="s">
        <v>16</v>
      </c>
      <c r="D1841" s="5" t="s">
        <v>1861</v>
      </c>
      <c r="E1841" s="6" t="str">
        <f>HYPERLINK("https://twitter.com/sergio_fajardo/status/1355676124706205696","1355676124706205696")</f>
        <v>1355676124706205696</v>
      </c>
      <c r="F1841" s="7" t="s">
        <v>17</v>
      </c>
      <c r="G1841" s="7">
        <v>1566439</v>
      </c>
      <c r="H1841" s="7">
        <v>406</v>
      </c>
      <c r="I1841" s="7">
        <v>83</v>
      </c>
      <c r="J1841" s="7">
        <v>0</v>
      </c>
      <c r="K1841" s="7" t="s">
        <v>18</v>
      </c>
      <c r="L1841" s="8">
        <v>39891.213356481479</v>
      </c>
      <c r="M1841" s="9" t="s">
        <v>19</v>
      </c>
      <c r="N1841" s="9" t="s">
        <v>22</v>
      </c>
      <c r="O1841" s="6" t="str">
        <f>HYPERLINK("https://pbs.twimg.com/profile_images/988971255679324162/jrqiIYf__normal.jpg","View")</f>
        <v>View</v>
      </c>
      <c r="P1841" s="7"/>
    </row>
    <row r="1842" spans="1:16">
      <c r="A1842" s="3">
        <v>44228.302777777775</v>
      </c>
      <c r="B1842" s="4" t="str">
        <f>HYPERLINK("https://twitter.com/sergio_fajardo","@sergio_fajardo")</f>
        <v>@sergio_fajardo</v>
      </c>
      <c r="C1842" s="5" t="s">
        <v>16</v>
      </c>
      <c r="D1842" s="5" t="s">
        <v>1862</v>
      </c>
      <c r="E1842" s="6" t="str">
        <f>HYPERLINK("https://twitter.com/sergio_fajardo/status/1356056174404268033","1356056174404268033")</f>
        <v>1356056174404268033</v>
      </c>
      <c r="F1842" s="7" t="s">
        <v>17</v>
      </c>
      <c r="G1842" s="7">
        <v>1566507</v>
      </c>
      <c r="H1842" s="7">
        <v>406</v>
      </c>
      <c r="I1842" s="7">
        <v>2</v>
      </c>
      <c r="J1842" s="7">
        <v>5</v>
      </c>
      <c r="K1842" s="7" t="s">
        <v>18</v>
      </c>
      <c r="L1842" s="8">
        <v>39891.213356481479</v>
      </c>
      <c r="M1842" s="9" t="s">
        <v>19</v>
      </c>
      <c r="N1842" s="9" t="s">
        <v>22</v>
      </c>
      <c r="O1842" s="6" t="str">
        <f>HYPERLINK("https://pbs.twimg.com/profile_images/988971255679324162/jrqiIYf__normal.jpg","View")</f>
        <v>View</v>
      </c>
      <c r="P1842" s="7"/>
    </row>
    <row r="1843" spans="1:16">
      <c r="A1843" s="3">
        <v>44228.370451388888</v>
      </c>
      <c r="B1843" s="4" t="str">
        <f>HYPERLINK("https://twitter.com/sergio_fajardo","@sergio_fajardo")</f>
        <v>@sergio_fajardo</v>
      </c>
      <c r="C1843" s="5" t="s">
        <v>16</v>
      </c>
      <c r="D1843" s="5" t="s">
        <v>1863</v>
      </c>
      <c r="E1843" s="6" t="str">
        <f>HYPERLINK("https://twitter.com/sergio_fajardo/status/1356080696343855107","1356080696343855107")</f>
        <v>1356080696343855107</v>
      </c>
      <c r="F1843" s="7" t="s">
        <v>17</v>
      </c>
      <c r="G1843" s="7">
        <v>1566511</v>
      </c>
      <c r="H1843" s="7">
        <v>406</v>
      </c>
      <c r="I1843" s="7">
        <v>270</v>
      </c>
      <c r="J1843" s="7">
        <v>0</v>
      </c>
      <c r="K1843" s="7" t="s">
        <v>18</v>
      </c>
      <c r="L1843" s="8">
        <v>39891.213356481479</v>
      </c>
      <c r="M1843" s="9" t="s">
        <v>19</v>
      </c>
      <c r="N1843" s="9" t="s">
        <v>22</v>
      </c>
      <c r="O1843" s="6" t="str">
        <f>HYPERLINK("https://pbs.twimg.com/profile_images/988971255679324162/jrqiIYf__normal.jpg","View")</f>
        <v>View</v>
      </c>
      <c r="P1843" s="7"/>
    </row>
    <row r="1844" spans="1:16">
      <c r="A1844" s="3">
        <v>44228.378831018519</v>
      </c>
      <c r="B1844" s="4" t="str">
        <f>HYPERLINK("https://twitter.com/sergio_fajardo","@sergio_fajardo")</f>
        <v>@sergio_fajardo</v>
      </c>
      <c r="C1844" s="5" t="s">
        <v>16</v>
      </c>
      <c r="D1844" s="5" t="s">
        <v>1864</v>
      </c>
      <c r="E1844" s="6" t="str">
        <f>HYPERLINK("https://twitter.com/sergio_fajardo/status/1356083733602906112","1356083733602906112")</f>
        <v>1356083733602906112</v>
      </c>
      <c r="F1844" s="7" t="s">
        <v>17</v>
      </c>
      <c r="G1844" s="7">
        <v>1566511</v>
      </c>
      <c r="H1844" s="7">
        <v>406</v>
      </c>
      <c r="I1844" s="7">
        <v>19</v>
      </c>
      <c r="J1844" s="7">
        <v>0</v>
      </c>
      <c r="K1844" s="7" t="s">
        <v>18</v>
      </c>
      <c r="L1844" s="8">
        <v>39891.213356481479</v>
      </c>
      <c r="M1844" s="9" t="s">
        <v>19</v>
      </c>
      <c r="N1844" s="9" t="s">
        <v>22</v>
      </c>
      <c r="O1844" s="6" t="str">
        <f>HYPERLINK("https://pbs.twimg.com/profile_images/988971255679324162/jrqiIYf__normal.jpg","View")</f>
        <v>View</v>
      </c>
      <c r="P1844" s="7"/>
    </row>
    <row r="1845" spans="1:16">
      <c r="A1845" s="3">
        <v>44228.378912037035</v>
      </c>
      <c r="B1845" s="4" t="str">
        <f>HYPERLINK("https://twitter.com/sergio_fajardo","@sergio_fajardo")</f>
        <v>@sergio_fajardo</v>
      </c>
      <c r="C1845" s="5" t="s">
        <v>16</v>
      </c>
      <c r="D1845" s="5" t="s">
        <v>1865</v>
      </c>
      <c r="E1845" s="6" t="str">
        <f>HYPERLINK("https://twitter.com/sergio_fajardo/status/1356083764443705344","1356083764443705344")</f>
        <v>1356083764443705344</v>
      </c>
      <c r="F1845" s="7" t="s">
        <v>17</v>
      </c>
      <c r="G1845" s="7">
        <v>1566511</v>
      </c>
      <c r="H1845" s="7">
        <v>406</v>
      </c>
      <c r="I1845" s="7">
        <v>105</v>
      </c>
      <c r="J1845" s="7">
        <v>0</v>
      </c>
      <c r="K1845" s="7" t="s">
        <v>18</v>
      </c>
      <c r="L1845" s="8">
        <v>39891.213356481479</v>
      </c>
      <c r="M1845" s="9" t="s">
        <v>19</v>
      </c>
      <c r="N1845" s="9" t="s">
        <v>22</v>
      </c>
      <c r="O1845" s="6" t="str">
        <f>HYPERLINK("https://pbs.twimg.com/profile_images/988971255679324162/jrqiIYf__normal.jpg","View")</f>
        <v>View</v>
      </c>
      <c r="P1845" s="7"/>
    </row>
    <row r="1846" spans="1:16">
      <c r="A1846" s="3">
        <v>44229.895694444444</v>
      </c>
      <c r="B1846" s="4" t="str">
        <f>HYPERLINK("https://twitter.com/sergio_fajardo","@sergio_fajardo")</f>
        <v>@sergio_fajardo</v>
      </c>
      <c r="C1846" s="5" t="s">
        <v>16</v>
      </c>
      <c r="D1846" s="5" t="s">
        <v>1866</v>
      </c>
      <c r="E1846" s="6" t="str">
        <f>HYPERLINK("https://twitter.com/sergio_fajardo/status/1356633425759854598","1356633425759854598")</f>
        <v>1356633425759854598</v>
      </c>
      <c r="F1846" s="7" t="s">
        <v>20</v>
      </c>
      <c r="G1846" s="7">
        <v>1566539</v>
      </c>
      <c r="H1846" s="7">
        <v>406</v>
      </c>
      <c r="I1846" s="7">
        <v>7</v>
      </c>
      <c r="J1846" s="7">
        <v>24</v>
      </c>
      <c r="K1846" s="7" t="s">
        <v>18</v>
      </c>
      <c r="L1846" s="8">
        <v>39891.213356481479</v>
      </c>
      <c r="M1846" s="9" t="s">
        <v>19</v>
      </c>
      <c r="N1846" s="9" t="s">
        <v>22</v>
      </c>
      <c r="O1846" s="6" t="str">
        <f>HYPERLINK("https://pbs.twimg.com/profile_images/988971255679324162/jrqiIYf__normal.jpg","View")</f>
        <v>View</v>
      </c>
      <c r="P1846" s="7"/>
    </row>
    <row r="1847" spans="1:16">
      <c r="A1847" s="3">
        <v>44229.895983796298</v>
      </c>
      <c r="B1847" s="4" t="str">
        <f>HYPERLINK("https://twitter.com/sergio_fajardo","@sergio_fajardo")</f>
        <v>@sergio_fajardo</v>
      </c>
      <c r="C1847" s="5" t="s">
        <v>16</v>
      </c>
      <c r="D1847" s="5" t="s">
        <v>1867</v>
      </c>
      <c r="E1847" s="6" t="str">
        <f>HYPERLINK("https://twitter.com/sergio_fajardo/status/1356633529661198337","1356633529661198337")</f>
        <v>1356633529661198337</v>
      </c>
      <c r="F1847" s="7" t="s">
        <v>20</v>
      </c>
      <c r="G1847" s="7">
        <v>1566539</v>
      </c>
      <c r="H1847" s="7">
        <v>406</v>
      </c>
      <c r="I1847" s="7">
        <v>5</v>
      </c>
      <c r="J1847" s="7">
        <v>0</v>
      </c>
      <c r="K1847" s="7" t="s">
        <v>18</v>
      </c>
      <c r="L1847" s="8">
        <v>39891.213356481479</v>
      </c>
      <c r="M1847" s="9" t="s">
        <v>19</v>
      </c>
      <c r="N1847" s="9" t="s">
        <v>22</v>
      </c>
      <c r="O1847" s="6" t="str">
        <f>HYPERLINK("https://pbs.twimg.com/profile_images/988971255679324162/jrqiIYf__normal.jpg","View")</f>
        <v>View</v>
      </c>
      <c r="P1847" s="7"/>
    </row>
    <row r="1848" spans="1:16">
      <c r="A1848" s="3">
        <v>44230.172025462962</v>
      </c>
      <c r="B1848" s="4" t="str">
        <f>HYPERLINK("https://twitter.com/sergio_fajardo","@sergio_fajardo")</f>
        <v>@sergio_fajardo</v>
      </c>
      <c r="C1848" s="5" t="s">
        <v>16</v>
      </c>
      <c r="D1848" s="5" t="s">
        <v>1868</v>
      </c>
      <c r="E1848" s="6" t="str">
        <f>HYPERLINK("https://twitter.com/sergio_fajardo/status/1356733565187276800","1356733565187276800")</f>
        <v>1356733565187276800</v>
      </c>
      <c r="F1848" s="7" t="s">
        <v>17</v>
      </c>
      <c r="G1848" s="7">
        <v>1566587</v>
      </c>
      <c r="H1848" s="7">
        <v>406</v>
      </c>
      <c r="I1848" s="7">
        <v>8</v>
      </c>
      <c r="J1848" s="7">
        <v>0</v>
      </c>
      <c r="K1848" s="7" t="s">
        <v>18</v>
      </c>
      <c r="L1848" s="8">
        <v>39891.213356481479</v>
      </c>
      <c r="M1848" s="9" t="s">
        <v>19</v>
      </c>
      <c r="N1848" s="9" t="s">
        <v>22</v>
      </c>
      <c r="O1848" s="6" t="str">
        <f>HYPERLINK("https://pbs.twimg.com/profile_images/988971255679324162/jrqiIYf__normal.jpg","View")</f>
        <v>View</v>
      </c>
      <c r="P1848" s="7"/>
    </row>
    <row r="1849" spans="1:16">
      <c r="A1849" s="3">
        <v>44230.363587962958</v>
      </c>
      <c r="B1849" s="4" t="str">
        <f>HYPERLINK("https://twitter.com/sergio_fajardo","@sergio_fajardo")</f>
        <v>@sergio_fajardo</v>
      </c>
      <c r="C1849" s="5" t="s">
        <v>16</v>
      </c>
      <c r="D1849" s="5" t="s">
        <v>1869</v>
      </c>
      <c r="E1849" s="6" t="str">
        <f>HYPERLINK("https://twitter.com/sergio_fajardo/status/1356802984966057985","1356802984966057985")</f>
        <v>1356802984966057985</v>
      </c>
      <c r="F1849" s="7" t="s">
        <v>17</v>
      </c>
      <c r="G1849" s="7">
        <v>1566643</v>
      </c>
      <c r="H1849" s="7">
        <v>406</v>
      </c>
      <c r="I1849" s="7">
        <v>21</v>
      </c>
      <c r="J1849" s="7">
        <v>65</v>
      </c>
      <c r="K1849" s="7" t="s">
        <v>18</v>
      </c>
      <c r="L1849" s="8">
        <v>39891.213356481479</v>
      </c>
      <c r="M1849" s="9" t="s">
        <v>19</v>
      </c>
      <c r="N1849" s="9" t="s">
        <v>22</v>
      </c>
      <c r="O1849" s="6" t="str">
        <f>HYPERLINK("https://pbs.twimg.com/profile_images/988971255679324162/jrqiIYf__normal.jpg","View")</f>
        <v>View</v>
      </c>
      <c r="P1849" s="7"/>
    </row>
    <row r="1850" spans="1:16">
      <c r="A1850" s="3">
        <v>44230.764583333337</v>
      </c>
      <c r="B1850" s="4" t="str">
        <f>HYPERLINK("https://twitter.com/sergio_fajardo","@sergio_fajardo")</f>
        <v>@sergio_fajardo</v>
      </c>
      <c r="C1850" s="5" t="s">
        <v>16</v>
      </c>
      <c r="D1850" s="5" t="s">
        <v>1870</v>
      </c>
      <c r="E1850" s="6" t="str">
        <f>HYPERLINK("https://twitter.com/sergio_fajardo/status/1356948300709179400","1356948300709179400")</f>
        <v>1356948300709179400</v>
      </c>
      <c r="F1850" s="7" t="s">
        <v>17</v>
      </c>
      <c r="G1850" s="7">
        <v>1566678</v>
      </c>
      <c r="H1850" s="7">
        <v>406</v>
      </c>
      <c r="I1850" s="7">
        <v>12</v>
      </c>
      <c r="J1850" s="7">
        <v>0</v>
      </c>
      <c r="K1850" s="7" t="s">
        <v>18</v>
      </c>
      <c r="L1850" s="8">
        <v>39891.213356481479</v>
      </c>
      <c r="M1850" s="9" t="s">
        <v>19</v>
      </c>
      <c r="N1850" s="9" t="s">
        <v>22</v>
      </c>
      <c r="O1850" s="6" t="str">
        <f>HYPERLINK("https://pbs.twimg.com/profile_images/988971255679324162/jrqiIYf__normal.jpg","View")</f>
        <v>View</v>
      </c>
      <c r="P1850" s="7"/>
    </row>
    <row r="1851" spans="1:16">
      <c r="A1851" s="3">
        <v>44230.833784722221</v>
      </c>
      <c r="B1851" s="4" t="str">
        <f>HYPERLINK("https://twitter.com/sergio_fajardo","@sergio_fajardo")</f>
        <v>@sergio_fajardo</v>
      </c>
      <c r="C1851" s="5" t="s">
        <v>16</v>
      </c>
      <c r="D1851" s="5" t="s">
        <v>1871</v>
      </c>
      <c r="E1851" s="6" t="str">
        <f>HYPERLINK("https://twitter.com/sergio_fajardo/status/1356973378377314318","1356973378377314318")</f>
        <v>1356973378377314318</v>
      </c>
      <c r="F1851" s="7" t="s">
        <v>17</v>
      </c>
      <c r="G1851" s="7">
        <v>1566676</v>
      </c>
      <c r="H1851" s="7">
        <v>406</v>
      </c>
      <c r="I1851" s="7">
        <v>13</v>
      </c>
      <c r="J1851" s="7">
        <v>67</v>
      </c>
      <c r="K1851" s="7" t="s">
        <v>18</v>
      </c>
      <c r="L1851" s="8">
        <v>39891.213356481479</v>
      </c>
      <c r="M1851" s="9" t="s">
        <v>19</v>
      </c>
      <c r="N1851" s="9" t="s">
        <v>22</v>
      </c>
      <c r="O1851" s="6" t="str">
        <f>HYPERLINK("https://pbs.twimg.com/profile_images/988971255679324162/jrqiIYf__normal.jpg","View")</f>
        <v>View</v>
      </c>
      <c r="P1851" s="7"/>
    </row>
    <row r="1852" spans="1:16">
      <c r="A1852" s="3">
        <v>44230.837430555555</v>
      </c>
      <c r="B1852" s="4" t="str">
        <f>HYPERLINK("https://twitter.com/sergio_fajardo","@sergio_fajardo")</f>
        <v>@sergio_fajardo</v>
      </c>
      <c r="C1852" s="5" t="s">
        <v>16</v>
      </c>
      <c r="D1852" s="5" t="s">
        <v>1872</v>
      </c>
      <c r="E1852" s="6" t="str">
        <f>HYPERLINK("https://twitter.com/sergio_fajardo/status/1356974697875984387","1356974697875984387")</f>
        <v>1356974697875984387</v>
      </c>
      <c r="F1852" s="7" t="s">
        <v>17</v>
      </c>
      <c r="G1852" s="7">
        <v>1566676</v>
      </c>
      <c r="H1852" s="7">
        <v>406</v>
      </c>
      <c r="I1852" s="7">
        <v>33</v>
      </c>
      <c r="J1852" s="7">
        <v>0</v>
      </c>
      <c r="K1852" s="7" t="s">
        <v>18</v>
      </c>
      <c r="L1852" s="8">
        <v>39891.213356481479</v>
      </c>
      <c r="M1852" s="9" t="s">
        <v>19</v>
      </c>
      <c r="N1852" s="9" t="s">
        <v>22</v>
      </c>
      <c r="O1852" s="6" t="str">
        <f>HYPERLINK("https://pbs.twimg.com/profile_images/988971255679324162/jrqiIYf__normal.jpg","View")</f>
        <v>View</v>
      </c>
      <c r="P1852" s="7"/>
    </row>
    <row r="1853" spans="1:16">
      <c r="A1853" s="3">
        <v>44230.838460648149</v>
      </c>
      <c r="B1853" s="4" t="str">
        <f>HYPERLINK("https://twitter.com/sergio_fajardo","@sergio_fajardo")</f>
        <v>@sergio_fajardo</v>
      </c>
      <c r="C1853" s="5" t="s">
        <v>16</v>
      </c>
      <c r="D1853" s="5" t="s">
        <v>1873</v>
      </c>
      <c r="E1853" s="6" t="str">
        <f>HYPERLINK("https://twitter.com/sergio_fajardo/status/1356975073819828225","1356975073819828225")</f>
        <v>1356975073819828225</v>
      </c>
      <c r="F1853" s="7" t="s">
        <v>17</v>
      </c>
      <c r="G1853" s="7">
        <v>1566676</v>
      </c>
      <c r="H1853" s="7">
        <v>406</v>
      </c>
      <c r="I1853" s="7">
        <v>1</v>
      </c>
      <c r="J1853" s="7">
        <v>16</v>
      </c>
      <c r="K1853" s="7" t="s">
        <v>18</v>
      </c>
      <c r="L1853" s="8">
        <v>39891.213356481479</v>
      </c>
      <c r="M1853" s="9" t="s">
        <v>19</v>
      </c>
      <c r="N1853" s="9" t="s">
        <v>22</v>
      </c>
      <c r="O1853" s="6" t="str">
        <f>HYPERLINK("https://pbs.twimg.com/profile_images/988971255679324162/jrqiIYf__normal.jpg","View")</f>
        <v>View</v>
      </c>
      <c r="P1853" s="7"/>
    </row>
    <row r="1854" spans="1:16">
      <c r="A1854" s="3">
        <v>44230.866967592592</v>
      </c>
      <c r="B1854" s="4" t="str">
        <f>HYPERLINK("https://twitter.com/sergio_fajardo","@sergio_fajardo")</f>
        <v>@sergio_fajardo</v>
      </c>
      <c r="C1854" s="5" t="s">
        <v>16</v>
      </c>
      <c r="D1854" s="5" t="s">
        <v>1874</v>
      </c>
      <c r="E1854" s="6" t="str">
        <f>HYPERLINK("https://twitter.com/sergio_fajardo/status/1356985405040689153","1356985405040689153")</f>
        <v>1356985405040689153</v>
      </c>
      <c r="F1854" s="7" t="s">
        <v>17</v>
      </c>
      <c r="G1854" s="7">
        <v>1566677</v>
      </c>
      <c r="H1854" s="7">
        <v>406</v>
      </c>
      <c r="I1854" s="7">
        <v>0</v>
      </c>
      <c r="J1854" s="7">
        <v>0</v>
      </c>
      <c r="K1854" s="7" t="s">
        <v>18</v>
      </c>
      <c r="L1854" s="8">
        <v>39891.213356481479</v>
      </c>
      <c r="M1854" s="9" t="s">
        <v>19</v>
      </c>
      <c r="N1854" s="9" t="s">
        <v>22</v>
      </c>
      <c r="O1854" s="6" t="str">
        <f>HYPERLINK("https://pbs.twimg.com/profile_images/988971255679324162/jrqiIYf__normal.jpg","View")</f>
        <v>View</v>
      </c>
      <c r="P1854" s="7"/>
    </row>
    <row r="1855" spans="1:16">
      <c r="A1855" s="3">
        <v>44230.96125</v>
      </c>
      <c r="B1855" s="4" t="str">
        <f>HYPERLINK("https://twitter.com/sergio_fajardo","@sergio_fajardo")</f>
        <v>@sergio_fajardo</v>
      </c>
      <c r="C1855" s="5" t="s">
        <v>16</v>
      </c>
      <c r="D1855" s="5" t="s">
        <v>1875</v>
      </c>
      <c r="E1855" s="6" t="str">
        <f>HYPERLINK("https://twitter.com/sergio_fajardo/status/1357019572658982918","1357019572658982918")</f>
        <v>1357019572658982918</v>
      </c>
      <c r="F1855" s="7" t="s">
        <v>17</v>
      </c>
      <c r="G1855" s="7">
        <v>1566685</v>
      </c>
      <c r="H1855" s="7">
        <v>406</v>
      </c>
      <c r="I1855" s="7">
        <v>85</v>
      </c>
      <c r="J1855" s="7">
        <v>0</v>
      </c>
      <c r="K1855" s="7" t="s">
        <v>18</v>
      </c>
      <c r="L1855" s="8">
        <v>39891.213356481479</v>
      </c>
      <c r="M1855" s="9" t="s">
        <v>19</v>
      </c>
      <c r="N1855" s="9" t="s">
        <v>22</v>
      </c>
      <c r="O1855" s="6" t="str">
        <f>HYPERLINK("https://pbs.twimg.com/profile_images/988971255679324162/jrqiIYf__normal.jpg","View")</f>
        <v>View</v>
      </c>
      <c r="P1855" s="7"/>
    </row>
    <row r="1856" spans="1:16">
      <c r="A1856" s="3">
        <v>44231.642974537041</v>
      </c>
      <c r="B1856" s="4" t="str">
        <f>HYPERLINK("https://twitter.com/sergio_fajardo","@sergio_fajardo")</f>
        <v>@sergio_fajardo</v>
      </c>
      <c r="C1856" s="5" t="s">
        <v>16</v>
      </c>
      <c r="D1856" s="5" t="s">
        <v>1876</v>
      </c>
      <c r="E1856" s="6" t="str">
        <f>HYPERLINK("https://twitter.com/sergio_fajardo/status/1357266619655991297","1357266619655991297")</f>
        <v>1357266619655991297</v>
      </c>
      <c r="F1856" s="7" t="s">
        <v>17</v>
      </c>
      <c r="G1856" s="7">
        <v>1566734</v>
      </c>
      <c r="H1856" s="7">
        <v>406</v>
      </c>
      <c r="I1856" s="7">
        <v>4</v>
      </c>
      <c r="J1856" s="7">
        <v>14</v>
      </c>
      <c r="K1856" s="7" t="s">
        <v>18</v>
      </c>
      <c r="L1856" s="8">
        <v>39891.213356481479</v>
      </c>
      <c r="M1856" s="9" t="s">
        <v>19</v>
      </c>
      <c r="N1856" s="9" t="s">
        <v>22</v>
      </c>
      <c r="O1856" s="6" t="str">
        <f>HYPERLINK("https://pbs.twimg.com/profile_images/988971255679324162/jrqiIYf__normal.jpg","View")</f>
        <v>View</v>
      </c>
      <c r="P1856" s="7"/>
    </row>
    <row r="1857" spans="1:16">
      <c r="A1857" s="3">
        <v>44232.052418981482</v>
      </c>
      <c r="B1857" s="4" t="str">
        <f>HYPERLINK("https://twitter.com/sergio_fajardo","@sergio_fajardo")</f>
        <v>@sergio_fajardo</v>
      </c>
      <c r="C1857" s="5" t="s">
        <v>16</v>
      </c>
      <c r="D1857" s="5" t="s">
        <v>1877</v>
      </c>
      <c r="E1857" s="6" t="str">
        <f>HYPERLINK("https://twitter.com/sergio_fajardo/status/1357414997022883854","1357414997022883854")</f>
        <v>1357414997022883854</v>
      </c>
      <c r="F1857" s="7" t="s">
        <v>17</v>
      </c>
      <c r="G1857" s="7">
        <v>1566776</v>
      </c>
      <c r="H1857" s="7">
        <v>406</v>
      </c>
      <c r="I1857" s="7">
        <v>110</v>
      </c>
      <c r="J1857" s="7">
        <v>0</v>
      </c>
      <c r="K1857" s="7" t="s">
        <v>18</v>
      </c>
      <c r="L1857" s="8">
        <v>39891.213356481479</v>
      </c>
      <c r="M1857" s="9" t="s">
        <v>19</v>
      </c>
      <c r="N1857" s="9" t="s">
        <v>22</v>
      </c>
      <c r="O1857" s="6" t="str">
        <f>HYPERLINK("https://pbs.twimg.com/profile_images/988971255679324162/jrqiIYf__normal.jpg","View")</f>
        <v>View</v>
      </c>
      <c r="P1857" s="7"/>
    </row>
    <row r="1858" spans="1:16">
      <c r="A1858" s="3">
        <v>44232.096724537041</v>
      </c>
      <c r="B1858" s="4" t="str">
        <f>HYPERLINK("https://twitter.com/sergio_fajardo","@sergio_fajardo")</f>
        <v>@sergio_fajardo</v>
      </c>
      <c r="C1858" s="5" t="s">
        <v>16</v>
      </c>
      <c r="D1858" s="5" t="s">
        <v>1878</v>
      </c>
      <c r="E1858" s="6" t="str">
        <f>HYPERLINK("https://twitter.com/sergio_fajardo/status/1357431053854638080","1357431053854638080")</f>
        <v>1357431053854638080</v>
      </c>
      <c r="F1858" s="7" t="s">
        <v>17</v>
      </c>
      <c r="G1858" s="7">
        <v>1566782</v>
      </c>
      <c r="H1858" s="7">
        <v>406</v>
      </c>
      <c r="I1858" s="7">
        <v>14</v>
      </c>
      <c r="J1858" s="7">
        <v>37</v>
      </c>
      <c r="K1858" s="7" t="s">
        <v>18</v>
      </c>
      <c r="L1858" s="8">
        <v>39891.213356481479</v>
      </c>
      <c r="M1858" s="9" t="s">
        <v>19</v>
      </c>
      <c r="N1858" s="9" t="s">
        <v>22</v>
      </c>
      <c r="O1858" s="6" t="str">
        <f>HYPERLINK("https://pbs.twimg.com/profile_images/988971255679324162/jrqiIYf__normal.jpg","View")</f>
        <v>View</v>
      </c>
      <c r="P1858" s="7"/>
    </row>
    <row r="1859" spans="1:16">
      <c r="A1859" s="3">
        <v>44232.143692129626</v>
      </c>
      <c r="B1859" s="4" t="str">
        <f>HYPERLINK("https://twitter.com/sergio_fajardo","@sergio_fajardo")</f>
        <v>@sergio_fajardo</v>
      </c>
      <c r="C1859" s="5" t="s">
        <v>16</v>
      </c>
      <c r="D1859" s="5" t="s">
        <v>1879</v>
      </c>
      <c r="E1859" s="6" t="str">
        <f>HYPERLINK("https://twitter.com/sergio_fajardo/status/1357448073279062017","1357448073279062017")</f>
        <v>1357448073279062017</v>
      </c>
      <c r="F1859" s="7" t="s">
        <v>17</v>
      </c>
      <c r="G1859" s="7">
        <v>1566782</v>
      </c>
      <c r="H1859" s="7">
        <v>406</v>
      </c>
      <c r="I1859" s="7">
        <v>42</v>
      </c>
      <c r="J1859" s="7">
        <v>208</v>
      </c>
      <c r="K1859" s="7" t="s">
        <v>18</v>
      </c>
      <c r="L1859" s="8">
        <v>39891.213356481479</v>
      </c>
      <c r="M1859" s="9" t="s">
        <v>19</v>
      </c>
      <c r="N1859" s="9" t="s">
        <v>22</v>
      </c>
      <c r="O1859" s="6" t="str">
        <f>HYPERLINK("https://pbs.twimg.com/profile_images/988971255679324162/jrqiIYf__normal.jpg","View")</f>
        <v>View</v>
      </c>
      <c r="P1859" s="7"/>
    </row>
    <row r="1860" spans="1:16">
      <c r="A1860" s="3">
        <v>44232.286666666667</v>
      </c>
      <c r="B1860" s="4" t="str">
        <f>HYPERLINK("https://twitter.com/sergio_fajardo","@sergio_fajardo")</f>
        <v>@sergio_fajardo</v>
      </c>
      <c r="C1860" s="5" t="s">
        <v>16</v>
      </c>
      <c r="D1860" s="5" t="s">
        <v>1880</v>
      </c>
      <c r="E1860" s="6" t="str">
        <f>HYPERLINK("https://twitter.com/sergio_fajardo/status/1357499886246256642","1357499886246256642")</f>
        <v>1357499886246256642</v>
      </c>
      <c r="F1860" s="7" t="s">
        <v>17</v>
      </c>
      <c r="G1860" s="7">
        <v>1566798</v>
      </c>
      <c r="H1860" s="7">
        <v>406</v>
      </c>
      <c r="I1860" s="7">
        <v>37</v>
      </c>
      <c r="J1860" s="7">
        <v>0</v>
      </c>
      <c r="K1860" s="7" t="s">
        <v>18</v>
      </c>
      <c r="L1860" s="8">
        <v>39891.213356481479</v>
      </c>
      <c r="M1860" s="9" t="s">
        <v>19</v>
      </c>
      <c r="N1860" s="9" t="s">
        <v>22</v>
      </c>
      <c r="O1860" s="6" t="str">
        <f>HYPERLINK("https://pbs.twimg.com/profile_images/988971255679324162/jrqiIYf__normal.jpg","View")</f>
        <v>View</v>
      </c>
      <c r="P1860" s="7"/>
    </row>
    <row r="1861" spans="1:16">
      <c r="A1861" s="3">
        <v>44232.817175925928</v>
      </c>
      <c r="B1861" s="4" t="str">
        <f>HYPERLINK("https://twitter.com/sergio_fajardo","@sergio_fajardo")</f>
        <v>@sergio_fajardo</v>
      </c>
      <c r="C1861" s="5" t="s">
        <v>16</v>
      </c>
      <c r="D1861" s="5" t="s">
        <v>1881</v>
      </c>
      <c r="E1861" s="6" t="str">
        <f>HYPERLINK("https://twitter.com/sergio_fajardo/status/1357692135059906560","1357692135059906560")</f>
        <v>1357692135059906560</v>
      </c>
      <c r="F1861" s="7" t="s">
        <v>17</v>
      </c>
      <c r="G1861" s="7">
        <v>1566810</v>
      </c>
      <c r="H1861" s="7">
        <v>406</v>
      </c>
      <c r="I1861" s="7">
        <v>4</v>
      </c>
      <c r="J1861" s="7">
        <v>10</v>
      </c>
      <c r="K1861" s="7" t="s">
        <v>18</v>
      </c>
      <c r="L1861" s="8">
        <v>39891.213356481479</v>
      </c>
      <c r="M1861" s="9" t="s">
        <v>19</v>
      </c>
      <c r="N1861" s="9" t="s">
        <v>22</v>
      </c>
      <c r="O1861" s="6" t="str">
        <f>HYPERLINK("https://pbs.twimg.com/profile_images/988971255679324162/jrqiIYf__normal.jpg","View")</f>
        <v>View</v>
      </c>
      <c r="P1861" s="7"/>
    </row>
    <row r="1862" spans="1:16">
      <c r="A1862" s="3">
        <v>44232.87568287037</v>
      </c>
      <c r="B1862" s="4" t="str">
        <f>HYPERLINK("https://twitter.com/sergio_fajardo","@sergio_fajardo")</f>
        <v>@sergio_fajardo</v>
      </c>
      <c r="C1862" s="5" t="s">
        <v>16</v>
      </c>
      <c r="D1862" s="5" t="s">
        <v>1882</v>
      </c>
      <c r="E1862" s="6" t="str">
        <f>HYPERLINK("https://twitter.com/sergio_fajardo/status/1357713339363840005","1357713339363840005")</f>
        <v>1357713339363840005</v>
      </c>
      <c r="F1862" s="7" t="s">
        <v>17</v>
      </c>
      <c r="G1862" s="7">
        <v>1566810</v>
      </c>
      <c r="H1862" s="7">
        <v>406</v>
      </c>
      <c r="I1862" s="7">
        <v>11</v>
      </c>
      <c r="J1862" s="7">
        <v>29</v>
      </c>
      <c r="K1862" s="7" t="s">
        <v>18</v>
      </c>
      <c r="L1862" s="8">
        <v>39891.213356481479</v>
      </c>
      <c r="M1862" s="9" t="s">
        <v>19</v>
      </c>
      <c r="N1862" s="9" t="s">
        <v>22</v>
      </c>
      <c r="O1862" s="6" t="str">
        <f>HYPERLINK("https://pbs.twimg.com/profile_images/988971255679324162/jrqiIYf__normal.jpg","View")</f>
        <v>View</v>
      </c>
      <c r="P1862" s="7"/>
    </row>
    <row r="1863" spans="1:16">
      <c r="A1863" s="3">
        <v>44232.880891203706</v>
      </c>
      <c r="B1863" s="4" t="str">
        <f>HYPERLINK("https://twitter.com/sergio_fajardo","@sergio_fajardo")</f>
        <v>@sergio_fajardo</v>
      </c>
      <c r="C1863" s="5" t="s">
        <v>16</v>
      </c>
      <c r="D1863" s="5" t="s">
        <v>1883</v>
      </c>
      <c r="E1863" s="6" t="str">
        <f>HYPERLINK("https://twitter.com/sergio_fajardo/status/1357715223306788864","1357715223306788864")</f>
        <v>1357715223306788864</v>
      </c>
      <c r="F1863" s="7" t="s">
        <v>17</v>
      </c>
      <c r="G1863" s="7">
        <v>1566810</v>
      </c>
      <c r="H1863" s="7">
        <v>406</v>
      </c>
      <c r="I1863" s="7">
        <v>2</v>
      </c>
      <c r="J1863" s="7">
        <v>22</v>
      </c>
      <c r="K1863" s="7" t="s">
        <v>18</v>
      </c>
      <c r="L1863" s="8">
        <v>39891.213356481479</v>
      </c>
      <c r="M1863" s="9" t="s">
        <v>19</v>
      </c>
      <c r="N1863" s="9" t="s">
        <v>22</v>
      </c>
      <c r="O1863" s="6" t="str">
        <f>HYPERLINK("https://pbs.twimg.com/profile_images/988971255679324162/jrqiIYf__normal.jpg","View")</f>
        <v>View</v>
      </c>
      <c r="P1863" s="7"/>
    </row>
    <row r="1864" spans="1:16">
      <c r="A1864" s="3">
        <v>44233.841006944444</v>
      </c>
      <c r="B1864" s="4" t="str">
        <f>HYPERLINK("https://twitter.com/sergio_fajardo","@sergio_fajardo")</f>
        <v>@sergio_fajardo</v>
      </c>
      <c r="C1864" s="5" t="s">
        <v>16</v>
      </c>
      <c r="D1864" s="5" t="s">
        <v>1884</v>
      </c>
      <c r="E1864" s="6" t="str">
        <f>HYPERLINK("https://twitter.com/sergio_fajardo/status/1358063161413410817","1358063161413410817")</f>
        <v>1358063161413410817</v>
      </c>
      <c r="F1864" s="7" t="s">
        <v>20</v>
      </c>
      <c r="G1864" s="7">
        <v>1566890</v>
      </c>
      <c r="H1864" s="7">
        <v>406</v>
      </c>
      <c r="I1864" s="7">
        <v>6</v>
      </c>
      <c r="J1864" s="7">
        <v>32</v>
      </c>
      <c r="K1864" s="7" t="s">
        <v>18</v>
      </c>
      <c r="L1864" s="8">
        <v>39891.213356481479</v>
      </c>
      <c r="M1864" s="9" t="s">
        <v>19</v>
      </c>
      <c r="N1864" s="9" t="s">
        <v>22</v>
      </c>
      <c r="O1864" s="6" t="str">
        <f>HYPERLINK("https://pbs.twimg.com/profile_images/988971255679324162/jrqiIYf__normal.jpg","View")</f>
        <v>View</v>
      </c>
      <c r="P1864" s="7"/>
    </row>
    <row r="1865" spans="1:16">
      <c r="A1865" s="3">
        <v>44235.068726851852</v>
      </c>
      <c r="B1865" s="4" t="str">
        <f>HYPERLINK("https://twitter.com/sergio_fajardo","@sergio_fajardo")</f>
        <v>@sergio_fajardo</v>
      </c>
      <c r="C1865" s="5" t="s">
        <v>16</v>
      </c>
      <c r="D1865" s="5" t="s">
        <v>1885</v>
      </c>
      <c r="E1865" s="6" t="str">
        <f>HYPERLINK("https://twitter.com/sergio_fajardo/status/1358508069840445448","1358508069840445448")</f>
        <v>1358508069840445448</v>
      </c>
      <c r="F1865" s="7" t="s">
        <v>17</v>
      </c>
      <c r="G1865" s="7">
        <v>1566937</v>
      </c>
      <c r="H1865" s="7">
        <v>406</v>
      </c>
      <c r="I1865" s="7">
        <v>1483</v>
      </c>
      <c r="J1865" s="7">
        <v>0</v>
      </c>
      <c r="K1865" s="7" t="s">
        <v>18</v>
      </c>
      <c r="L1865" s="8">
        <v>39891.213356481479</v>
      </c>
      <c r="M1865" s="9" t="s">
        <v>19</v>
      </c>
      <c r="N1865" s="9" t="s">
        <v>22</v>
      </c>
      <c r="O1865" s="6" t="str">
        <f>HYPERLINK("https://pbs.twimg.com/profile_images/988971255679324162/jrqiIYf__normal.jpg","View")</f>
        <v>View</v>
      </c>
      <c r="P1865" s="7"/>
    </row>
    <row r="1866" spans="1:16">
      <c r="A1866" s="3">
        <v>44235.833460648151</v>
      </c>
      <c r="B1866" s="4" t="str">
        <f>HYPERLINK("https://twitter.com/sergio_fajardo","@sergio_fajardo")</f>
        <v>@sergio_fajardo</v>
      </c>
      <c r="C1866" s="5" t="s">
        <v>16</v>
      </c>
      <c r="D1866" s="5" t="s">
        <v>1886</v>
      </c>
      <c r="E1866" s="6" t="str">
        <f>HYPERLINK("https://twitter.com/sergio_fajardo/status/1358785198570295300","1358785198570295300")</f>
        <v>1358785198570295300</v>
      </c>
      <c r="F1866" s="7" t="s">
        <v>20</v>
      </c>
      <c r="G1866" s="7">
        <v>1566941</v>
      </c>
      <c r="H1866" s="7">
        <v>406</v>
      </c>
      <c r="I1866" s="7">
        <v>21</v>
      </c>
      <c r="J1866" s="7">
        <v>93</v>
      </c>
      <c r="K1866" s="7" t="s">
        <v>18</v>
      </c>
      <c r="L1866" s="8">
        <v>39891.213356481479</v>
      </c>
      <c r="M1866" s="9" t="s">
        <v>19</v>
      </c>
      <c r="N1866" s="9" t="s">
        <v>22</v>
      </c>
      <c r="O1866" s="6" t="str">
        <f>HYPERLINK("https://pbs.twimg.com/profile_images/988971255679324162/jrqiIYf__normal.jpg","View")</f>
        <v>View</v>
      </c>
      <c r="P1866" s="7"/>
    </row>
    <row r="1867" spans="1:16">
      <c r="A1867" s="3">
        <v>44235.981030092589</v>
      </c>
      <c r="B1867" s="4" t="str">
        <f>HYPERLINK("https://twitter.com/sergio_fajardo","@sergio_fajardo")</f>
        <v>@sergio_fajardo</v>
      </c>
      <c r="C1867" s="5" t="s">
        <v>16</v>
      </c>
      <c r="D1867" s="5" t="s">
        <v>1887</v>
      </c>
      <c r="E1867" s="6" t="str">
        <f>HYPERLINK("https://twitter.com/sergio_fajardo/status/1358838677045211144","1358838677045211144")</f>
        <v>1358838677045211144</v>
      </c>
      <c r="F1867" s="7" t="s">
        <v>17</v>
      </c>
      <c r="G1867" s="7">
        <v>1566926</v>
      </c>
      <c r="H1867" s="7">
        <v>406</v>
      </c>
      <c r="I1867" s="7">
        <v>27</v>
      </c>
      <c r="J1867" s="7">
        <v>101</v>
      </c>
      <c r="K1867" s="7" t="s">
        <v>18</v>
      </c>
      <c r="L1867" s="8">
        <v>39891.213356481479</v>
      </c>
      <c r="M1867" s="9" t="s">
        <v>19</v>
      </c>
      <c r="N1867" s="9" t="s">
        <v>22</v>
      </c>
      <c r="O1867" s="6" t="str">
        <f>HYPERLINK("https://pbs.twimg.com/profile_images/988971255679324162/jrqiIYf__normal.jpg","View")</f>
        <v>View</v>
      </c>
      <c r="P1867" s="7"/>
    </row>
    <row r="1868" spans="1:16">
      <c r="A1868" s="3">
        <v>44236.305659722224</v>
      </c>
      <c r="B1868" s="4" t="str">
        <f>HYPERLINK("https://twitter.com/sergio_fajardo","@sergio_fajardo")</f>
        <v>@sergio_fajardo</v>
      </c>
      <c r="C1868" s="5" t="s">
        <v>16</v>
      </c>
      <c r="D1868" s="5" t="s">
        <v>1888</v>
      </c>
      <c r="E1868" s="6" t="str">
        <f>HYPERLINK("https://twitter.com/sergio_fajardo/status/1358956321488265222","1358956321488265222")</f>
        <v>1358956321488265222</v>
      </c>
      <c r="F1868" s="7" t="s">
        <v>17</v>
      </c>
      <c r="G1868" s="7">
        <v>1566945</v>
      </c>
      <c r="H1868" s="7">
        <v>406</v>
      </c>
      <c r="I1868" s="7">
        <v>18</v>
      </c>
      <c r="J1868" s="7">
        <v>0</v>
      </c>
      <c r="K1868" s="7" t="s">
        <v>18</v>
      </c>
      <c r="L1868" s="8">
        <v>39891.213356481479</v>
      </c>
      <c r="M1868" s="9" t="s">
        <v>19</v>
      </c>
      <c r="N1868" s="9" t="s">
        <v>22</v>
      </c>
      <c r="O1868" s="6" t="str">
        <f>HYPERLINK("https://pbs.twimg.com/profile_images/988971255679324162/jrqiIYf__normal.jpg","View")</f>
        <v>View</v>
      </c>
      <c r="P1868" s="7"/>
    </row>
    <row r="1869" spans="1:16">
      <c r="A1869" s="3">
        <v>44236.309097222227</v>
      </c>
      <c r="B1869" s="4" t="str">
        <f>HYPERLINK("https://twitter.com/sergio_fajardo","@sergio_fajardo")</f>
        <v>@sergio_fajardo</v>
      </c>
      <c r="C1869" s="5" t="s">
        <v>16</v>
      </c>
      <c r="D1869" s="5" t="s">
        <v>1889</v>
      </c>
      <c r="E1869" s="6" t="str">
        <f>HYPERLINK("https://twitter.com/sergio_fajardo/status/1358957564202004485","1358957564202004485")</f>
        <v>1358957564202004485</v>
      </c>
      <c r="F1869" s="7" t="s">
        <v>17</v>
      </c>
      <c r="G1869" s="7">
        <v>1566945</v>
      </c>
      <c r="H1869" s="7">
        <v>406</v>
      </c>
      <c r="I1869" s="7">
        <v>15</v>
      </c>
      <c r="J1869" s="7">
        <v>109</v>
      </c>
      <c r="K1869" s="7" t="s">
        <v>18</v>
      </c>
      <c r="L1869" s="8">
        <v>39891.213356481479</v>
      </c>
      <c r="M1869" s="9" t="s">
        <v>19</v>
      </c>
      <c r="N1869" s="9" t="s">
        <v>22</v>
      </c>
      <c r="O1869" s="6" t="str">
        <f>HYPERLINK("https://pbs.twimg.com/profile_images/988971255679324162/jrqiIYf__normal.jpg","View")</f>
        <v>View</v>
      </c>
      <c r="P1869" s="7"/>
    </row>
    <row r="1870" spans="1:16">
      <c r="A1870" s="3">
        <v>44236.65121527778</v>
      </c>
      <c r="B1870" s="4" t="str">
        <f>HYPERLINK("https://twitter.com/sergio_fajardo","@sergio_fajardo")</f>
        <v>@sergio_fajardo</v>
      </c>
      <c r="C1870" s="5" t="s">
        <v>16</v>
      </c>
      <c r="D1870" s="5" t="s">
        <v>1890</v>
      </c>
      <c r="E1870" s="6" t="str">
        <f>HYPERLINK("https://twitter.com/sergio_fajardo/status/1359081544867012608","1359081544867012608")</f>
        <v>1359081544867012608</v>
      </c>
      <c r="F1870" s="7" t="s">
        <v>17</v>
      </c>
      <c r="G1870" s="7">
        <v>1566941</v>
      </c>
      <c r="H1870" s="7">
        <v>406</v>
      </c>
      <c r="I1870" s="7">
        <v>2</v>
      </c>
      <c r="J1870" s="7">
        <v>0</v>
      </c>
      <c r="K1870" s="7" t="s">
        <v>18</v>
      </c>
      <c r="L1870" s="8">
        <v>39891.213356481479</v>
      </c>
      <c r="M1870" s="9" t="s">
        <v>19</v>
      </c>
      <c r="N1870" s="9" t="s">
        <v>22</v>
      </c>
      <c r="O1870" s="6" t="str">
        <f>HYPERLINK("https://pbs.twimg.com/profile_images/988971255679324162/jrqiIYf__normal.jpg","View")</f>
        <v>View</v>
      </c>
      <c r="P1870" s="7"/>
    </row>
    <row r="1871" spans="1:16">
      <c r="A1871" s="3">
        <v>44236.889027777783</v>
      </c>
      <c r="B1871" s="4" t="str">
        <f>HYPERLINK("https://twitter.com/sergio_fajardo","@sergio_fajardo")</f>
        <v>@sergio_fajardo</v>
      </c>
      <c r="C1871" s="5" t="s">
        <v>16</v>
      </c>
      <c r="D1871" s="5" t="s">
        <v>1891</v>
      </c>
      <c r="E1871" s="6" t="str">
        <f>HYPERLINK("https://twitter.com/sergio_fajardo/status/1359167723553628161","1359167723553628161")</f>
        <v>1359167723553628161</v>
      </c>
      <c r="F1871" s="7" t="s">
        <v>17</v>
      </c>
      <c r="G1871" s="7">
        <v>1566976</v>
      </c>
      <c r="H1871" s="7">
        <v>406</v>
      </c>
      <c r="I1871" s="7">
        <v>9</v>
      </c>
      <c r="J1871" s="7">
        <v>18</v>
      </c>
      <c r="K1871" s="7" t="s">
        <v>18</v>
      </c>
      <c r="L1871" s="8">
        <v>39891.213356481479</v>
      </c>
      <c r="M1871" s="9" t="s">
        <v>19</v>
      </c>
      <c r="N1871" s="9" t="s">
        <v>22</v>
      </c>
      <c r="O1871" s="6" t="str">
        <f>HYPERLINK("https://pbs.twimg.com/profile_images/988971255679324162/jrqiIYf__normal.jpg","View")</f>
        <v>View</v>
      </c>
      <c r="P1871" s="7"/>
    </row>
    <row r="1872" spans="1:16">
      <c r="A1872" s="3">
        <v>44236.934513888889</v>
      </c>
      <c r="B1872" s="4" t="str">
        <f>HYPERLINK("https://twitter.com/sergio_fajardo","@sergio_fajardo")</f>
        <v>@sergio_fajardo</v>
      </c>
      <c r="C1872" s="5" t="s">
        <v>16</v>
      </c>
      <c r="D1872" s="5" t="s">
        <v>1892</v>
      </c>
      <c r="E1872" s="6" t="str">
        <f>HYPERLINK("https://twitter.com/sergio_fajardo/status/1359184208976113668","1359184208976113668")</f>
        <v>1359184208976113668</v>
      </c>
      <c r="F1872" s="7" t="s">
        <v>23</v>
      </c>
      <c r="G1872" s="7">
        <v>1566983</v>
      </c>
      <c r="H1872" s="7">
        <v>406</v>
      </c>
      <c r="I1872" s="7">
        <v>8</v>
      </c>
      <c r="J1872" s="7">
        <v>0</v>
      </c>
      <c r="K1872" s="7" t="s">
        <v>18</v>
      </c>
      <c r="L1872" s="8">
        <v>39891.213356481479</v>
      </c>
      <c r="M1872" s="9" t="s">
        <v>19</v>
      </c>
      <c r="N1872" s="9" t="s">
        <v>22</v>
      </c>
      <c r="O1872" s="6" t="str">
        <f>HYPERLINK("https://pbs.twimg.com/profile_images/988971255679324162/jrqiIYf__normal.jpg","View")</f>
        <v>View</v>
      </c>
      <c r="P1872" s="7"/>
    </row>
    <row r="1873" spans="1:16">
      <c r="A1873" s="3">
        <v>44237.082974537036</v>
      </c>
      <c r="B1873" s="4" t="str">
        <f>HYPERLINK("https://twitter.com/sergio_fajardo","@sergio_fajardo")</f>
        <v>@sergio_fajardo</v>
      </c>
      <c r="C1873" s="5" t="s">
        <v>16</v>
      </c>
      <c r="D1873" s="5" t="s">
        <v>1893</v>
      </c>
      <c r="E1873" s="6" t="str">
        <f>HYPERLINK("https://twitter.com/sergio_fajardo/status/1359238010768924672","1359238010768924672")</f>
        <v>1359238010768924672</v>
      </c>
      <c r="F1873" s="7" t="s">
        <v>17</v>
      </c>
      <c r="G1873" s="7">
        <v>1567018</v>
      </c>
      <c r="H1873" s="7">
        <v>406</v>
      </c>
      <c r="I1873" s="7">
        <v>32</v>
      </c>
      <c r="J1873" s="7">
        <v>0</v>
      </c>
      <c r="K1873" s="7" t="s">
        <v>18</v>
      </c>
      <c r="L1873" s="8">
        <v>39891.213356481479</v>
      </c>
      <c r="M1873" s="9" t="s">
        <v>19</v>
      </c>
      <c r="N1873" s="9" t="s">
        <v>22</v>
      </c>
      <c r="O1873" s="6" t="str">
        <f>HYPERLINK("https://pbs.twimg.com/profile_images/988971255679324162/jrqiIYf__normal.jpg","View")</f>
        <v>View</v>
      </c>
      <c r="P1873" s="7"/>
    </row>
    <row r="1874" spans="1:16">
      <c r="A1874" s="3">
        <v>44238.202245370368</v>
      </c>
      <c r="B1874" s="4" t="str">
        <f>HYPERLINK("https://twitter.com/sergio_fajardo","@sergio_fajardo")</f>
        <v>@sergio_fajardo</v>
      </c>
      <c r="C1874" s="5" t="s">
        <v>16</v>
      </c>
      <c r="D1874" s="5" t="s">
        <v>1894</v>
      </c>
      <c r="E1874" s="6" t="str">
        <f>HYPERLINK("https://twitter.com/sergio_fajardo/status/1359643618286456833","1359643618286456833")</f>
        <v>1359643618286456833</v>
      </c>
      <c r="F1874" s="7" t="s">
        <v>17</v>
      </c>
      <c r="G1874" s="7">
        <v>1567052</v>
      </c>
      <c r="H1874" s="7">
        <v>406</v>
      </c>
      <c r="I1874" s="7">
        <v>11</v>
      </c>
      <c r="J1874" s="7">
        <v>38</v>
      </c>
      <c r="K1874" s="7" t="s">
        <v>18</v>
      </c>
      <c r="L1874" s="8">
        <v>39891.213356481479</v>
      </c>
      <c r="M1874" s="9" t="s">
        <v>19</v>
      </c>
      <c r="N1874" s="9" t="s">
        <v>22</v>
      </c>
      <c r="O1874" s="6" t="str">
        <f>HYPERLINK("https://pbs.twimg.com/profile_images/988971255679324162/jrqiIYf__normal.jpg","View")</f>
        <v>View</v>
      </c>
      <c r="P1874" s="7"/>
    </row>
    <row r="1875" spans="1:16">
      <c r="A1875" s="3">
        <v>44238.691759259258</v>
      </c>
      <c r="B1875" s="4" t="str">
        <f>HYPERLINK("https://twitter.com/sergio_fajardo","@sergio_fajardo")</f>
        <v>@sergio_fajardo</v>
      </c>
      <c r="C1875" s="5" t="s">
        <v>16</v>
      </c>
      <c r="D1875" s="5" t="s">
        <v>1895</v>
      </c>
      <c r="E1875" s="6" t="str">
        <f>HYPERLINK("https://twitter.com/sergio_fajardo/status/1359821011701665794","1359821011701665794")</f>
        <v>1359821011701665794</v>
      </c>
      <c r="F1875" s="7" t="s">
        <v>17</v>
      </c>
      <c r="G1875" s="7">
        <v>1567083</v>
      </c>
      <c r="H1875" s="7">
        <v>406</v>
      </c>
      <c r="I1875" s="7">
        <v>12</v>
      </c>
      <c r="J1875" s="7">
        <v>48</v>
      </c>
      <c r="K1875" s="7" t="s">
        <v>18</v>
      </c>
      <c r="L1875" s="8">
        <v>39891.213356481479</v>
      </c>
      <c r="M1875" s="9" t="s">
        <v>19</v>
      </c>
      <c r="N1875" s="9" t="s">
        <v>22</v>
      </c>
      <c r="O1875" s="6" t="str">
        <f>HYPERLINK("https://pbs.twimg.com/profile_images/988971255679324162/jrqiIYf__normal.jpg","View")</f>
        <v>View</v>
      </c>
      <c r="P1875" s="7"/>
    </row>
    <row r="1876" spans="1:16">
      <c r="A1876" s="3">
        <v>44238.750046296293</v>
      </c>
      <c r="B1876" s="4" t="str">
        <f>HYPERLINK("https://twitter.com/sergio_fajardo","@sergio_fajardo")</f>
        <v>@sergio_fajardo</v>
      </c>
      <c r="C1876" s="5" t="s">
        <v>16</v>
      </c>
      <c r="D1876" s="5" t="s">
        <v>1896</v>
      </c>
      <c r="E1876" s="6" t="str">
        <f>HYPERLINK("https://twitter.com/sergio_fajardo/status/1359842135177105408","1359842135177105408")</f>
        <v>1359842135177105408</v>
      </c>
      <c r="F1876" s="7" t="s">
        <v>17</v>
      </c>
      <c r="G1876" s="7">
        <v>1567086</v>
      </c>
      <c r="H1876" s="7">
        <v>406</v>
      </c>
      <c r="I1876" s="7">
        <v>4</v>
      </c>
      <c r="J1876" s="7">
        <v>0</v>
      </c>
      <c r="K1876" s="7" t="s">
        <v>18</v>
      </c>
      <c r="L1876" s="8">
        <v>39891.213356481479</v>
      </c>
      <c r="M1876" s="9" t="s">
        <v>19</v>
      </c>
      <c r="N1876" s="9" t="s">
        <v>22</v>
      </c>
      <c r="O1876" s="6" t="str">
        <f>HYPERLINK("https://pbs.twimg.com/profile_images/988971255679324162/jrqiIYf__normal.jpg","View")</f>
        <v>View</v>
      </c>
      <c r="P1876" s="7"/>
    </row>
    <row r="1877" spans="1:16">
      <c r="A1877" s="3">
        <v>44238.789837962962</v>
      </c>
      <c r="B1877" s="4" t="str">
        <f>HYPERLINK("https://twitter.com/sergio_fajardo","@sergio_fajardo")</f>
        <v>@sergio_fajardo</v>
      </c>
      <c r="C1877" s="5" t="s">
        <v>16</v>
      </c>
      <c r="D1877" s="5" t="s">
        <v>1897</v>
      </c>
      <c r="E1877" s="6" t="str">
        <f>HYPERLINK("https://twitter.com/sergio_fajardo/status/1359856555454300163","1359856555454300163")</f>
        <v>1359856555454300163</v>
      </c>
      <c r="F1877" s="7" t="s">
        <v>23</v>
      </c>
      <c r="G1877" s="7">
        <v>1567092</v>
      </c>
      <c r="H1877" s="7">
        <v>406</v>
      </c>
      <c r="I1877" s="7">
        <v>21</v>
      </c>
      <c r="J1877" s="7">
        <v>0</v>
      </c>
      <c r="K1877" s="7" t="s">
        <v>18</v>
      </c>
      <c r="L1877" s="8">
        <v>39891.213356481479</v>
      </c>
      <c r="M1877" s="9" t="s">
        <v>19</v>
      </c>
      <c r="N1877" s="9" t="s">
        <v>22</v>
      </c>
      <c r="O1877" s="6" t="str">
        <f>HYPERLINK("https://pbs.twimg.com/profile_images/988971255679324162/jrqiIYf__normal.jpg","View")</f>
        <v>View</v>
      </c>
      <c r="P1877" s="7"/>
    </row>
    <row r="1878" spans="1:16">
      <c r="A1878" s="3">
        <v>44238.790358796294</v>
      </c>
      <c r="B1878" s="4" t="str">
        <f>HYPERLINK("https://twitter.com/sergio_fajardo","@sergio_fajardo")</f>
        <v>@sergio_fajardo</v>
      </c>
      <c r="C1878" s="5" t="s">
        <v>16</v>
      </c>
      <c r="D1878" s="5" t="s">
        <v>1898</v>
      </c>
      <c r="E1878" s="6" t="str">
        <f>HYPERLINK("https://twitter.com/sergio_fajardo/status/1359856742700564486","1359856742700564486")</f>
        <v>1359856742700564486</v>
      </c>
      <c r="F1878" s="7" t="s">
        <v>17</v>
      </c>
      <c r="G1878" s="7">
        <v>1567092</v>
      </c>
      <c r="H1878" s="7">
        <v>406</v>
      </c>
      <c r="I1878" s="7">
        <v>8</v>
      </c>
      <c r="J1878" s="7">
        <v>40</v>
      </c>
      <c r="K1878" s="7" t="s">
        <v>18</v>
      </c>
      <c r="L1878" s="8">
        <v>39891.213356481479</v>
      </c>
      <c r="M1878" s="9" t="s">
        <v>19</v>
      </c>
      <c r="N1878" s="9" t="s">
        <v>22</v>
      </c>
      <c r="O1878" s="6" t="str">
        <f>HYPERLINK("https://pbs.twimg.com/profile_images/988971255679324162/jrqiIYf__normal.jpg","View")</f>
        <v>View</v>
      </c>
      <c r="P1878" s="7"/>
    </row>
    <row r="1879" spans="1:16">
      <c r="A1879" s="3">
        <v>44238.924247685187</v>
      </c>
      <c r="B1879" s="4" t="str">
        <f>HYPERLINK("https://twitter.com/sergio_fajardo","@sergio_fajardo")</f>
        <v>@sergio_fajardo</v>
      </c>
      <c r="C1879" s="5" t="s">
        <v>16</v>
      </c>
      <c r="D1879" s="5" t="s">
        <v>1899</v>
      </c>
      <c r="E1879" s="6" t="str">
        <f>HYPERLINK("https://twitter.com/sergio_fajardo/status/1359905263197843461","1359905263197843461")</f>
        <v>1359905263197843461</v>
      </c>
      <c r="F1879" s="7" t="s">
        <v>17</v>
      </c>
      <c r="G1879" s="7">
        <v>1567112</v>
      </c>
      <c r="H1879" s="7">
        <v>406</v>
      </c>
      <c r="I1879" s="7">
        <v>23</v>
      </c>
      <c r="J1879" s="7">
        <v>131</v>
      </c>
      <c r="K1879" s="7" t="s">
        <v>18</v>
      </c>
      <c r="L1879" s="8">
        <v>39891.213356481479</v>
      </c>
      <c r="M1879" s="9" t="s">
        <v>19</v>
      </c>
      <c r="N1879" s="9" t="s">
        <v>22</v>
      </c>
      <c r="O1879" s="6" t="str">
        <f>HYPERLINK("https://pbs.twimg.com/profile_images/988971255679324162/jrqiIYf__normal.jpg","View")</f>
        <v>View</v>
      </c>
      <c r="P1879" s="7"/>
    </row>
    <row r="1880" spans="1:16">
      <c r="A1880" s="3">
        <v>44239.156956018516</v>
      </c>
      <c r="B1880" s="4" t="str">
        <f>HYPERLINK("https://twitter.com/sergio_fajardo","@sergio_fajardo")</f>
        <v>@sergio_fajardo</v>
      </c>
      <c r="C1880" s="5" t="s">
        <v>16</v>
      </c>
      <c r="D1880" s="5" t="s">
        <v>1900</v>
      </c>
      <c r="E1880" s="6" t="str">
        <f>HYPERLINK("https://twitter.com/sergio_fajardo/status/1359989596118016002","1359989596118016002")</f>
        <v>1359989596118016002</v>
      </c>
      <c r="F1880" s="7" t="s">
        <v>17</v>
      </c>
      <c r="G1880" s="7">
        <v>1567137</v>
      </c>
      <c r="H1880" s="7">
        <v>406</v>
      </c>
      <c r="I1880" s="7">
        <v>0</v>
      </c>
      <c r="J1880" s="7">
        <v>4</v>
      </c>
      <c r="K1880" s="7" t="s">
        <v>18</v>
      </c>
      <c r="L1880" s="8">
        <v>39891.213356481479</v>
      </c>
      <c r="M1880" s="9" t="s">
        <v>19</v>
      </c>
      <c r="N1880" s="9" t="s">
        <v>22</v>
      </c>
      <c r="O1880" s="6" t="str">
        <f>HYPERLINK("https://pbs.twimg.com/profile_images/988971255679324162/jrqiIYf__normal.jpg","View")</f>
        <v>View</v>
      </c>
      <c r="P1880" s="7"/>
    </row>
    <row r="1881" spans="1:16">
      <c r="A1881" s="3">
        <v>44239.362523148149</v>
      </c>
      <c r="B1881" s="4" t="str">
        <f>HYPERLINK("https://twitter.com/sergio_fajardo","@sergio_fajardo")</f>
        <v>@sergio_fajardo</v>
      </c>
      <c r="C1881" s="5" t="s">
        <v>16</v>
      </c>
      <c r="D1881" s="5" t="s">
        <v>1901</v>
      </c>
      <c r="E1881" s="6" t="str">
        <f>HYPERLINK("https://twitter.com/sergio_fajardo/status/1360064091218403336","1360064091218403336")</f>
        <v>1360064091218403336</v>
      </c>
      <c r="F1881" s="7" t="s">
        <v>17</v>
      </c>
      <c r="G1881" s="7">
        <v>1567120</v>
      </c>
      <c r="H1881" s="7">
        <v>406</v>
      </c>
      <c r="I1881" s="7">
        <v>177</v>
      </c>
      <c r="J1881" s="7">
        <v>0</v>
      </c>
      <c r="K1881" s="7" t="s">
        <v>18</v>
      </c>
      <c r="L1881" s="8">
        <v>39891.213356481479</v>
      </c>
      <c r="M1881" s="9" t="s">
        <v>19</v>
      </c>
      <c r="N1881" s="9" t="s">
        <v>22</v>
      </c>
      <c r="O1881" s="6" t="str">
        <f>HYPERLINK("https://pbs.twimg.com/profile_images/988971255679324162/jrqiIYf__normal.jpg","View")</f>
        <v>View</v>
      </c>
      <c r="P1881" s="7"/>
    </row>
    <row r="1882" spans="1:16">
      <c r="A1882" s="3">
        <v>44239.679490740746</v>
      </c>
      <c r="B1882" s="4" t="str">
        <f>HYPERLINK("https://twitter.com/sergio_fajardo","@sergio_fajardo")</f>
        <v>@sergio_fajardo</v>
      </c>
      <c r="C1882" s="5" t="s">
        <v>16</v>
      </c>
      <c r="D1882" s="5" t="s">
        <v>1902</v>
      </c>
      <c r="E1882" s="6" t="str">
        <f>HYPERLINK("https://twitter.com/sergio_fajardo/status/1360178953760169984","1360178953760169984")</f>
        <v>1360178953760169984</v>
      </c>
      <c r="F1882" s="7" t="s">
        <v>17</v>
      </c>
      <c r="G1882" s="7">
        <v>1567137</v>
      </c>
      <c r="H1882" s="7">
        <v>406</v>
      </c>
      <c r="I1882" s="7">
        <v>13</v>
      </c>
      <c r="J1882" s="7">
        <v>0</v>
      </c>
      <c r="K1882" s="7" t="s">
        <v>18</v>
      </c>
      <c r="L1882" s="8">
        <v>39891.213356481479</v>
      </c>
      <c r="M1882" s="9" t="s">
        <v>19</v>
      </c>
      <c r="N1882" s="9" t="s">
        <v>22</v>
      </c>
      <c r="O1882" s="6" t="str">
        <f>HYPERLINK("https://pbs.twimg.com/profile_images/988971255679324162/jrqiIYf__normal.jpg","View")</f>
        <v>View</v>
      </c>
      <c r="P1882" s="7"/>
    </row>
    <row r="1883" spans="1:16">
      <c r="A1883" s="3">
        <v>44240.006689814814</v>
      </c>
      <c r="B1883" s="4" t="str">
        <f>HYPERLINK("https://twitter.com/sergio_fajardo","@sergio_fajardo")</f>
        <v>@sergio_fajardo</v>
      </c>
      <c r="C1883" s="5" t="s">
        <v>16</v>
      </c>
      <c r="D1883" s="5" t="s">
        <v>1903</v>
      </c>
      <c r="E1883" s="6" t="str">
        <f>HYPERLINK("https://twitter.com/sergio_fajardo/status/1360297527455715329","1360297527455715329")</f>
        <v>1360297527455715329</v>
      </c>
      <c r="F1883" s="7" t="s">
        <v>17</v>
      </c>
      <c r="G1883" s="7">
        <v>1567191</v>
      </c>
      <c r="H1883" s="7">
        <v>406</v>
      </c>
      <c r="I1883" s="7">
        <v>3</v>
      </c>
      <c r="J1883" s="7">
        <v>43</v>
      </c>
      <c r="K1883" s="7" t="s">
        <v>18</v>
      </c>
      <c r="L1883" s="8">
        <v>39891.213356481479</v>
      </c>
      <c r="M1883" s="9" t="s">
        <v>19</v>
      </c>
      <c r="N1883" s="9" t="s">
        <v>22</v>
      </c>
      <c r="O1883" s="6" t="str">
        <f>HYPERLINK("https://pbs.twimg.com/profile_images/988971255679324162/jrqiIYf__normal.jpg","View")</f>
        <v>View</v>
      </c>
      <c r="P1883" s="7"/>
    </row>
    <row r="1884" spans="1:16">
      <c r="A1884" s="3">
        <v>44240.008622685185</v>
      </c>
      <c r="B1884" s="4" t="str">
        <f>HYPERLINK("https://twitter.com/sergio_fajardo","@sergio_fajardo")</f>
        <v>@sergio_fajardo</v>
      </c>
      <c r="C1884" s="5" t="s">
        <v>16</v>
      </c>
      <c r="D1884" s="5" t="s">
        <v>1904</v>
      </c>
      <c r="E1884" s="6" t="str">
        <f>HYPERLINK("https://twitter.com/sergio_fajardo/status/1360298228588171275","1360298228588171275")</f>
        <v>1360298228588171275</v>
      </c>
      <c r="F1884" s="7" t="s">
        <v>17</v>
      </c>
      <c r="G1884" s="7">
        <v>1567191</v>
      </c>
      <c r="H1884" s="7">
        <v>406</v>
      </c>
      <c r="I1884" s="7">
        <v>81</v>
      </c>
      <c r="J1884" s="7">
        <v>0</v>
      </c>
      <c r="K1884" s="7" t="s">
        <v>18</v>
      </c>
      <c r="L1884" s="8">
        <v>39891.213356481479</v>
      </c>
      <c r="M1884" s="9" t="s">
        <v>19</v>
      </c>
      <c r="N1884" s="9" t="s">
        <v>22</v>
      </c>
      <c r="O1884" s="6" t="str">
        <f>HYPERLINK("https://pbs.twimg.com/profile_images/988971255679324162/jrqiIYf__normal.jpg","View")</f>
        <v>View</v>
      </c>
      <c r="P1884" s="7"/>
    </row>
    <row r="1885" spans="1:16">
      <c r="A1885" s="3">
        <v>44240.325729166667</v>
      </c>
      <c r="B1885" s="4" t="str">
        <f>HYPERLINK("https://twitter.com/sergio_fajardo","@sergio_fajardo")</f>
        <v>@sergio_fajardo</v>
      </c>
      <c r="C1885" s="5" t="s">
        <v>16</v>
      </c>
      <c r="D1885" s="5" t="s">
        <v>1905</v>
      </c>
      <c r="E1885" s="6" t="str">
        <f>HYPERLINK("https://twitter.com/sergio_fajardo/status/1360413145735561218","1360413145735561218")</f>
        <v>1360413145735561218</v>
      </c>
      <c r="F1885" s="7" t="s">
        <v>17</v>
      </c>
      <c r="G1885" s="7">
        <v>1567214</v>
      </c>
      <c r="H1885" s="7">
        <v>406</v>
      </c>
      <c r="I1885" s="7">
        <v>48</v>
      </c>
      <c r="J1885" s="7">
        <v>0</v>
      </c>
      <c r="K1885" s="7" t="s">
        <v>18</v>
      </c>
      <c r="L1885" s="8">
        <v>39891.213356481479</v>
      </c>
      <c r="M1885" s="9" t="s">
        <v>19</v>
      </c>
      <c r="N1885" s="9" t="s">
        <v>22</v>
      </c>
      <c r="O1885" s="6" t="str">
        <f>HYPERLINK("https://pbs.twimg.com/profile_images/988971255679324162/jrqiIYf__normal.jpg","View")</f>
        <v>View</v>
      </c>
      <c r="P1885" s="7"/>
    </row>
    <row r="1886" spans="1:16">
      <c r="A1886" s="3">
        <v>44240.971863425926</v>
      </c>
      <c r="B1886" s="4" t="str">
        <f>HYPERLINK("https://twitter.com/sergio_fajardo","@sergio_fajardo")</f>
        <v>@sergio_fajardo</v>
      </c>
      <c r="C1886" s="5" t="s">
        <v>16</v>
      </c>
      <c r="D1886" s="5" t="s">
        <v>1906</v>
      </c>
      <c r="E1886" s="6" t="str">
        <f>HYPERLINK("https://twitter.com/sergio_fajardo/status/1360647295713312771","1360647295713312771")</f>
        <v>1360647295713312771</v>
      </c>
      <c r="F1886" s="7" t="s">
        <v>17</v>
      </c>
      <c r="G1886" s="7">
        <v>1567250</v>
      </c>
      <c r="H1886" s="7">
        <v>406</v>
      </c>
      <c r="I1886" s="7">
        <v>10</v>
      </c>
      <c r="J1886" s="7">
        <v>0</v>
      </c>
      <c r="K1886" s="7" t="s">
        <v>18</v>
      </c>
      <c r="L1886" s="8">
        <v>39891.213356481479</v>
      </c>
      <c r="M1886" s="9" t="s">
        <v>19</v>
      </c>
      <c r="N1886" s="9" t="s">
        <v>22</v>
      </c>
      <c r="O1886" s="6" t="str">
        <f>HYPERLINK("https://pbs.twimg.com/profile_images/988971255679324162/jrqiIYf__normal.jpg","View")</f>
        <v>View</v>
      </c>
      <c r="P1886" s="7"/>
    </row>
    <row r="1887" spans="1:16">
      <c r="A1887" s="3">
        <v>44241.251655092594</v>
      </c>
      <c r="B1887" s="4" t="str">
        <f>HYPERLINK("https://twitter.com/sergio_fajardo","@sergio_fajardo")</f>
        <v>@sergio_fajardo</v>
      </c>
      <c r="C1887" s="5" t="s">
        <v>16</v>
      </c>
      <c r="D1887" s="5" t="s">
        <v>1907</v>
      </c>
      <c r="E1887" s="6" t="str">
        <f>HYPERLINK("https://twitter.com/sergio_fajardo/status/1360748688352673792","1360748688352673792")</f>
        <v>1360748688352673792</v>
      </c>
      <c r="F1887" s="7" t="s">
        <v>17</v>
      </c>
      <c r="G1887" s="7">
        <v>1567263</v>
      </c>
      <c r="H1887" s="7">
        <v>406</v>
      </c>
      <c r="I1887" s="7">
        <v>462</v>
      </c>
      <c r="J1887" s="7">
        <v>0</v>
      </c>
      <c r="K1887" s="7" t="s">
        <v>18</v>
      </c>
      <c r="L1887" s="8">
        <v>39891.213356481479</v>
      </c>
      <c r="M1887" s="9" t="s">
        <v>19</v>
      </c>
      <c r="N1887" s="9" t="s">
        <v>22</v>
      </c>
      <c r="O1887" s="6" t="str">
        <f>HYPERLINK("https://pbs.twimg.com/profile_images/988971255679324162/jrqiIYf__normal.jpg","View")</f>
        <v>View</v>
      </c>
      <c r="P1887" s="7"/>
    </row>
    <row r="1888" spans="1:16">
      <c r="A1888" s="3">
        <v>44242.000243055554</v>
      </c>
      <c r="B1888" s="4" t="str">
        <f>HYPERLINK("https://twitter.com/sergio_fajardo","@sergio_fajardo")</f>
        <v>@sergio_fajardo</v>
      </c>
      <c r="C1888" s="5" t="s">
        <v>16</v>
      </c>
      <c r="D1888" s="5" t="s">
        <v>1908</v>
      </c>
      <c r="E1888" s="6" t="str">
        <f>HYPERLINK("https://twitter.com/sergio_fajardo/status/1361019968029143045","1361019968029143045")</f>
        <v>1361019968029143045</v>
      </c>
      <c r="F1888" s="7" t="s">
        <v>17</v>
      </c>
      <c r="G1888" s="7">
        <v>1567280</v>
      </c>
      <c r="H1888" s="7">
        <v>406</v>
      </c>
      <c r="I1888" s="7">
        <v>3</v>
      </c>
      <c r="J1888" s="7">
        <v>15</v>
      </c>
      <c r="K1888" s="7" t="s">
        <v>18</v>
      </c>
      <c r="L1888" s="8">
        <v>39891.213356481479</v>
      </c>
      <c r="M1888" s="9" t="s">
        <v>19</v>
      </c>
      <c r="N1888" s="9" t="s">
        <v>22</v>
      </c>
      <c r="O1888" s="6" t="str">
        <f>HYPERLINK("https://pbs.twimg.com/profile_images/988971255679324162/jrqiIYf__normal.jpg","View")</f>
        <v>View</v>
      </c>
      <c r="P1888" s="7"/>
    </row>
    <row r="1889" spans="1:16">
      <c r="A1889" s="3">
        <v>44242.117650462962</v>
      </c>
      <c r="B1889" s="4" t="str">
        <f>HYPERLINK("https://twitter.com/sergio_fajardo","@sergio_fajardo")</f>
        <v>@sergio_fajardo</v>
      </c>
      <c r="C1889" s="5" t="s">
        <v>16</v>
      </c>
      <c r="D1889" s="5" t="s">
        <v>1909</v>
      </c>
      <c r="E1889" s="6" t="str">
        <f>HYPERLINK("https://twitter.com/sergio_fajardo/status/1361062515241852936","1361062515241852936")</f>
        <v>1361062515241852936</v>
      </c>
      <c r="F1889" s="7" t="s">
        <v>23</v>
      </c>
      <c r="G1889" s="7">
        <v>1567290</v>
      </c>
      <c r="H1889" s="7">
        <v>406</v>
      </c>
      <c r="I1889" s="7">
        <v>12</v>
      </c>
      <c r="J1889" s="7">
        <v>0</v>
      </c>
      <c r="K1889" s="7" t="s">
        <v>18</v>
      </c>
      <c r="L1889" s="8">
        <v>39891.213356481479</v>
      </c>
      <c r="M1889" s="9" t="s">
        <v>19</v>
      </c>
      <c r="N1889" s="9" t="s">
        <v>22</v>
      </c>
      <c r="O1889" s="6" t="str">
        <f>HYPERLINK("https://pbs.twimg.com/profile_images/988971255679324162/jrqiIYf__normal.jpg","View")</f>
        <v>View</v>
      </c>
      <c r="P1889" s="7"/>
    </row>
    <row r="1890" spans="1:16">
      <c r="A1890" s="3">
        <v>44242.279016203705</v>
      </c>
      <c r="B1890" s="4" t="str">
        <f>HYPERLINK("https://twitter.com/sergio_fajardo","@sergio_fajardo")</f>
        <v>@sergio_fajardo</v>
      </c>
      <c r="C1890" s="5" t="s">
        <v>16</v>
      </c>
      <c r="D1890" s="5" t="s">
        <v>1910</v>
      </c>
      <c r="E1890" s="6" t="str">
        <f>HYPERLINK("https://twitter.com/sergio_fajardo/status/1361120990030405638","1361120990030405638")</f>
        <v>1361120990030405638</v>
      </c>
      <c r="F1890" s="7" t="s">
        <v>17</v>
      </c>
      <c r="G1890" s="7">
        <v>1567294</v>
      </c>
      <c r="H1890" s="7">
        <v>406</v>
      </c>
      <c r="I1890" s="7">
        <v>3</v>
      </c>
      <c r="J1890" s="7">
        <v>0</v>
      </c>
      <c r="K1890" s="7" t="s">
        <v>18</v>
      </c>
      <c r="L1890" s="8">
        <v>39891.213356481479</v>
      </c>
      <c r="M1890" s="9" t="s">
        <v>19</v>
      </c>
      <c r="N1890" s="9" t="s">
        <v>22</v>
      </c>
      <c r="O1890" s="6" t="str">
        <f>HYPERLINK("https://pbs.twimg.com/profile_images/988971255679324162/jrqiIYf__normal.jpg","View")</f>
        <v>View</v>
      </c>
      <c r="P1890" s="7"/>
    </row>
    <row r="1891" spans="1:16">
      <c r="A1891" s="3">
        <v>44242.287835648152</v>
      </c>
      <c r="B1891" s="4" t="str">
        <f>HYPERLINK("https://twitter.com/sergio_fajardo","@sergio_fajardo")</f>
        <v>@sergio_fajardo</v>
      </c>
      <c r="C1891" s="5" t="s">
        <v>16</v>
      </c>
      <c r="D1891" s="5" t="s">
        <v>1911</v>
      </c>
      <c r="E1891" s="6" t="str">
        <f>HYPERLINK("https://twitter.com/sergio_fajardo/status/1361124188795392000","1361124188795392000")</f>
        <v>1361124188795392000</v>
      </c>
      <c r="F1891" s="7" t="s">
        <v>20</v>
      </c>
      <c r="G1891" s="7">
        <v>1567290</v>
      </c>
      <c r="H1891" s="7">
        <v>406</v>
      </c>
      <c r="I1891" s="7">
        <v>6</v>
      </c>
      <c r="J1891" s="7">
        <v>0</v>
      </c>
      <c r="K1891" s="7" t="s">
        <v>18</v>
      </c>
      <c r="L1891" s="8">
        <v>39891.213356481479</v>
      </c>
      <c r="M1891" s="9" t="s">
        <v>19</v>
      </c>
      <c r="N1891" s="9" t="s">
        <v>22</v>
      </c>
      <c r="O1891" s="6" t="str">
        <f>HYPERLINK("https://pbs.twimg.com/profile_images/988971255679324162/jrqiIYf__normal.jpg","View")</f>
        <v>View</v>
      </c>
      <c r="P1891" s="7"/>
    </row>
    <row r="1892" spans="1:16">
      <c r="A1892" s="3">
        <v>44242.291932870372</v>
      </c>
      <c r="B1892" s="4" t="str">
        <f>HYPERLINK("https://twitter.com/sergio_fajardo","@sergio_fajardo")</f>
        <v>@sergio_fajardo</v>
      </c>
      <c r="C1892" s="5" t="s">
        <v>16</v>
      </c>
      <c r="D1892" s="5" t="s">
        <v>1912</v>
      </c>
      <c r="E1892" s="6" t="str">
        <f>HYPERLINK("https://twitter.com/sergio_fajardo/status/1361125671116959745","1361125671116959745")</f>
        <v>1361125671116959745</v>
      </c>
      <c r="F1892" s="7" t="s">
        <v>20</v>
      </c>
      <c r="G1892" s="7">
        <v>1567290</v>
      </c>
      <c r="H1892" s="7">
        <v>406</v>
      </c>
      <c r="I1892" s="7">
        <v>22</v>
      </c>
      <c r="J1892" s="7">
        <v>44</v>
      </c>
      <c r="K1892" s="7" t="s">
        <v>18</v>
      </c>
      <c r="L1892" s="8">
        <v>39891.213356481479</v>
      </c>
      <c r="M1892" s="9" t="s">
        <v>19</v>
      </c>
      <c r="N1892" s="9" t="s">
        <v>22</v>
      </c>
      <c r="O1892" s="6" t="str">
        <f>HYPERLINK("https://pbs.twimg.com/profile_images/988971255679324162/jrqiIYf__normal.jpg","View")</f>
        <v>View</v>
      </c>
      <c r="P1892" s="7"/>
    </row>
    <row r="1893" spans="1:16">
      <c r="A1893" s="3">
        <v>44243.970312500001</v>
      </c>
      <c r="B1893" s="4" t="str">
        <f>HYPERLINK("https://twitter.com/sergio_fajardo","@sergio_fajardo")</f>
        <v>@sergio_fajardo</v>
      </c>
      <c r="C1893" s="5" t="s">
        <v>16</v>
      </c>
      <c r="D1893" s="5" t="s">
        <v>1913</v>
      </c>
      <c r="E1893" s="6" t="str">
        <f>HYPERLINK("https://twitter.com/sergio_fajardo/status/1361733898514890758","1361733898514890758")</f>
        <v>1361733898514890758</v>
      </c>
      <c r="F1893" s="7" t="s">
        <v>17</v>
      </c>
      <c r="G1893" s="7">
        <v>1567434</v>
      </c>
      <c r="H1893" s="7">
        <v>406</v>
      </c>
      <c r="I1893" s="7">
        <v>43</v>
      </c>
      <c r="J1893" s="7">
        <v>0</v>
      </c>
      <c r="K1893" s="7" t="s">
        <v>18</v>
      </c>
      <c r="L1893" s="8">
        <v>39891.213356481479</v>
      </c>
      <c r="M1893" s="9" t="s">
        <v>19</v>
      </c>
      <c r="N1893" s="9" t="s">
        <v>22</v>
      </c>
      <c r="O1893" s="6" t="str">
        <f>HYPERLINK("https://pbs.twimg.com/profile_images/988971255679324162/jrqiIYf__normal.jpg","View")</f>
        <v>View</v>
      </c>
      <c r="P1893" s="7"/>
    </row>
    <row r="1894" spans="1:16">
      <c r="A1894" s="3">
        <v>44245.181655092594</v>
      </c>
      <c r="B1894" s="4" t="str">
        <f>HYPERLINK("https://twitter.com/sergio_fajardo","@sergio_fajardo")</f>
        <v>@sergio_fajardo</v>
      </c>
      <c r="C1894" s="5" t="s">
        <v>16</v>
      </c>
      <c r="D1894" s="5" t="s">
        <v>1914</v>
      </c>
      <c r="E1894" s="6" t="str">
        <f>HYPERLINK("https://twitter.com/sergio_fajardo/status/1362172872228282368","1362172872228282368")</f>
        <v>1362172872228282368</v>
      </c>
      <c r="F1894" s="7" t="s">
        <v>20</v>
      </c>
      <c r="G1894" s="7">
        <v>1567586</v>
      </c>
      <c r="H1894" s="7">
        <v>405</v>
      </c>
      <c r="I1894" s="7">
        <v>18</v>
      </c>
      <c r="J1894" s="7">
        <v>40</v>
      </c>
      <c r="K1894" s="7" t="s">
        <v>18</v>
      </c>
      <c r="L1894" s="8">
        <v>39891.213356481479</v>
      </c>
      <c r="M1894" s="9" t="s">
        <v>19</v>
      </c>
      <c r="N1894" s="9" t="s">
        <v>22</v>
      </c>
      <c r="O1894" s="6" t="str">
        <f>HYPERLINK("https://pbs.twimg.com/profile_images/988971255679324162/jrqiIYf__normal.jpg","View")</f>
        <v>View</v>
      </c>
      <c r="P1894" s="7"/>
    </row>
    <row r="1895" spans="1:16">
      <c r="A1895" s="3">
        <v>44245.679293981477</v>
      </c>
      <c r="B1895" s="4" t="str">
        <f>HYPERLINK("https://twitter.com/sergio_fajardo","@sergio_fajardo")</f>
        <v>@sergio_fajardo</v>
      </c>
      <c r="C1895" s="5" t="s">
        <v>16</v>
      </c>
      <c r="D1895" s="5" t="s">
        <v>1915</v>
      </c>
      <c r="E1895" s="6" t="str">
        <f>HYPERLINK("https://twitter.com/sergio_fajardo/status/1362353211328389124","1362353211328389124")</f>
        <v>1362353211328389124</v>
      </c>
      <c r="F1895" s="7" t="s">
        <v>17</v>
      </c>
      <c r="G1895" s="7">
        <v>1567644</v>
      </c>
      <c r="H1895" s="7">
        <v>405</v>
      </c>
      <c r="I1895" s="7">
        <v>9</v>
      </c>
      <c r="J1895" s="7">
        <v>33</v>
      </c>
      <c r="K1895" s="7" t="s">
        <v>18</v>
      </c>
      <c r="L1895" s="8">
        <v>39891.213356481479</v>
      </c>
      <c r="M1895" s="9" t="s">
        <v>19</v>
      </c>
      <c r="N1895" s="9" t="s">
        <v>22</v>
      </c>
      <c r="O1895" s="6" t="str">
        <f>HYPERLINK("https://pbs.twimg.com/profile_images/988971255679324162/jrqiIYf__normal.jpg","View")</f>
        <v>View</v>
      </c>
      <c r="P1895" s="7"/>
    </row>
    <row r="1896" spans="1:16">
      <c r="A1896" s="3">
        <v>44245.744930555556</v>
      </c>
      <c r="B1896" s="4" t="str">
        <f>HYPERLINK("https://twitter.com/sergio_fajardo","@sergio_fajardo")</f>
        <v>@sergio_fajardo</v>
      </c>
      <c r="C1896" s="5" t="s">
        <v>16</v>
      </c>
      <c r="D1896" s="5" t="s">
        <v>1916</v>
      </c>
      <c r="E1896" s="6" t="str">
        <f>HYPERLINK("https://twitter.com/sergio_fajardo/status/1362376995045314561","1362376995045314561")</f>
        <v>1362376995045314561</v>
      </c>
      <c r="F1896" s="7" t="s">
        <v>17</v>
      </c>
      <c r="G1896" s="7">
        <v>1567657</v>
      </c>
      <c r="H1896" s="7">
        <v>405</v>
      </c>
      <c r="I1896" s="7">
        <v>1446</v>
      </c>
      <c r="J1896" s="7">
        <v>0</v>
      </c>
      <c r="K1896" s="7" t="s">
        <v>18</v>
      </c>
      <c r="L1896" s="8">
        <v>39891.213356481479</v>
      </c>
      <c r="M1896" s="9" t="s">
        <v>19</v>
      </c>
      <c r="N1896" s="9" t="s">
        <v>22</v>
      </c>
      <c r="O1896" s="6" t="str">
        <f>HYPERLINK("https://pbs.twimg.com/profile_images/988971255679324162/jrqiIYf__normal.jpg","View")</f>
        <v>View</v>
      </c>
      <c r="P1896" s="7"/>
    </row>
    <row r="1897" spans="1:16">
      <c r="A1897" s="3">
        <v>44245.781145833331</v>
      </c>
      <c r="B1897" s="4" t="str">
        <f>HYPERLINK("https://twitter.com/sergio_fajardo","@sergio_fajardo")</f>
        <v>@sergio_fajardo</v>
      </c>
      <c r="C1897" s="5" t="s">
        <v>16</v>
      </c>
      <c r="D1897" s="5" t="s">
        <v>1917</v>
      </c>
      <c r="E1897" s="6" t="str">
        <f>HYPERLINK("https://twitter.com/sergio_fajardo/status/1362390119110631426","1362390119110631426")</f>
        <v>1362390119110631426</v>
      </c>
      <c r="F1897" s="7" t="s">
        <v>23</v>
      </c>
      <c r="G1897" s="7">
        <v>1567660</v>
      </c>
      <c r="H1897" s="7">
        <v>405</v>
      </c>
      <c r="I1897" s="7">
        <v>5</v>
      </c>
      <c r="J1897" s="7">
        <v>9</v>
      </c>
      <c r="K1897" s="7" t="s">
        <v>18</v>
      </c>
      <c r="L1897" s="8">
        <v>39891.213356481479</v>
      </c>
      <c r="M1897" s="9" t="s">
        <v>19</v>
      </c>
      <c r="N1897" s="9" t="s">
        <v>22</v>
      </c>
      <c r="O1897" s="6" t="str">
        <f>HYPERLINK("https://pbs.twimg.com/profile_images/988971255679324162/jrqiIYf__normal.jpg","View")</f>
        <v>View</v>
      </c>
      <c r="P1897" s="7"/>
    </row>
    <row r="1898" spans="1:16">
      <c r="A1898" s="3">
        <v>44246.052534722221</v>
      </c>
      <c r="B1898" s="4" t="str">
        <f>HYPERLINK("https://twitter.com/sergio_fajardo","@sergio_fajardo")</f>
        <v>@sergio_fajardo</v>
      </c>
      <c r="C1898" s="5" t="s">
        <v>16</v>
      </c>
      <c r="D1898" s="5" t="s">
        <v>1918</v>
      </c>
      <c r="E1898" s="6" t="str">
        <f>HYPERLINK("https://twitter.com/sergio_fajardo/status/1362488468585209860","1362488468585209860")</f>
        <v>1362488468585209860</v>
      </c>
      <c r="F1898" s="7" t="s">
        <v>17</v>
      </c>
      <c r="G1898" s="7">
        <v>1567697</v>
      </c>
      <c r="H1898" s="7">
        <v>405</v>
      </c>
      <c r="I1898" s="7">
        <v>9</v>
      </c>
      <c r="J1898" s="7">
        <v>28</v>
      </c>
      <c r="K1898" s="7" t="s">
        <v>18</v>
      </c>
      <c r="L1898" s="8">
        <v>39891.213356481479</v>
      </c>
      <c r="M1898" s="9" t="s">
        <v>19</v>
      </c>
      <c r="N1898" s="9" t="s">
        <v>22</v>
      </c>
      <c r="O1898" s="6" t="str">
        <f>HYPERLINK("https://pbs.twimg.com/profile_images/988971255679324162/jrqiIYf__normal.jpg","View")</f>
        <v>View</v>
      </c>
      <c r="P1898" s="7"/>
    </row>
    <row r="1899" spans="1:16">
      <c r="A1899" s="3">
        <v>44246.177187499998</v>
      </c>
      <c r="B1899" s="4" t="str">
        <f>HYPERLINK("https://twitter.com/sergio_fajardo","@sergio_fajardo")</f>
        <v>@sergio_fajardo</v>
      </c>
      <c r="C1899" s="5" t="s">
        <v>16</v>
      </c>
      <c r="D1899" s="5" t="s">
        <v>1919</v>
      </c>
      <c r="E1899" s="6" t="str">
        <f>HYPERLINK("https://twitter.com/sergio_fajardo/status/1362533642111758344","1362533642111758344")</f>
        <v>1362533642111758344</v>
      </c>
      <c r="F1899" s="7" t="s">
        <v>20</v>
      </c>
      <c r="G1899" s="7">
        <v>1567712</v>
      </c>
      <c r="H1899" s="7">
        <v>405</v>
      </c>
      <c r="I1899" s="7">
        <v>2</v>
      </c>
      <c r="J1899" s="7">
        <v>11</v>
      </c>
      <c r="K1899" s="7" t="s">
        <v>18</v>
      </c>
      <c r="L1899" s="8">
        <v>39891.213356481479</v>
      </c>
      <c r="M1899" s="9" t="s">
        <v>19</v>
      </c>
      <c r="N1899" s="9" t="s">
        <v>22</v>
      </c>
      <c r="O1899" s="6" t="str">
        <f>HYPERLINK("https://pbs.twimg.com/profile_images/988971255679324162/jrqiIYf__normal.jpg","View")</f>
        <v>View</v>
      </c>
      <c r="P1899" s="7"/>
    </row>
    <row r="1900" spans="1:16">
      <c r="A1900" s="3">
        <v>44246.232789351852</v>
      </c>
      <c r="B1900" s="4" t="str">
        <f>HYPERLINK("https://twitter.com/sergio_fajardo","@sergio_fajardo")</f>
        <v>@sergio_fajardo</v>
      </c>
      <c r="C1900" s="5" t="s">
        <v>16</v>
      </c>
      <c r="D1900" s="5" t="s">
        <v>1920</v>
      </c>
      <c r="E1900" s="6" t="str">
        <f>HYPERLINK("https://twitter.com/sergio_fajardo/status/1362553789849489408","1362553789849489408")</f>
        <v>1362553789849489408</v>
      </c>
      <c r="F1900" s="7" t="s">
        <v>20</v>
      </c>
      <c r="G1900" s="7">
        <v>1567709</v>
      </c>
      <c r="H1900" s="7">
        <v>405</v>
      </c>
      <c r="I1900" s="7">
        <v>4</v>
      </c>
      <c r="J1900" s="7">
        <v>0</v>
      </c>
      <c r="K1900" s="7" t="s">
        <v>18</v>
      </c>
      <c r="L1900" s="8">
        <v>39891.213356481479</v>
      </c>
      <c r="M1900" s="9" t="s">
        <v>19</v>
      </c>
      <c r="N1900" s="9" t="s">
        <v>22</v>
      </c>
      <c r="O1900" s="6" t="str">
        <f>HYPERLINK("https://pbs.twimg.com/profile_images/988971255679324162/jrqiIYf__normal.jpg","View")</f>
        <v>View</v>
      </c>
      <c r="P1900" s="7"/>
    </row>
    <row r="1901" spans="1:16">
      <c r="A1901" s="3">
        <v>44246.723541666666</v>
      </c>
      <c r="B1901" s="4" t="str">
        <f>HYPERLINK("https://twitter.com/sergio_fajardo","@sergio_fajardo")</f>
        <v>@sergio_fajardo</v>
      </c>
      <c r="C1901" s="5" t="s">
        <v>16</v>
      </c>
      <c r="D1901" s="5" t="s">
        <v>1921</v>
      </c>
      <c r="E1901" s="6" t="str">
        <f>HYPERLINK("https://twitter.com/sergio_fajardo/status/1362731634831855619","1362731634831855619")</f>
        <v>1362731634831855619</v>
      </c>
      <c r="F1901" s="7" t="s">
        <v>23</v>
      </c>
      <c r="G1901" s="7">
        <v>1567735</v>
      </c>
      <c r="H1901" s="7">
        <v>406</v>
      </c>
      <c r="I1901" s="7">
        <v>1</v>
      </c>
      <c r="J1901" s="7">
        <v>15</v>
      </c>
      <c r="K1901" s="7" t="s">
        <v>18</v>
      </c>
      <c r="L1901" s="8">
        <v>39891.213356481479</v>
      </c>
      <c r="M1901" s="9" t="s">
        <v>19</v>
      </c>
      <c r="N1901" s="9" t="s">
        <v>22</v>
      </c>
      <c r="O1901" s="6" t="str">
        <f>HYPERLINK("https://pbs.twimg.com/profile_images/988971255679324162/jrqiIYf__normal.jpg","View")</f>
        <v>View</v>
      </c>
      <c r="P1901" s="7"/>
    </row>
    <row r="1902" spans="1:16">
      <c r="A1902" s="3">
        <v>44246.735173611116</v>
      </c>
      <c r="B1902" s="4" t="str">
        <f>HYPERLINK("https://twitter.com/sergio_fajardo","@sergio_fajardo")</f>
        <v>@sergio_fajardo</v>
      </c>
      <c r="C1902" s="5" t="s">
        <v>16</v>
      </c>
      <c r="D1902" s="5" t="s">
        <v>1922</v>
      </c>
      <c r="E1902" s="6" t="str">
        <f>HYPERLINK("https://twitter.com/sergio_fajardo/status/1362735847712448512","1362735847712448512")</f>
        <v>1362735847712448512</v>
      </c>
      <c r="F1902" s="7" t="s">
        <v>23</v>
      </c>
      <c r="G1902" s="7">
        <v>1567735</v>
      </c>
      <c r="H1902" s="7">
        <v>406</v>
      </c>
      <c r="I1902" s="7">
        <v>23</v>
      </c>
      <c r="J1902" s="7">
        <v>86</v>
      </c>
      <c r="K1902" s="7" t="s">
        <v>18</v>
      </c>
      <c r="L1902" s="8">
        <v>39891.213356481479</v>
      </c>
      <c r="M1902" s="9" t="s">
        <v>19</v>
      </c>
      <c r="N1902" s="9" t="s">
        <v>22</v>
      </c>
      <c r="O1902" s="6" t="str">
        <f>HYPERLINK("https://pbs.twimg.com/profile_images/988971255679324162/jrqiIYf__normal.jpg","View")</f>
        <v>View</v>
      </c>
      <c r="P1902" s="7"/>
    </row>
    <row r="1903" spans="1:16">
      <c r="A1903" s="3">
        <v>44246.807789351849</v>
      </c>
      <c r="B1903" s="4" t="str">
        <f>HYPERLINK("https://twitter.com/sergio_fajardo","@sergio_fajardo")</f>
        <v>@sergio_fajardo</v>
      </c>
      <c r="C1903" s="5" t="s">
        <v>16</v>
      </c>
      <c r="D1903" s="5" t="s">
        <v>1923</v>
      </c>
      <c r="E1903" s="6" t="str">
        <f>HYPERLINK("https://twitter.com/sergio_fajardo/status/1362762166151962629","1362762166151962629")</f>
        <v>1362762166151962629</v>
      </c>
      <c r="F1903" s="7" t="s">
        <v>23</v>
      </c>
      <c r="G1903" s="7">
        <v>1567736</v>
      </c>
      <c r="H1903" s="7">
        <v>406</v>
      </c>
      <c r="I1903" s="7">
        <v>21</v>
      </c>
      <c r="J1903" s="7">
        <v>121</v>
      </c>
      <c r="K1903" s="7" t="s">
        <v>18</v>
      </c>
      <c r="L1903" s="8">
        <v>39891.213356481479</v>
      </c>
      <c r="M1903" s="9" t="s">
        <v>19</v>
      </c>
      <c r="N1903" s="9" t="s">
        <v>22</v>
      </c>
      <c r="O1903" s="6" t="str">
        <f>HYPERLINK("https://pbs.twimg.com/profile_images/988971255679324162/jrqiIYf__normal.jpg","View")</f>
        <v>View</v>
      </c>
      <c r="P1903" s="7"/>
    </row>
    <row r="1904" spans="1:16">
      <c r="A1904" s="3">
        <v>44246.827685185184</v>
      </c>
      <c r="B1904" s="4" t="str">
        <f>HYPERLINK("https://twitter.com/sergio_fajardo","@sergio_fajardo")</f>
        <v>@sergio_fajardo</v>
      </c>
      <c r="C1904" s="5" t="s">
        <v>16</v>
      </c>
      <c r="D1904" s="5" t="s">
        <v>1924</v>
      </c>
      <c r="E1904" s="6" t="str">
        <f>HYPERLINK("https://twitter.com/sergio_fajardo/status/1362769373329555459","1362769373329555459")</f>
        <v>1362769373329555459</v>
      </c>
      <c r="F1904" s="7" t="s">
        <v>23</v>
      </c>
      <c r="G1904" s="7">
        <v>1567727</v>
      </c>
      <c r="H1904" s="7">
        <v>406</v>
      </c>
      <c r="I1904" s="7">
        <v>0</v>
      </c>
      <c r="J1904" s="7">
        <v>10</v>
      </c>
      <c r="K1904" s="7" t="s">
        <v>18</v>
      </c>
      <c r="L1904" s="8">
        <v>39891.213356481479</v>
      </c>
      <c r="M1904" s="9" t="s">
        <v>19</v>
      </c>
      <c r="N1904" s="9" t="s">
        <v>22</v>
      </c>
      <c r="O1904" s="6" t="str">
        <f>HYPERLINK("https://pbs.twimg.com/profile_images/988971255679324162/jrqiIYf__normal.jpg","View")</f>
        <v>View</v>
      </c>
      <c r="P1904" s="7"/>
    </row>
    <row r="1905" spans="1:16">
      <c r="A1905" s="3">
        <v>44247.749282407407</v>
      </c>
      <c r="B1905" s="4" t="str">
        <f>HYPERLINK("https://twitter.com/sergio_fajardo","@sergio_fajardo")</f>
        <v>@sergio_fajardo</v>
      </c>
      <c r="C1905" s="5" t="s">
        <v>16</v>
      </c>
      <c r="D1905" s="5" t="s">
        <v>1925</v>
      </c>
      <c r="E1905" s="6" t="str">
        <f>HYPERLINK("https://twitter.com/sergio_fajardo/status/1363103348581412870","1363103348581412870")</f>
        <v>1363103348581412870</v>
      </c>
      <c r="F1905" s="7" t="s">
        <v>20</v>
      </c>
      <c r="G1905" s="7">
        <v>1567779</v>
      </c>
      <c r="H1905" s="7">
        <v>406</v>
      </c>
      <c r="I1905" s="7">
        <v>3</v>
      </c>
      <c r="J1905" s="7">
        <v>5</v>
      </c>
      <c r="K1905" s="7" t="s">
        <v>18</v>
      </c>
      <c r="L1905" s="8">
        <v>39891.213356481479</v>
      </c>
      <c r="M1905" s="9" t="s">
        <v>19</v>
      </c>
      <c r="N1905" s="9" t="s">
        <v>22</v>
      </c>
      <c r="O1905" s="6" t="str">
        <f>HYPERLINK("https://pbs.twimg.com/profile_images/988971255679324162/jrqiIYf__normal.jpg","View")</f>
        <v>View</v>
      </c>
      <c r="P1905" s="7"/>
    </row>
    <row r="1906" spans="1:16">
      <c r="A1906" s="3">
        <v>44247.889166666668</v>
      </c>
      <c r="B1906" s="4" t="str">
        <f>HYPERLINK("https://twitter.com/sergio_fajardo","@sergio_fajardo")</f>
        <v>@sergio_fajardo</v>
      </c>
      <c r="C1906" s="5" t="s">
        <v>16</v>
      </c>
      <c r="D1906" s="5" t="s">
        <v>1926</v>
      </c>
      <c r="E1906" s="6" t="str">
        <f>HYPERLINK("https://twitter.com/sergio_fajardo/status/1363154041228976128","1363154041228976128")</f>
        <v>1363154041228976128</v>
      </c>
      <c r="F1906" s="7" t="s">
        <v>23</v>
      </c>
      <c r="G1906" s="7">
        <v>1567774</v>
      </c>
      <c r="H1906" s="7">
        <v>406</v>
      </c>
      <c r="I1906" s="7">
        <v>6</v>
      </c>
      <c r="J1906" s="7">
        <v>24</v>
      </c>
      <c r="K1906" s="7" t="s">
        <v>18</v>
      </c>
      <c r="L1906" s="8">
        <v>39891.213356481479</v>
      </c>
      <c r="M1906" s="9" t="s">
        <v>19</v>
      </c>
      <c r="N1906" s="9" t="s">
        <v>22</v>
      </c>
      <c r="O1906" s="6" t="str">
        <f>HYPERLINK("https://pbs.twimg.com/profile_images/988971255679324162/jrqiIYf__normal.jpg","View")</f>
        <v>View</v>
      </c>
      <c r="P1906" s="7"/>
    </row>
    <row r="1907" spans="1:16">
      <c r="A1907" s="3">
        <v>44248.907465277778</v>
      </c>
      <c r="B1907" s="4" t="str">
        <f>HYPERLINK("https://twitter.com/sergio_fajardo","@sergio_fajardo")</f>
        <v>@sergio_fajardo</v>
      </c>
      <c r="C1907" s="5" t="s">
        <v>16</v>
      </c>
      <c r="D1907" s="5" t="s">
        <v>1927</v>
      </c>
      <c r="E1907" s="6" t="str">
        <f>HYPERLINK("https://twitter.com/sergio_fajardo/status/1363523062247882753","1363523062247882753")</f>
        <v>1363523062247882753</v>
      </c>
      <c r="F1907" s="7" t="s">
        <v>17</v>
      </c>
      <c r="G1907" s="7">
        <v>1567813</v>
      </c>
      <c r="H1907" s="7">
        <v>406</v>
      </c>
      <c r="I1907" s="7">
        <v>7</v>
      </c>
      <c r="J1907" s="7">
        <v>13</v>
      </c>
      <c r="K1907" s="7" t="s">
        <v>18</v>
      </c>
      <c r="L1907" s="8">
        <v>39891.213356481479</v>
      </c>
      <c r="M1907" s="9" t="s">
        <v>19</v>
      </c>
      <c r="N1907" s="9" t="s">
        <v>22</v>
      </c>
      <c r="O1907" s="6" t="str">
        <f>HYPERLINK("https://pbs.twimg.com/profile_images/988971255679324162/jrqiIYf__normal.jpg","View")</f>
        <v>View</v>
      </c>
      <c r="P1907" s="7"/>
    </row>
    <row r="1908" spans="1:16">
      <c r="A1908" s="3">
        <v>44249.746319444443</v>
      </c>
      <c r="B1908" s="4" t="str">
        <f>HYPERLINK("https://twitter.com/sergio_fajardo","@sergio_fajardo")</f>
        <v>@sergio_fajardo</v>
      </c>
      <c r="C1908" s="5" t="s">
        <v>16</v>
      </c>
      <c r="D1908" s="5" t="s">
        <v>1928</v>
      </c>
      <c r="E1908" s="6" t="str">
        <f>HYPERLINK("https://twitter.com/sergio_fajardo/status/1363827052445650944","1363827052445650944")</f>
        <v>1363827052445650944</v>
      </c>
      <c r="F1908" s="7" t="s">
        <v>20</v>
      </c>
      <c r="G1908" s="7">
        <v>1567823</v>
      </c>
      <c r="H1908" s="7">
        <v>406</v>
      </c>
      <c r="I1908" s="7">
        <v>2</v>
      </c>
      <c r="J1908" s="7">
        <v>8</v>
      </c>
      <c r="K1908" s="7" t="s">
        <v>18</v>
      </c>
      <c r="L1908" s="8">
        <v>39891.213356481479</v>
      </c>
      <c r="M1908" s="9" t="s">
        <v>19</v>
      </c>
      <c r="N1908" s="9" t="s">
        <v>22</v>
      </c>
      <c r="O1908" s="6" t="str">
        <f>HYPERLINK("https://pbs.twimg.com/profile_images/988971255679324162/jrqiIYf__normal.jpg","View")</f>
        <v>View</v>
      </c>
      <c r="P1908" s="7"/>
    </row>
    <row r="1909" spans="1:16">
      <c r="A1909" s="3">
        <v>44249.78398148148</v>
      </c>
      <c r="B1909" s="4" t="str">
        <f>HYPERLINK("https://twitter.com/sergio_fajardo","@sergio_fajardo")</f>
        <v>@sergio_fajardo</v>
      </c>
      <c r="C1909" s="5" t="s">
        <v>16</v>
      </c>
      <c r="D1909" s="5" t="s">
        <v>1929</v>
      </c>
      <c r="E1909" s="6" t="str">
        <f>HYPERLINK("https://twitter.com/sergio_fajardo/status/1363840699171545092","1363840699171545092")</f>
        <v>1363840699171545092</v>
      </c>
      <c r="F1909" s="7" t="s">
        <v>23</v>
      </c>
      <c r="G1909" s="7">
        <v>1567827</v>
      </c>
      <c r="H1909" s="7">
        <v>406</v>
      </c>
      <c r="I1909" s="7">
        <v>18</v>
      </c>
      <c r="J1909" s="7">
        <v>53</v>
      </c>
      <c r="K1909" s="7" t="s">
        <v>18</v>
      </c>
      <c r="L1909" s="8">
        <v>39891.213356481479</v>
      </c>
      <c r="M1909" s="9" t="s">
        <v>19</v>
      </c>
      <c r="N1909" s="9" t="s">
        <v>22</v>
      </c>
      <c r="O1909" s="6" t="str">
        <f>HYPERLINK("https://pbs.twimg.com/profile_images/988971255679324162/jrqiIYf__normal.jpg","View")</f>
        <v>View</v>
      </c>
      <c r="P1909" s="7"/>
    </row>
    <row r="1910" spans="1:16">
      <c r="A1910" s="3">
        <v>44249.954004629632</v>
      </c>
      <c r="B1910" s="4" t="str">
        <f>HYPERLINK("https://twitter.com/sergio_fajardo","@sergio_fajardo")</f>
        <v>@sergio_fajardo</v>
      </c>
      <c r="C1910" s="5" t="s">
        <v>16</v>
      </c>
      <c r="D1910" s="5" t="s">
        <v>1930</v>
      </c>
      <c r="E1910" s="6" t="str">
        <f>HYPERLINK("https://twitter.com/sergio_fajardo/status/1363902313572814851","1363902313572814851")</f>
        <v>1363902313572814851</v>
      </c>
      <c r="F1910" s="7" t="s">
        <v>20</v>
      </c>
      <c r="G1910" s="7">
        <v>1567848</v>
      </c>
      <c r="H1910" s="7">
        <v>406</v>
      </c>
      <c r="I1910" s="7">
        <v>82</v>
      </c>
      <c r="J1910" s="7">
        <v>0</v>
      </c>
      <c r="K1910" s="7" t="s">
        <v>18</v>
      </c>
      <c r="L1910" s="8">
        <v>39891.213356481479</v>
      </c>
      <c r="M1910" s="9" t="s">
        <v>19</v>
      </c>
      <c r="N1910" s="9" t="s">
        <v>22</v>
      </c>
      <c r="O1910" s="6" t="str">
        <f>HYPERLINK("https://pbs.twimg.com/profile_images/988971255679324162/jrqiIYf__normal.jpg","View")</f>
        <v>View</v>
      </c>
      <c r="P1910" s="7"/>
    </row>
    <row r="1911" spans="1:16">
      <c r="A1911" s="3">
        <v>44250.162615740745</v>
      </c>
      <c r="B1911" s="4" t="str">
        <f>HYPERLINK("https://twitter.com/sergio_fajardo","@sergio_fajardo")</f>
        <v>@sergio_fajardo</v>
      </c>
      <c r="C1911" s="5" t="s">
        <v>16</v>
      </c>
      <c r="D1911" s="5" t="s">
        <v>1931</v>
      </c>
      <c r="E1911" s="6" t="str">
        <f>HYPERLINK("https://twitter.com/sergio_fajardo/status/1363977910734979074","1363977910734979074")</f>
        <v>1363977910734979074</v>
      </c>
      <c r="F1911" s="7" t="s">
        <v>17</v>
      </c>
      <c r="G1911" s="7">
        <v>1567864</v>
      </c>
      <c r="H1911" s="7">
        <v>406</v>
      </c>
      <c r="I1911" s="7">
        <v>3</v>
      </c>
      <c r="J1911" s="7">
        <v>48</v>
      </c>
      <c r="K1911" s="7" t="s">
        <v>18</v>
      </c>
      <c r="L1911" s="8">
        <v>39891.213356481479</v>
      </c>
      <c r="M1911" s="9" t="s">
        <v>19</v>
      </c>
      <c r="N1911" s="9" t="s">
        <v>22</v>
      </c>
      <c r="O1911" s="6" t="str">
        <f>HYPERLINK("https://pbs.twimg.com/profile_images/988971255679324162/jrqiIYf__normal.jpg","View")</f>
        <v>View</v>
      </c>
      <c r="P1911" s="7"/>
    </row>
    <row r="1912" spans="1:16">
      <c r="A1912" s="3">
        <v>44251.076840277776</v>
      </c>
      <c r="B1912" s="4" t="str">
        <f>HYPERLINK("https://twitter.com/sergio_fajardo","@sergio_fajardo")</f>
        <v>@sergio_fajardo</v>
      </c>
      <c r="C1912" s="5" t="s">
        <v>16</v>
      </c>
      <c r="D1912" s="5" t="s">
        <v>1932</v>
      </c>
      <c r="E1912" s="6" t="str">
        <f>HYPERLINK("https://twitter.com/sergio_fajardo/status/1364309216115249158","1364309216115249158")</f>
        <v>1364309216115249158</v>
      </c>
      <c r="F1912" s="7" t="s">
        <v>20</v>
      </c>
      <c r="G1912" s="7">
        <v>1567874</v>
      </c>
      <c r="H1912" s="7">
        <v>406</v>
      </c>
      <c r="I1912" s="7">
        <v>24</v>
      </c>
      <c r="J1912" s="7">
        <v>0</v>
      </c>
      <c r="K1912" s="7" t="s">
        <v>18</v>
      </c>
      <c r="L1912" s="8">
        <v>39891.213356481479</v>
      </c>
      <c r="M1912" s="9" t="s">
        <v>19</v>
      </c>
      <c r="N1912" s="9" t="s">
        <v>22</v>
      </c>
      <c r="O1912" s="6" t="str">
        <f>HYPERLINK("https://pbs.twimg.com/profile_images/988971255679324162/jrqiIYf__normal.jpg","View")</f>
        <v>View</v>
      </c>
      <c r="P1912" s="7"/>
    </row>
    <row r="1913" spans="1:16">
      <c r="A1913" s="3">
        <v>44251.794803240744</v>
      </c>
      <c r="B1913" s="4" t="str">
        <f>HYPERLINK("https://twitter.com/sergio_fajardo","@sergio_fajardo")</f>
        <v>@sergio_fajardo</v>
      </c>
      <c r="C1913" s="5" t="s">
        <v>16</v>
      </c>
      <c r="D1913" s="5" t="s">
        <v>1933</v>
      </c>
      <c r="E1913" s="6" t="str">
        <f>HYPERLINK("https://twitter.com/sergio_fajardo/status/1364569398225358852","1364569398225358852")</f>
        <v>1364569398225358852</v>
      </c>
      <c r="F1913" s="7" t="s">
        <v>17</v>
      </c>
      <c r="G1913" s="7">
        <v>1567943</v>
      </c>
      <c r="H1913" s="7">
        <v>406</v>
      </c>
      <c r="I1913" s="7">
        <v>25</v>
      </c>
      <c r="J1913" s="7">
        <v>115</v>
      </c>
      <c r="K1913" s="7" t="s">
        <v>18</v>
      </c>
      <c r="L1913" s="8">
        <v>39891.213356481479</v>
      </c>
      <c r="M1913" s="9" t="s">
        <v>19</v>
      </c>
      <c r="N1913" s="9" t="s">
        <v>22</v>
      </c>
      <c r="O1913" s="6" t="str">
        <f>HYPERLINK("https://pbs.twimg.com/profile_images/988971255679324162/jrqiIYf__normal.jpg","View")</f>
        <v>View</v>
      </c>
      <c r="P1913" s="7"/>
    </row>
    <row r="1914" spans="1:16">
      <c r="A1914" s="3">
        <v>44252.157199074078</v>
      </c>
      <c r="B1914" s="4" t="str">
        <f>HYPERLINK("https://twitter.com/sergio_fajardo","@sergio_fajardo")</f>
        <v>@sergio_fajardo</v>
      </c>
      <c r="C1914" s="5" t="s">
        <v>16</v>
      </c>
      <c r="D1914" s="5" t="s">
        <v>1934</v>
      </c>
      <c r="E1914" s="6" t="str">
        <f>HYPERLINK("https://twitter.com/sergio_fajardo/status/1364700725234851841","1364700725234851841")</f>
        <v>1364700725234851841</v>
      </c>
      <c r="F1914" s="7" t="s">
        <v>17</v>
      </c>
      <c r="G1914" s="7">
        <v>1567991</v>
      </c>
      <c r="H1914" s="7">
        <v>406</v>
      </c>
      <c r="I1914" s="7">
        <v>4</v>
      </c>
      <c r="J1914" s="7">
        <v>0</v>
      </c>
      <c r="K1914" s="7" t="s">
        <v>18</v>
      </c>
      <c r="L1914" s="8">
        <v>39891.213356481479</v>
      </c>
      <c r="M1914" s="9" t="s">
        <v>19</v>
      </c>
      <c r="N1914" s="9" t="s">
        <v>22</v>
      </c>
      <c r="O1914" s="6" t="str">
        <f>HYPERLINK("https://pbs.twimg.com/profile_images/988971255679324162/jrqiIYf__normal.jpg","View")</f>
        <v>View</v>
      </c>
      <c r="P1914" s="7"/>
    </row>
    <row r="1915" spans="1:16">
      <c r="A1915" s="3">
        <v>44252.869629629626</v>
      </c>
      <c r="B1915" s="4" t="str">
        <f>HYPERLINK("https://twitter.com/sergio_fajardo","@sergio_fajardo")</f>
        <v>@sergio_fajardo</v>
      </c>
      <c r="C1915" s="5" t="s">
        <v>16</v>
      </c>
      <c r="D1915" s="5" t="s">
        <v>1935</v>
      </c>
      <c r="E1915" s="6" t="str">
        <f>HYPERLINK("https://twitter.com/sergio_fajardo/status/1364958902224306179","1364958902224306179")</f>
        <v>1364958902224306179</v>
      </c>
      <c r="F1915" s="7" t="s">
        <v>23</v>
      </c>
      <c r="G1915" s="7">
        <v>1568032</v>
      </c>
      <c r="H1915" s="7">
        <v>406</v>
      </c>
      <c r="I1915" s="7">
        <v>8</v>
      </c>
      <c r="J1915" s="7">
        <v>19</v>
      </c>
      <c r="K1915" s="7" t="s">
        <v>18</v>
      </c>
      <c r="L1915" s="8">
        <v>39891.213356481479</v>
      </c>
      <c r="M1915" s="9" t="s">
        <v>19</v>
      </c>
      <c r="N1915" s="9" t="s">
        <v>22</v>
      </c>
      <c r="O1915" s="6" t="str">
        <f>HYPERLINK("https://pbs.twimg.com/profile_images/988971255679324162/jrqiIYf__normal.jpg","View")</f>
        <v>View</v>
      </c>
      <c r="P1915" s="7"/>
    </row>
    <row r="1916" spans="1:16">
      <c r="A1916" s="3">
        <v>44253.041666666672</v>
      </c>
      <c r="B1916" s="4" t="str">
        <f>HYPERLINK("https://twitter.com/sergio_fajardo","@sergio_fajardo")</f>
        <v>@sergio_fajardo</v>
      </c>
      <c r="C1916" s="5" t="s">
        <v>16</v>
      </c>
      <c r="D1916" s="5" t="s">
        <v>1936</v>
      </c>
      <c r="E1916" s="6" t="str">
        <f>HYPERLINK("https://twitter.com/sergio_fajardo/status/1365021244517621763","1365021244517621763")</f>
        <v>1365021244517621763</v>
      </c>
      <c r="F1916" s="7" t="s">
        <v>23</v>
      </c>
      <c r="G1916" s="7">
        <v>1568028</v>
      </c>
      <c r="H1916" s="7">
        <v>406</v>
      </c>
      <c r="I1916" s="7">
        <v>0</v>
      </c>
      <c r="J1916" s="7">
        <v>6</v>
      </c>
      <c r="K1916" s="7" t="s">
        <v>18</v>
      </c>
      <c r="L1916" s="8">
        <v>39891.213356481479</v>
      </c>
      <c r="M1916" s="9" t="s">
        <v>19</v>
      </c>
      <c r="N1916" s="9" t="s">
        <v>22</v>
      </c>
      <c r="O1916" s="6" t="str">
        <f>HYPERLINK("https://pbs.twimg.com/profile_images/988971255679324162/jrqiIYf__normal.jpg","View")</f>
        <v>View</v>
      </c>
      <c r="P1916" s="7"/>
    </row>
    <row r="1917" spans="1:16">
      <c r="A1917" s="3">
        <v>44253.179432870369</v>
      </c>
      <c r="B1917" s="4" t="str">
        <f>HYPERLINK("https://twitter.com/sergio_fajardo","@sergio_fajardo")</f>
        <v>@sergio_fajardo</v>
      </c>
      <c r="C1917" s="5" t="s">
        <v>16</v>
      </c>
      <c r="D1917" s="5" t="s">
        <v>1937</v>
      </c>
      <c r="E1917" s="6" t="str">
        <f>HYPERLINK("https://twitter.com/sergio_fajardo/status/1365071171625103365","1365071171625103365")</f>
        <v>1365071171625103365</v>
      </c>
      <c r="F1917" s="7" t="s">
        <v>20</v>
      </c>
      <c r="G1917" s="7">
        <v>1568050</v>
      </c>
      <c r="H1917" s="7">
        <v>406</v>
      </c>
      <c r="I1917" s="7">
        <v>3</v>
      </c>
      <c r="J1917" s="7">
        <v>0</v>
      </c>
      <c r="K1917" s="7" t="s">
        <v>18</v>
      </c>
      <c r="L1917" s="8">
        <v>39891.213356481479</v>
      </c>
      <c r="M1917" s="9" t="s">
        <v>19</v>
      </c>
      <c r="N1917" s="9" t="s">
        <v>22</v>
      </c>
      <c r="O1917" s="6" t="str">
        <f>HYPERLINK("https://pbs.twimg.com/profile_images/988971255679324162/jrqiIYf__normal.jpg","View")</f>
        <v>View</v>
      </c>
      <c r="P1917" s="7"/>
    </row>
    <row r="1918" spans="1:16">
      <c r="A1918" s="3">
        <v>44253.232395833329</v>
      </c>
      <c r="B1918" s="4" t="str">
        <f>HYPERLINK("https://twitter.com/sergio_fajardo","@sergio_fajardo")</f>
        <v>@sergio_fajardo</v>
      </c>
      <c r="C1918" s="5" t="s">
        <v>16</v>
      </c>
      <c r="D1918" s="5" t="s">
        <v>1938</v>
      </c>
      <c r="E1918" s="6" t="str">
        <f>HYPERLINK("https://twitter.com/sergio_fajardo/status/1365090363720007680","1365090363720007680")</f>
        <v>1365090363720007680</v>
      </c>
      <c r="F1918" s="7" t="s">
        <v>20</v>
      </c>
      <c r="G1918" s="7">
        <v>1568049</v>
      </c>
      <c r="H1918" s="7">
        <v>406</v>
      </c>
      <c r="I1918" s="7">
        <v>3</v>
      </c>
      <c r="J1918" s="7">
        <v>9</v>
      </c>
      <c r="K1918" s="7" t="s">
        <v>18</v>
      </c>
      <c r="L1918" s="8">
        <v>39891.213356481479</v>
      </c>
      <c r="M1918" s="9" t="s">
        <v>19</v>
      </c>
      <c r="N1918" s="9" t="s">
        <v>22</v>
      </c>
      <c r="O1918" s="6" t="str">
        <f>HYPERLINK("https://pbs.twimg.com/profile_images/988971255679324162/jrqiIYf__normal.jpg","View")</f>
        <v>View</v>
      </c>
      <c r="P1918" s="7"/>
    </row>
    <row r="1919" spans="1:16">
      <c r="A1919" s="3">
        <v>44253.252523148149</v>
      </c>
      <c r="B1919" s="4" t="str">
        <f>HYPERLINK("https://twitter.com/sergio_fajardo","@sergio_fajardo")</f>
        <v>@sergio_fajardo</v>
      </c>
      <c r="C1919" s="5" t="s">
        <v>16</v>
      </c>
      <c r="D1919" s="5" t="s">
        <v>1939</v>
      </c>
      <c r="E1919" s="6" t="str">
        <f>HYPERLINK("https://twitter.com/sergio_fajardo/status/1365097657186848769","1365097657186848769")</f>
        <v>1365097657186848769</v>
      </c>
      <c r="F1919" s="7" t="s">
        <v>23</v>
      </c>
      <c r="G1919" s="7">
        <v>1568048</v>
      </c>
      <c r="H1919" s="7">
        <v>406</v>
      </c>
      <c r="I1919" s="7">
        <v>19</v>
      </c>
      <c r="J1919" s="7">
        <v>69</v>
      </c>
      <c r="K1919" s="7" t="s">
        <v>18</v>
      </c>
      <c r="L1919" s="8">
        <v>39891.213356481479</v>
      </c>
      <c r="M1919" s="9" t="s">
        <v>19</v>
      </c>
      <c r="N1919" s="9" t="s">
        <v>22</v>
      </c>
      <c r="O1919" s="6" t="str">
        <f>HYPERLINK("https://pbs.twimg.com/profile_images/988971255679324162/jrqiIYf__normal.jpg","View")</f>
        <v>View</v>
      </c>
      <c r="P1919" s="7"/>
    </row>
    <row r="1920" spans="1:16">
      <c r="A1920" s="3">
        <v>44253.668449074074</v>
      </c>
      <c r="B1920" s="4" t="str">
        <f>HYPERLINK("https://twitter.com/sergio_fajardo","@sergio_fajardo")</f>
        <v>@sergio_fajardo</v>
      </c>
      <c r="C1920" s="5" t="s">
        <v>16</v>
      </c>
      <c r="D1920" s="5" t="s">
        <v>1940</v>
      </c>
      <c r="E1920" s="6" t="str">
        <f>HYPERLINK("https://twitter.com/sergio_fajardo/status/1365248385176002562","1365248385176002562")</f>
        <v>1365248385176002562</v>
      </c>
      <c r="F1920" s="7" t="s">
        <v>17</v>
      </c>
      <c r="G1920" s="7">
        <v>1568040</v>
      </c>
      <c r="H1920" s="7">
        <v>406</v>
      </c>
      <c r="I1920" s="7">
        <v>2</v>
      </c>
      <c r="J1920" s="7">
        <v>0</v>
      </c>
      <c r="K1920" s="7" t="s">
        <v>18</v>
      </c>
      <c r="L1920" s="8">
        <v>39891.213356481479</v>
      </c>
      <c r="M1920" s="9" t="s">
        <v>19</v>
      </c>
      <c r="N1920" s="9" t="s">
        <v>22</v>
      </c>
      <c r="O1920" s="6" t="str">
        <f>HYPERLINK("https://pbs.twimg.com/profile_images/988971255679324162/jrqiIYf__normal.jpg","View")</f>
        <v>View</v>
      </c>
      <c r="P1920" s="7"/>
    </row>
    <row r="1921" spans="1:16">
      <c r="A1921" s="3">
        <v>44254.036365740743</v>
      </c>
      <c r="B1921" s="4" t="str">
        <f>HYPERLINK("https://twitter.com/sergio_fajardo","@sergio_fajardo")</f>
        <v>@sergio_fajardo</v>
      </c>
      <c r="C1921" s="5" t="s">
        <v>16</v>
      </c>
      <c r="D1921" s="5" t="s">
        <v>1941</v>
      </c>
      <c r="E1921" s="6" t="str">
        <f>HYPERLINK("https://twitter.com/sergio_fajardo/status/1365381713833168899","1365381713833168899")</f>
        <v>1365381713833168899</v>
      </c>
      <c r="F1921" s="7" t="s">
        <v>17</v>
      </c>
      <c r="G1921" s="7">
        <v>1568048</v>
      </c>
      <c r="H1921" s="7">
        <v>406</v>
      </c>
      <c r="I1921" s="7">
        <v>17</v>
      </c>
      <c r="J1921" s="7">
        <v>0</v>
      </c>
      <c r="K1921" s="7" t="s">
        <v>18</v>
      </c>
      <c r="L1921" s="8">
        <v>39891.213356481479</v>
      </c>
      <c r="M1921" s="9" t="s">
        <v>19</v>
      </c>
      <c r="N1921" s="9" t="s">
        <v>22</v>
      </c>
      <c r="O1921" s="6" t="str">
        <f>HYPERLINK("https://pbs.twimg.com/profile_images/988971255679324162/jrqiIYf__normal.jpg","View")</f>
        <v>View</v>
      </c>
      <c r="P1921" s="7"/>
    </row>
    <row r="1922" spans="1:16">
      <c r="A1922" s="3">
        <v>44254.329722222217</v>
      </c>
      <c r="B1922" s="4" t="str">
        <f>HYPERLINK("https://twitter.com/sergio_fajardo","@sergio_fajardo")</f>
        <v>@sergio_fajardo</v>
      </c>
      <c r="C1922" s="5" t="s">
        <v>16</v>
      </c>
      <c r="D1922" s="5" t="s">
        <v>1942</v>
      </c>
      <c r="E1922" s="6" t="str">
        <f>HYPERLINK("https://twitter.com/sergio_fajardo/status/1365488021269798914","1365488021269798914")</f>
        <v>1365488021269798914</v>
      </c>
      <c r="F1922" s="7" t="s">
        <v>17</v>
      </c>
      <c r="G1922" s="7">
        <v>1568055</v>
      </c>
      <c r="H1922" s="7">
        <v>406</v>
      </c>
      <c r="I1922" s="7">
        <v>49</v>
      </c>
      <c r="J1922" s="7">
        <v>0</v>
      </c>
      <c r="K1922" s="7" t="s">
        <v>18</v>
      </c>
      <c r="L1922" s="8">
        <v>39891.213356481479</v>
      </c>
      <c r="M1922" s="9" t="s">
        <v>19</v>
      </c>
      <c r="N1922" s="9" t="s">
        <v>22</v>
      </c>
      <c r="O1922" s="6" t="str">
        <f>HYPERLINK("https://pbs.twimg.com/profile_images/988971255679324162/jrqiIYf__normal.jpg","View")</f>
        <v>View</v>
      </c>
      <c r="P1922" s="7"/>
    </row>
    <row r="1923" spans="1:16">
      <c r="A1923" s="3">
        <v>44254.637025462958</v>
      </c>
      <c r="B1923" s="4" t="str">
        <f>HYPERLINK("https://twitter.com/sergio_fajardo","@sergio_fajardo")</f>
        <v>@sergio_fajardo</v>
      </c>
      <c r="C1923" s="5" t="s">
        <v>16</v>
      </c>
      <c r="D1923" s="5" t="s">
        <v>1943</v>
      </c>
      <c r="E1923" s="6" t="str">
        <f>HYPERLINK("https://twitter.com/sergio_fajardo/status/1365599384935817220","1365599384935817220")</f>
        <v>1365599384935817220</v>
      </c>
      <c r="F1923" s="7" t="s">
        <v>17</v>
      </c>
      <c r="G1923" s="7">
        <v>1568020</v>
      </c>
      <c r="H1923" s="7">
        <v>406</v>
      </c>
      <c r="I1923" s="7">
        <v>2</v>
      </c>
      <c r="J1923" s="7">
        <v>10</v>
      </c>
      <c r="K1923" s="7" t="s">
        <v>18</v>
      </c>
      <c r="L1923" s="8">
        <v>39891.213356481479</v>
      </c>
      <c r="M1923" s="9" t="s">
        <v>19</v>
      </c>
      <c r="N1923" s="9" t="s">
        <v>22</v>
      </c>
      <c r="O1923" s="6" t="str">
        <f>HYPERLINK("https://pbs.twimg.com/profile_images/988971255679324162/jrqiIYf__normal.jpg","View")</f>
        <v>View</v>
      </c>
      <c r="P1923" s="7"/>
    </row>
    <row r="1924" spans="1:16">
      <c r="A1924" s="3">
        <v>44254.739479166667</v>
      </c>
      <c r="B1924" s="4" t="str">
        <f>HYPERLINK("https://twitter.com/sergio_fajardo","@sergio_fajardo")</f>
        <v>@sergio_fajardo</v>
      </c>
      <c r="C1924" s="5" t="s">
        <v>16</v>
      </c>
      <c r="D1924" s="5" t="s">
        <v>1944</v>
      </c>
      <c r="E1924" s="6" t="str">
        <f>HYPERLINK("https://twitter.com/sergio_fajardo/status/1365636511371309056","1365636511371309056")</f>
        <v>1365636511371309056</v>
      </c>
      <c r="F1924" s="7" t="s">
        <v>17</v>
      </c>
      <c r="G1924" s="7">
        <v>1568017</v>
      </c>
      <c r="H1924" s="7">
        <v>406</v>
      </c>
      <c r="I1924" s="7">
        <v>21</v>
      </c>
      <c r="J1924" s="7">
        <v>0</v>
      </c>
      <c r="K1924" s="7" t="s">
        <v>18</v>
      </c>
      <c r="L1924" s="8">
        <v>39891.213356481479</v>
      </c>
      <c r="M1924" s="9" t="s">
        <v>19</v>
      </c>
      <c r="N1924" s="9" t="s">
        <v>22</v>
      </c>
      <c r="O1924" s="6" t="str">
        <f>HYPERLINK("https://pbs.twimg.com/profile_images/988971255679324162/jrqiIYf__normal.jpg","View")</f>
        <v>View</v>
      </c>
      <c r="P1924" s="7"/>
    </row>
    <row r="1925" spans="1:16">
      <c r="A1925" s="3">
        <v>44255.867152777777</v>
      </c>
      <c r="B1925" s="4" t="str">
        <f>HYPERLINK("https://twitter.com/sergio_fajardo","@sergio_fajardo")</f>
        <v>@sergio_fajardo</v>
      </c>
      <c r="C1925" s="5" t="s">
        <v>16</v>
      </c>
      <c r="D1925" s="5" t="s">
        <v>1945</v>
      </c>
      <c r="E1925" s="6" t="str">
        <f>HYPERLINK("https://twitter.com/sergio_fajardo/status/1366045168030388225","1366045168030388225")</f>
        <v>1366045168030388225</v>
      </c>
      <c r="F1925" s="7" t="s">
        <v>17</v>
      </c>
      <c r="G1925" s="7">
        <v>1568076</v>
      </c>
      <c r="H1925" s="7">
        <v>406</v>
      </c>
      <c r="I1925" s="7">
        <v>6460</v>
      </c>
      <c r="J1925" s="7">
        <v>0</v>
      </c>
      <c r="K1925" s="7" t="s">
        <v>18</v>
      </c>
      <c r="L1925" s="8">
        <v>39891.213356481479</v>
      </c>
      <c r="M1925" s="9" t="s">
        <v>19</v>
      </c>
      <c r="N1925" s="9" t="s">
        <v>22</v>
      </c>
      <c r="O1925" s="6" t="str">
        <f>HYPERLINK("https://pbs.twimg.com/profile_images/988971255679324162/jrqiIYf__normal.jpg","View")</f>
        <v>View</v>
      </c>
      <c r="P1925" s="7"/>
    </row>
    <row r="1926" spans="1:16">
      <c r="A1926" s="3">
        <v>44256.286527777775</v>
      </c>
      <c r="B1926" s="4" t="str">
        <f>HYPERLINK("https://twitter.com/sergio_fajardo","@sergio_fajardo")</f>
        <v>@sergio_fajardo</v>
      </c>
      <c r="C1926" s="5" t="s">
        <v>16</v>
      </c>
      <c r="D1926" s="5" t="s">
        <v>1946</v>
      </c>
      <c r="E1926" s="6" t="str">
        <f>HYPERLINK("https://twitter.com/sergio_fajardo/status/1366197142918991872","1366197142918991872")</f>
        <v>1366197142918991872</v>
      </c>
      <c r="F1926" s="7" t="s">
        <v>23</v>
      </c>
      <c r="G1926" s="7">
        <v>1568106</v>
      </c>
      <c r="H1926" s="7">
        <v>406</v>
      </c>
      <c r="I1926" s="7">
        <v>10</v>
      </c>
      <c r="J1926" s="7">
        <v>39</v>
      </c>
      <c r="K1926" s="7" t="s">
        <v>18</v>
      </c>
      <c r="L1926" s="8">
        <v>39891.213356481479</v>
      </c>
      <c r="M1926" s="9" t="s">
        <v>19</v>
      </c>
      <c r="N1926" s="9" t="s">
        <v>22</v>
      </c>
      <c r="O1926" s="6" t="str">
        <f>HYPERLINK("https://pbs.twimg.com/profile_images/988971255679324162/jrqiIYf__normal.jpg","View")</f>
        <v>View</v>
      </c>
      <c r="P1926" s="7"/>
    </row>
    <row r="1927" spans="1:16">
      <c r="A1927" s="3">
        <v>44257.231446759259</v>
      </c>
      <c r="B1927" s="4" t="str">
        <f>HYPERLINK("https://twitter.com/sergio_fajardo","@sergio_fajardo")</f>
        <v>@sergio_fajardo</v>
      </c>
      <c r="C1927" s="5" t="s">
        <v>16</v>
      </c>
      <c r="D1927" s="5" t="s">
        <v>1947</v>
      </c>
      <c r="E1927" s="6" t="str">
        <f>HYPERLINK("https://twitter.com/sergio_fajardo/status/1366539572495065092","1366539572495065092")</f>
        <v>1366539572495065092</v>
      </c>
      <c r="F1927" s="7" t="s">
        <v>21</v>
      </c>
      <c r="G1927" s="7">
        <v>1568110</v>
      </c>
      <c r="H1927" s="7">
        <v>406</v>
      </c>
      <c r="I1927" s="7">
        <v>19</v>
      </c>
      <c r="J1927" s="7">
        <v>47</v>
      </c>
      <c r="K1927" s="7" t="s">
        <v>18</v>
      </c>
      <c r="L1927" s="8">
        <v>39891.213356481479</v>
      </c>
      <c r="M1927" s="9" t="s">
        <v>19</v>
      </c>
      <c r="N1927" s="9" t="s">
        <v>22</v>
      </c>
      <c r="O1927" s="6" t="str">
        <f>HYPERLINK("https://pbs.twimg.com/profile_images/988971255679324162/jrqiIYf__normal.jpg","View")</f>
        <v>View</v>
      </c>
      <c r="P1927" s="7"/>
    </row>
    <row r="1928" spans="1:16">
      <c r="A1928" s="3">
        <v>44257.689108796301</v>
      </c>
      <c r="B1928" s="4" t="str">
        <f>HYPERLINK("https://twitter.com/sergio_fajardo","@sergio_fajardo")</f>
        <v>@sergio_fajardo</v>
      </c>
      <c r="C1928" s="5" t="s">
        <v>16</v>
      </c>
      <c r="D1928" s="5" t="s">
        <v>1948</v>
      </c>
      <c r="E1928" s="6" t="str">
        <f>HYPERLINK("https://twitter.com/sergio_fajardo/status/1366705421147398145","1366705421147398145")</f>
        <v>1366705421147398145</v>
      </c>
      <c r="F1928" s="7" t="s">
        <v>20</v>
      </c>
      <c r="G1928" s="7">
        <v>1568176</v>
      </c>
      <c r="H1928" s="7">
        <v>406</v>
      </c>
      <c r="I1928" s="7">
        <v>8</v>
      </c>
      <c r="J1928" s="7">
        <v>0</v>
      </c>
      <c r="K1928" s="7" t="s">
        <v>18</v>
      </c>
      <c r="L1928" s="8">
        <v>39891.213356481479</v>
      </c>
      <c r="M1928" s="9" t="s">
        <v>19</v>
      </c>
      <c r="N1928" s="9" t="s">
        <v>22</v>
      </c>
      <c r="O1928" s="6" t="str">
        <f>HYPERLINK("https://pbs.twimg.com/profile_images/988971255679324162/jrqiIYf__normal.jpg","View")</f>
        <v>View</v>
      </c>
      <c r="P1928" s="7"/>
    </row>
    <row r="1929" spans="1:16">
      <c r="A1929" s="3">
        <v>44257.689687499995</v>
      </c>
      <c r="B1929" s="4" t="str">
        <f>HYPERLINK("https://twitter.com/sergio_fajardo","@sergio_fajardo")</f>
        <v>@sergio_fajardo</v>
      </c>
      <c r="C1929" s="5" t="s">
        <v>16</v>
      </c>
      <c r="D1929" s="5" t="s">
        <v>1949</v>
      </c>
      <c r="E1929" s="6" t="str">
        <f>HYPERLINK("https://twitter.com/sergio_fajardo/status/1366705632922005512","1366705632922005512")</f>
        <v>1366705632922005512</v>
      </c>
      <c r="F1929" s="7" t="s">
        <v>20</v>
      </c>
      <c r="G1929" s="7">
        <v>1568176</v>
      </c>
      <c r="H1929" s="7">
        <v>406</v>
      </c>
      <c r="I1929" s="7">
        <v>10</v>
      </c>
      <c r="J1929" s="7">
        <v>0</v>
      </c>
      <c r="K1929" s="7" t="s">
        <v>18</v>
      </c>
      <c r="L1929" s="8">
        <v>39891.213356481479</v>
      </c>
      <c r="M1929" s="9" t="s">
        <v>19</v>
      </c>
      <c r="N1929" s="9" t="s">
        <v>22</v>
      </c>
      <c r="O1929" s="6" t="str">
        <f>HYPERLINK("https://pbs.twimg.com/profile_images/988971255679324162/jrqiIYf__normal.jpg","View")</f>
        <v>View</v>
      </c>
      <c r="P1929" s="7"/>
    </row>
    <row r="1930" spans="1:16">
      <c r="A1930" s="3">
        <v>44257.895335648151</v>
      </c>
      <c r="B1930" s="4" t="str">
        <f>HYPERLINK("https://twitter.com/sergio_fajardo","@sergio_fajardo")</f>
        <v>@sergio_fajardo</v>
      </c>
      <c r="C1930" s="5" t="s">
        <v>16</v>
      </c>
      <c r="D1930" s="5" t="s">
        <v>1950</v>
      </c>
      <c r="E1930" s="6" t="str">
        <f>HYPERLINK("https://twitter.com/sergio_fajardo/status/1366780156145266688","1366780156145266688")</f>
        <v>1366780156145266688</v>
      </c>
      <c r="F1930" s="7" t="s">
        <v>17</v>
      </c>
      <c r="G1930" s="7">
        <v>1568182</v>
      </c>
      <c r="H1930" s="7">
        <v>406</v>
      </c>
      <c r="I1930" s="7">
        <v>16</v>
      </c>
      <c r="J1930" s="7">
        <v>0</v>
      </c>
      <c r="K1930" s="7" t="s">
        <v>18</v>
      </c>
      <c r="L1930" s="8">
        <v>39891.213356481479</v>
      </c>
      <c r="M1930" s="9" t="s">
        <v>19</v>
      </c>
      <c r="N1930" s="9" t="s">
        <v>22</v>
      </c>
      <c r="O1930" s="6" t="str">
        <f>HYPERLINK("https://pbs.twimg.com/profile_images/988971255679324162/jrqiIYf__normal.jpg","View")</f>
        <v>View</v>
      </c>
      <c r="P1930" s="7"/>
    </row>
    <row r="1931" spans="1:16">
      <c r="A1931" s="3">
        <v>44258.034305555557</v>
      </c>
      <c r="B1931" s="4" t="str">
        <f>HYPERLINK("https://twitter.com/sergio_fajardo","@sergio_fajardo")</f>
        <v>@sergio_fajardo</v>
      </c>
      <c r="C1931" s="5" t="s">
        <v>16</v>
      </c>
      <c r="D1931" s="5" t="s">
        <v>1951</v>
      </c>
      <c r="E1931" s="6" t="str">
        <f>HYPERLINK("https://twitter.com/sergio_fajardo/status/1366830516285153288","1366830516285153288")</f>
        <v>1366830516285153288</v>
      </c>
      <c r="F1931" s="7" t="s">
        <v>20</v>
      </c>
      <c r="G1931" s="7">
        <v>1568174</v>
      </c>
      <c r="H1931" s="7">
        <v>406</v>
      </c>
      <c r="I1931" s="7">
        <v>6</v>
      </c>
      <c r="J1931" s="7">
        <v>16</v>
      </c>
      <c r="K1931" s="7" t="s">
        <v>18</v>
      </c>
      <c r="L1931" s="8">
        <v>39891.213356481479</v>
      </c>
      <c r="M1931" s="9" t="s">
        <v>19</v>
      </c>
      <c r="N1931" s="9" t="s">
        <v>22</v>
      </c>
      <c r="O1931" s="6" t="str">
        <f>HYPERLINK("https://pbs.twimg.com/profile_images/988971255679324162/jrqiIYf__normal.jpg","View")</f>
        <v>View</v>
      </c>
      <c r="P1931" s="7"/>
    </row>
    <row r="1932" spans="1:16">
      <c r="A1932" s="3">
        <v>44258.745335648149</v>
      </c>
      <c r="B1932" s="4" t="str">
        <f>HYPERLINK("https://twitter.com/sergio_fajardo","@sergio_fajardo")</f>
        <v>@sergio_fajardo</v>
      </c>
      <c r="C1932" s="5" t="s">
        <v>16</v>
      </c>
      <c r="D1932" s="5" t="s">
        <v>1952</v>
      </c>
      <c r="E1932" s="6" t="str">
        <f>HYPERLINK("https://twitter.com/sergio_fajardo/status/1367088186321752066","1367088186321752066")</f>
        <v>1367088186321752066</v>
      </c>
      <c r="F1932" s="7" t="s">
        <v>23</v>
      </c>
      <c r="G1932" s="7">
        <v>1568209</v>
      </c>
      <c r="H1932" s="7">
        <v>406</v>
      </c>
      <c r="I1932" s="7">
        <v>6</v>
      </c>
      <c r="J1932" s="7">
        <v>10</v>
      </c>
      <c r="K1932" s="7" t="s">
        <v>18</v>
      </c>
      <c r="L1932" s="8">
        <v>39891.213356481479</v>
      </c>
      <c r="M1932" s="9" t="s">
        <v>19</v>
      </c>
      <c r="N1932" s="9" t="s">
        <v>22</v>
      </c>
      <c r="O1932" s="6" t="str">
        <f>HYPERLINK("https://pbs.twimg.com/profile_images/988971255679324162/jrqiIYf__normal.jpg","View")</f>
        <v>View</v>
      </c>
      <c r="P1932" s="7"/>
    </row>
    <row r="1933" spans="1:16">
      <c r="A1933" s="3">
        <v>44258.768946759257</v>
      </c>
      <c r="B1933" s="4" t="str">
        <f>HYPERLINK("https://twitter.com/sergio_fajardo","@sergio_fajardo")</f>
        <v>@sergio_fajardo</v>
      </c>
      <c r="C1933" s="5" t="s">
        <v>16</v>
      </c>
      <c r="D1933" s="5" t="s">
        <v>1953</v>
      </c>
      <c r="E1933" s="6" t="str">
        <f>HYPERLINK("https://twitter.com/sergio_fajardo/status/1367096741846278147","1367096741846278147")</f>
        <v>1367096741846278147</v>
      </c>
      <c r="F1933" s="7" t="s">
        <v>23</v>
      </c>
      <c r="G1933" s="7">
        <v>1568212</v>
      </c>
      <c r="H1933" s="7">
        <v>408</v>
      </c>
      <c r="I1933" s="7">
        <v>1</v>
      </c>
      <c r="J1933" s="7">
        <v>1</v>
      </c>
      <c r="K1933" s="7" t="s">
        <v>18</v>
      </c>
      <c r="L1933" s="8">
        <v>39891.213356481479</v>
      </c>
      <c r="M1933" s="9" t="s">
        <v>19</v>
      </c>
      <c r="N1933" s="9" t="s">
        <v>22</v>
      </c>
      <c r="O1933" s="6" t="str">
        <f>HYPERLINK("https://pbs.twimg.com/profile_images/988971255679324162/jrqiIYf__normal.jpg","View")</f>
        <v>View</v>
      </c>
      <c r="P1933" s="7"/>
    </row>
    <row r="1934" spans="1:16">
      <c r="A1934" s="3">
        <v>44258.782766203702</v>
      </c>
      <c r="B1934" s="4" t="str">
        <f>HYPERLINK("https://twitter.com/sergio_fajardo","@sergio_fajardo")</f>
        <v>@sergio_fajardo</v>
      </c>
      <c r="C1934" s="5" t="s">
        <v>16</v>
      </c>
      <c r="D1934" s="5" t="s">
        <v>1954</v>
      </c>
      <c r="E1934" s="6" t="str">
        <f>HYPERLINK("https://twitter.com/sergio_fajardo/status/1367101748721123341","1367101748721123341")</f>
        <v>1367101748721123341</v>
      </c>
      <c r="F1934" s="7" t="s">
        <v>23</v>
      </c>
      <c r="G1934" s="7">
        <v>1568208</v>
      </c>
      <c r="H1934" s="7">
        <v>408</v>
      </c>
      <c r="I1934" s="7">
        <v>1</v>
      </c>
      <c r="J1934" s="7">
        <v>9</v>
      </c>
      <c r="K1934" s="7" t="s">
        <v>18</v>
      </c>
      <c r="L1934" s="8">
        <v>39891.213356481479</v>
      </c>
      <c r="M1934" s="9" t="s">
        <v>19</v>
      </c>
      <c r="N1934" s="9" t="s">
        <v>22</v>
      </c>
      <c r="O1934" s="6" t="str">
        <f>HYPERLINK("https://pbs.twimg.com/profile_images/988971255679324162/jrqiIYf__normal.jpg","View")</f>
        <v>View</v>
      </c>
      <c r="P1934" s="7"/>
    </row>
    <row r="1935" spans="1:16">
      <c r="A1935" s="3">
        <v>44258.918252314819</v>
      </c>
      <c r="B1935" s="4" t="str">
        <f>HYPERLINK("https://twitter.com/sergio_fajardo","@sergio_fajardo")</f>
        <v>@sergio_fajardo</v>
      </c>
      <c r="C1935" s="5" t="s">
        <v>16</v>
      </c>
      <c r="D1935" s="5" t="s">
        <v>1955</v>
      </c>
      <c r="E1935" s="6" t="str">
        <f>HYPERLINK("https://twitter.com/sergio_fajardo/status/1367150847310897154","1367150847310897154")</f>
        <v>1367150847310897154</v>
      </c>
      <c r="F1935" s="7" t="s">
        <v>17</v>
      </c>
      <c r="G1935" s="7">
        <v>1568224</v>
      </c>
      <c r="H1935" s="7">
        <v>408</v>
      </c>
      <c r="I1935" s="7">
        <v>0</v>
      </c>
      <c r="J1935" s="7">
        <v>4</v>
      </c>
      <c r="K1935" s="7" t="s">
        <v>18</v>
      </c>
      <c r="L1935" s="8">
        <v>39891.213356481479</v>
      </c>
      <c r="M1935" s="9" t="s">
        <v>19</v>
      </c>
      <c r="N1935" s="9" t="s">
        <v>22</v>
      </c>
      <c r="O1935" s="6" t="str">
        <f>HYPERLINK("https://pbs.twimg.com/profile_images/988971255679324162/jrqiIYf__normal.jpg","View")</f>
        <v>View</v>
      </c>
      <c r="P1935" s="7"/>
    </row>
    <row r="1936" spans="1:16">
      <c r="A1936" s="3">
        <v>44259.24155092593</v>
      </c>
      <c r="B1936" s="4" t="str">
        <f>HYPERLINK("https://twitter.com/sergio_fajardo","@sergio_fajardo")</f>
        <v>@sergio_fajardo</v>
      </c>
      <c r="C1936" s="5" t="s">
        <v>16</v>
      </c>
      <c r="D1936" s="5" t="s">
        <v>1956</v>
      </c>
      <c r="E1936" s="6" t="str">
        <f>HYPERLINK("https://twitter.com/sergio_fajardo/status/1367268010558431235","1367268010558431235")</f>
        <v>1367268010558431235</v>
      </c>
      <c r="F1936" s="7" t="s">
        <v>20</v>
      </c>
      <c r="G1936" s="7">
        <v>1568254</v>
      </c>
      <c r="H1936" s="7">
        <v>408</v>
      </c>
      <c r="I1936" s="7">
        <v>8</v>
      </c>
      <c r="J1936" s="7">
        <v>34</v>
      </c>
      <c r="K1936" s="7" t="s">
        <v>18</v>
      </c>
      <c r="L1936" s="8">
        <v>39891.213356481479</v>
      </c>
      <c r="M1936" s="9" t="s">
        <v>19</v>
      </c>
      <c r="N1936" s="9" t="s">
        <v>22</v>
      </c>
      <c r="O1936" s="6" t="str">
        <f>HYPERLINK("https://pbs.twimg.com/profile_images/988971255679324162/jrqiIYf__normal.jpg","View")</f>
        <v>View</v>
      </c>
      <c r="P1936" s="7"/>
    </row>
    <row r="1937" spans="1:16">
      <c r="A1937" s="3">
        <v>44259.278773148151</v>
      </c>
      <c r="B1937" s="4" t="str">
        <f>HYPERLINK("https://twitter.com/sergio_fajardo","@sergio_fajardo")</f>
        <v>@sergio_fajardo</v>
      </c>
      <c r="C1937" s="5" t="s">
        <v>16</v>
      </c>
      <c r="D1937" s="5" t="s">
        <v>1957</v>
      </c>
      <c r="E1937" s="6" t="str">
        <f>HYPERLINK("https://twitter.com/sergio_fajardo/status/1367281498181816325","1367281498181816325")</f>
        <v>1367281498181816325</v>
      </c>
      <c r="F1937" s="7" t="s">
        <v>23</v>
      </c>
      <c r="G1937" s="7">
        <v>1568251</v>
      </c>
      <c r="H1937" s="7">
        <v>408</v>
      </c>
      <c r="I1937" s="7">
        <v>3</v>
      </c>
      <c r="J1937" s="7">
        <v>21</v>
      </c>
      <c r="K1937" s="7" t="s">
        <v>18</v>
      </c>
      <c r="L1937" s="8">
        <v>39891.213356481479</v>
      </c>
      <c r="M1937" s="9" t="s">
        <v>19</v>
      </c>
      <c r="N1937" s="9" t="s">
        <v>22</v>
      </c>
      <c r="O1937" s="6" t="str">
        <f>HYPERLINK("https://pbs.twimg.com/profile_images/988971255679324162/jrqiIYf__normal.jpg","View")</f>
        <v>View</v>
      </c>
      <c r="P1937" s="7"/>
    </row>
    <row r="1938" spans="1:16">
      <c r="A1938" s="3">
        <v>44259.736550925925</v>
      </c>
      <c r="B1938" s="4" t="str">
        <f>HYPERLINK("https://twitter.com/sergio_fajardo","@sergio_fajardo")</f>
        <v>@sergio_fajardo</v>
      </c>
      <c r="C1938" s="5" t="s">
        <v>16</v>
      </c>
      <c r="D1938" s="5" t="s">
        <v>1958</v>
      </c>
      <c r="E1938" s="6" t="str">
        <f>HYPERLINK("https://twitter.com/sergio_fajardo/status/1367447391398412290","1367447391398412290")</f>
        <v>1367447391398412290</v>
      </c>
      <c r="F1938" s="7" t="s">
        <v>23</v>
      </c>
      <c r="G1938" s="7">
        <v>1568251</v>
      </c>
      <c r="H1938" s="7">
        <v>408</v>
      </c>
      <c r="I1938" s="7">
        <v>2</v>
      </c>
      <c r="J1938" s="7">
        <v>7</v>
      </c>
      <c r="K1938" s="7" t="s">
        <v>18</v>
      </c>
      <c r="L1938" s="8">
        <v>39891.213356481479</v>
      </c>
      <c r="M1938" s="9" t="s">
        <v>19</v>
      </c>
      <c r="N1938" s="9" t="s">
        <v>22</v>
      </c>
      <c r="O1938" s="6" t="str">
        <f>HYPERLINK("https://pbs.twimg.com/profile_images/988971255679324162/jrqiIYf__normal.jpg","View")</f>
        <v>View</v>
      </c>
      <c r="P1938" s="7"/>
    </row>
    <row r="1939" spans="1:16">
      <c r="A1939" s="3">
        <v>44259.749895833331</v>
      </c>
      <c r="B1939" s="4" t="str">
        <f>HYPERLINK("https://twitter.com/sergio_fajardo","@sergio_fajardo")</f>
        <v>@sergio_fajardo</v>
      </c>
      <c r="C1939" s="5" t="s">
        <v>16</v>
      </c>
      <c r="D1939" s="5" t="s">
        <v>1959</v>
      </c>
      <c r="E1939" s="6" t="str">
        <f>HYPERLINK("https://twitter.com/sergio_fajardo/status/1367452225161883650","1367452225161883650")</f>
        <v>1367452225161883650</v>
      </c>
      <c r="F1939" s="7" t="s">
        <v>23</v>
      </c>
      <c r="G1939" s="7">
        <v>1568251</v>
      </c>
      <c r="H1939" s="7">
        <v>408</v>
      </c>
      <c r="I1939" s="7">
        <v>6</v>
      </c>
      <c r="J1939" s="7">
        <v>22</v>
      </c>
      <c r="K1939" s="7" t="s">
        <v>18</v>
      </c>
      <c r="L1939" s="8">
        <v>39891.213356481479</v>
      </c>
      <c r="M1939" s="9" t="s">
        <v>19</v>
      </c>
      <c r="N1939" s="9" t="s">
        <v>22</v>
      </c>
      <c r="O1939" s="6" t="str">
        <f>HYPERLINK("https://pbs.twimg.com/profile_images/988971255679324162/jrqiIYf__normal.jpg","View")</f>
        <v>View</v>
      </c>
      <c r="P1939" s="7"/>
    </row>
    <row r="1940" spans="1:16">
      <c r="A1940" s="3">
        <v>44259.762939814813</v>
      </c>
      <c r="B1940" s="4" t="str">
        <f>HYPERLINK("https://twitter.com/sergio_fajardo","@sergio_fajardo")</f>
        <v>@sergio_fajardo</v>
      </c>
      <c r="C1940" s="5" t="s">
        <v>16</v>
      </c>
      <c r="D1940" s="5" t="s">
        <v>1960</v>
      </c>
      <c r="E1940" s="6" t="str">
        <f>HYPERLINK("https://twitter.com/sergio_fajardo/status/1367456955380432899","1367456955380432899")</f>
        <v>1367456955380432899</v>
      </c>
      <c r="F1940" s="7" t="s">
        <v>23</v>
      </c>
      <c r="G1940" s="7">
        <v>1568248</v>
      </c>
      <c r="H1940" s="7">
        <v>408</v>
      </c>
      <c r="I1940" s="7">
        <v>19</v>
      </c>
      <c r="J1940" s="7">
        <v>92</v>
      </c>
      <c r="K1940" s="7" t="s">
        <v>18</v>
      </c>
      <c r="L1940" s="8">
        <v>39891.213356481479</v>
      </c>
      <c r="M1940" s="9" t="s">
        <v>19</v>
      </c>
      <c r="N1940" s="9" t="s">
        <v>22</v>
      </c>
      <c r="O1940" s="6" t="str">
        <f>HYPERLINK("https://pbs.twimg.com/profile_images/988971255679324162/jrqiIYf__normal.jpg","View")</f>
        <v>View</v>
      </c>
      <c r="P1940" s="7"/>
    </row>
    <row r="1941" spans="1:16">
      <c r="A1941" s="3">
        <v>44259.813726851848</v>
      </c>
      <c r="B1941" s="4" t="str">
        <f>HYPERLINK("https://twitter.com/sergio_fajardo","@sergio_fajardo")</f>
        <v>@sergio_fajardo</v>
      </c>
      <c r="C1941" s="5" t="s">
        <v>16</v>
      </c>
      <c r="D1941" s="5" t="s">
        <v>1961</v>
      </c>
      <c r="E1941" s="6" t="str">
        <f>HYPERLINK("https://twitter.com/sergio_fajardo/status/1367475356526075915","1367475356526075915")</f>
        <v>1367475356526075915</v>
      </c>
      <c r="F1941" s="7" t="s">
        <v>23</v>
      </c>
      <c r="G1941" s="7">
        <v>1568248</v>
      </c>
      <c r="H1941" s="7">
        <v>408</v>
      </c>
      <c r="I1941" s="7">
        <v>1</v>
      </c>
      <c r="J1941" s="7">
        <v>0</v>
      </c>
      <c r="K1941" s="7" t="s">
        <v>18</v>
      </c>
      <c r="L1941" s="8">
        <v>39891.213356481479</v>
      </c>
      <c r="M1941" s="9" t="s">
        <v>19</v>
      </c>
      <c r="N1941" s="9" t="s">
        <v>22</v>
      </c>
      <c r="O1941" s="6" t="str">
        <f>HYPERLINK("https://pbs.twimg.com/profile_images/988971255679324162/jrqiIYf__normal.jpg","View")</f>
        <v>View</v>
      </c>
      <c r="P1941" s="7"/>
    </row>
    <row r="1942" spans="1:16">
      <c r="A1942" s="3">
        <v>44260.068043981482</v>
      </c>
      <c r="B1942" s="4" t="str">
        <f>HYPERLINK("https://twitter.com/sergio_fajardo","@sergio_fajardo")</f>
        <v>@sergio_fajardo</v>
      </c>
      <c r="C1942" s="5" t="s">
        <v>16</v>
      </c>
      <c r="D1942" s="5" t="s">
        <v>1962</v>
      </c>
      <c r="E1942" s="6" t="str">
        <f>HYPERLINK("https://twitter.com/sergio_fajardo/status/1367567520702619650","1367567520702619650")</f>
        <v>1367567520702619650</v>
      </c>
      <c r="F1942" s="7" t="s">
        <v>20</v>
      </c>
      <c r="G1942" s="7">
        <v>1568247</v>
      </c>
      <c r="H1942" s="7">
        <v>408</v>
      </c>
      <c r="I1942" s="7">
        <v>91</v>
      </c>
      <c r="J1942" s="7">
        <v>0</v>
      </c>
      <c r="K1942" s="7" t="s">
        <v>18</v>
      </c>
      <c r="L1942" s="8">
        <v>39891.213356481479</v>
      </c>
      <c r="M1942" s="9" t="s">
        <v>19</v>
      </c>
      <c r="N1942" s="9" t="s">
        <v>22</v>
      </c>
      <c r="O1942" s="6" t="str">
        <f>HYPERLINK("https://pbs.twimg.com/profile_images/988971255679324162/jrqiIYf__normal.jpg","View")</f>
        <v>View</v>
      </c>
      <c r="P1942" s="7"/>
    </row>
    <row r="1943" spans="1:16">
      <c r="A1943" s="3">
        <v>44260.155104166668</v>
      </c>
      <c r="B1943" s="4" t="str">
        <f>HYPERLINK("https://twitter.com/sergio_fajardo","@sergio_fajardo")</f>
        <v>@sergio_fajardo</v>
      </c>
      <c r="C1943" s="5" t="s">
        <v>16</v>
      </c>
      <c r="D1943" s="5" t="s">
        <v>1963</v>
      </c>
      <c r="E1943" s="6" t="str">
        <f>HYPERLINK("https://twitter.com/sergio_fajardo/status/1367599068793495554","1367599068793495554")</f>
        <v>1367599068793495554</v>
      </c>
      <c r="F1943" s="7" t="s">
        <v>20</v>
      </c>
      <c r="G1943" s="7">
        <v>1568255</v>
      </c>
      <c r="H1943" s="7">
        <v>408</v>
      </c>
      <c r="I1943" s="7">
        <v>8</v>
      </c>
      <c r="J1943" s="7">
        <v>0</v>
      </c>
      <c r="K1943" s="7" t="s">
        <v>18</v>
      </c>
      <c r="L1943" s="8">
        <v>39891.213356481479</v>
      </c>
      <c r="M1943" s="9" t="s">
        <v>19</v>
      </c>
      <c r="N1943" s="9" t="s">
        <v>22</v>
      </c>
      <c r="O1943" s="6" t="str">
        <f>HYPERLINK("https://pbs.twimg.com/profile_images/988971255679324162/jrqiIYf__normal.jpg","View")</f>
        <v>View</v>
      </c>
      <c r="P1943" s="7"/>
    </row>
    <row r="1944" spans="1:16">
      <c r="A1944" s="3">
        <v>44260.171851851846</v>
      </c>
      <c r="B1944" s="4" t="str">
        <f>HYPERLINK("https://twitter.com/sergio_fajardo","@sergio_fajardo")</f>
        <v>@sergio_fajardo</v>
      </c>
      <c r="C1944" s="5" t="s">
        <v>16</v>
      </c>
      <c r="D1944" s="5" t="s">
        <v>1964</v>
      </c>
      <c r="E1944" s="6" t="str">
        <f>HYPERLINK("https://twitter.com/sergio_fajardo/status/1367605138802761731","1367605138802761731")</f>
        <v>1367605138802761731</v>
      </c>
      <c r="F1944" s="7" t="s">
        <v>20</v>
      </c>
      <c r="G1944" s="7">
        <v>1568256</v>
      </c>
      <c r="H1944" s="7">
        <v>408</v>
      </c>
      <c r="I1944" s="7">
        <v>3</v>
      </c>
      <c r="J1944" s="7">
        <v>23</v>
      </c>
      <c r="K1944" s="7" t="s">
        <v>18</v>
      </c>
      <c r="L1944" s="8">
        <v>39891.213356481479</v>
      </c>
      <c r="M1944" s="9" t="s">
        <v>19</v>
      </c>
      <c r="N1944" s="9" t="s">
        <v>22</v>
      </c>
      <c r="O1944" s="6" t="str">
        <f>HYPERLINK("https://pbs.twimg.com/profile_images/988971255679324162/jrqiIYf__normal.jpg","View")</f>
        <v>View</v>
      </c>
      <c r="P1944" s="7"/>
    </row>
    <row r="1945" spans="1:16">
      <c r="A1945" s="3">
        <v>44260.322893518518</v>
      </c>
      <c r="B1945" s="4" t="str">
        <f>HYPERLINK("https://twitter.com/sergio_fajardo","@sergio_fajardo")</f>
        <v>@sergio_fajardo</v>
      </c>
      <c r="C1945" s="5" t="s">
        <v>16</v>
      </c>
      <c r="D1945" s="5" t="s">
        <v>1965</v>
      </c>
      <c r="E1945" s="6" t="str">
        <f>HYPERLINK("https://twitter.com/sergio_fajardo/status/1367659874046316547","1367659874046316547")</f>
        <v>1367659874046316547</v>
      </c>
      <c r="F1945" s="7" t="s">
        <v>20</v>
      </c>
      <c r="G1945" s="7">
        <v>1568266</v>
      </c>
      <c r="H1945" s="7">
        <v>408</v>
      </c>
      <c r="I1945" s="7">
        <v>7</v>
      </c>
      <c r="J1945" s="7">
        <v>27</v>
      </c>
      <c r="K1945" s="7" t="s">
        <v>18</v>
      </c>
      <c r="L1945" s="8">
        <v>39891.213356481479</v>
      </c>
      <c r="M1945" s="9" t="s">
        <v>19</v>
      </c>
      <c r="N1945" s="9" t="s">
        <v>22</v>
      </c>
      <c r="O1945" s="6" t="str">
        <f>HYPERLINK("https://pbs.twimg.com/profile_images/988971255679324162/jrqiIYf__normal.jpg","View")</f>
        <v>View</v>
      </c>
      <c r="P1945" s="7"/>
    </row>
    <row r="1946" spans="1:16">
      <c r="A1946" s="3">
        <v>44260.889444444445</v>
      </c>
      <c r="B1946" s="4" t="str">
        <f>HYPERLINK("https://twitter.com/sergio_fajardo","@sergio_fajardo")</f>
        <v>@sergio_fajardo</v>
      </c>
      <c r="C1946" s="5" t="s">
        <v>16</v>
      </c>
      <c r="D1946" s="5" t="s">
        <v>1966</v>
      </c>
      <c r="E1946" s="6" t="str">
        <f>HYPERLINK("https://twitter.com/sergio_fajardo/status/1367865184090480640","1367865184090480640")</f>
        <v>1367865184090480640</v>
      </c>
      <c r="F1946" s="7" t="s">
        <v>23</v>
      </c>
      <c r="G1946" s="7">
        <v>1568269</v>
      </c>
      <c r="H1946" s="7">
        <v>408</v>
      </c>
      <c r="I1946" s="7">
        <v>1</v>
      </c>
      <c r="J1946" s="7">
        <v>17</v>
      </c>
      <c r="K1946" s="7" t="s">
        <v>18</v>
      </c>
      <c r="L1946" s="8">
        <v>39891.213356481479</v>
      </c>
      <c r="M1946" s="9" t="s">
        <v>19</v>
      </c>
      <c r="N1946" s="9" t="s">
        <v>22</v>
      </c>
      <c r="O1946" s="6" t="str">
        <f>HYPERLINK("https://pbs.twimg.com/profile_images/988971255679324162/jrqiIYf__normal.jpg","View")</f>
        <v>View</v>
      </c>
      <c r="P1946" s="7"/>
    </row>
    <row r="1947" spans="1:16">
      <c r="A1947" s="3">
        <v>44260.889444444445</v>
      </c>
      <c r="B1947" s="4" t="str">
        <f>HYPERLINK("https://twitter.com/sergio_fajardo","@sergio_fajardo")</f>
        <v>@sergio_fajardo</v>
      </c>
      <c r="C1947" s="5" t="s">
        <v>16</v>
      </c>
      <c r="D1947" s="5" t="s">
        <v>1967</v>
      </c>
      <c r="E1947" s="6" t="str">
        <f>HYPERLINK("https://twitter.com/sergio_fajardo/status/1367865185617199117","1367865185617199117")</f>
        <v>1367865185617199117</v>
      </c>
      <c r="F1947" s="7" t="s">
        <v>23</v>
      </c>
      <c r="G1947" s="7">
        <v>1568269</v>
      </c>
      <c r="H1947" s="7">
        <v>408</v>
      </c>
      <c r="I1947" s="7">
        <v>2</v>
      </c>
      <c r="J1947" s="7">
        <v>10</v>
      </c>
      <c r="K1947" s="7" t="s">
        <v>18</v>
      </c>
      <c r="L1947" s="8">
        <v>39891.213356481479</v>
      </c>
      <c r="M1947" s="9" t="s">
        <v>19</v>
      </c>
      <c r="N1947" s="9" t="s">
        <v>22</v>
      </c>
      <c r="O1947" s="6" t="str">
        <f>HYPERLINK("https://pbs.twimg.com/profile_images/988971255679324162/jrqiIYf__normal.jpg","View")</f>
        <v>View</v>
      </c>
      <c r="P1947" s="7"/>
    </row>
    <row r="1948" spans="1:16">
      <c r="A1948" s="3">
        <v>44260.889456018514</v>
      </c>
      <c r="B1948" s="4" t="str">
        <f>HYPERLINK("https://twitter.com/sergio_fajardo","@sergio_fajardo")</f>
        <v>@sergio_fajardo</v>
      </c>
      <c r="C1948" s="5" t="s">
        <v>16</v>
      </c>
      <c r="D1948" s="5" t="s">
        <v>1968</v>
      </c>
      <c r="E1948" s="6" t="str">
        <f>HYPERLINK("https://twitter.com/sergio_fajardo/status/1367865187471097859","1367865187471097859")</f>
        <v>1367865187471097859</v>
      </c>
      <c r="F1948" s="7" t="s">
        <v>23</v>
      </c>
      <c r="G1948" s="7">
        <v>1568269</v>
      </c>
      <c r="H1948" s="7">
        <v>408</v>
      </c>
      <c r="I1948" s="7">
        <v>1</v>
      </c>
      <c r="J1948" s="7">
        <v>14</v>
      </c>
      <c r="K1948" s="7" t="s">
        <v>18</v>
      </c>
      <c r="L1948" s="8">
        <v>39891.213356481479</v>
      </c>
      <c r="M1948" s="9" t="s">
        <v>19</v>
      </c>
      <c r="N1948" s="9" t="s">
        <v>22</v>
      </c>
      <c r="O1948" s="6" t="str">
        <f>HYPERLINK("https://pbs.twimg.com/profile_images/988971255679324162/jrqiIYf__normal.jpg","View")</f>
        <v>View</v>
      </c>
      <c r="P1948" s="7"/>
    </row>
    <row r="1949" spans="1:16">
      <c r="A1949" s="3">
        <v>44260.889456018514</v>
      </c>
      <c r="B1949" s="4" t="str">
        <f>HYPERLINK("https://twitter.com/sergio_fajardo","@sergio_fajardo")</f>
        <v>@sergio_fajardo</v>
      </c>
      <c r="C1949" s="5" t="s">
        <v>16</v>
      </c>
      <c r="D1949" s="5" t="s">
        <v>1969</v>
      </c>
      <c r="E1949" s="6" t="str">
        <f>HYPERLINK("https://twitter.com/sergio_fajardo/status/1367865191334035459","1367865191334035459")</f>
        <v>1367865191334035459</v>
      </c>
      <c r="F1949" s="7" t="s">
        <v>23</v>
      </c>
      <c r="G1949" s="7">
        <v>1568269</v>
      </c>
      <c r="H1949" s="7">
        <v>408</v>
      </c>
      <c r="I1949" s="7">
        <v>2</v>
      </c>
      <c r="J1949" s="7">
        <v>12</v>
      </c>
      <c r="K1949" s="7" t="s">
        <v>18</v>
      </c>
      <c r="L1949" s="8">
        <v>39891.213356481479</v>
      </c>
      <c r="M1949" s="9" t="s">
        <v>19</v>
      </c>
      <c r="N1949" s="9" t="s">
        <v>22</v>
      </c>
      <c r="O1949" s="6" t="str">
        <f>HYPERLINK("https://pbs.twimg.com/profile_images/988971255679324162/jrqiIYf__normal.jpg","View")</f>
        <v>View</v>
      </c>
      <c r="P1949" s="7"/>
    </row>
    <row r="1950" spans="1:16">
      <c r="A1950" s="3">
        <v>44261.088900462964</v>
      </c>
      <c r="B1950" s="4" t="str">
        <f>HYPERLINK("https://twitter.com/sergio_fajardo","@sergio_fajardo")</f>
        <v>@sergio_fajardo</v>
      </c>
      <c r="C1950" s="5" t="s">
        <v>16</v>
      </c>
      <c r="D1950" s="5" t="s">
        <v>1970</v>
      </c>
      <c r="E1950" s="6" t="str">
        <f>HYPERLINK("https://twitter.com/sergio_fajardo/status/1367937465340862467","1367937465340862467")</f>
        <v>1367937465340862467</v>
      </c>
      <c r="F1950" s="7" t="s">
        <v>17</v>
      </c>
      <c r="G1950" s="7">
        <v>1568259</v>
      </c>
      <c r="H1950" s="7">
        <v>408</v>
      </c>
      <c r="I1950" s="7">
        <v>15</v>
      </c>
      <c r="J1950" s="7">
        <v>102</v>
      </c>
      <c r="K1950" s="7" t="s">
        <v>18</v>
      </c>
      <c r="L1950" s="8">
        <v>39891.213356481479</v>
      </c>
      <c r="M1950" s="9" t="s">
        <v>19</v>
      </c>
      <c r="N1950" s="9" t="s">
        <v>22</v>
      </c>
      <c r="O1950" s="6" t="str">
        <f>HYPERLINK("https://pbs.twimg.com/profile_images/988971255679324162/jrqiIYf__normal.jpg","View")</f>
        <v>View</v>
      </c>
      <c r="P1950" s="7"/>
    </row>
    <row r="1951" spans="1:16">
      <c r="A1951" s="3">
        <v>44261.130543981482</v>
      </c>
      <c r="B1951" s="4" t="str">
        <f>HYPERLINK("https://twitter.com/sergio_fajardo","@sergio_fajardo")</f>
        <v>@sergio_fajardo</v>
      </c>
      <c r="C1951" s="5" t="s">
        <v>16</v>
      </c>
      <c r="D1951" s="5" t="s">
        <v>1971</v>
      </c>
      <c r="E1951" s="6" t="str">
        <f>HYPERLINK("https://twitter.com/sergio_fajardo/status/1367952556706631681","1367952556706631681")</f>
        <v>1367952556706631681</v>
      </c>
      <c r="F1951" s="7" t="s">
        <v>17</v>
      </c>
      <c r="G1951" s="7">
        <v>1568237</v>
      </c>
      <c r="H1951" s="7">
        <v>408</v>
      </c>
      <c r="I1951" s="7">
        <v>3</v>
      </c>
      <c r="J1951" s="7">
        <v>8</v>
      </c>
      <c r="K1951" s="7" t="s">
        <v>18</v>
      </c>
      <c r="L1951" s="8">
        <v>39891.213356481479</v>
      </c>
      <c r="M1951" s="9" t="s">
        <v>19</v>
      </c>
      <c r="N1951" s="9" t="s">
        <v>22</v>
      </c>
      <c r="O1951" s="6" t="str">
        <f>HYPERLINK("https://pbs.twimg.com/profile_images/988971255679324162/jrqiIYf__normal.jpg","View")</f>
        <v>View</v>
      </c>
      <c r="P1951" s="7"/>
    </row>
    <row r="1952" spans="1:16">
      <c r="A1952" s="3">
        <v>44261.226793981477</v>
      </c>
      <c r="B1952" s="4" t="str">
        <f>HYPERLINK("https://twitter.com/sergio_fajardo","@sergio_fajardo")</f>
        <v>@sergio_fajardo</v>
      </c>
      <c r="C1952" s="5" t="s">
        <v>16</v>
      </c>
      <c r="D1952" s="5" t="s">
        <v>1972</v>
      </c>
      <c r="E1952" s="6" t="str">
        <f>HYPERLINK("https://twitter.com/sergio_fajardo/status/1367987435305598984","1367987435305598984")</f>
        <v>1367987435305598984</v>
      </c>
      <c r="F1952" s="7" t="s">
        <v>23</v>
      </c>
      <c r="G1952" s="7">
        <v>1568246</v>
      </c>
      <c r="H1952" s="7">
        <v>408</v>
      </c>
      <c r="I1952" s="7">
        <v>9</v>
      </c>
      <c r="J1952" s="7">
        <v>86</v>
      </c>
      <c r="K1952" s="7" t="s">
        <v>18</v>
      </c>
      <c r="L1952" s="8">
        <v>39891.213356481479</v>
      </c>
      <c r="M1952" s="9" t="s">
        <v>19</v>
      </c>
      <c r="N1952" s="9" t="s">
        <v>22</v>
      </c>
      <c r="O1952" s="6" t="str">
        <f>HYPERLINK("https://pbs.twimg.com/profile_images/988971255679324162/jrqiIYf__normal.jpg","View")</f>
        <v>View</v>
      </c>
      <c r="P1952" s="7"/>
    </row>
    <row r="1953" spans="1:16">
      <c r="A1953" s="3">
        <v>44262.004421296297</v>
      </c>
      <c r="B1953" s="4" t="str">
        <f>HYPERLINK("https://twitter.com/sergio_fajardo","@sergio_fajardo")</f>
        <v>@sergio_fajardo</v>
      </c>
      <c r="C1953" s="5" t="s">
        <v>16</v>
      </c>
      <c r="D1953" s="5" t="s">
        <v>1973</v>
      </c>
      <c r="E1953" s="6" t="str">
        <f>HYPERLINK("https://twitter.com/sergio_fajardo/status/1368269238473986053","1368269238473986053")</f>
        <v>1368269238473986053</v>
      </c>
      <c r="F1953" s="7" t="s">
        <v>20</v>
      </c>
      <c r="G1953" s="7">
        <v>1568325</v>
      </c>
      <c r="H1953" s="7">
        <v>408</v>
      </c>
      <c r="I1953" s="7">
        <v>4</v>
      </c>
      <c r="J1953" s="7">
        <v>17</v>
      </c>
      <c r="K1953" s="7" t="s">
        <v>18</v>
      </c>
      <c r="L1953" s="8">
        <v>39891.213356481479</v>
      </c>
      <c r="M1953" s="9" t="s">
        <v>19</v>
      </c>
      <c r="N1953" s="9" t="s">
        <v>22</v>
      </c>
      <c r="O1953" s="6" t="str">
        <f>HYPERLINK("https://pbs.twimg.com/profile_images/988971255679324162/jrqiIYf__normal.jpg","View")</f>
        <v>View</v>
      </c>
      <c r="P1953" s="7"/>
    </row>
    <row r="1954" spans="1:16">
      <c r="A1954" s="3">
        <v>44263.20621527778</v>
      </c>
      <c r="B1954" s="4" t="str">
        <f>HYPERLINK("https://twitter.com/sergio_fajardo","@sergio_fajardo")</f>
        <v>@sergio_fajardo</v>
      </c>
      <c r="C1954" s="5" t="s">
        <v>16</v>
      </c>
      <c r="D1954" s="5" t="s">
        <v>1974</v>
      </c>
      <c r="E1954" s="6" t="str">
        <f>HYPERLINK("https://twitter.com/sergio_fajardo/status/1368704754281570307","1368704754281570307")</f>
        <v>1368704754281570307</v>
      </c>
      <c r="F1954" s="7" t="s">
        <v>17</v>
      </c>
      <c r="G1954" s="7">
        <v>1568248</v>
      </c>
      <c r="H1954" s="7">
        <v>408</v>
      </c>
      <c r="I1954" s="7">
        <v>12</v>
      </c>
      <c r="J1954" s="7">
        <v>0</v>
      </c>
      <c r="K1954" s="7" t="s">
        <v>18</v>
      </c>
      <c r="L1954" s="8">
        <v>39891.213356481479</v>
      </c>
      <c r="M1954" s="9" t="s">
        <v>19</v>
      </c>
      <c r="N1954" s="9" t="s">
        <v>22</v>
      </c>
      <c r="O1954" s="6" t="str">
        <f>HYPERLINK("https://pbs.twimg.com/profile_images/988971255679324162/jrqiIYf__normal.jpg","View")</f>
        <v>View</v>
      </c>
      <c r="P1954" s="7"/>
    </row>
    <row r="1955" spans="1:16">
      <c r="A1955" s="3">
        <v>44263.703657407408</v>
      </c>
      <c r="B1955" s="4" t="str">
        <f>HYPERLINK("https://twitter.com/sergio_fajardo","@sergio_fajardo")</f>
        <v>@sergio_fajardo</v>
      </c>
      <c r="C1955" s="5" t="s">
        <v>16</v>
      </c>
      <c r="D1955" s="5" t="s">
        <v>1975</v>
      </c>
      <c r="E1955" s="6" t="str">
        <f>HYPERLINK("https://twitter.com/sergio_fajardo/status/1368885019746402310","1368885019746402310")</f>
        <v>1368885019746402310</v>
      </c>
      <c r="F1955" s="7" t="s">
        <v>23</v>
      </c>
      <c r="G1955" s="7">
        <v>1568261</v>
      </c>
      <c r="H1955" s="7">
        <v>408</v>
      </c>
      <c r="I1955" s="7">
        <v>5</v>
      </c>
      <c r="J1955" s="7">
        <v>20</v>
      </c>
      <c r="K1955" s="7" t="s">
        <v>18</v>
      </c>
      <c r="L1955" s="8">
        <v>39891.213356481479</v>
      </c>
      <c r="M1955" s="9" t="s">
        <v>19</v>
      </c>
      <c r="N1955" s="9" t="s">
        <v>22</v>
      </c>
      <c r="O1955" s="6" t="str">
        <f>HYPERLINK("https://pbs.twimg.com/profile_images/988971255679324162/jrqiIYf__normal.jpg","View")</f>
        <v>View</v>
      </c>
      <c r="P1955" s="7"/>
    </row>
    <row r="1956" spans="1:16">
      <c r="A1956" s="3">
        <v>44263.888229166667</v>
      </c>
      <c r="B1956" s="4" t="str">
        <f>HYPERLINK("https://twitter.com/sergio_fajardo","@sergio_fajardo")</f>
        <v>@sergio_fajardo</v>
      </c>
      <c r="C1956" s="5" t="s">
        <v>16</v>
      </c>
      <c r="D1956" s="5" t="s">
        <v>1976</v>
      </c>
      <c r="E1956" s="6" t="str">
        <f>HYPERLINK("https://twitter.com/sergio_fajardo/status/1368951908099047425","1368951908099047425")</f>
        <v>1368951908099047425</v>
      </c>
      <c r="F1956" s="7" t="s">
        <v>20</v>
      </c>
      <c r="G1956" s="7">
        <v>1568252</v>
      </c>
      <c r="H1956" s="7">
        <v>408</v>
      </c>
      <c r="I1956" s="7">
        <v>5</v>
      </c>
      <c r="J1956" s="7">
        <v>41</v>
      </c>
      <c r="K1956" s="7" t="s">
        <v>18</v>
      </c>
      <c r="L1956" s="8">
        <v>39891.213356481479</v>
      </c>
      <c r="M1956" s="9" t="s">
        <v>19</v>
      </c>
      <c r="N1956" s="9" t="s">
        <v>22</v>
      </c>
      <c r="O1956" s="6" t="str">
        <f>HYPERLINK("https://pbs.twimg.com/profile_images/988971255679324162/jrqiIYf__normal.jpg","View")</f>
        <v>View</v>
      </c>
      <c r="P1956" s="7"/>
    </row>
    <row r="1957" spans="1:16">
      <c r="A1957" s="3">
        <v>44264.31759259259</v>
      </c>
      <c r="B1957" s="4" t="str">
        <f>HYPERLINK("https://twitter.com/sergio_fajardo","@sergio_fajardo")</f>
        <v>@sergio_fajardo</v>
      </c>
      <c r="C1957" s="5" t="s">
        <v>16</v>
      </c>
      <c r="D1957" s="5" t="s">
        <v>1977</v>
      </c>
      <c r="E1957" s="6" t="str">
        <f>HYPERLINK("https://twitter.com/sergio_fajardo/status/1369107505230536706","1369107505230536706")</f>
        <v>1369107505230536706</v>
      </c>
      <c r="F1957" s="7" t="s">
        <v>17</v>
      </c>
      <c r="G1957" s="7">
        <v>1568271</v>
      </c>
      <c r="H1957" s="7">
        <v>407</v>
      </c>
      <c r="I1957" s="7">
        <v>53</v>
      </c>
      <c r="J1957" s="7">
        <v>0</v>
      </c>
      <c r="K1957" s="7" t="s">
        <v>18</v>
      </c>
      <c r="L1957" s="8">
        <v>39891.213356481479</v>
      </c>
      <c r="M1957" s="9" t="s">
        <v>19</v>
      </c>
      <c r="N1957" s="9" t="s">
        <v>22</v>
      </c>
      <c r="O1957" s="6" t="str">
        <f>HYPERLINK("https://pbs.twimg.com/profile_images/988971255679324162/jrqiIYf__normal.jpg","View")</f>
        <v>View</v>
      </c>
      <c r="P1957" s="7"/>
    </row>
    <row r="1958" spans="1:16">
      <c r="A1958" s="3">
        <v>44264.336157407408</v>
      </c>
      <c r="B1958" s="4" t="str">
        <f>HYPERLINK("https://twitter.com/sergio_fajardo","@sergio_fajardo")</f>
        <v>@sergio_fajardo</v>
      </c>
      <c r="C1958" s="5" t="s">
        <v>16</v>
      </c>
      <c r="D1958" s="5" t="s">
        <v>1978</v>
      </c>
      <c r="E1958" s="6" t="str">
        <f>HYPERLINK("https://twitter.com/sergio_fajardo/status/1369114230692208641","1369114230692208641")</f>
        <v>1369114230692208641</v>
      </c>
      <c r="F1958" s="7" t="s">
        <v>17</v>
      </c>
      <c r="G1958" s="7">
        <v>1568265</v>
      </c>
      <c r="H1958" s="7">
        <v>407</v>
      </c>
      <c r="I1958" s="7">
        <v>19</v>
      </c>
      <c r="J1958" s="7">
        <v>47</v>
      </c>
      <c r="K1958" s="7" t="s">
        <v>18</v>
      </c>
      <c r="L1958" s="8">
        <v>39891.213356481479</v>
      </c>
      <c r="M1958" s="9" t="s">
        <v>19</v>
      </c>
      <c r="N1958" s="9" t="s">
        <v>22</v>
      </c>
      <c r="O1958" s="6" t="str">
        <f>HYPERLINK("https://pbs.twimg.com/profile_images/988971255679324162/jrqiIYf__normal.jpg","View")</f>
        <v>View</v>
      </c>
      <c r="P1958" s="7"/>
    </row>
    <row r="1959" spans="1:16">
      <c r="A1959" s="3">
        <v>44265.81967592593</v>
      </c>
      <c r="B1959" s="4" t="str">
        <f>HYPERLINK("https://twitter.com/sergio_fajardo","@sergio_fajardo")</f>
        <v>@sergio_fajardo</v>
      </c>
      <c r="C1959" s="5" t="s">
        <v>16</v>
      </c>
      <c r="D1959" s="5" t="s">
        <v>1979</v>
      </c>
      <c r="E1959" s="6" t="str">
        <f>HYPERLINK("https://twitter.com/sergio_fajardo/status/1369651842406309899","1369651842406309899")</f>
        <v>1369651842406309899</v>
      </c>
      <c r="F1959" s="7" t="s">
        <v>20</v>
      </c>
      <c r="G1959" s="7">
        <v>1568317</v>
      </c>
      <c r="H1959" s="7">
        <v>407</v>
      </c>
      <c r="I1959" s="7">
        <v>29</v>
      </c>
      <c r="J1959" s="7">
        <v>76</v>
      </c>
      <c r="K1959" s="7" t="s">
        <v>18</v>
      </c>
      <c r="L1959" s="8">
        <v>39891.213356481479</v>
      </c>
      <c r="M1959" s="9" t="s">
        <v>19</v>
      </c>
      <c r="N1959" s="9" t="s">
        <v>22</v>
      </c>
      <c r="O1959" s="6" t="str">
        <f>HYPERLINK("https://pbs.twimg.com/profile_images/988971255679324162/jrqiIYf__normal.jpg","View")</f>
        <v>View</v>
      </c>
      <c r="P1959" s="7"/>
    </row>
    <row r="1960" spans="1:16">
      <c r="A1960" s="3">
        <v>44266.224780092598</v>
      </c>
      <c r="B1960" s="4" t="str">
        <f>HYPERLINK("https://twitter.com/sergio_fajardo","@sergio_fajardo")</f>
        <v>@sergio_fajardo</v>
      </c>
      <c r="C1960" s="5" t="s">
        <v>16</v>
      </c>
      <c r="D1960" s="5" t="s">
        <v>1980</v>
      </c>
      <c r="E1960" s="6" t="str">
        <f>HYPERLINK("https://twitter.com/sergio_fajardo/status/1369798647693643781","1369798647693643781")</f>
        <v>1369798647693643781</v>
      </c>
      <c r="F1960" s="7" t="s">
        <v>20</v>
      </c>
      <c r="G1960" s="7">
        <v>1568352</v>
      </c>
      <c r="H1960" s="7">
        <v>407</v>
      </c>
      <c r="I1960" s="7">
        <v>22</v>
      </c>
      <c r="J1960" s="7">
        <v>95</v>
      </c>
      <c r="K1960" s="7" t="s">
        <v>18</v>
      </c>
      <c r="L1960" s="8">
        <v>39891.213356481479</v>
      </c>
      <c r="M1960" s="9" t="s">
        <v>19</v>
      </c>
      <c r="N1960" s="9" t="s">
        <v>22</v>
      </c>
      <c r="O1960" s="6" t="str">
        <f>HYPERLINK("https://pbs.twimg.com/profile_images/988971255679324162/jrqiIYf__normal.jpg","View")</f>
        <v>View</v>
      </c>
      <c r="P1960" s="7"/>
    </row>
    <row r="1961" spans="1:16">
      <c r="A1961" s="3">
        <v>44267.003587962958</v>
      </c>
      <c r="B1961" s="4" t="str">
        <f>HYPERLINK("https://twitter.com/sergio_fajardo","@sergio_fajardo")</f>
        <v>@sergio_fajardo</v>
      </c>
      <c r="C1961" s="5" t="s">
        <v>16</v>
      </c>
      <c r="D1961" s="5" t="s">
        <v>1981</v>
      </c>
      <c r="E1961" s="6" t="str">
        <f>HYPERLINK("https://twitter.com/sergio_fajardo/status/1370080878035152899","1370080878035152899")</f>
        <v>1370080878035152899</v>
      </c>
      <c r="F1961" s="7" t="s">
        <v>17</v>
      </c>
      <c r="G1961" s="7">
        <v>1568390</v>
      </c>
      <c r="H1961" s="7">
        <v>407</v>
      </c>
      <c r="I1961" s="7">
        <v>59</v>
      </c>
      <c r="J1961" s="7">
        <v>295</v>
      </c>
      <c r="K1961" s="7" t="s">
        <v>18</v>
      </c>
      <c r="L1961" s="8">
        <v>39891.213356481479</v>
      </c>
      <c r="M1961" s="9" t="s">
        <v>19</v>
      </c>
      <c r="N1961" s="9" t="s">
        <v>22</v>
      </c>
      <c r="O1961" s="6" t="str">
        <f>HYPERLINK("https://pbs.twimg.com/profile_images/988971255679324162/jrqiIYf__normal.jpg","View")</f>
        <v>View</v>
      </c>
      <c r="P1961" s="7"/>
    </row>
    <row r="1962" spans="1:16">
      <c r="A1962" s="3">
        <v>44268.231296296297</v>
      </c>
      <c r="B1962" s="4" t="str">
        <f>HYPERLINK("https://twitter.com/sergio_fajardo","@sergio_fajardo")</f>
        <v>@sergio_fajardo</v>
      </c>
      <c r="C1962" s="5" t="s">
        <v>16</v>
      </c>
      <c r="D1962" s="5" t="s">
        <v>1982</v>
      </c>
      <c r="E1962" s="6" t="str">
        <f>HYPERLINK("https://twitter.com/sergio_fajardo/status/1370525781651251206","1370525781651251206")</f>
        <v>1370525781651251206</v>
      </c>
      <c r="F1962" s="7" t="s">
        <v>23</v>
      </c>
      <c r="G1962" s="7">
        <v>1568516</v>
      </c>
      <c r="H1962" s="7">
        <v>407</v>
      </c>
      <c r="I1962" s="7">
        <v>1</v>
      </c>
      <c r="J1962" s="7">
        <v>1</v>
      </c>
      <c r="K1962" s="7" t="s">
        <v>18</v>
      </c>
      <c r="L1962" s="8">
        <v>39891.213356481479</v>
      </c>
      <c r="M1962" s="9" t="s">
        <v>19</v>
      </c>
      <c r="N1962" s="9" t="s">
        <v>22</v>
      </c>
      <c r="O1962" s="6" t="str">
        <f>HYPERLINK("https://pbs.twimg.com/profile_images/988971255679324162/jrqiIYf__normal.jpg","View")</f>
        <v>View</v>
      </c>
      <c r="P1962" s="7"/>
    </row>
    <row r="1963" spans="1:16">
      <c r="A1963" s="3">
        <v>44269.728703703702</v>
      </c>
      <c r="B1963" s="4" t="str">
        <f>HYPERLINK("https://twitter.com/sergio_fajardo","@sergio_fajardo")</f>
        <v>@sergio_fajardo</v>
      </c>
      <c r="C1963" s="5" t="s">
        <v>16</v>
      </c>
      <c r="D1963" s="5" t="s">
        <v>1983</v>
      </c>
      <c r="E1963" s="6" t="str">
        <f>HYPERLINK("https://twitter.com/sergio_fajardo/status/1371068426882539521","1371068426882539521")</f>
        <v>1371068426882539521</v>
      </c>
      <c r="F1963" s="7" t="s">
        <v>17</v>
      </c>
      <c r="G1963" s="7">
        <v>1568538</v>
      </c>
      <c r="H1963" s="7">
        <v>408</v>
      </c>
      <c r="I1963" s="7">
        <v>8</v>
      </c>
      <c r="J1963" s="7">
        <v>0</v>
      </c>
      <c r="K1963" s="7" t="s">
        <v>18</v>
      </c>
      <c r="L1963" s="8">
        <v>39891.213356481479</v>
      </c>
      <c r="M1963" s="9" t="s">
        <v>19</v>
      </c>
      <c r="N1963" s="9" t="s">
        <v>22</v>
      </c>
      <c r="O1963" s="6" t="str">
        <f>HYPERLINK("https://pbs.twimg.com/profile_images/988971255679324162/jrqiIYf__normal.jpg","View")</f>
        <v>View</v>
      </c>
      <c r="P1963" s="7"/>
    </row>
    <row r="1964" spans="1:16">
      <c r="A1964" s="3">
        <v>44269.913726851853</v>
      </c>
      <c r="B1964" s="4" t="str">
        <f>HYPERLINK("https://twitter.com/sergio_fajardo","@sergio_fajardo")</f>
        <v>@sergio_fajardo</v>
      </c>
      <c r="C1964" s="5" t="s">
        <v>16</v>
      </c>
      <c r="D1964" s="5" t="s">
        <v>1984</v>
      </c>
      <c r="E1964" s="6" t="str">
        <f>HYPERLINK("https://twitter.com/sergio_fajardo/status/1371135476866936838","1371135476866936838")</f>
        <v>1371135476866936838</v>
      </c>
      <c r="F1964" s="7" t="s">
        <v>17</v>
      </c>
      <c r="G1964" s="7">
        <v>1568554</v>
      </c>
      <c r="H1964" s="7">
        <v>408</v>
      </c>
      <c r="I1964" s="7">
        <v>4</v>
      </c>
      <c r="J1964" s="7">
        <v>10</v>
      </c>
      <c r="K1964" s="7" t="s">
        <v>18</v>
      </c>
      <c r="L1964" s="8">
        <v>39891.213356481479</v>
      </c>
      <c r="M1964" s="9" t="s">
        <v>19</v>
      </c>
      <c r="N1964" s="9" t="s">
        <v>22</v>
      </c>
      <c r="O1964" s="6" t="str">
        <f>HYPERLINK("https://pbs.twimg.com/profile_images/988971255679324162/jrqiIYf__normal.jpg","View")</f>
        <v>View</v>
      </c>
      <c r="P1964" s="7"/>
    </row>
    <row r="1965" spans="1:16">
      <c r="A1965" s="3">
        <v>44270.034733796296</v>
      </c>
      <c r="B1965" s="4" t="str">
        <f>HYPERLINK("https://twitter.com/sergio_fajardo","@sergio_fajardo")</f>
        <v>@sergio_fajardo</v>
      </c>
      <c r="C1965" s="5" t="s">
        <v>16</v>
      </c>
      <c r="D1965" s="5" t="s">
        <v>1985</v>
      </c>
      <c r="E1965" s="6" t="str">
        <f>HYPERLINK("https://twitter.com/sergio_fajardo/status/1371179326725623813","1371179326725623813")</f>
        <v>1371179326725623813</v>
      </c>
      <c r="F1965" s="7" t="s">
        <v>17</v>
      </c>
      <c r="G1965" s="7">
        <v>1568569</v>
      </c>
      <c r="H1965" s="7">
        <v>408</v>
      </c>
      <c r="I1965" s="7">
        <v>4</v>
      </c>
      <c r="J1965" s="7">
        <v>14</v>
      </c>
      <c r="K1965" s="7" t="s">
        <v>18</v>
      </c>
      <c r="L1965" s="8">
        <v>39891.213356481479</v>
      </c>
      <c r="M1965" s="9" t="s">
        <v>19</v>
      </c>
      <c r="N1965" s="9" t="s">
        <v>22</v>
      </c>
      <c r="O1965" s="6" t="str">
        <f>HYPERLINK("https://pbs.twimg.com/profile_images/988971255679324162/jrqiIYf__normal.jpg","View")</f>
        <v>View</v>
      </c>
      <c r="P1965" s="7"/>
    </row>
    <row r="1966" spans="1:16">
      <c r="A1966" s="3">
        <v>44270.777638888889</v>
      </c>
      <c r="B1966" s="4" t="str">
        <f>HYPERLINK("https://twitter.com/sergio_fajardo","@sergio_fajardo")</f>
        <v>@sergio_fajardo</v>
      </c>
      <c r="C1966" s="5" t="s">
        <v>16</v>
      </c>
      <c r="D1966" s="5" t="s">
        <v>1986</v>
      </c>
      <c r="E1966" s="6" t="str">
        <f>HYPERLINK("https://twitter.com/sergio_fajardo/status/1371448546793299971","1371448546793299971")</f>
        <v>1371448546793299971</v>
      </c>
      <c r="F1966" s="7" t="s">
        <v>17</v>
      </c>
      <c r="G1966" s="7">
        <v>1568555</v>
      </c>
      <c r="H1966" s="7">
        <v>408</v>
      </c>
      <c r="I1966" s="7">
        <v>4</v>
      </c>
      <c r="J1966" s="7">
        <v>24</v>
      </c>
      <c r="K1966" s="7" t="s">
        <v>18</v>
      </c>
      <c r="L1966" s="8">
        <v>39891.213356481479</v>
      </c>
      <c r="M1966" s="9" t="s">
        <v>19</v>
      </c>
      <c r="N1966" s="9" t="s">
        <v>22</v>
      </c>
      <c r="O1966" s="6" t="str">
        <f>HYPERLINK("https://pbs.twimg.com/profile_images/988971255679324162/jrqiIYf__normal.jpg","View")</f>
        <v>View</v>
      </c>
      <c r="P1966" s="7"/>
    </row>
    <row r="1967" spans="1:16">
      <c r="A1967" s="3">
        <v>44270.849594907406</v>
      </c>
      <c r="B1967" s="4" t="str">
        <f>HYPERLINK("https://twitter.com/sergio_fajardo","@sergio_fajardo")</f>
        <v>@sergio_fajardo</v>
      </c>
      <c r="C1967" s="5" t="s">
        <v>16</v>
      </c>
      <c r="D1967" s="5" t="s">
        <v>1987</v>
      </c>
      <c r="E1967" s="6" t="str">
        <f>HYPERLINK("https://twitter.com/sergio_fajardo/status/1371474622953177093","1371474622953177093")</f>
        <v>1371474622953177093</v>
      </c>
      <c r="F1967" s="7" t="s">
        <v>23</v>
      </c>
      <c r="G1967" s="7">
        <v>1568559</v>
      </c>
      <c r="H1967" s="7">
        <v>408</v>
      </c>
      <c r="I1967" s="7">
        <v>1</v>
      </c>
      <c r="J1967" s="7">
        <v>2</v>
      </c>
      <c r="K1967" s="7" t="s">
        <v>18</v>
      </c>
      <c r="L1967" s="8">
        <v>39891.213356481479</v>
      </c>
      <c r="M1967" s="9" t="s">
        <v>19</v>
      </c>
      <c r="N1967" s="9" t="s">
        <v>22</v>
      </c>
      <c r="O1967" s="6" t="str">
        <f>HYPERLINK("https://pbs.twimg.com/profile_images/988971255679324162/jrqiIYf__normal.jpg","View")</f>
        <v>View</v>
      </c>
      <c r="P1967" s="7"/>
    </row>
    <row r="1968" spans="1:16">
      <c r="A1968" s="3">
        <v>44270.943356481483</v>
      </c>
      <c r="B1968" s="4" t="str">
        <f>HYPERLINK("https://twitter.com/sergio_fajardo","@sergio_fajardo")</f>
        <v>@sergio_fajardo</v>
      </c>
      <c r="C1968" s="5" t="s">
        <v>16</v>
      </c>
      <c r="D1968" s="5" t="s">
        <v>1988</v>
      </c>
      <c r="E1968" s="6" t="str">
        <f>HYPERLINK("https://twitter.com/sergio_fajardo/status/1371508601097977858","1371508601097977858")</f>
        <v>1371508601097977858</v>
      </c>
      <c r="F1968" s="7" t="s">
        <v>23</v>
      </c>
      <c r="G1968" s="7">
        <v>1568558</v>
      </c>
      <c r="H1968" s="7">
        <v>408</v>
      </c>
      <c r="I1968" s="7">
        <v>9</v>
      </c>
      <c r="J1968" s="7">
        <v>31</v>
      </c>
      <c r="K1968" s="7" t="s">
        <v>18</v>
      </c>
      <c r="L1968" s="8">
        <v>39891.213356481479</v>
      </c>
      <c r="M1968" s="9" t="s">
        <v>19</v>
      </c>
      <c r="N1968" s="9" t="s">
        <v>22</v>
      </c>
      <c r="O1968" s="6" t="str">
        <f>HYPERLINK("https://pbs.twimg.com/profile_images/988971255679324162/jrqiIYf__normal.jpg","View")</f>
        <v>View</v>
      </c>
      <c r="P1968" s="7"/>
    </row>
    <row r="1969" spans="1:16">
      <c r="A1969" s="3">
        <v>44270.964178240742</v>
      </c>
      <c r="B1969" s="4" t="str">
        <f>HYPERLINK("https://twitter.com/sergio_fajardo","@sergio_fajardo")</f>
        <v>@sergio_fajardo</v>
      </c>
      <c r="C1969" s="5" t="s">
        <v>16</v>
      </c>
      <c r="D1969" s="5" t="s">
        <v>1989</v>
      </c>
      <c r="E1969" s="6" t="str">
        <f>HYPERLINK("https://twitter.com/sergio_fajardo/status/1371516145040232451","1371516145040232451")</f>
        <v>1371516145040232451</v>
      </c>
      <c r="F1969" s="7" t="s">
        <v>23</v>
      </c>
      <c r="G1969" s="7">
        <v>1568557</v>
      </c>
      <c r="H1969" s="7">
        <v>408</v>
      </c>
      <c r="I1969" s="7">
        <v>2</v>
      </c>
      <c r="J1969" s="7">
        <v>7</v>
      </c>
      <c r="K1969" s="7" t="s">
        <v>18</v>
      </c>
      <c r="L1969" s="8">
        <v>39891.213356481479</v>
      </c>
      <c r="M1969" s="9" t="s">
        <v>19</v>
      </c>
      <c r="N1969" s="9" t="s">
        <v>22</v>
      </c>
      <c r="O1969" s="6" t="str">
        <f>HYPERLINK("https://pbs.twimg.com/profile_images/988971255679324162/jrqiIYf__normal.jpg","View")</f>
        <v>View</v>
      </c>
      <c r="P1969" s="7"/>
    </row>
    <row r="1970" spans="1:16">
      <c r="A1970" s="3">
        <v>44271.197430555556</v>
      </c>
      <c r="B1970" s="4" t="str">
        <f>HYPERLINK("https://twitter.com/sergio_fajardo","@sergio_fajardo")</f>
        <v>@sergio_fajardo</v>
      </c>
      <c r="C1970" s="5" t="s">
        <v>16</v>
      </c>
      <c r="D1970" s="5" t="s">
        <v>1990</v>
      </c>
      <c r="E1970" s="6" t="str">
        <f>HYPERLINK("https://twitter.com/sergio_fajardo/status/1371600675373715460","1371600675373715460")</f>
        <v>1371600675373715460</v>
      </c>
      <c r="F1970" s="7" t="s">
        <v>23</v>
      </c>
      <c r="G1970" s="7">
        <v>1568559</v>
      </c>
      <c r="H1970" s="7">
        <v>408</v>
      </c>
      <c r="I1970" s="7">
        <v>8</v>
      </c>
      <c r="J1970" s="7">
        <v>29</v>
      </c>
      <c r="K1970" s="7" t="s">
        <v>18</v>
      </c>
      <c r="L1970" s="8">
        <v>39891.213356481479</v>
      </c>
      <c r="M1970" s="9" t="s">
        <v>19</v>
      </c>
      <c r="N1970" s="9" t="s">
        <v>22</v>
      </c>
      <c r="O1970" s="6" t="str">
        <f>HYPERLINK("https://pbs.twimg.com/profile_images/988971255679324162/jrqiIYf__normal.jpg","View")</f>
        <v>View</v>
      </c>
      <c r="P1970" s="7"/>
    </row>
    <row r="1971" spans="1:16">
      <c r="A1971" s="3">
        <v>44271.230231481481</v>
      </c>
      <c r="B1971" s="4" t="str">
        <f>HYPERLINK("https://twitter.com/sergio_fajardo","@sergio_fajardo")</f>
        <v>@sergio_fajardo</v>
      </c>
      <c r="C1971" s="5" t="s">
        <v>16</v>
      </c>
      <c r="D1971" s="5" t="s">
        <v>1991</v>
      </c>
      <c r="E1971" s="6" t="str">
        <f>HYPERLINK("https://twitter.com/sergio_fajardo/status/1371612562299621381","1371612562299621381")</f>
        <v>1371612562299621381</v>
      </c>
      <c r="F1971" s="7" t="s">
        <v>21</v>
      </c>
      <c r="G1971" s="7">
        <v>1568562</v>
      </c>
      <c r="H1971" s="7">
        <v>408</v>
      </c>
      <c r="I1971" s="7">
        <v>0</v>
      </c>
      <c r="J1971" s="7">
        <v>1</v>
      </c>
      <c r="K1971" s="7" t="s">
        <v>18</v>
      </c>
      <c r="L1971" s="8">
        <v>39891.213356481479</v>
      </c>
      <c r="M1971" s="9" t="s">
        <v>19</v>
      </c>
      <c r="N1971" s="9" t="s">
        <v>22</v>
      </c>
      <c r="O1971" s="6" t="str">
        <f>HYPERLINK("https://pbs.twimg.com/profile_images/988971255679324162/jrqiIYf__normal.jpg","View")</f>
        <v>View</v>
      </c>
      <c r="P1971" s="7"/>
    </row>
    <row r="1972" spans="1:16">
      <c r="A1972" s="3">
        <v>44271.726006944446</v>
      </c>
      <c r="B1972" s="4" t="str">
        <f>HYPERLINK("https://twitter.com/sergio_fajardo","@sergio_fajardo")</f>
        <v>@sergio_fajardo</v>
      </c>
      <c r="C1972" s="5" t="s">
        <v>16</v>
      </c>
      <c r="D1972" s="5" t="s">
        <v>1992</v>
      </c>
      <c r="E1972" s="6" t="str">
        <f>HYPERLINK("https://twitter.com/sergio_fajardo/status/1371792225559056391","1371792225559056391")</f>
        <v>1371792225559056391</v>
      </c>
      <c r="F1972" s="7" t="s">
        <v>17</v>
      </c>
      <c r="G1972" s="7">
        <v>1568548</v>
      </c>
      <c r="H1972" s="7">
        <v>408</v>
      </c>
      <c r="I1972" s="7">
        <v>4</v>
      </c>
      <c r="J1972" s="7">
        <v>25</v>
      </c>
      <c r="K1972" s="7" t="s">
        <v>18</v>
      </c>
      <c r="L1972" s="8">
        <v>39891.213356481479</v>
      </c>
      <c r="M1972" s="9" t="s">
        <v>19</v>
      </c>
      <c r="N1972" s="9" t="s">
        <v>22</v>
      </c>
      <c r="O1972" s="6" t="str">
        <f>HYPERLINK("https://pbs.twimg.com/profile_images/988971255679324162/jrqiIYf__normal.jpg","View")</f>
        <v>View</v>
      </c>
      <c r="P1972" s="7"/>
    </row>
    <row r="1973" spans="1:16">
      <c r="A1973" s="3">
        <v>44271.828599537039</v>
      </c>
      <c r="B1973" s="4" t="str">
        <f>HYPERLINK("https://twitter.com/sergio_fajardo","@sergio_fajardo")</f>
        <v>@sergio_fajardo</v>
      </c>
      <c r="C1973" s="5" t="s">
        <v>16</v>
      </c>
      <c r="D1973" s="5" t="s">
        <v>1993</v>
      </c>
      <c r="E1973" s="6" t="str">
        <f>HYPERLINK("https://twitter.com/sergio_fajardo/status/1371829403492159499","1371829403492159499")</f>
        <v>1371829403492159499</v>
      </c>
      <c r="F1973" s="7" t="s">
        <v>20</v>
      </c>
      <c r="G1973" s="7">
        <v>1568557</v>
      </c>
      <c r="H1973" s="7">
        <v>408</v>
      </c>
      <c r="I1973" s="7">
        <v>8</v>
      </c>
      <c r="J1973" s="7">
        <v>42</v>
      </c>
      <c r="K1973" s="7" t="s">
        <v>18</v>
      </c>
      <c r="L1973" s="8">
        <v>39891.213356481479</v>
      </c>
      <c r="M1973" s="9" t="s">
        <v>19</v>
      </c>
      <c r="N1973" s="9" t="s">
        <v>22</v>
      </c>
      <c r="O1973" s="6" t="str">
        <f>HYPERLINK("https://pbs.twimg.com/profile_images/988971255679324162/jrqiIYf__normal.jpg","View")</f>
        <v>View</v>
      </c>
      <c r="P1973" s="7"/>
    </row>
    <row r="1974" spans="1:16">
      <c r="A1974" s="3">
        <v>44271.867708333331</v>
      </c>
      <c r="B1974" s="4" t="str">
        <f>HYPERLINK("https://twitter.com/sergio_fajardo","@sergio_fajardo")</f>
        <v>@sergio_fajardo</v>
      </c>
      <c r="C1974" s="5" t="s">
        <v>16</v>
      </c>
      <c r="D1974" s="5" t="s">
        <v>1994</v>
      </c>
      <c r="E1974" s="6" t="str">
        <f>HYPERLINK("https://twitter.com/sergio_fajardo/status/1371843574447411210","1371843574447411210")</f>
        <v>1371843574447411210</v>
      </c>
      <c r="F1974" s="7" t="s">
        <v>20</v>
      </c>
      <c r="G1974" s="7">
        <v>1568549</v>
      </c>
      <c r="H1974" s="7">
        <v>408</v>
      </c>
      <c r="I1974" s="7">
        <v>6</v>
      </c>
      <c r="J1974" s="7">
        <v>23</v>
      </c>
      <c r="K1974" s="7" t="s">
        <v>18</v>
      </c>
      <c r="L1974" s="8">
        <v>39891.213356481479</v>
      </c>
      <c r="M1974" s="9" t="s">
        <v>19</v>
      </c>
      <c r="N1974" s="9" t="s">
        <v>22</v>
      </c>
      <c r="O1974" s="6" t="str">
        <f>HYPERLINK("https://pbs.twimg.com/profile_images/988971255679324162/jrqiIYf__normal.jpg","View")</f>
        <v>View</v>
      </c>
      <c r="P1974" s="7"/>
    </row>
    <row r="1975" spans="1:16">
      <c r="A1975" s="3">
        <v>44272.134236111116</v>
      </c>
      <c r="B1975" s="4" t="str">
        <f>HYPERLINK("https://twitter.com/sergio_fajardo","@sergio_fajardo")</f>
        <v>@sergio_fajardo</v>
      </c>
      <c r="C1975" s="5" t="s">
        <v>16</v>
      </c>
      <c r="D1975" s="5" t="s">
        <v>1995</v>
      </c>
      <c r="E1975" s="6" t="str">
        <f>HYPERLINK("https://twitter.com/sergio_fajardo/status/1371940161169293316","1371940161169293316")</f>
        <v>1371940161169293316</v>
      </c>
      <c r="F1975" s="7" t="s">
        <v>20</v>
      </c>
      <c r="G1975" s="7">
        <v>1568554</v>
      </c>
      <c r="H1975" s="7">
        <v>408</v>
      </c>
      <c r="I1975" s="7">
        <v>4</v>
      </c>
      <c r="J1975" s="7">
        <v>31</v>
      </c>
      <c r="K1975" s="7" t="s">
        <v>18</v>
      </c>
      <c r="L1975" s="8">
        <v>39891.213356481479</v>
      </c>
      <c r="M1975" s="9" t="s">
        <v>19</v>
      </c>
      <c r="N1975" s="9" t="s">
        <v>22</v>
      </c>
      <c r="O1975" s="6" t="str">
        <f>HYPERLINK("https://pbs.twimg.com/profile_images/988971255679324162/jrqiIYf__normal.jpg","View")</f>
        <v>View</v>
      </c>
      <c r="P1975" s="7"/>
    </row>
    <row r="1976" spans="1:16">
      <c r="A1976" s="3">
        <v>44272.765543981484</v>
      </c>
      <c r="B1976" s="4" t="str">
        <f>HYPERLINK("https://twitter.com/sergio_fajardo","@sergio_fajardo")</f>
        <v>@sergio_fajardo</v>
      </c>
      <c r="C1976" s="5" t="s">
        <v>16</v>
      </c>
      <c r="D1976" s="5" t="s">
        <v>1996</v>
      </c>
      <c r="E1976" s="6" t="str">
        <f>HYPERLINK("https://twitter.com/sergio_fajardo/status/1372168938524704777","1372168938524704777")</f>
        <v>1372168938524704777</v>
      </c>
      <c r="F1976" s="7" t="s">
        <v>23</v>
      </c>
      <c r="G1976" s="7">
        <v>1568516</v>
      </c>
      <c r="H1976" s="7">
        <v>408</v>
      </c>
      <c r="I1976" s="7">
        <v>2</v>
      </c>
      <c r="J1976" s="7">
        <v>4</v>
      </c>
      <c r="K1976" s="7" t="s">
        <v>18</v>
      </c>
      <c r="L1976" s="8">
        <v>39891.213356481479</v>
      </c>
      <c r="M1976" s="9" t="s">
        <v>19</v>
      </c>
      <c r="N1976" s="9" t="s">
        <v>22</v>
      </c>
      <c r="O1976" s="6" t="str">
        <f>HYPERLINK("https://pbs.twimg.com/profile_images/988971255679324162/jrqiIYf__normal.jpg","View")</f>
        <v>View</v>
      </c>
      <c r="P1976" s="7"/>
    </row>
    <row r="1977" spans="1:16">
      <c r="A1977" s="3">
        <v>44272.893449074079</v>
      </c>
      <c r="B1977" s="4" t="str">
        <f>HYPERLINK("https://twitter.com/sergio_fajardo","@sergio_fajardo")</f>
        <v>@sergio_fajardo</v>
      </c>
      <c r="C1977" s="5" t="s">
        <v>16</v>
      </c>
      <c r="D1977" s="5" t="s">
        <v>1997</v>
      </c>
      <c r="E1977" s="6" t="str">
        <f>HYPERLINK("https://twitter.com/sergio_fajardo/status/1372215292609331203","1372215292609331203")</f>
        <v>1372215292609331203</v>
      </c>
      <c r="F1977" s="7" t="s">
        <v>23</v>
      </c>
      <c r="G1977" s="7">
        <v>1568532</v>
      </c>
      <c r="H1977" s="7">
        <v>408</v>
      </c>
      <c r="I1977" s="7">
        <v>3</v>
      </c>
      <c r="J1977" s="7">
        <v>0</v>
      </c>
      <c r="K1977" s="7" t="s">
        <v>18</v>
      </c>
      <c r="L1977" s="8">
        <v>39891.213356481479</v>
      </c>
      <c r="M1977" s="9" t="s">
        <v>19</v>
      </c>
      <c r="N1977" s="9" t="s">
        <v>22</v>
      </c>
      <c r="O1977" s="6" t="str">
        <f>HYPERLINK("https://pbs.twimg.com/profile_images/988971255679324162/jrqiIYf__normal.jpg","View")</f>
        <v>View</v>
      </c>
      <c r="P1977" s="7"/>
    </row>
    <row r="1978" spans="1:16">
      <c r="A1978" s="3">
        <v>44272.940578703703</v>
      </c>
      <c r="B1978" s="4" t="str">
        <f>HYPERLINK("https://twitter.com/sergio_fajardo","@sergio_fajardo")</f>
        <v>@sergio_fajardo</v>
      </c>
      <c r="C1978" s="5" t="s">
        <v>16</v>
      </c>
      <c r="D1978" s="5" t="s">
        <v>1998</v>
      </c>
      <c r="E1978" s="6" t="str">
        <f>HYPERLINK("https://twitter.com/sergio_fajardo/status/1372232368858222603","1372232368858222603")</f>
        <v>1372232368858222603</v>
      </c>
      <c r="F1978" s="7" t="s">
        <v>17</v>
      </c>
      <c r="G1978" s="7">
        <v>1568531</v>
      </c>
      <c r="H1978" s="7">
        <v>408</v>
      </c>
      <c r="I1978" s="7">
        <v>13</v>
      </c>
      <c r="J1978" s="7">
        <v>0</v>
      </c>
      <c r="K1978" s="7" t="s">
        <v>18</v>
      </c>
      <c r="L1978" s="8">
        <v>39891.213356481479</v>
      </c>
      <c r="M1978" s="9" t="s">
        <v>19</v>
      </c>
      <c r="N1978" s="9" t="s">
        <v>22</v>
      </c>
      <c r="O1978" s="6" t="str">
        <f>HYPERLINK("https://pbs.twimg.com/profile_images/988971255679324162/jrqiIYf__normal.jpg","View")</f>
        <v>View</v>
      </c>
      <c r="P1978" s="7"/>
    </row>
    <row r="1979" spans="1:16">
      <c r="A1979" s="3">
        <v>44272.94908564815</v>
      </c>
      <c r="B1979" s="4" t="str">
        <f>HYPERLINK("https://twitter.com/sergio_fajardo","@sergio_fajardo")</f>
        <v>@sergio_fajardo</v>
      </c>
      <c r="C1979" s="5" t="s">
        <v>16</v>
      </c>
      <c r="D1979" s="5" t="s">
        <v>1999</v>
      </c>
      <c r="E1979" s="6" t="str">
        <f>HYPERLINK("https://twitter.com/sergio_fajardo/status/1372235452648919043","1372235452648919043")</f>
        <v>1372235452648919043</v>
      </c>
      <c r="F1979" s="7" t="s">
        <v>20</v>
      </c>
      <c r="G1979" s="7">
        <v>1568531</v>
      </c>
      <c r="H1979" s="7">
        <v>408</v>
      </c>
      <c r="I1979" s="7">
        <v>8</v>
      </c>
      <c r="J1979" s="7">
        <v>61</v>
      </c>
      <c r="K1979" s="7" t="s">
        <v>18</v>
      </c>
      <c r="L1979" s="8">
        <v>39891.213356481479</v>
      </c>
      <c r="M1979" s="9" t="s">
        <v>19</v>
      </c>
      <c r="N1979" s="9" t="s">
        <v>22</v>
      </c>
      <c r="O1979" s="6" t="str">
        <f>HYPERLINK("https://pbs.twimg.com/profile_images/988971255679324162/jrqiIYf__normal.jpg","View")</f>
        <v>View</v>
      </c>
      <c r="P1979" s="7"/>
    </row>
    <row r="1980" spans="1:16">
      <c r="A1980" s="3">
        <v>44272.972291666665</v>
      </c>
      <c r="B1980" s="4" t="str">
        <f>HYPERLINK("https://twitter.com/sergio_fajardo","@sergio_fajardo")</f>
        <v>@sergio_fajardo</v>
      </c>
      <c r="C1980" s="5" t="s">
        <v>16</v>
      </c>
      <c r="D1980" s="5" t="s">
        <v>2000</v>
      </c>
      <c r="E1980" s="6" t="str">
        <f>HYPERLINK("https://twitter.com/sergio_fajardo/status/1372243864032018432","1372243864032018432")</f>
        <v>1372243864032018432</v>
      </c>
      <c r="F1980" s="7" t="s">
        <v>17</v>
      </c>
      <c r="G1980" s="7">
        <v>1568528</v>
      </c>
      <c r="H1980" s="7">
        <v>408</v>
      </c>
      <c r="I1980" s="7">
        <v>4</v>
      </c>
      <c r="J1980" s="7">
        <v>0</v>
      </c>
      <c r="K1980" s="7" t="s">
        <v>18</v>
      </c>
      <c r="L1980" s="8">
        <v>39891.213356481479</v>
      </c>
      <c r="M1980" s="9" t="s">
        <v>19</v>
      </c>
      <c r="N1980" s="9" t="s">
        <v>22</v>
      </c>
      <c r="O1980" s="6" t="str">
        <f>HYPERLINK("https://pbs.twimg.com/profile_images/988971255679324162/jrqiIYf__normal.jpg","View")</f>
        <v>View</v>
      </c>
      <c r="P1980" s="7"/>
    </row>
    <row r="1981" spans="1:16">
      <c r="A1981" s="3">
        <v>44272.997256944444</v>
      </c>
      <c r="B1981" s="4" t="str">
        <f>HYPERLINK("https://twitter.com/sergio_fajardo","@sergio_fajardo")</f>
        <v>@sergio_fajardo</v>
      </c>
      <c r="C1981" s="5" t="s">
        <v>16</v>
      </c>
      <c r="D1981" s="5" t="s">
        <v>2001</v>
      </c>
      <c r="E1981" s="6" t="str">
        <f>HYPERLINK("https://twitter.com/sergio_fajardo/status/1372252910940196867","1372252910940196867")</f>
        <v>1372252910940196867</v>
      </c>
      <c r="F1981" s="7" t="s">
        <v>23</v>
      </c>
      <c r="G1981" s="7">
        <v>1568528</v>
      </c>
      <c r="H1981" s="7">
        <v>408</v>
      </c>
      <c r="I1981" s="7">
        <v>0</v>
      </c>
      <c r="J1981" s="7">
        <v>3</v>
      </c>
      <c r="K1981" s="7" t="s">
        <v>18</v>
      </c>
      <c r="L1981" s="8">
        <v>39891.213356481479</v>
      </c>
      <c r="M1981" s="9" t="s">
        <v>19</v>
      </c>
      <c r="N1981" s="9" t="s">
        <v>22</v>
      </c>
      <c r="O1981" s="6" t="str">
        <f>HYPERLINK("https://pbs.twimg.com/profile_images/988971255679324162/jrqiIYf__normal.jpg","View")</f>
        <v>View</v>
      </c>
      <c r="P1981" s="7"/>
    </row>
    <row r="1982" spans="1:16">
      <c r="A1982" s="3">
        <v>44273.027847222227</v>
      </c>
      <c r="B1982" s="4" t="str">
        <f>HYPERLINK("https://twitter.com/sergio_fajardo","@sergio_fajardo")</f>
        <v>@sergio_fajardo</v>
      </c>
      <c r="C1982" s="5" t="s">
        <v>16</v>
      </c>
      <c r="D1982" s="5" t="s">
        <v>2002</v>
      </c>
      <c r="E1982" s="6" t="str">
        <f>HYPERLINK("https://twitter.com/sergio_fajardo/status/1372263993373556740","1372263993373556740")</f>
        <v>1372263993373556740</v>
      </c>
      <c r="F1982" s="7" t="s">
        <v>20</v>
      </c>
      <c r="G1982" s="7">
        <v>1568520</v>
      </c>
      <c r="H1982" s="7">
        <v>408</v>
      </c>
      <c r="I1982" s="7">
        <v>5</v>
      </c>
      <c r="J1982" s="7">
        <v>35</v>
      </c>
      <c r="K1982" s="7" t="s">
        <v>18</v>
      </c>
      <c r="L1982" s="8">
        <v>39891.213356481479</v>
      </c>
      <c r="M1982" s="9" t="s">
        <v>19</v>
      </c>
      <c r="N1982" s="9" t="s">
        <v>22</v>
      </c>
      <c r="O1982" s="6" t="str">
        <f>HYPERLINK("https://pbs.twimg.com/profile_images/988971255679324162/jrqiIYf__normal.jpg","View")</f>
        <v>View</v>
      </c>
      <c r="P1982" s="7"/>
    </row>
    <row r="1983" spans="1:16">
      <c r="A1983" s="3">
        <v>44273.227372685185</v>
      </c>
      <c r="B1983" s="4" t="str">
        <f>HYPERLINK("https://twitter.com/sergio_fajardo","@sergio_fajardo")</f>
        <v>@sergio_fajardo</v>
      </c>
      <c r="C1983" s="5" t="s">
        <v>16</v>
      </c>
      <c r="D1983" s="5" t="s">
        <v>2003</v>
      </c>
      <c r="E1983" s="6" t="str">
        <f>HYPERLINK("https://twitter.com/sergio_fajardo/status/1372336300007776259","1372336300007776259")</f>
        <v>1372336300007776259</v>
      </c>
      <c r="F1983" s="7" t="s">
        <v>20</v>
      </c>
      <c r="G1983" s="7">
        <v>1568534</v>
      </c>
      <c r="H1983" s="7">
        <v>408</v>
      </c>
      <c r="I1983" s="7">
        <v>18</v>
      </c>
      <c r="J1983" s="7">
        <v>91</v>
      </c>
      <c r="K1983" s="7" t="s">
        <v>18</v>
      </c>
      <c r="L1983" s="8">
        <v>39891.213356481479</v>
      </c>
      <c r="M1983" s="9" t="s">
        <v>19</v>
      </c>
      <c r="N1983" s="9" t="s">
        <v>22</v>
      </c>
      <c r="O1983" s="6" t="str">
        <f>HYPERLINK("https://pbs.twimg.com/profile_images/988971255679324162/jrqiIYf__normal.jpg","View")</f>
        <v>View</v>
      </c>
      <c r="P1983" s="7"/>
    </row>
    <row r="1984" spans="1:16">
      <c r="A1984" s="3">
        <v>44273.261435185181</v>
      </c>
      <c r="B1984" s="4" t="str">
        <f>HYPERLINK("https://twitter.com/sergio_fajardo","@sergio_fajardo")</f>
        <v>@sergio_fajardo</v>
      </c>
      <c r="C1984" s="5" t="s">
        <v>16</v>
      </c>
      <c r="D1984" s="5" t="s">
        <v>2004</v>
      </c>
      <c r="E1984" s="6" t="str">
        <f>HYPERLINK("https://twitter.com/sergio_fajardo/status/1372348644402298881","1372348644402298881")</f>
        <v>1372348644402298881</v>
      </c>
      <c r="F1984" s="7" t="s">
        <v>17</v>
      </c>
      <c r="G1984" s="7">
        <v>1568540</v>
      </c>
      <c r="H1984" s="7">
        <v>408</v>
      </c>
      <c r="I1984" s="7">
        <v>8</v>
      </c>
      <c r="J1984" s="7">
        <v>0</v>
      </c>
      <c r="K1984" s="7" t="s">
        <v>18</v>
      </c>
      <c r="L1984" s="8">
        <v>39891.213356481479</v>
      </c>
      <c r="M1984" s="9" t="s">
        <v>19</v>
      </c>
      <c r="N1984" s="9" t="s">
        <v>22</v>
      </c>
      <c r="O1984" s="6" t="str">
        <f>HYPERLINK("https://pbs.twimg.com/profile_images/988971255679324162/jrqiIYf__normal.jpg","View")</f>
        <v>View</v>
      </c>
      <c r="P1984" s="7"/>
    </row>
    <row r="1985" spans="1:16">
      <c r="A1985" s="3">
        <v>44273.706435185188</v>
      </c>
      <c r="B1985" s="4" t="str">
        <f>HYPERLINK("https://twitter.com/sergio_fajardo","@sergio_fajardo")</f>
        <v>@sergio_fajardo</v>
      </c>
      <c r="C1985" s="5" t="s">
        <v>16</v>
      </c>
      <c r="D1985" s="5" t="s">
        <v>2005</v>
      </c>
      <c r="E1985" s="6" t="str">
        <f>HYPERLINK("https://twitter.com/sergio_fajardo/status/1372509908000768002","1372509908000768002")</f>
        <v>1372509908000768002</v>
      </c>
      <c r="F1985" s="7" t="s">
        <v>23</v>
      </c>
      <c r="G1985" s="7">
        <v>1568553</v>
      </c>
      <c r="H1985" s="7">
        <v>408</v>
      </c>
      <c r="I1985" s="7">
        <v>2</v>
      </c>
      <c r="J1985" s="7">
        <v>8</v>
      </c>
      <c r="K1985" s="7" t="s">
        <v>18</v>
      </c>
      <c r="L1985" s="8">
        <v>39891.213356481479</v>
      </c>
      <c r="M1985" s="9" t="s">
        <v>19</v>
      </c>
      <c r="N1985" s="9" t="s">
        <v>22</v>
      </c>
      <c r="O1985" s="6" t="str">
        <f>HYPERLINK("https://pbs.twimg.com/profile_images/988971255679324162/jrqiIYf__normal.jpg","View")</f>
        <v>View</v>
      </c>
      <c r="P1985" s="7"/>
    </row>
    <row r="1986" spans="1:16">
      <c r="A1986" s="3">
        <v>44273.741122685184</v>
      </c>
      <c r="B1986" s="4" t="str">
        <f>HYPERLINK("https://twitter.com/sergio_fajardo","@sergio_fajardo")</f>
        <v>@sergio_fajardo</v>
      </c>
      <c r="C1986" s="5" t="s">
        <v>16</v>
      </c>
      <c r="D1986" s="5" t="s">
        <v>2006</v>
      </c>
      <c r="E1986" s="6" t="str">
        <f>HYPERLINK("https://twitter.com/sergio_fajardo/status/1372522475490320384","1372522475490320384")</f>
        <v>1372522475490320384</v>
      </c>
      <c r="F1986" s="7" t="s">
        <v>23</v>
      </c>
      <c r="G1986" s="7">
        <v>1568557</v>
      </c>
      <c r="H1986" s="7">
        <v>408</v>
      </c>
      <c r="I1986" s="7">
        <v>14</v>
      </c>
      <c r="J1986" s="7">
        <v>65</v>
      </c>
      <c r="K1986" s="7" t="s">
        <v>18</v>
      </c>
      <c r="L1986" s="8">
        <v>39891.213356481479</v>
      </c>
      <c r="M1986" s="9" t="s">
        <v>19</v>
      </c>
      <c r="N1986" s="9" t="s">
        <v>22</v>
      </c>
      <c r="O1986" s="6" t="str">
        <f>HYPERLINK("https://pbs.twimg.com/profile_images/988971255679324162/jrqiIYf__normal.jpg","View")</f>
        <v>View</v>
      </c>
      <c r="P1986" s="7"/>
    </row>
    <row r="1987" spans="1:16">
      <c r="A1987" s="3">
        <v>44273.769386574073</v>
      </c>
      <c r="B1987" s="4" t="str">
        <f>HYPERLINK("https://twitter.com/sergio_fajardo","@sergio_fajardo")</f>
        <v>@sergio_fajardo</v>
      </c>
      <c r="C1987" s="5" t="s">
        <v>16</v>
      </c>
      <c r="D1987" s="5" t="s">
        <v>2007</v>
      </c>
      <c r="E1987" s="6" t="str">
        <f>HYPERLINK("https://twitter.com/sergio_fajardo/status/1372532719624814594","1372532719624814594")</f>
        <v>1372532719624814594</v>
      </c>
      <c r="F1987" s="7" t="s">
        <v>23</v>
      </c>
      <c r="G1987" s="7">
        <v>1568557</v>
      </c>
      <c r="H1987" s="7">
        <v>408</v>
      </c>
      <c r="I1987" s="7">
        <v>7</v>
      </c>
      <c r="J1987" s="7">
        <v>18</v>
      </c>
      <c r="K1987" s="7" t="s">
        <v>18</v>
      </c>
      <c r="L1987" s="8">
        <v>39891.213356481479</v>
      </c>
      <c r="M1987" s="9" t="s">
        <v>19</v>
      </c>
      <c r="N1987" s="9" t="s">
        <v>22</v>
      </c>
      <c r="O1987" s="6" t="str">
        <f>HYPERLINK("https://pbs.twimg.com/profile_images/988971255679324162/jrqiIYf__normal.jpg","View")</f>
        <v>View</v>
      </c>
      <c r="P1987" s="7"/>
    </row>
    <row r="1988" spans="1:16">
      <c r="A1988" s="3">
        <v>44273.834699074076</v>
      </c>
      <c r="B1988" s="4" t="str">
        <f>HYPERLINK("https://twitter.com/sergio_fajardo","@sergio_fajardo")</f>
        <v>@sergio_fajardo</v>
      </c>
      <c r="C1988" s="5" t="s">
        <v>16</v>
      </c>
      <c r="D1988" s="5" t="s">
        <v>2008</v>
      </c>
      <c r="E1988" s="6" t="str">
        <f>HYPERLINK("https://twitter.com/sergio_fajardo/status/1372556388791164931","1372556388791164931")</f>
        <v>1372556388791164931</v>
      </c>
      <c r="F1988" s="7" t="s">
        <v>23</v>
      </c>
      <c r="G1988" s="7">
        <v>1568565</v>
      </c>
      <c r="H1988" s="7">
        <v>408</v>
      </c>
      <c r="I1988" s="7">
        <v>0</v>
      </c>
      <c r="J1988" s="7">
        <v>0</v>
      </c>
      <c r="K1988" s="7" t="s">
        <v>18</v>
      </c>
      <c r="L1988" s="8">
        <v>39891.213356481479</v>
      </c>
      <c r="M1988" s="9" t="s">
        <v>19</v>
      </c>
      <c r="N1988" s="9" t="s">
        <v>22</v>
      </c>
      <c r="O1988" s="6" t="str">
        <f>HYPERLINK("https://pbs.twimg.com/profile_images/988971255679324162/jrqiIYf__normal.jpg","View")</f>
        <v>View</v>
      </c>
      <c r="P1988" s="7"/>
    </row>
    <row r="1989" spans="1:16">
      <c r="A1989" s="3">
        <v>44273.835462962961</v>
      </c>
      <c r="B1989" s="4" t="str">
        <f>HYPERLINK("https://twitter.com/sergio_fajardo","@sergio_fajardo")</f>
        <v>@sergio_fajardo</v>
      </c>
      <c r="C1989" s="5" t="s">
        <v>16</v>
      </c>
      <c r="D1989" s="5" t="s">
        <v>2009</v>
      </c>
      <c r="E1989" s="6" t="str">
        <f>HYPERLINK("https://twitter.com/sergio_fajardo/status/1372556667175497736","1372556667175497736")</f>
        <v>1372556667175497736</v>
      </c>
      <c r="F1989" s="7" t="s">
        <v>23</v>
      </c>
      <c r="G1989" s="7">
        <v>1568554</v>
      </c>
      <c r="H1989" s="7">
        <v>408</v>
      </c>
      <c r="I1989" s="7">
        <v>1</v>
      </c>
      <c r="J1989" s="7">
        <v>7</v>
      </c>
      <c r="K1989" s="7" t="s">
        <v>18</v>
      </c>
      <c r="L1989" s="8">
        <v>39891.213356481479</v>
      </c>
      <c r="M1989" s="9" t="s">
        <v>19</v>
      </c>
      <c r="N1989" s="9" t="s">
        <v>22</v>
      </c>
      <c r="O1989" s="6" t="str">
        <f>HYPERLINK("https://pbs.twimg.com/profile_images/988971255679324162/jrqiIYf__normal.jpg","View")</f>
        <v>View</v>
      </c>
      <c r="P1989" s="7"/>
    </row>
    <row r="1990" spans="1:16">
      <c r="A1990" s="3">
        <v>44274.316284722227</v>
      </c>
      <c r="B1990" s="4" t="str">
        <f>HYPERLINK("https://twitter.com/sergio_fajardo","@sergio_fajardo")</f>
        <v>@sergio_fajardo</v>
      </c>
      <c r="C1990" s="5" t="s">
        <v>16</v>
      </c>
      <c r="D1990" s="5" t="s">
        <v>2010</v>
      </c>
      <c r="E1990" s="6" t="str">
        <f>HYPERLINK("https://twitter.com/sergio_fajardo/status/1372730907665256457","1372730907665256457")</f>
        <v>1372730907665256457</v>
      </c>
      <c r="F1990" s="7" t="s">
        <v>20</v>
      </c>
      <c r="G1990" s="7">
        <v>1568611</v>
      </c>
      <c r="H1990" s="7">
        <v>408</v>
      </c>
      <c r="I1990" s="7">
        <v>13</v>
      </c>
      <c r="J1990" s="7">
        <v>111</v>
      </c>
      <c r="K1990" s="7" t="s">
        <v>18</v>
      </c>
      <c r="L1990" s="8">
        <v>39891.213356481479</v>
      </c>
      <c r="M1990" s="9" t="s">
        <v>19</v>
      </c>
      <c r="N1990" s="9" t="s">
        <v>22</v>
      </c>
      <c r="O1990" s="6" t="str">
        <f>HYPERLINK("https://pbs.twimg.com/profile_images/988971255679324162/jrqiIYf__normal.jpg","View")</f>
        <v>View</v>
      </c>
      <c r="P1990" s="7"/>
    </row>
    <row r="1991" spans="1:16">
      <c r="A1991" s="3">
        <v>44274.376203703709</v>
      </c>
      <c r="B1991" s="4" t="str">
        <f>HYPERLINK("https://twitter.com/sergio_fajardo","@sergio_fajardo")</f>
        <v>@sergio_fajardo</v>
      </c>
      <c r="C1991" s="5" t="s">
        <v>16</v>
      </c>
      <c r="D1991" s="5" t="s">
        <v>2011</v>
      </c>
      <c r="E1991" s="6" t="str">
        <f>HYPERLINK("https://twitter.com/sergio_fajardo/status/1372752623246307337","1372752623246307337")</f>
        <v>1372752623246307337</v>
      </c>
      <c r="F1991" s="7" t="s">
        <v>17</v>
      </c>
      <c r="G1991" s="7">
        <v>1568532</v>
      </c>
      <c r="H1991" s="7">
        <v>408</v>
      </c>
      <c r="I1991" s="7">
        <v>0</v>
      </c>
      <c r="J1991" s="7">
        <v>1</v>
      </c>
      <c r="K1991" s="7" t="s">
        <v>18</v>
      </c>
      <c r="L1991" s="8">
        <v>39891.213356481479</v>
      </c>
      <c r="M1991" s="9" t="s">
        <v>19</v>
      </c>
      <c r="N1991" s="9" t="s">
        <v>22</v>
      </c>
      <c r="O1991" s="6" t="str">
        <f>HYPERLINK("https://pbs.twimg.com/profile_images/988971255679324162/jrqiIYf__normal.jpg","View")</f>
        <v>View</v>
      </c>
      <c r="P1991" s="7"/>
    </row>
    <row r="1992" spans="1:16">
      <c r="A1992" s="3">
        <v>44274.99962962963</v>
      </c>
      <c r="B1992" s="4" t="str">
        <f>HYPERLINK("https://twitter.com/sergio_fajardo","@sergio_fajardo")</f>
        <v>@sergio_fajardo</v>
      </c>
      <c r="C1992" s="5" t="s">
        <v>16</v>
      </c>
      <c r="D1992" s="5" t="s">
        <v>2012</v>
      </c>
      <c r="E1992" s="6" t="str">
        <f>HYPERLINK("https://twitter.com/sergio_fajardo/status/1372978544897318914","1372978544897318914")</f>
        <v>1372978544897318914</v>
      </c>
      <c r="F1992" s="7" t="s">
        <v>23</v>
      </c>
      <c r="G1992" s="7">
        <v>1568604</v>
      </c>
      <c r="H1992" s="7">
        <v>408</v>
      </c>
      <c r="I1992" s="7">
        <v>3</v>
      </c>
      <c r="J1992" s="7">
        <v>9</v>
      </c>
      <c r="K1992" s="7" t="s">
        <v>18</v>
      </c>
      <c r="L1992" s="8">
        <v>39891.213356481479</v>
      </c>
      <c r="M1992" s="9" t="s">
        <v>19</v>
      </c>
      <c r="N1992" s="9" t="s">
        <v>22</v>
      </c>
      <c r="O1992" s="6" t="str">
        <f>HYPERLINK("https://pbs.twimg.com/profile_images/988971255679324162/jrqiIYf__normal.jpg","View")</f>
        <v>View</v>
      </c>
      <c r="P1992" s="7"/>
    </row>
    <row r="1993" spans="1:16">
      <c r="A1993" s="3">
        <v>44275.005787037036</v>
      </c>
      <c r="B1993" s="4" t="str">
        <f>HYPERLINK("https://twitter.com/sergio_fajardo","@sergio_fajardo")</f>
        <v>@sergio_fajardo</v>
      </c>
      <c r="C1993" s="5" t="s">
        <v>16</v>
      </c>
      <c r="D1993" s="5" t="s">
        <v>2013</v>
      </c>
      <c r="E1993" s="6" t="str">
        <f>HYPERLINK("https://twitter.com/sergio_fajardo/status/1372980776954908674","1372980776954908674")</f>
        <v>1372980776954908674</v>
      </c>
      <c r="F1993" s="7" t="s">
        <v>23</v>
      </c>
      <c r="G1993" s="7">
        <v>1568604</v>
      </c>
      <c r="H1993" s="7">
        <v>408</v>
      </c>
      <c r="I1993" s="7">
        <v>0</v>
      </c>
      <c r="J1993" s="7">
        <v>10</v>
      </c>
      <c r="K1993" s="7" t="s">
        <v>18</v>
      </c>
      <c r="L1993" s="8">
        <v>39891.213356481479</v>
      </c>
      <c r="M1993" s="9" t="s">
        <v>19</v>
      </c>
      <c r="N1993" s="9" t="s">
        <v>22</v>
      </c>
      <c r="O1993" s="6" t="str">
        <f>HYPERLINK("https://pbs.twimg.com/profile_images/988971255679324162/jrqiIYf__normal.jpg","View")</f>
        <v>View</v>
      </c>
      <c r="P1993" s="7"/>
    </row>
    <row r="1994" spans="1:16">
      <c r="A1994" s="3">
        <v>44275.009849537033</v>
      </c>
      <c r="B1994" s="4" t="str">
        <f>HYPERLINK("https://twitter.com/sergio_fajardo","@sergio_fajardo")</f>
        <v>@sergio_fajardo</v>
      </c>
      <c r="C1994" s="5" t="s">
        <v>16</v>
      </c>
      <c r="D1994" s="5" t="s">
        <v>2014</v>
      </c>
      <c r="E1994" s="6" t="str">
        <f>HYPERLINK("https://twitter.com/sergio_fajardo/status/1372982247045931013","1372982247045931013")</f>
        <v>1372982247045931013</v>
      </c>
      <c r="F1994" s="7" t="s">
        <v>20</v>
      </c>
      <c r="G1994" s="7">
        <v>1568604</v>
      </c>
      <c r="H1994" s="7">
        <v>408</v>
      </c>
      <c r="I1994" s="7">
        <v>52</v>
      </c>
      <c r="J1994" s="7">
        <v>0</v>
      </c>
      <c r="K1994" s="7" t="s">
        <v>18</v>
      </c>
      <c r="L1994" s="8">
        <v>39891.213356481479</v>
      </c>
      <c r="M1994" s="9" t="s">
        <v>19</v>
      </c>
      <c r="N1994" s="9" t="s">
        <v>22</v>
      </c>
      <c r="O1994" s="6" t="str">
        <f>HYPERLINK("https://pbs.twimg.com/profile_images/988971255679324162/jrqiIYf__normal.jpg","View")</f>
        <v>View</v>
      </c>
      <c r="P1994" s="7"/>
    </row>
    <row r="1995" spans="1:16">
      <c r="A1995" s="3">
        <v>44275.010185185187</v>
      </c>
      <c r="B1995" s="4" t="str">
        <f>HYPERLINK("https://twitter.com/sergio_fajardo","@sergio_fajardo")</f>
        <v>@sergio_fajardo</v>
      </c>
      <c r="C1995" s="5" t="s">
        <v>16</v>
      </c>
      <c r="D1995" s="5" t="s">
        <v>2015</v>
      </c>
      <c r="E1995" s="6" t="str">
        <f>HYPERLINK("https://twitter.com/sergio_fajardo/status/1372982372124262400","1372982372124262400")</f>
        <v>1372982372124262400</v>
      </c>
      <c r="F1995" s="7" t="s">
        <v>20</v>
      </c>
      <c r="G1995" s="7">
        <v>1568604</v>
      </c>
      <c r="H1995" s="7">
        <v>408</v>
      </c>
      <c r="I1995" s="7">
        <v>8</v>
      </c>
      <c r="J1995" s="7">
        <v>0</v>
      </c>
      <c r="K1995" s="7" t="s">
        <v>18</v>
      </c>
      <c r="L1995" s="8">
        <v>39891.213356481479</v>
      </c>
      <c r="M1995" s="9" t="s">
        <v>19</v>
      </c>
      <c r="N1995" s="9" t="s">
        <v>22</v>
      </c>
      <c r="O1995" s="6" t="str">
        <f>HYPERLINK("https://pbs.twimg.com/profile_images/988971255679324162/jrqiIYf__normal.jpg","View")</f>
        <v>View</v>
      </c>
      <c r="P1995" s="7"/>
    </row>
    <row r="1996" spans="1:16">
      <c r="A1996" s="3">
        <v>44275.294421296298</v>
      </c>
      <c r="B1996" s="4" t="str">
        <f>HYPERLINK("https://twitter.com/sergio_fajardo","@sergio_fajardo")</f>
        <v>@sergio_fajardo</v>
      </c>
      <c r="C1996" s="5" t="s">
        <v>16</v>
      </c>
      <c r="D1996" s="5" t="s">
        <v>2016</v>
      </c>
      <c r="E1996" s="6" t="str">
        <f>HYPERLINK("https://twitter.com/sergio_fajardo/status/1373085375049121795","1373085375049121795")</f>
        <v>1373085375049121795</v>
      </c>
      <c r="F1996" s="7" t="s">
        <v>17</v>
      </c>
      <c r="G1996" s="7">
        <v>1568632</v>
      </c>
      <c r="H1996" s="7">
        <v>408</v>
      </c>
      <c r="I1996" s="7">
        <v>57</v>
      </c>
      <c r="J1996" s="7">
        <v>0</v>
      </c>
      <c r="K1996" s="7" t="s">
        <v>18</v>
      </c>
      <c r="L1996" s="8">
        <v>39891.213356481479</v>
      </c>
      <c r="M1996" s="9" t="s">
        <v>19</v>
      </c>
      <c r="N1996" s="9" t="s">
        <v>22</v>
      </c>
      <c r="O1996" s="6" t="str">
        <f>HYPERLINK("https://pbs.twimg.com/profile_images/988971255679324162/jrqiIYf__normal.jpg","View")</f>
        <v>View</v>
      </c>
      <c r="P1996" s="7"/>
    </row>
    <row r="1997" spans="1:16">
      <c r="A1997" s="3">
        <v>44275.816990740743</v>
      </c>
      <c r="B1997" s="4" t="str">
        <f>HYPERLINK("https://twitter.com/sergio_fajardo","@sergio_fajardo")</f>
        <v>@sergio_fajardo</v>
      </c>
      <c r="C1997" s="5" t="s">
        <v>16</v>
      </c>
      <c r="D1997" s="5" t="s">
        <v>2017</v>
      </c>
      <c r="E1997" s="6" t="str">
        <f>HYPERLINK("https://twitter.com/sergio_fajardo/status/1373274748487147524","1373274748487147524")</f>
        <v>1373274748487147524</v>
      </c>
      <c r="F1997" s="7" t="s">
        <v>17</v>
      </c>
      <c r="G1997" s="7">
        <v>1568654</v>
      </c>
      <c r="H1997" s="7">
        <v>408</v>
      </c>
      <c r="I1997" s="7">
        <v>14</v>
      </c>
      <c r="J1997" s="7">
        <v>0</v>
      </c>
      <c r="K1997" s="7" t="s">
        <v>18</v>
      </c>
      <c r="L1997" s="8">
        <v>39891.213356481479</v>
      </c>
      <c r="M1997" s="9" t="s">
        <v>19</v>
      </c>
      <c r="N1997" s="9" t="s">
        <v>22</v>
      </c>
      <c r="O1997" s="6" t="str">
        <f>HYPERLINK("https://pbs.twimg.com/profile_images/988971255679324162/jrqiIYf__normal.jpg","View")</f>
        <v>View</v>
      </c>
      <c r="P1997" s="7"/>
    </row>
    <row r="1998" spans="1:16">
      <c r="A1998" s="3">
        <v>44276.906273148154</v>
      </c>
      <c r="B1998" s="4" t="str">
        <f>HYPERLINK("https://twitter.com/sergio_fajardo","@sergio_fajardo")</f>
        <v>@sergio_fajardo</v>
      </c>
      <c r="C1998" s="5" t="s">
        <v>16</v>
      </c>
      <c r="D1998" s="5" t="s">
        <v>2018</v>
      </c>
      <c r="E1998" s="6" t="str">
        <f>HYPERLINK("https://twitter.com/sergio_fajardo/status/1373669491461271553","1373669491461271553")</f>
        <v>1373669491461271553</v>
      </c>
      <c r="F1998" s="7" t="s">
        <v>17</v>
      </c>
      <c r="G1998" s="7">
        <v>1568660</v>
      </c>
      <c r="H1998" s="7">
        <v>408</v>
      </c>
      <c r="I1998" s="7">
        <v>2215</v>
      </c>
      <c r="J1998" s="7">
        <v>0</v>
      </c>
      <c r="K1998" s="7" t="s">
        <v>18</v>
      </c>
      <c r="L1998" s="8">
        <v>39891.213356481479</v>
      </c>
      <c r="M1998" s="9" t="s">
        <v>19</v>
      </c>
      <c r="N1998" s="9" t="s">
        <v>22</v>
      </c>
      <c r="O1998" s="6" t="str">
        <f>HYPERLINK("https://pbs.twimg.com/profile_images/988971255679324162/jrqiIYf__normal.jpg","View")</f>
        <v>View</v>
      </c>
      <c r="P1998" s="7"/>
    </row>
    <row r="1999" spans="1:16">
      <c r="A1999" s="3">
        <v>44278.919942129629</v>
      </c>
      <c r="B1999" s="4" t="str">
        <f>HYPERLINK("https://twitter.com/sergio_fajardo","@sergio_fajardo")</f>
        <v>@sergio_fajardo</v>
      </c>
      <c r="C1999" s="5" t="s">
        <v>16</v>
      </c>
      <c r="D1999" s="5" t="s">
        <v>2019</v>
      </c>
      <c r="E1999" s="6" t="str">
        <f>HYPERLINK("https://twitter.com/sergio_fajardo/status/1374399219453202432","1374399219453202432")</f>
        <v>1374399219453202432</v>
      </c>
      <c r="F1999" s="7" t="s">
        <v>23</v>
      </c>
      <c r="G1999" s="7">
        <v>1568646</v>
      </c>
      <c r="H1999" s="7">
        <v>408</v>
      </c>
      <c r="I1999" s="7">
        <v>17</v>
      </c>
      <c r="J1999" s="7">
        <v>0</v>
      </c>
      <c r="K1999" s="7" t="s">
        <v>18</v>
      </c>
      <c r="L1999" s="8">
        <v>39891.213356481479</v>
      </c>
      <c r="M1999" s="9" t="s">
        <v>19</v>
      </c>
      <c r="N1999" s="9" t="s">
        <v>22</v>
      </c>
      <c r="O1999" s="6" t="str">
        <f>HYPERLINK("https://pbs.twimg.com/profile_images/988971255679324162/jrqiIYf__normal.jpg","View")</f>
        <v>View</v>
      </c>
      <c r="P1999" s="7"/>
    </row>
    <row r="2000" spans="1:16">
      <c r="A2000" s="3">
        <v>44279.126979166671</v>
      </c>
      <c r="B2000" s="4" t="str">
        <f>HYPERLINK("https://twitter.com/sergio_fajardo","@sergio_fajardo")</f>
        <v>@sergio_fajardo</v>
      </c>
      <c r="C2000" s="5" t="s">
        <v>16</v>
      </c>
      <c r="D2000" s="5" t="s">
        <v>2020</v>
      </c>
      <c r="E2000" s="6" t="str">
        <f>HYPERLINK("https://twitter.com/sergio_fajardo/status/1374474247859441667","1374474247859441667")</f>
        <v>1374474247859441667</v>
      </c>
      <c r="F2000" s="7" t="s">
        <v>20</v>
      </c>
      <c r="G2000" s="7">
        <v>1568667</v>
      </c>
      <c r="H2000" s="7">
        <v>408</v>
      </c>
      <c r="I2000" s="7">
        <v>5</v>
      </c>
      <c r="J2000" s="7">
        <v>0</v>
      </c>
      <c r="K2000" s="7" t="s">
        <v>18</v>
      </c>
      <c r="L2000" s="8">
        <v>39891.213356481479</v>
      </c>
      <c r="M2000" s="9" t="s">
        <v>19</v>
      </c>
      <c r="N2000" s="9" t="s">
        <v>22</v>
      </c>
      <c r="O2000" s="6" t="str">
        <f>HYPERLINK("https://pbs.twimg.com/profile_images/988971255679324162/jrqiIYf__normal.jpg","View")</f>
        <v>View</v>
      </c>
      <c r="P2000" s="7"/>
    </row>
    <row r="2001" spans="1:16">
      <c r="A2001" s="3">
        <v>44280.272245370375</v>
      </c>
      <c r="B2001" s="4" t="str">
        <f>HYPERLINK("https://twitter.com/sergio_fajardo","@sergio_fajardo")</f>
        <v>@sergio_fajardo</v>
      </c>
      <c r="C2001" s="5" t="s">
        <v>16</v>
      </c>
      <c r="D2001" s="5" t="s">
        <v>2021</v>
      </c>
      <c r="E2001" s="6" t="str">
        <f>HYPERLINK("https://twitter.com/sergio_fajardo/status/1374889277604175872","1374889277604175872")</f>
        <v>1374889277604175872</v>
      </c>
      <c r="F2001" s="7" t="s">
        <v>23</v>
      </c>
      <c r="G2001" s="7">
        <v>1568786</v>
      </c>
      <c r="H2001" s="7">
        <v>408</v>
      </c>
      <c r="I2001" s="7">
        <v>14</v>
      </c>
      <c r="J2001" s="7">
        <v>33</v>
      </c>
      <c r="K2001" s="7" t="s">
        <v>18</v>
      </c>
      <c r="L2001" s="8">
        <v>39891.213356481479</v>
      </c>
      <c r="M2001" s="9" t="s">
        <v>19</v>
      </c>
      <c r="N2001" s="9" t="s">
        <v>22</v>
      </c>
      <c r="O2001" s="6" t="str">
        <f>HYPERLINK("https://pbs.twimg.com/profile_images/988971255679324162/jrqiIYf__normal.jpg","View")</f>
        <v>View</v>
      </c>
      <c r="P2001" s="7"/>
    </row>
    <row r="2002" spans="1:16">
      <c r="A2002" s="3">
        <v>44280.295185185183</v>
      </c>
      <c r="B2002" s="4" t="str">
        <f>HYPERLINK("https://twitter.com/sergio_fajardo","@sergio_fajardo")</f>
        <v>@sergio_fajardo</v>
      </c>
      <c r="C2002" s="5" t="s">
        <v>16</v>
      </c>
      <c r="D2002" s="5" t="s">
        <v>2022</v>
      </c>
      <c r="E2002" s="6" t="str">
        <f>HYPERLINK("https://twitter.com/sergio_fajardo/status/1374897588659445767","1374897588659445767")</f>
        <v>1374897588659445767</v>
      </c>
      <c r="F2002" s="7" t="s">
        <v>23</v>
      </c>
      <c r="G2002" s="7">
        <v>1568789</v>
      </c>
      <c r="H2002" s="7">
        <v>408</v>
      </c>
      <c r="I2002" s="7">
        <v>9</v>
      </c>
      <c r="J2002" s="7">
        <v>0</v>
      </c>
      <c r="K2002" s="7" t="s">
        <v>18</v>
      </c>
      <c r="L2002" s="8">
        <v>39891.213356481479</v>
      </c>
      <c r="M2002" s="9" t="s">
        <v>19</v>
      </c>
      <c r="N2002" s="9" t="s">
        <v>22</v>
      </c>
      <c r="O2002" s="6" t="str">
        <f>HYPERLINK("https://pbs.twimg.com/profile_images/988971255679324162/jrqiIYf__normal.jpg","View")</f>
        <v>View</v>
      </c>
      <c r="P2002" s="7"/>
    </row>
    <row r="2003" spans="1:16">
      <c r="A2003" s="3">
        <v>44281.073761574073</v>
      </c>
      <c r="B2003" s="4" t="str">
        <f>HYPERLINK("https://twitter.com/sergio_fajardo","@sergio_fajardo")</f>
        <v>@sergio_fajardo</v>
      </c>
      <c r="C2003" s="5" t="s">
        <v>16</v>
      </c>
      <c r="D2003" s="5" t="s">
        <v>2023</v>
      </c>
      <c r="E2003" s="6" t="str">
        <f>HYPERLINK("https://twitter.com/sergio_fajardo/status/1375179735291072516","1375179735291072516")</f>
        <v>1375179735291072516</v>
      </c>
      <c r="F2003" s="7" t="s">
        <v>23</v>
      </c>
      <c r="G2003" s="7">
        <v>1568851</v>
      </c>
      <c r="H2003" s="7">
        <v>408</v>
      </c>
      <c r="I2003" s="7">
        <v>8</v>
      </c>
      <c r="J2003" s="7">
        <v>31</v>
      </c>
      <c r="K2003" s="7" t="s">
        <v>18</v>
      </c>
      <c r="L2003" s="8">
        <v>39891.213356481479</v>
      </c>
      <c r="M2003" s="9" t="s">
        <v>19</v>
      </c>
      <c r="N2003" s="9" t="s">
        <v>22</v>
      </c>
      <c r="O2003" s="6" t="str">
        <f>HYPERLINK("https://pbs.twimg.com/profile_images/988971255679324162/jrqiIYf__normal.jpg","View")</f>
        <v>View</v>
      </c>
      <c r="P2003" s="7"/>
    </row>
    <row r="2004" spans="1:16">
      <c r="A2004" s="3">
        <v>44281.793958333335</v>
      </c>
      <c r="B2004" s="4" t="str">
        <f>HYPERLINK("https://twitter.com/sergio_fajardo","@sergio_fajardo")</f>
        <v>@sergio_fajardo</v>
      </c>
      <c r="C2004" s="5" t="s">
        <v>16</v>
      </c>
      <c r="D2004" s="5" t="s">
        <v>2024</v>
      </c>
      <c r="E2004" s="6" t="str">
        <f>HYPERLINK("https://twitter.com/sergio_fajardo/status/1375440727098937351","1375440727098937351")</f>
        <v>1375440727098937351</v>
      </c>
      <c r="F2004" s="7" t="s">
        <v>23</v>
      </c>
      <c r="G2004" s="7">
        <v>1568883</v>
      </c>
      <c r="H2004" s="7">
        <v>408</v>
      </c>
      <c r="I2004" s="7">
        <v>14</v>
      </c>
      <c r="J2004" s="7">
        <v>57</v>
      </c>
      <c r="K2004" s="7" t="s">
        <v>18</v>
      </c>
      <c r="L2004" s="8">
        <v>39891.213356481479</v>
      </c>
      <c r="M2004" s="9" t="s">
        <v>19</v>
      </c>
      <c r="N2004" s="9" t="s">
        <v>22</v>
      </c>
      <c r="O2004" s="6" t="str">
        <f>HYPERLINK("https://pbs.twimg.com/profile_images/988971255679324162/jrqiIYf__normal.jpg","View")</f>
        <v>View</v>
      </c>
      <c r="P2004" s="7"/>
    </row>
    <row r="2005" spans="1:16">
      <c r="A2005" s="3">
        <v>44281.815312499995</v>
      </c>
      <c r="B2005" s="4" t="str">
        <f>HYPERLINK("https://twitter.com/sergio_fajardo","@sergio_fajardo")</f>
        <v>@sergio_fajardo</v>
      </c>
      <c r="C2005" s="5" t="s">
        <v>16</v>
      </c>
      <c r="D2005" s="5" t="s">
        <v>2025</v>
      </c>
      <c r="E2005" s="6" t="str">
        <f>HYPERLINK("https://twitter.com/sergio_fajardo/status/1375448465489199104","1375448465489199104")</f>
        <v>1375448465489199104</v>
      </c>
      <c r="F2005" s="7" t="s">
        <v>23</v>
      </c>
      <c r="G2005" s="7">
        <v>1568886</v>
      </c>
      <c r="H2005" s="7">
        <v>408</v>
      </c>
      <c r="I2005" s="7">
        <v>3</v>
      </c>
      <c r="J2005" s="7">
        <v>8</v>
      </c>
      <c r="K2005" s="7" t="s">
        <v>18</v>
      </c>
      <c r="L2005" s="8">
        <v>39891.213356481479</v>
      </c>
      <c r="M2005" s="9" t="s">
        <v>19</v>
      </c>
      <c r="N2005" s="9" t="s">
        <v>22</v>
      </c>
      <c r="O2005" s="6" t="str">
        <f>HYPERLINK("https://pbs.twimg.com/profile_images/988971255679324162/jrqiIYf__normal.jpg","View")</f>
        <v>View</v>
      </c>
      <c r="P2005" s="7"/>
    </row>
    <row r="2006" spans="1:16">
      <c r="A2006" s="3">
        <v>44282.001574074078</v>
      </c>
      <c r="B2006" s="4" t="str">
        <f>HYPERLINK("https://twitter.com/sergio_fajardo","@sergio_fajardo")</f>
        <v>@sergio_fajardo</v>
      </c>
      <c r="C2006" s="5" t="s">
        <v>16</v>
      </c>
      <c r="D2006" s="5" t="s">
        <v>2026</v>
      </c>
      <c r="E2006" s="6" t="str">
        <f>HYPERLINK("https://twitter.com/sergio_fajardo/status/1375515965190856705","1375515965190856705")</f>
        <v>1375515965190856705</v>
      </c>
      <c r="F2006" s="7" t="s">
        <v>23</v>
      </c>
      <c r="G2006" s="7">
        <v>1568907</v>
      </c>
      <c r="H2006" s="7">
        <v>408</v>
      </c>
      <c r="I2006" s="7">
        <v>12</v>
      </c>
      <c r="J2006" s="7">
        <v>41</v>
      </c>
      <c r="K2006" s="7" t="s">
        <v>18</v>
      </c>
      <c r="L2006" s="8">
        <v>39891.213356481479</v>
      </c>
      <c r="M2006" s="9" t="s">
        <v>19</v>
      </c>
      <c r="N2006" s="9" t="s">
        <v>22</v>
      </c>
      <c r="O2006" s="6" t="str">
        <f>HYPERLINK("https://pbs.twimg.com/profile_images/988971255679324162/jrqiIYf__normal.jpg","View")</f>
        <v>View</v>
      </c>
      <c r="P2006" s="7"/>
    </row>
    <row r="2007" spans="1:16">
      <c r="A2007" s="3">
        <v>44282.178993055553</v>
      </c>
      <c r="B2007" s="4" t="str">
        <f>HYPERLINK("https://twitter.com/sergio_fajardo","@sergio_fajardo")</f>
        <v>@sergio_fajardo</v>
      </c>
      <c r="C2007" s="5" t="s">
        <v>16</v>
      </c>
      <c r="D2007" s="5" t="s">
        <v>2027</v>
      </c>
      <c r="E2007" s="6" t="str">
        <f>HYPERLINK("https://twitter.com/sergio_fajardo/status/1375580259303718914","1375580259303718914")</f>
        <v>1375580259303718914</v>
      </c>
      <c r="F2007" s="7" t="s">
        <v>17</v>
      </c>
      <c r="G2007" s="7">
        <v>1568914</v>
      </c>
      <c r="H2007" s="7">
        <v>408</v>
      </c>
      <c r="I2007" s="7">
        <v>20</v>
      </c>
      <c r="J2007" s="7">
        <v>86</v>
      </c>
      <c r="K2007" s="7" t="s">
        <v>18</v>
      </c>
      <c r="L2007" s="8">
        <v>39891.213356481479</v>
      </c>
      <c r="M2007" s="9" t="s">
        <v>19</v>
      </c>
      <c r="N2007" s="9" t="s">
        <v>22</v>
      </c>
      <c r="O2007" s="6" t="str">
        <f>HYPERLINK("https://pbs.twimg.com/profile_images/988971255679324162/jrqiIYf__normal.jpg","View")</f>
        <v>View</v>
      </c>
      <c r="P2007" s="7"/>
    </row>
    <row r="2008" spans="1:16">
      <c r="A2008" s="3">
        <v>44282.194525462968</v>
      </c>
      <c r="B2008" s="4" t="str">
        <f>HYPERLINK("https://twitter.com/sergio_fajardo","@sergio_fajardo")</f>
        <v>@sergio_fajardo</v>
      </c>
      <c r="C2008" s="5" t="s">
        <v>16</v>
      </c>
      <c r="D2008" s="5" t="s">
        <v>2028</v>
      </c>
      <c r="E2008" s="6" t="str">
        <f>HYPERLINK("https://twitter.com/sergio_fajardo/status/1375585887803817987","1375585887803817987")</f>
        <v>1375585887803817987</v>
      </c>
      <c r="F2008" s="7" t="s">
        <v>20</v>
      </c>
      <c r="G2008" s="7">
        <v>1568914</v>
      </c>
      <c r="H2008" s="7">
        <v>408</v>
      </c>
      <c r="I2008" s="7">
        <v>0</v>
      </c>
      <c r="J2008" s="7">
        <v>4</v>
      </c>
      <c r="K2008" s="7" t="s">
        <v>18</v>
      </c>
      <c r="L2008" s="8">
        <v>39891.213356481479</v>
      </c>
      <c r="M2008" s="9" t="s">
        <v>19</v>
      </c>
      <c r="N2008" s="9" t="s">
        <v>22</v>
      </c>
      <c r="O2008" s="6" t="str">
        <f>HYPERLINK("https://pbs.twimg.com/profile_images/988971255679324162/jrqiIYf__normal.jpg","View")</f>
        <v>View</v>
      </c>
      <c r="P2008" s="7"/>
    </row>
    <row r="2009" spans="1:16">
      <c r="A2009" s="3">
        <v>44282.248263888891</v>
      </c>
      <c r="B2009" s="4" t="str">
        <f>HYPERLINK("https://twitter.com/sergio_fajardo","@sergio_fajardo")</f>
        <v>@sergio_fajardo</v>
      </c>
      <c r="C2009" s="5" t="s">
        <v>16</v>
      </c>
      <c r="D2009" s="5" t="s">
        <v>2029</v>
      </c>
      <c r="E2009" s="6" t="str">
        <f>HYPERLINK("https://twitter.com/sergio_fajardo/status/1375605364192911362","1375605364192911362")</f>
        <v>1375605364192911362</v>
      </c>
      <c r="F2009" s="7" t="s">
        <v>17</v>
      </c>
      <c r="G2009" s="7">
        <v>1568910</v>
      </c>
      <c r="H2009" s="7">
        <v>408</v>
      </c>
      <c r="I2009" s="7">
        <v>37</v>
      </c>
      <c r="J2009" s="7">
        <v>0</v>
      </c>
      <c r="K2009" s="7" t="s">
        <v>18</v>
      </c>
      <c r="L2009" s="8">
        <v>39891.213356481479</v>
      </c>
      <c r="M2009" s="9" t="s">
        <v>19</v>
      </c>
      <c r="N2009" s="9" t="s">
        <v>22</v>
      </c>
      <c r="O2009" s="6" t="str">
        <f>HYPERLINK("https://pbs.twimg.com/profile_images/988971255679324162/jrqiIYf__normal.jpg","View")</f>
        <v>View</v>
      </c>
      <c r="P2009" s="7"/>
    </row>
    <row r="2010" spans="1:16">
      <c r="A2010" s="3">
        <v>44282.292581018519</v>
      </c>
      <c r="B2010" s="4" t="str">
        <f>HYPERLINK("https://twitter.com/sergio_fajardo","@sergio_fajardo")</f>
        <v>@sergio_fajardo</v>
      </c>
      <c r="C2010" s="5" t="s">
        <v>16</v>
      </c>
      <c r="D2010" s="5" t="s">
        <v>2030</v>
      </c>
      <c r="E2010" s="6" t="str">
        <f>HYPERLINK("https://twitter.com/sergio_fajardo/status/1375621421762772997","1375621421762772997")</f>
        <v>1375621421762772997</v>
      </c>
      <c r="F2010" s="7" t="s">
        <v>17</v>
      </c>
      <c r="G2010" s="7">
        <v>1568913</v>
      </c>
      <c r="H2010" s="7">
        <v>409</v>
      </c>
      <c r="I2010" s="7">
        <v>52</v>
      </c>
      <c r="J2010" s="7">
        <v>0</v>
      </c>
      <c r="K2010" s="7" t="s">
        <v>18</v>
      </c>
      <c r="L2010" s="8">
        <v>39891.213356481479</v>
      </c>
      <c r="M2010" s="9" t="s">
        <v>19</v>
      </c>
      <c r="N2010" s="9" t="s">
        <v>22</v>
      </c>
      <c r="O2010" s="6" t="str">
        <f>HYPERLINK("https://pbs.twimg.com/profile_images/988971255679324162/jrqiIYf__normal.jpg","View")</f>
        <v>View</v>
      </c>
      <c r="P2010" s="7"/>
    </row>
    <row r="2011" spans="1:16">
      <c r="A2011" s="3">
        <v>44282.851863425924</v>
      </c>
      <c r="B2011" s="4" t="str">
        <f>HYPERLINK("https://twitter.com/sergio_fajardo","@sergio_fajardo")</f>
        <v>@sergio_fajardo</v>
      </c>
      <c r="C2011" s="5" t="s">
        <v>16</v>
      </c>
      <c r="D2011" s="5" t="s">
        <v>2031</v>
      </c>
      <c r="E2011" s="6" t="str">
        <f>HYPERLINK("https://twitter.com/sergio_fajardo/status/1375824098685767681","1375824098685767681")</f>
        <v>1375824098685767681</v>
      </c>
      <c r="F2011" s="7" t="s">
        <v>17</v>
      </c>
      <c r="G2011" s="7">
        <v>1568927</v>
      </c>
      <c r="H2011" s="7">
        <v>410</v>
      </c>
      <c r="I2011" s="7">
        <v>4</v>
      </c>
      <c r="J2011" s="7">
        <v>51</v>
      </c>
      <c r="K2011" s="7" t="s">
        <v>18</v>
      </c>
      <c r="L2011" s="8">
        <v>39891.213356481479</v>
      </c>
      <c r="M2011" s="9" t="s">
        <v>19</v>
      </c>
      <c r="N2011" s="9" t="s">
        <v>22</v>
      </c>
      <c r="O2011" s="6" t="str">
        <f>HYPERLINK("https://pbs.twimg.com/profile_images/988971255679324162/jrqiIYf__normal.jpg","View")</f>
        <v>View</v>
      </c>
      <c r="P2011" s="7"/>
    </row>
    <row r="2012" spans="1:16">
      <c r="A2012" s="3">
        <v>44283.221909722226</v>
      </c>
      <c r="B2012" s="4" t="str">
        <f>HYPERLINK("https://twitter.com/sergio_fajardo","@sergio_fajardo")</f>
        <v>@sergio_fajardo</v>
      </c>
      <c r="C2012" s="5" t="s">
        <v>16</v>
      </c>
      <c r="D2012" s="5" t="s">
        <v>2032</v>
      </c>
      <c r="E2012" s="6" t="str">
        <f>HYPERLINK("https://twitter.com/sergio_fajardo/status/1375958200931991553","1375958200931991553")</f>
        <v>1375958200931991553</v>
      </c>
      <c r="F2012" s="7" t="s">
        <v>23</v>
      </c>
      <c r="G2012" s="7">
        <v>1568970</v>
      </c>
      <c r="H2012" s="7">
        <v>410</v>
      </c>
      <c r="I2012" s="7">
        <v>26</v>
      </c>
      <c r="J2012" s="7">
        <v>132</v>
      </c>
      <c r="K2012" s="7" t="s">
        <v>18</v>
      </c>
      <c r="L2012" s="8">
        <v>39891.213356481479</v>
      </c>
      <c r="M2012" s="9" t="s">
        <v>19</v>
      </c>
      <c r="N2012" s="9" t="s">
        <v>22</v>
      </c>
      <c r="O2012" s="6" t="str">
        <f>HYPERLINK("https://pbs.twimg.com/profile_images/988971255679324162/jrqiIYf__normal.jpg","View")</f>
        <v>View</v>
      </c>
      <c r="P2012" s="7"/>
    </row>
    <row r="2013" spans="1:16">
      <c r="A2013" s="3">
        <v>44283.222175925926</v>
      </c>
      <c r="B2013" s="4" t="str">
        <f>HYPERLINK("https://twitter.com/sergio_fajardo","@sergio_fajardo")</f>
        <v>@sergio_fajardo</v>
      </c>
      <c r="C2013" s="5" t="s">
        <v>16</v>
      </c>
      <c r="D2013" s="5" t="s">
        <v>2033</v>
      </c>
      <c r="E2013" s="6" t="str">
        <f>HYPERLINK("https://twitter.com/sergio_fajardo/status/1375958294976720902","1375958294976720902")</f>
        <v>1375958294976720902</v>
      </c>
      <c r="F2013" s="7" t="s">
        <v>23</v>
      </c>
      <c r="G2013" s="7">
        <v>1568970</v>
      </c>
      <c r="H2013" s="7">
        <v>410</v>
      </c>
      <c r="I2013" s="7">
        <v>11</v>
      </c>
      <c r="J2013" s="7">
        <v>52</v>
      </c>
      <c r="K2013" s="7" t="s">
        <v>18</v>
      </c>
      <c r="L2013" s="8">
        <v>39891.213356481479</v>
      </c>
      <c r="M2013" s="9" t="s">
        <v>19</v>
      </c>
      <c r="N2013" s="9" t="s">
        <v>22</v>
      </c>
      <c r="O2013" s="6" t="str">
        <f>HYPERLINK("https://pbs.twimg.com/profile_images/988971255679324162/jrqiIYf__normal.jpg","View")</f>
        <v>View</v>
      </c>
      <c r="P2013" s="7"/>
    </row>
    <row r="2014" spans="1:16">
      <c r="A2014" s="3">
        <v>44284.254930555559</v>
      </c>
      <c r="B2014" s="4" t="str">
        <f>HYPERLINK("https://twitter.com/sergio_fajardo","@sergio_fajardo")</f>
        <v>@sergio_fajardo</v>
      </c>
      <c r="C2014" s="5" t="s">
        <v>16</v>
      </c>
      <c r="D2014" s="5" t="s">
        <v>2034</v>
      </c>
      <c r="E2014" s="6" t="str">
        <f>HYPERLINK("https://twitter.com/sergio_fajardo/status/1376332551908909056","1376332551908909056")</f>
        <v>1376332551908909056</v>
      </c>
      <c r="F2014" s="7" t="s">
        <v>20</v>
      </c>
      <c r="G2014" s="7">
        <v>1568992</v>
      </c>
      <c r="H2014" s="7">
        <v>410</v>
      </c>
      <c r="I2014" s="7">
        <v>6</v>
      </c>
      <c r="J2014" s="7">
        <v>18</v>
      </c>
      <c r="K2014" s="7" t="s">
        <v>18</v>
      </c>
      <c r="L2014" s="8">
        <v>39891.213356481479</v>
      </c>
      <c r="M2014" s="9" t="s">
        <v>19</v>
      </c>
      <c r="N2014" s="9" t="s">
        <v>22</v>
      </c>
      <c r="O2014" s="6" t="str">
        <f>HYPERLINK("https://pbs.twimg.com/profile_images/988971255679324162/jrqiIYf__normal.jpg","View")</f>
        <v>View</v>
      </c>
      <c r="P2014" s="7"/>
    </row>
    <row r="2015" spans="1:16">
      <c r="A2015" s="3">
        <v>44284.83792824074</v>
      </c>
      <c r="B2015" s="4" t="str">
        <f>HYPERLINK("https://twitter.com/sergio_fajardo","@sergio_fajardo")</f>
        <v>@sergio_fajardo</v>
      </c>
      <c r="C2015" s="5" t="s">
        <v>16</v>
      </c>
      <c r="D2015" s="5" t="s">
        <v>2035</v>
      </c>
      <c r="E2015" s="6" t="str">
        <f>HYPERLINK("https://twitter.com/sergio_fajardo/status/1376543824349106176","1376543824349106176")</f>
        <v>1376543824349106176</v>
      </c>
      <c r="F2015" s="7" t="s">
        <v>23</v>
      </c>
      <c r="G2015" s="7">
        <v>1569004</v>
      </c>
      <c r="H2015" s="7">
        <v>410</v>
      </c>
      <c r="I2015" s="7">
        <v>12</v>
      </c>
      <c r="J2015" s="7">
        <v>30</v>
      </c>
      <c r="K2015" s="7" t="s">
        <v>18</v>
      </c>
      <c r="L2015" s="8">
        <v>39891.213356481479</v>
      </c>
      <c r="M2015" s="9" t="s">
        <v>19</v>
      </c>
      <c r="N2015" s="9" t="s">
        <v>22</v>
      </c>
      <c r="O2015" s="6" t="str">
        <f>HYPERLINK("https://pbs.twimg.com/profile_images/988971255679324162/jrqiIYf__normal.jpg","View")</f>
        <v>View</v>
      </c>
      <c r="P2015" s="7"/>
    </row>
    <row r="2016" spans="1:16">
      <c r="A2016" s="3">
        <v>44286.841689814813</v>
      </c>
      <c r="B2016" s="4" t="str">
        <f>HYPERLINK("https://twitter.com/sergio_fajardo","@sergio_fajardo")</f>
        <v>@sergio_fajardo</v>
      </c>
      <c r="C2016" s="5" t="s">
        <v>16</v>
      </c>
      <c r="D2016" s="5" t="s">
        <v>2036</v>
      </c>
      <c r="E2016" s="6" t="str">
        <f>HYPERLINK("https://twitter.com/sergio_fajardo/status/1377269965582123019","1377269965582123019")</f>
        <v>1377269965582123019</v>
      </c>
      <c r="F2016" s="7" t="s">
        <v>17</v>
      </c>
      <c r="G2016" s="7">
        <v>1569038</v>
      </c>
      <c r="H2016" s="7">
        <v>410</v>
      </c>
      <c r="I2016" s="7">
        <v>85</v>
      </c>
      <c r="J2016" s="7">
        <v>257</v>
      </c>
      <c r="K2016" s="7" t="s">
        <v>18</v>
      </c>
      <c r="L2016" s="8">
        <v>39891.213356481479</v>
      </c>
      <c r="M2016" s="9" t="s">
        <v>19</v>
      </c>
      <c r="N2016" s="9" t="s">
        <v>22</v>
      </c>
      <c r="O2016" s="6" t="str">
        <f>HYPERLINK("https://pbs.twimg.com/profile_images/988971255679324162/jrqiIYf__normal.jpg","View")</f>
        <v>View</v>
      </c>
      <c r="P2016" s="7"/>
    </row>
    <row r="2017" spans="1:16">
      <c r="A2017" s="3">
        <v>44287.896550925929</v>
      </c>
      <c r="B2017" s="4" t="str">
        <f>HYPERLINK("https://twitter.com/sergio_fajardo","@sergio_fajardo")</f>
        <v>@sergio_fajardo</v>
      </c>
      <c r="C2017" s="5" t="s">
        <v>16</v>
      </c>
      <c r="D2017" s="5" t="s">
        <v>2037</v>
      </c>
      <c r="E2017" s="6" t="str">
        <f>HYPERLINK("https://twitter.com/sergio_fajardo/status/1377652231558795271","1377652231558795271")</f>
        <v>1377652231558795271</v>
      </c>
      <c r="F2017" s="7" t="s">
        <v>17</v>
      </c>
      <c r="G2017" s="7">
        <v>1569183</v>
      </c>
      <c r="H2017" s="7">
        <v>410</v>
      </c>
      <c r="I2017" s="7">
        <v>37</v>
      </c>
      <c r="J2017" s="7">
        <v>171</v>
      </c>
      <c r="K2017" s="7" t="s">
        <v>18</v>
      </c>
      <c r="L2017" s="8">
        <v>39891.213356481479</v>
      </c>
      <c r="M2017" s="9" t="s">
        <v>19</v>
      </c>
      <c r="N2017" s="9" t="s">
        <v>22</v>
      </c>
      <c r="O2017" s="6" t="str">
        <f>HYPERLINK("https://pbs.twimg.com/profile_images/988971255679324162/jrqiIYf__normal.jpg","View")</f>
        <v>View</v>
      </c>
      <c r="P2017" s="7"/>
    </row>
    <row r="2018" spans="1:16">
      <c r="A2018" s="3">
        <v>44289.012604166666</v>
      </c>
      <c r="B2018" s="4" t="str">
        <f>HYPERLINK("https://twitter.com/sergio_fajardo","@sergio_fajardo")</f>
        <v>@sergio_fajardo</v>
      </c>
      <c r="C2018" s="5" t="s">
        <v>16</v>
      </c>
      <c r="D2018" s="4" t="s">
        <v>2038</v>
      </c>
      <c r="E2018" s="6" t="str">
        <f>HYPERLINK("https://twitter.com/sergio_fajardo/status/1378056676125765632","1378056676125765632")</f>
        <v>1378056676125765632</v>
      </c>
      <c r="F2018" s="7" t="s">
        <v>20</v>
      </c>
      <c r="G2018" s="7">
        <v>1569242</v>
      </c>
      <c r="H2018" s="7">
        <v>411</v>
      </c>
      <c r="I2018" s="7">
        <v>18</v>
      </c>
      <c r="J2018" s="7">
        <v>53</v>
      </c>
      <c r="K2018" s="7" t="s">
        <v>18</v>
      </c>
      <c r="L2018" s="8">
        <v>39891.213356481479</v>
      </c>
      <c r="M2018" s="9" t="s">
        <v>19</v>
      </c>
      <c r="N2018" s="9" t="s">
        <v>22</v>
      </c>
      <c r="O2018" s="6" t="str">
        <f>HYPERLINK("https://pbs.twimg.com/profile_images/988971255679324162/jrqiIYf__normal.jpg","View")</f>
        <v>View</v>
      </c>
      <c r="P2018" s="7"/>
    </row>
    <row r="2019" spans="1:16">
      <c r="A2019" s="3">
        <v>44290.947731481487</v>
      </c>
      <c r="B2019" s="4" t="str">
        <f>HYPERLINK("https://twitter.com/sergio_fajardo","@sergio_fajardo")</f>
        <v>@sergio_fajardo</v>
      </c>
      <c r="C2019" s="5" t="s">
        <v>16</v>
      </c>
      <c r="D2019" s="5" t="s">
        <v>2039</v>
      </c>
      <c r="E2019" s="6" t="str">
        <f>HYPERLINK("https://twitter.com/sergio_fajardo/status/1378757942275624965","1378757942275624965")</f>
        <v>1378757942275624965</v>
      </c>
      <c r="F2019" s="7" t="s">
        <v>17</v>
      </c>
      <c r="G2019" s="7">
        <v>1569347</v>
      </c>
      <c r="H2019" s="7">
        <v>411</v>
      </c>
      <c r="I2019" s="7">
        <v>4</v>
      </c>
      <c r="J2019" s="7">
        <v>29</v>
      </c>
      <c r="K2019" s="7" t="s">
        <v>18</v>
      </c>
      <c r="L2019" s="8">
        <v>39891.213356481479</v>
      </c>
      <c r="M2019" s="9" t="s">
        <v>19</v>
      </c>
      <c r="N2019" s="9" t="s">
        <v>22</v>
      </c>
      <c r="O2019" s="6" t="str">
        <f>HYPERLINK("https://pbs.twimg.com/profile_images/988971255679324162/jrqiIYf__normal.jpg","View")</f>
        <v>View</v>
      </c>
      <c r="P2019" s="7"/>
    </row>
    <row r="2020" spans="1:16">
      <c r="A2020" s="3">
        <v>44291.272534722222</v>
      </c>
      <c r="B2020" s="4" t="str">
        <f>HYPERLINK("https://twitter.com/sergio_fajardo","@sergio_fajardo")</f>
        <v>@sergio_fajardo</v>
      </c>
      <c r="C2020" s="5" t="s">
        <v>16</v>
      </c>
      <c r="D2020" s="5" t="s">
        <v>2040</v>
      </c>
      <c r="E2020" s="6" t="str">
        <f>HYPERLINK("https://twitter.com/sergio_fajardo/status/1378875650157727746","1378875650157727746")</f>
        <v>1378875650157727746</v>
      </c>
      <c r="F2020" s="7" t="s">
        <v>17</v>
      </c>
      <c r="G2020" s="7">
        <v>1569353</v>
      </c>
      <c r="H2020" s="7">
        <v>411</v>
      </c>
      <c r="I2020" s="7">
        <v>24</v>
      </c>
      <c r="J2020" s="7">
        <v>0</v>
      </c>
      <c r="K2020" s="7" t="s">
        <v>18</v>
      </c>
      <c r="L2020" s="8">
        <v>39891.213356481479</v>
      </c>
      <c r="M2020" s="9" t="s">
        <v>19</v>
      </c>
      <c r="N2020" s="9" t="s">
        <v>22</v>
      </c>
      <c r="O2020" s="6" t="str">
        <f>HYPERLINK("https://pbs.twimg.com/profile_images/988971255679324162/jrqiIYf__normal.jpg","View")</f>
        <v>View</v>
      </c>
      <c r="P2020" s="7"/>
    </row>
    <row r="2021" spans="1:16">
      <c r="A2021" s="3">
        <v>44291.93818287037</v>
      </c>
      <c r="B2021" s="4" t="str">
        <f>HYPERLINK("https://twitter.com/sergio_fajardo","@sergio_fajardo")</f>
        <v>@sergio_fajardo</v>
      </c>
      <c r="C2021" s="5" t="s">
        <v>16</v>
      </c>
      <c r="D2021" s="5" t="s">
        <v>2041</v>
      </c>
      <c r="E2021" s="6" t="str">
        <f>HYPERLINK("https://twitter.com/sergio_fajardo/status/1379116869282631695","1379116869282631695")</f>
        <v>1379116869282631695</v>
      </c>
      <c r="F2021" s="7" t="s">
        <v>23</v>
      </c>
      <c r="G2021" s="7">
        <v>1569361</v>
      </c>
      <c r="H2021" s="7">
        <v>411</v>
      </c>
      <c r="I2021" s="7">
        <v>34</v>
      </c>
      <c r="J2021" s="7">
        <v>112</v>
      </c>
      <c r="K2021" s="7" t="s">
        <v>18</v>
      </c>
      <c r="L2021" s="8">
        <v>39891.213356481479</v>
      </c>
      <c r="M2021" s="9" t="s">
        <v>19</v>
      </c>
      <c r="N2021" s="9" t="s">
        <v>22</v>
      </c>
      <c r="O2021" s="6" t="str">
        <f>HYPERLINK("https://pbs.twimg.com/profile_images/988971255679324162/jrqiIYf__normal.jpg","View")</f>
        <v>View</v>
      </c>
      <c r="P2021" s="7"/>
    </row>
    <row r="2022" spans="1:16">
      <c r="A2022" s="3">
        <v>44292.147916666669</v>
      </c>
      <c r="B2022" s="4" t="str">
        <f>HYPERLINK("https://twitter.com/sergio_fajardo","@sergio_fajardo")</f>
        <v>@sergio_fajardo</v>
      </c>
      <c r="C2022" s="5" t="s">
        <v>16</v>
      </c>
      <c r="D2022" s="5" t="s">
        <v>2042</v>
      </c>
      <c r="E2022" s="6" t="str">
        <f>HYPERLINK("https://twitter.com/sergio_fajardo/status/1379192877750878210","1379192877750878210")</f>
        <v>1379192877750878210</v>
      </c>
      <c r="F2022" s="7" t="s">
        <v>17</v>
      </c>
      <c r="G2022" s="7">
        <v>1569391</v>
      </c>
      <c r="H2022" s="7">
        <v>411</v>
      </c>
      <c r="I2022" s="7">
        <v>28</v>
      </c>
      <c r="J2022" s="7">
        <v>96</v>
      </c>
      <c r="K2022" s="7" t="s">
        <v>18</v>
      </c>
      <c r="L2022" s="8">
        <v>39891.213356481479</v>
      </c>
      <c r="M2022" s="9" t="s">
        <v>19</v>
      </c>
      <c r="N2022" s="9" t="s">
        <v>22</v>
      </c>
      <c r="O2022" s="6" t="str">
        <f>HYPERLINK("https://pbs.twimg.com/profile_images/988971255679324162/jrqiIYf__normal.jpg","View")</f>
        <v>View</v>
      </c>
      <c r="P2022" s="7"/>
    </row>
    <row r="2023" spans="1:16">
      <c r="A2023" s="3">
        <v>44292.270312499997</v>
      </c>
      <c r="B2023" s="4" t="str">
        <f>HYPERLINK("https://twitter.com/sergio_fajardo","@sergio_fajardo")</f>
        <v>@sergio_fajardo</v>
      </c>
      <c r="C2023" s="5" t="s">
        <v>16</v>
      </c>
      <c r="D2023" s="5" t="s">
        <v>2043</v>
      </c>
      <c r="E2023" s="6" t="str">
        <f>HYPERLINK("https://twitter.com/sergio_fajardo/status/1379237230565224448","1379237230565224448")</f>
        <v>1379237230565224448</v>
      </c>
      <c r="F2023" s="7" t="s">
        <v>20</v>
      </c>
      <c r="G2023" s="7">
        <v>1569401</v>
      </c>
      <c r="H2023" s="7">
        <v>411</v>
      </c>
      <c r="I2023" s="7">
        <v>18</v>
      </c>
      <c r="J2023" s="7">
        <v>83</v>
      </c>
      <c r="K2023" s="7" t="s">
        <v>18</v>
      </c>
      <c r="L2023" s="8">
        <v>39891.213356481479</v>
      </c>
      <c r="M2023" s="9" t="s">
        <v>19</v>
      </c>
      <c r="N2023" s="9" t="s">
        <v>22</v>
      </c>
      <c r="O2023" s="6" t="str">
        <f>HYPERLINK("https://pbs.twimg.com/profile_images/988971255679324162/jrqiIYf__normal.jpg","View")</f>
        <v>View</v>
      </c>
      <c r="P2023" s="7"/>
    </row>
    <row r="2024" spans="1:16">
      <c r="A2024" s="3">
        <v>44292.617615740739</v>
      </c>
      <c r="B2024" s="4" t="str">
        <f>HYPERLINK("https://twitter.com/sergio_fajardo","@sergio_fajardo")</f>
        <v>@sergio_fajardo</v>
      </c>
      <c r="C2024" s="5" t="s">
        <v>16</v>
      </c>
      <c r="D2024" s="5" t="s">
        <v>2044</v>
      </c>
      <c r="E2024" s="6" t="str">
        <f>HYPERLINK("https://twitter.com/sergio_fajardo/status/1379363090236637186","1379363090236637186")</f>
        <v>1379363090236637186</v>
      </c>
      <c r="F2024" s="7" t="s">
        <v>17</v>
      </c>
      <c r="G2024" s="7">
        <v>1569434</v>
      </c>
      <c r="H2024" s="7">
        <v>411</v>
      </c>
      <c r="I2024" s="7">
        <v>2</v>
      </c>
      <c r="J2024" s="7">
        <v>6</v>
      </c>
      <c r="K2024" s="7" t="s">
        <v>18</v>
      </c>
      <c r="L2024" s="8">
        <v>39891.213356481479</v>
      </c>
      <c r="M2024" s="9" t="s">
        <v>19</v>
      </c>
      <c r="N2024" s="9" t="s">
        <v>22</v>
      </c>
      <c r="O2024" s="6" t="str">
        <f>HYPERLINK("https://pbs.twimg.com/profile_images/988971255679324162/jrqiIYf__normal.jpg","View")</f>
        <v>View</v>
      </c>
      <c r="P2024" s="7"/>
    </row>
    <row r="2025" spans="1:16">
      <c r="A2025" s="3">
        <v>44292.800636574073</v>
      </c>
      <c r="B2025" s="4" t="str">
        <f>HYPERLINK("https://twitter.com/sergio_fajardo","@sergio_fajardo")</f>
        <v>@sergio_fajardo</v>
      </c>
      <c r="C2025" s="5" t="s">
        <v>16</v>
      </c>
      <c r="D2025" s="5" t="s">
        <v>2045</v>
      </c>
      <c r="E2025" s="6" t="str">
        <f>HYPERLINK("https://twitter.com/sergio_fajardo/status/1379429413419294729","1379429413419294729")</f>
        <v>1379429413419294729</v>
      </c>
      <c r="F2025" s="7" t="s">
        <v>20</v>
      </c>
      <c r="G2025" s="7">
        <v>1569380</v>
      </c>
      <c r="H2025" s="7">
        <v>411</v>
      </c>
      <c r="I2025" s="7">
        <v>4</v>
      </c>
      <c r="J2025" s="7">
        <v>20</v>
      </c>
      <c r="K2025" s="7" t="s">
        <v>18</v>
      </c>
      <c r="L2025" s="8">
        <v>39891.213356481479</v>
      </c>
      <c r="M2025" s="9" t="s">
        <v>19</v>
      </c>
      <c r="N2025" s="9" t="s">
        <v>22</v>
      </c>
      <c r="O2025" s="6" t="str">
        <f>HYPERLINK("https://pbs.twimg.com/profile_images/988971255679324162/jrqiIYf__normal.jpg","View")</f>
        <v>View</v>
      </c>
      <c r="P2025" s="7"/>
    </row>
    <row r="2026" spans="1:16">
      <c r="A2026" s="3">
        <v>44292.89234953704</v>
      </c>
      <c r="B2026" s="4" t="str">
        <f>HYPERLINK("https://twitter.com/sergio_fajardo","@sergio_fajardo")</f>
        <v>@sergio_fajardo</v>
      </c>
      <c r="C2026" s="5" t="s">
        <v>16</v>
      </c>
      <c r="D2026" s="5" t="s">
        <v>2046</v>
      </c>
      <c r="E2026" s="6" t="str">
        <f>HYPERLINK("https://twitter.com/sergio_fajardo/status/1379462650522861575","1379462650522861575")</f>
        <v>1379462650522861575</v>
      </c>
      <c r="F2026" s="7" t="s">
        <v>20</v>
      </c>
      <c r="G2026" s="7">
        <v>1569404</v>
      </c>
      <c r="H2026" s="7">
        <v>411</v>
      </c>
      <c r="I2026" s="7">
        <v>31</v>
      </c>
      <c r="J2026" s="7">
        <v>131</v>
      </c>
      <c r="K2026" s="7" t="s">
        <v>18</v>
      </c>
      <c r="L2026" s="8">
        <v>39891.213356481479</v>
      </c>
      <c r="M2026" s="9" t="s">
        <v>19</v>
      </c>
      <c r="N2026" s="9" t="s">
        <v>22</v>
      </c>
      <c r="O2026" s="6" t="str">
        <f>HYPERLINK("https://pbs.twimg.com/profile_images/988971255679324162/jrqiIYf__normal.jpg","View")</f>
        <v>View</v>
      </c>
      <c r="P2026" s="7"/>
    </row>
    <row r="2027" spans="1:16">
      <c r="A2027" s="3">
        <v>44293.136782407411</v>
      </c>
      <c r="B2027" s="4" t="str">
        <f>HYPERLINK("https://twitter.com/sergio_fajardo","@sergio_fajardo")</f>
        <v>@sergio_fajardo</v>
      </c>
      <c r="C2027" s="5" t="s">
        <v>16</v>
      </c>
      <c r="D2027" s="5" t="s">
        <v>2047</v>
      </c>
      <c r="E2027" s="6" t="str">
        <f>HYPERLINK("https://twitter.com/sergio_fajardo/status/1379551228368015361","1379551228368015361")</f>
        <v>1379551228368015361</v>
      </c>
      <c r="F2027" s="7" t="s">
        <v>20</v>
      </c>
      <c r="G2027" s="7">
        <v>1569502</v>
      </c>
      <c r="H2027" s="7">
        <v>411</v>
      </c>
      <c r="I2027" s="7">
        <v>3</v>
      </c>
      <c r="J2027" s="7">
        <v>0</v>
      </c>
      <c r="K2027" s="7" t="s">
        <v>18</v>
      </c>
      <c r="L2027" s="8">
        <v>39891.213356481479</v>
      </c>
      <c r="M2027" s="9" t="s">
        <v>19</v>
      </c>
      <c r="N2027" s="9" t="s">
        <v>22</v>
      </c>
      <c r="O2027" s="6" t="str">
        <f>HYPERLINK("https://pbs.twimg.com/profile_images/988971255679324162/jrqiIYf__normal.jpg","View")</f>
        <v>View</v>
      </c>
      <c r="P2027" s="7"/>
    </row>
    <row r="2028" spans="1:16">
      <c r="A2028" s="3">
        <v>44293.940486111111</v>
      </c>
      <c r="B2028" s="4" t="str">
        <f>HYPERLINK("https://twitter.com/sergio_fajardo","@sergio_fajardo")</f>
        <v>@sergio_fajardo</v>
      </c>
      <c r="C2028" s="5" t="s">
        <v>16</v>
      </c>
      <c r="D2028" s="5" t="s">
        <v>2048</v>
      </c>
      <c r="E2028" s="6" t="str">
        <f>HYPERLINK("https://twitter.com/sergio_fajardo/status/1379842482129752068","1379842482129752068")</f>
        <v>1379842482129752068</v>
      </c>
      <c r="F2028" s="7" t="s">
        <v>23</v>
      </c>
      <c r="G2028" s="7">
        <v>1569550</v>
      </c>
      <c r="H2028" s="7">
        <v>411</v>
      </c>
      <c r="I2028" s="7">
        <v>9</v>
      </c>
      <c r="J2028" s="7">
        <v>39</v>
      </c>
      <c r="K2028" s="7" t="s">
        <v>18</v>
      </c>
      <c r="L2028" s="8">
        <v>39891.213356481479</v>
      </c>
      <c r="M2028" s="9" t="s">
        <v>19</v>
      </c>
      <c r="N2028" s="9" t="s">
        <v>22</v>
      </c>
      <c r="O2028" s="6" t="str">
        <f>HYPERLINK("https://pbs.twimg.com/profile_images/988971255679324162/jrqiIYf__normal.jpg","View")</f>
        <v>View</v>
      </c>
      <c r="P2028" s="7"/>
    </row>
    <row r="2029" spans="1:16">
      <c r="A2029" s="3">
        <v>44293.942905092597</v>
      </c>
      <c r="B2029" s="4" t="str">
        <f>HYPERLINK("https://twitter.com/sergio_fajardo","@sergio_fajardo")</f>
        <v>@sergio_fajardo</v>
      </c>
      <c r="C2029" s="5" t="s">
        <v>16</v>
      </c>
      <c r="D2029" s="5" t="s">
        <v>2049</v>
      </c>
      <c r="E2029" s="6" t="str">
        <f>HYPERLINK("https://twitter.com/sergio_fajardo/status/1379843356948373504","1379843356948373504")</f>
        <v>1379843356948373504</v>
      </c>
      <c r="F2029" s="7" t="s">
        <v>23</v>
      </c>
      <c r="G2029" s="7">
        <v>1569550</v>
      </c>
      <c r="H2029" s="7">
        <v>411</v>
      </c>
      <c r="I2029" s="7">
        <v>3</v>
      </c>
      <c r="J2029" s="7">
        <v>9</v>
      </c>
      <c r="K2029" s="7" t="s">
        <v>18</v>
      </c>
      <c r="L2029" s="8">
        <v>39891.213356481479</v>
      </c>
      <c r="M2029" s="9" t="s">
        <v>19</v>
      </c>
      <c r="N2029" s="9" t="s">
        <v>22</v>
      </c>
      <c r="O2029" s="6" t="str">
        <f>HYPERLINK("https://pbs.twimg.com/profile_images/988971255679324162/jrqiIYf__normal.jpg","View")</f>
        <v>View</v>
      </c>
      <c r="P2029" s="7"/>
    </row>
    <row r="2030" spans="1:16">
      <c r="A2030" s="3">
        <v>44294.141400462962</v>
      </c>
      <c r="B2030" s="4" t="str">
        <f>HYPERLINK("https://twitter.com/sergio_fajardo","@sergio_fajardo")</f>
        <v>@sergio_fajardo</v>
      </c>
      <c r="C2030" s="5" t="s">
        <v>16</v>
      </c>
      <c r="D2030" s="5" t="s">
        <v>2050</v>
      </c>
      <c r="E2030" s="6" t="str">
        <f>HYPERLINK("https://twitter.com/sergio_fajardo/status/1379915289828200449","1379915289828200449")</f>
        <v>1379915289828200449</v>
      </c>
      <c r="F2030" s="7" t="s">
        <v>23</v>
      </c>
      <c r="G2030" s="7">
        <v>1569554</v>
      </c>
      <c r="H2030" s="7">
        <v>411</v>
      </c>
      <c r="I2030" s="7">
        <v>5</v>
      </c>
      <c r="J2030" s="7">
        <v>21</v>
      </c>
      <c r="K2030" s="7" t="s">
        <v>18</v>
      </c>
      <c r="L2030" s="8">
        <v>39891.213356481479</v>
      </c>
      <c r="M2030" s="9" t="s">
        <v>19</v>
      </c>
      <c r="N2030" s="9" t="s">
        <v>22</v>
      </c>
      <c r="O2030" s="6" t="str">
        <f>HYPERLINK("https://pbs.twimg.com/profile_images/988971255679324162/jrqiIYf__normal.jpg","View")</f>
        <v>View</v>
      </c>
      <c r="P2030" s="7"/>
    </row>
    <row r="2031" spans="1:16">
      <c r="A2031" s="3">
        <v>44294.246331018519</v>
      </c>
      <c r="B2031" s="4" t="str">
        <f>HYPERLINK("https://twitter.com/sergio_fajardo","@sergio_fajardo")</f>
        <v>@sergio_fajardo</v>
      </c>
      <c r="C2031" s="5" t="s">
        <v>16</v>
      </c>
      <c r="D2031" s="5" t="s">
        <v>2051</v>
      </c>
      <c r="E2031" s="6" t="str">
        <f>HYPERLINK("https://twitter.com/sergio_fajardo/status/1379953314843000836","1379953314843000836")</f>
        <v>1379953314843000836</v>
      </c>
      <c r="F2031" s="7" t="s">
        <v>23</v>
      </c>
      <c r="G2031" s="7">
        <v>1569582</v>
      </c>
      <c r="H2031" s="7">
        <v>411</v>
      </c>
      <c r="I2031" s="7">
        <v>13</v>
      </c>
      <c r="J2031" s="7">
        <v>47</v>
      </c>
      <c r="K2031" s="7" t="s">
        <v>18</v>
      </c>
      <c r="L2031" s="8">
        <v>39891.213356481479</v>
      </c>
      <c r="M2031" s="9" t="s">
        <v>19</v>
      </c>
      <c r="N2031" s="9" t="s">
        <v>22</v>
      </c>
      <c r="O2031" s="6" t="str">
        <f>HYPERLINK("https://pbs.twimg.com/profile_images/988971255679324162/jrqiIYf__normal.jpg","View")</f>
        <v>View</v>
      </c>
      <c r="P2031" s="7"/>
    </row>
    <row r="2032" spans="1:16">
      <c r="A2032" s="3">
        <v>44295.693009259259</v>
      </c>
      <c r="B2032" s="4" t="str">
        <f>HYPERLINK("https://twitter.com/sergio_fajardo","@sergio_fajardo")</f>
        <v>@sergio_fajardo</v>
      </c>
      <c r="C2032" s="5" t="s">
        <v>16</v>
      </c>
      <c r="D2032" s="5" t="s">
        <v>2052</v>
      </c>
      <c r="E2032" s="6" t="str">
        <f>HYPERLINK("https://twitter.com/sergio_fajardo/status/1380477576267894784","1380477576267894784")</f>
        <v>1380477576267894784</v>
      </c>
      <c r="F2032" s="7" t="s">
        <v>17</v>
      </c>
      <c r="G2032" s="7">
        <v>1569646</v>
      </c>
      <c r="H2032" s="7">
        <v>411</v>
      </c>
      <c r="I2032" s="7">
        <v>3</v>
      </c>
      <c r="J2032" s="7">
        <v>0</v>
      </c>
      <c r="K2032" s="7" t="s">
        <v>18</v>
      </c>
      <c r="L2032" s="8">
        <v>39891.213356481479</v>
      </c>
      <c r="M2032" s="9" t="s">
        <v>19</v>
      </c>
      <c r="N2032" s="9" t="s">
        <v>22</v>
      </c>
      <c r="O2032" s="6" t="str">
        <f>HYPERLINK("https://pbs.twimg.com/profile_images/988971255679324162/jrqiIYf__normal.jpg","View")</f>
        <v>View</v>
      </c>
      <c r="P2032" s="7"/>
    </row>
    <row r="2033" spans="1:16">
      <c r="A2033" s="3">
        <v>44295.728009259255</v>
      </c>
      <c r="B2033" s="4" t="str">
        <f>HYPERLINK("https://twitter.com/sergio_fajardo","@sergio_fajardo")</f>
        <v>@sergio_fajardo</v>
      </c>
      <c r="C2033" s="5" t="s">
        <v>16</v>
      </c>
      <c r="D2033" s="5" t="s">
        <v>2053</v>
      </c>
      <c r="E2033" s="6" t="str">
        <f>HYPERLINK("https://twitter.com/sergio_fajardo/status/1380490257502732291","1380490257502732291")</f>
        <v>1380490257502732291</v>
      </c>
      <c r="F2033" s="7" t="s">
        <v>17</v>
      </c>
      <c r="G2033" s="7">
        <v>1569658</v>
      </c>
      <c r="H2033" s="7">
        <v>411</v>
      </c>
      <c r="I2033" s="7">
        <v>66</v>
      </c>
      <c r="J2033" s="7">
        <v>0</v>
      </c>
      <c r="K2033" s="7" t="s">
        <v>18</v>
      </c>
      <c r="L2033" s="8">
        <v>39891.213356481479</v>
      </c>
      <c r="M2033" s="9" t="s">
        <v>19</v>
      </c>
      <c r="N2033" s="9" t="s">
        <v>22</v>
      </c>
      <c r="O2033" s="6" t="str">
        <f>HYPERLINK("https://pbs.twimg.com/profile_images/988971255679324162/jrqiIYf__normal.jpg","View")</f>
        <v>View</v>
      </c>
      <c r="P2033" s="7"/>
    </row>
    <row r="2034" spans="1:16">
      <c r="A2034" s="3">
        <v>44295.806261574078</v>
      </c>
      <c r="B2034" s="4" t="str">
        <f>HYPERLINK("https://twitter.com/sergio_fajardo","@sergio_fajardo")</f>
        <v>@sergio_fajardo</v>
      </c>
      <c r="C2034" s="5" t="s">
        <v>16</v>
      </c>
      <c r="D2034" s="5" t="s">
        <v>2054</v>
      </c>
      <c r="E2034" s="6" t="str">
        <f>HYPERLINK("https://twitter.com/sergio_fajardo/status/1380518615888228354","1380518615888228354")</f>
        <v>1380518615888228354</v>
      </c>
      <c r="F2034" s="7" t="s">
        <v>20</v>
      </c>
      <c r="G2034" s="7">
        <v>1569660</v>
      </c>
      <c r="H2034" s="7">
        <v>411</v>
      </c>
      <c r="I2034" s="7">
        <v>15</v>
      </c>
      <c r="J2034" s="7">
        <v>0</v>
      </c>
      <c r="K2034" s="7" t="s">
        <v>18</v>
      </c>
      <c r="L2034" s="8">
        <v>39891.213356481479</v>
      </c>
      <c r="M2034" s="9" t="s">
        <v>19</v>
      </c>
      <c r="N2034" s="9" t="s">
        <v>22</v>
      </c>
      <c r="O2034" s="6" t="str">
        <f>HYPERLINK("https://pbs.twimg.com/profile_images/988971255679324162/jrqiIYf__normal.jpg","View")</f>
        <v>View</v>
      </c>
      <c r="P2034" s="7"/>
    </row>
    <row r="2035" spans="1:16">
      <c r="A2035" s="3">
        <v>44295.879571759258</v>
      </c>
      <c r="B2035" s="4" t="str">
        <f>HYPERLINK("https://twitter.com/sergio_fajardo","@sergio_fajardo")</f>
        <v>@sergio_fajardo</v>
      </c>
      <c r="C2035" s="5" t="s">
        <v>16</v>
      </c>
      <c r="D2035" s="5" t="s">
        <v>2055</v>
      </c>
      <c r="E2035" s="6" t="str">
        <f>HYPERLINK("https://twitter.com/sergio_fajardo/status/1380545181221597194","1380545181221597194")</f>
        <v>1380545181221597194</v>
      </c>
      <c r="F2035" s="7" t="s">
        <v>23</v>
      </c>
      <c r="G2035" s="7">
        <v>1569677</v>
      </c>
      <c r="H2035" s="7">
        <v>411</v>
      </c>
      <c r="I2035" s="7">
        <v>4</v>
      </c>
      <c r="J2035" s="7">
        <v>13</v>
      </c>
      <c r="K2035" s="7" t="s">
        <v>18</v>
      </c>
      <c r="L2035" s="8">
        <v>39891.213356481479</v>
      </c>
      <c r="M2035" s="9" t="s">
        <v>19</v>
      </c>
      <c r="N2035" s="9" t="s">
        <v>22</v>
      </c>
      <c r="O2035" s="6" t="str">
        <f>HYPERLINK("https://pbs.twimg.com/profile_images/988971255679324162/jrqiIYf__normal.jpg","View")</f>
        <v>View</v>
      </c>
      <c r="P2035" s="7"/>
    </row>
    <row r="2036" spans="1:16">
      <c r="A2036" s="3">
        <v>44296.214849537035</v>
      </c>
      <c r="B2036" s="4" t="str">
        <f>HYPERLINK("https://twitter.com/sergio_fajardo","@sergio_fajardo")</f>
        <v>@sergio_fajardo</v>
      </c>
      <c r="C2036" s="5" t="s">
        <v>16</v>
      </c>
      <c r="D2036" s="5" t="s">
        <v>2056</v>
      </c>
      <c r="E2036" s="6" t="str">
        <f>HYPERLINK("https://twitter.com/sergio_fajardo/status/1380666681526210567","1380666681526210567")</f>
        <v>1380666681526210567</v>
      </c>
      <c r="F2036" s="7" t="s">
        <v>17</v>
      </c>
      <c r="G2036" s="7">
        <v>1569692</v>
      </c>
      <c r="H2036" s="7">
        <v>411</v>
      </c>
      <c r="I2036" s="7">
        <v>2</v>
      </c>
      <c r="J2036" s="7">
        <v>0</v>
      </c>
      <c r="K2036" s="7" t="s">
        <v>18</v>
      </c>
      <c r="L2036" s="8">
        <v>39891.213356481479</v>
      </c>
      <c r="M2036" s="9" t="s">
        <v>19</v>
      </c>
      <c r="N2036" s="9" t="s">
        <v>22</v>
      </c>
      <c r="O2036" s="6" t="str">
        <f>HYPERLINK("https://pbs.twimg.com/profile_images/988971255679324162/jrqiIYf__normal.jpg","View")</f>
        <v>View</v>
      </c>
      <c r="P2036" s="7"/>
    </row>
    <row r="2037" spans="1:16">
      <c r="A2037" s="3">
        <v>44296.768946759257</v>
      </c>
      <c r="B2037" s="4" t="str">
        <f>HYPERLINK("https://twitter.com/sergio_fajardo","@sergio_fajardo")</f>
        <v>@sergio_fajardo</v>
      </c>
      <c r="C2037" s="5" t="s">
        <v>16</v>
      </c>
      <c r="D2037" s="5" t="s">
        <v>2057</v>
      </c>
      <c r="E2037" s="6" t="str">
        <f>HYPERLINK("https://twitter.com/sergio_fajardo/status/1380867480650850310","1380867480650850310")</f>
        <v>1380867480650850310</v>
      </c>
      <c r="F2037" s="7" t="s">
        <v>20</v>
      </c>
      <c r="G2037" s="7">
        <v>1569690</v>
      </c>
      <c r="H2037" s="7">
        <v>411</v>
      </c>
      <c r="I2037" s="7">
        <v>60</v>
      </c>
      <c r="J2037" s="7">
        <v>233</v>
      </c>
      <c r="K2037" s="7" t="s">
        <v>18</v>
      </c>
      <c r="L2037" s="8">
        <v>39891.213356481479</v>
      </c>
      <c r="M2037" s="9" t="s">
        <v>19</v>
      </c>
      <c r="N2037" s="9" t="s">
        <v>22</v>
      </c>
      <c r="O2037" s="6" t="str">
        <f>HYPERLINK("https://pbs.twimg.com/profile_images/988971255679324162/jrqiIYf__normal.jpg","View")</f>
        <v>View</v>
      </c>
      <c r="P2037" s="7"/>
    </row>
    <row r="2038" spans="1:16">
      <c r="A2038" s="3">
        <v>44296.944537037038</v>
      </c>
      <c r="B2038" s="4" t="str">
        <f>HYPERLINK("https://twitter.com/sergio_fajardo","@sergio_fajardo")</f>
        <v>@sergio_fajardo</v>
      </c>
      <c r="C2038" s="5" t="s">
        <v>16</v>
      </c>
      <c r="D2038" s="5" t="s">
        <v>2058</v>
      </c>
      <c r="E2038" s="6" t="str">
        <f>HYPERLINK("https://twitter.com/sergio_fajardo/status/1380931112915111936","1380931112915111936")</f>
        <v>1380931112915111936</v>
      </c>
      <c r="F2038" s="7" t="s">
        <v>17</v>
      </c>
      <c r="G2038" s="7">
        <v>1569699</v>
      </c>
      <c r="H2038" s="7">
        <v>411</v>
      </c>
      <c r="I2038" s="7">
        <v>11</v>
      </c>
      <c r="J2038" s="7">
        <v>0</v>
      </c>
      <c r="K2038" s="7" t="s">
        <v>18</v>
      </c>
      <c r="L2038" s="8">
        <v>39891.213356481479</v>
      </c>
      <c r="M2038" s="9" t="s">
        <v>19</v>
      </c>
      <c r="N2038" s="9" t="s">
        <v>22</v>
      </c>
      <c r="O2038" s="6" t="str">
        <f>HYPERLINK("https://pbs.twimg.com/profile_images/988971255679324162/jrqiIYf__normal.jpg","View")</f>
        <v>View</v>
      </c>
      <c r="P2038" s="7"/>
    </row>
    <row r="2039" spans="1:16">
      <c r="A2039" s="3">
        <v>44297.025659722218</v>
      </c>
      <c r="B2039" s="4" t="str">
        <f>HYPERLINK("https://twitter.com/sergio_fajardo","@sergio_fajardo")</f>
        <v>@sergio_fajardo</v>
      </c>
      <c r="C2039" s="5" t="s">
        <v>16</v>
      </c>
      <c r="D2039" s="5" t="s">
        <v>2059</v>
      </c>
      <c r="E2039" s="6" t="str">
        <f>HYPERLINK("https://twitter.com/sergio_fajardo/status/1380960512876380160","1380960512876380160")</f>
        <v>1380960512876380160</v>
      </c>
      <c r="F2039" s="7" t="s">
        <v>23</v>
      </c>
      <c r="G2039" s="7">
        <v>1569703</v>
      </c>
      <c r="H2039" s="7">
        <v>411</v>
      </c>
      <c r="I2039" s="7">
        <v>1</v>
      </c>
      <c r="J2039" s="7">
        <v>5</v>
      </c>
      <c r="K2039" s="7" t="s">
        <v>18</v>
      </c>
      <c r="L2039" s="8">
        <v>39891.213356481479</v>
      </c>
      <c r="M2039" s="9" t="s">
        <v>19</v>
      </c>
      <c r="N2039" s="9" t="s">
        <v>22</v>
      </c>
      <c r="O2039" s="6" t="str">
        <f>HYPERLINK("https://pbs.twimg.com/profile_images/988971255679324162/jrqiIYf__normal.jpg","View")</f>
        <v>View</v>
      </c>
      <c r="P2039" s="7"/>
    </row>
    <row r="2040" spans="1:16">
      <c r="A2040" s="3">
        <v>44297.026388888888</v>
      </c>
      <c r="B2040" s="4" t="str">
        <f>HYPERLINK("https://twitter.com/sergio_fajardo","@sergio_fajardo")</f>
        <v>@sergio_fajardo</v>
      </c>
      <c r="C2040" s="5" t="s">
        <v>16</v>
      </c>
      <c r="D2040" s="5" t="s">
        <v>2060</v>
      </c>
      <c r="E2040" s="6" t="str">
        <f>HYPERLINK("https://twitter.com/sergio_fajardo/status/1380960775125266433","1380960775125266433")</f>
        <v>1380960775125266433</v>
      </c>
      <c r="F2040" s="7" t="s">
        <v>23</v>
      </c>
      <c r="G2040" s="7">
        <v>1569703</v>
      </c>
      <c r="H2040" s="7">
        <v>411</v>
      </c>
      <c r="I2040" s="7">
        <v>3</v>
      </c>
      <c r="J2040" s="7">
        <v>7</v>
      </c>
      <c r="K2040" s="7" t="s">
        <v>18</v>
      </c>
      <c r="L2040" s="8">
        <v>39891.213356481479</v>
      </c>
      <c r="M2040" s="9" t="s">
        <v>19</v>
      </c>
      <c r="N2040" s="9" t="s">
        <v>22</v>
      </c>
      <c r="O2040" s="6" t="str">
        <f>HYPERLINK("https://pbs.twimg.com/profile_images/988971255679324162/jrqiIYf__normal.jpg","View")</f>
        <v>View</v>
      </c>
      <c r="P2040" s="7"/>
    </row>
    <row r="2041" spans="1:16">
      <c r="A2041" s="3">
        <v>44297.163449074069</v>
      </c>
      <c r="B2041" s="4" t="str">
        <f>HYPERLINK("https://twitter.com/sergio_fajardo","@sergio_fajardo")</f>
        <v>@sergio_fajardo</v>
      </c>
      <c r="C2041" s="5" t="s">
        <v>16</v>
      </c>
      <c r="D2041" s="5" t="s">
        <v>2061</v>
      </c>
      <c r="E2041" s="6" t="str">
        <f>HYPERLINK("https://twitter.com/sergio_fajardo/status/1381010443410489346","1381010443410489346")</f>
        <v>1381010443410489346</v>
      </c>
      <c r="F2041" s="7" t="s">
        <v>17</v>
      </c>
      <c r="G2041" s="7">
        <v>1569691</v>
      </c>
      <c r="H2041" s="7">
        <v>411</v>
      </c>
      <c r="I2041" s="7">
        <v>13</v>
      </c>
      <c r="J2041" s="7">
        <v>0</v>
      </c>
      <c r="K2041" s="7" t="s">
        <v>18</v>
      </c>
      <c r="L2041" s="8">
        <v>39891.213356481479</v>
      </c>
      <c r="M2041" s="9" t="s">
        <v>19</v>
      </c>
      <c r="N2041" s="9" t="s">
        <v>22</v>
      </c>
      <c r="O2041" s="6" t="str">
        <f>HYPERLINK("https://pbs.twimg.com/profile_images/988971255679324162/jrqiIYf__normal.jpg","View")</f>
        <v>View</v>
      </c>
      <c r="P2041" s="7"/>
    </row>
    <row r="2042" spans="1:16">
      <c r="A2042" s="3">
        <v>44297.746782407412</v>
      </c>
      <c r="B2042" s="4" t="str">
        <f>HYPERLINK("https://twitter.com/sergio_fajardo","@sergio_fajardo")</f>
        <v>@sergio_fajardo</v>
      </c>
      <c r="C2042" s="5" t="s">
        <v>16</v>
      </c>
      <c r="D2042" s="5" t="s">
        <v>2062</v>
      </c>
      <c r="E2042" s="6" t="str">
        <f>HYPERLINK("https://twitter.com/sergio_fajardo/status/1381221835598143493","1381221835598143493")</f>
        <v>1381221835598143493</v>
      </c>
      <c r="F2042" s="7" t="s">
        <v>17</v>
      </c>
      <c r="G2042" s="7">
        <v>1569703</v>
      </c>
      <c r="H2042" s="7">
        <v>411</v>
      </c>
      <c r="I2042" s="7">
        <v>4</v>
      </c>
      <c r="J2042" s="7">
        <v>0</v>
      </c>
      <c r="K2042" s="7" t="s">
        <v>18</v>
      </c>
      <c r="L2042" s="8">
        <v>39891.213356481479</v>
      </c>
      <c r="M2042" s="9" t="s">
        <v>19</v>
      </c>
      <c r="N2042" s="9" t="s">
        <v>22</v>
      </c>
      <c r="O2042" s="6" t="str">
        <f>HYPERLINK("https://pbs.twimg.com/profile_images/988971255679324162/jrqiIYf__normal.jpg","View")</f>
        <v>View</v>
      </c>
      <c r="P2042" s="7"/>
    </row>
    <row r="2043" spans="1:16">
      <c r="A2043" s="3">
        <v>44298.296898148154</v>
      </c>
      <c r="B2043" s="4" t="str">
        <f>HYPERLINK("https://twitter.com/sergio_fajardo","@sergio_fajardo")</f>
        <v>@sergio_fajardo</v>
      </c>
      <c r="C2043" s="5" t="s">
        <v>16</v>
      </c>
      <c r="D2043" s="5" t="s">
        <v>2063</v>
      </c>
      <c r="E2043" s="6" t="str">
        <f>HYPERLINK("https://twitter.com/sergio_fajardo/status/1381421192167448577","1381421192167448577")</f>
        <v>1381421192167448577</v>
      </c>
      <c r="F2043" s="7" t="s">
        <v>17</v>
      </c>
      <c r="G2043" s="7">
        <v>1569811</v>
      </c>
      <c r="H2043" s="7">
        <v>411</v>
      </c>
      <c r="I2043" s="7">
        <v>2</v>
      </c>
      <c r="J2043" s="7">
        <v>29</v>
      </c>
      <c r="K2043" s="7" t="s">
        <v>18</v>
      </c>
      <c r="L2043" s="8">
        <v>39891.213356481479</v>
      </c>
      <c r="M2043" s="9" t="s">
        <v>19</v>
      </c>
      <c r="N2043" s="9" t="s">
        <v>22</v>
      </c>
      <c r="O2043" s="6" t="str">
        <f>HYPERLINK("https://pbs.twimg.com/profile_images/988971255679324162/jrqiIYf__normal.jpg","View")</f>
        <v>View</v>
      </c>
      <c r="P2043" s="7"/>
    </row>
    <row r="2044" spans="1:16">
      <c r="A2044" s="3">
        <v>44298.315706018519</v>
      </c>
      <c r="B2044" s="4" t="str">
        <f>HYPERLINK("https://twitter.com/sergio_fajardo","@sergio_fajardo")</f>
        <v>@sergio_fajardo</v>
      </c>
      <c r="C2044" s="5" t="s">
        <v>16</v>
      </c>
      <c r="D2044" s="5" t="s">
        <v>2064</v>
      </c>
      <c r="E2044" s="6" t="str">
        <f>HYPERLINK("https://twitter.com/sergio_fajardo/status/1381428009786281984","1381428009786281984")</f>
        <v>1381428009786281984</v>
      </c>
      <c r="F2044" s="7" t="s">
        <v>17</v>
      </c>
      <c r="G2044" s="7">
        <v>1569812</v>
      </c>
      <c r="H2044" s="7">
        <v>411</v>
      </c>
      <c r="I2044" s="7">
        <v>3232</v>
      </c>
      <c r="J2044" s="7">
        <v>0</v>
      </c>
      <c r="K2044" s="7" t="s">
        <v>18</v>
      </c>
      <c r="L2044" s="8">
        <v>39891.213356481479</v>
      </c>
      <c r="M2044" s="9" t="s">
        <v>19</v>
      </c>
      <c r="N2044" s="9" t="s">
        <v>22</v>
      </c>
      <c r="O2044" s="6" t="str">
        <f>HYPERLINK("https://pbs.twimg.com/profile_images/988971255679324162/jrqiIYf__normal.jpg","View")</f>
        <v>View</v>
      </c>
      <c r="P2044" s="7"/>
    </row>
    <row r="2045" spans="1:16">
      <c r="A2045" s="3">
        <v>44299.274733796294</v>
      </c>
      <c r="B2045" s="4" t="str">
        <f>HYPERLINK("https://twitter.com/sergio_fajardo","@sergio_fajardo")</f>
        <v>@sergio_fajardo</v>
      </c>
      <c r="C2045" s="5" t="s">
        <v>16</v>
      </c>
      <c r="D2045" s="5" t="s">
        <v>2065</v>
      </c>
      <c r="E2045" s="6" t="str">
        <f>HYPERLINK("https://twitter.com/sergio_fajardo/status/1381775546506485761","1381775546506485761")</f>
        <v>1381775546506485761</v>
      </c>
      <c r="F2045" s="7" t="s">
        <v>20</v>
      </c>
      <c r="G2045" s="7">
        <v>1569923</v>
      </c>
      <c r="H2045" s="7">
        <v>411</v>
      </c>
      <c r="I2045" s="7">
        <v>37</v>
      </c>
      <c r="J2045" s="7">
        <v>179</v>
      </c>
      <c r="K2045" s="7" t="s">
        <v>18</v>
      </c>
      <c r="L2045" s="8">
        <v>39891.213356481479</v>
      </c>
      <c r="M2045" s="9" t="s">
        <v>19</v>
      </c>
      <c r="N2045" s="9" t="s">
        <v>22</v>
      </c>
      <c r="O2045" s="6" t="str">
        <f>HYPERLINK("https://pbs.twimg.com/profile_images/988971255679324162/jrqiIYf__normal.jpg","View")</f>
        <v>View</v>
      </c>
      <c r="P2045" s="7"/>
    </row>
    <row r="2046" spans="1:16">
      <c r="A2046" s="3">
        <v>44299.351180555561</v>
      </c>
      <c r="B2046" s="4" t="str">
        <f>HYPERLINK("https://twitter.com/sergio_fajardo","@sergio_fajardo")</f>
        <v>@sergio_fajardo</v>
      </c>
      <c r="C2046" s="5" t="s">
        <v>16</v>
      </c>
      <c r="D2046" s="5" t="s">
        <v>2066</v>
      </c>
      <c r="E2046" s="6" t="str">
        <f>HYPERLINK("https://twitter.com/sergio_fajardo/status/1381803252254187522","1381803252254187522")</f>
        <v>1381803252254187522</v>
      </c>
      <c r="F2046" s="7" t="s">
        <v>17</v>
      </c>
      <c r="G2046" s="7">
        <v>1569938</v>
      </c>
      <c r="H2046" s="7">
        <v>412</v>
      </c>
      <c r="I2046" s="7">
        <v>61</v>
      </c>
      <c r="J2046" s="7">
        <v>274</v>
      </c>
      <c r="K2046" s="7" t="s">
        <v>18</v>
      </c>
      <c r="L2046" s="8">
        <v>39891.213356481479</v>
      </c>
      <c r="M2046" s="9" t="s">
        <v>19</v>
      </c>
      <c r="N2046" s="9" t="s">
        <v>22</v>
      </c>
      <c r="O2046" s="6" t="str">
        <f>HYPERLINK("https://pbs.twimg.com/profile_images/988971255679324162/jrqiIYf__normal.jpg","View")</f>
        <v>View</v>
      </c>
      <c r="P2046" s="7"/>
    </row>
    <row r="2047" spans="1:16">
      <c r="A2047" s="3">
        <v>44299.699675925927</v>
      </c>
      <c r="B2047" s="4" t="str">
        <f>HYPERLINK("https://twitter.com/sergio_fajardo","@sergio_fajardo")</f>
        <v>@sergio_fajardo</v>
      </c>
      <c r="C2047" s="5" t="s">
        <v>16</v>
      </c>
      <c r="D2047" s="5" t="s">
        <v>2067</v>
      </c>
      <c r="E2047" s="6" t="str">
        <f>HYPERLINK("https://twitter.com/sergio_fajardo/status/1381929542743425024","1381929542743425024")</f>
        <v>1381929542743425024</v>
      </c>
      <c r="F2047" s="7" t="s">
        <v>23</v>
      </c>
      <c r="G2047" s="7">
        <v>1569968</v>
      </c>
      <c r="H2047" s="7">
        <v>412</v>
      </c>
      <c r="I2047" s="7">
        <v>25</v>
      </c>
      <c r="J2047" s="7">
        <v>56</v>
      </c>
      <c r="K2047" s="7" t="s">
        <v>18</v>
      </c>
      <c r="L2047" s="8">
        <v>39891.213356481479</v>
      </c>
      <c r="M2047" s="9" t="s">
        <v>19</v>
      </c>
      <c r="N2047" s="9" t="s">
        <v>22</v>
      </c>
      <c r="O2047" s="6" t="str">
        <f>HYPERLINK("https://pbs.twimg.com/profile_images/988971255679324162/jrqiIYf__normal.jpg","View")</f>
        <v>View</v>
      </c>
      <c r="P2047" s="7"/>
    </row>
    <row r="2048" spans="1:16">
      <c r="A2048" s="3">
        <v>44299.707060185188</v>
      </c>
      <c r="B2048" s="4" t="str">
        <f>HYPERLINK("https://twitter.com/sergio_fajardo","@sergio_fajardo")</f>
        <v>@sergio_fajardo</v>
      </c>
      <c r="C2048" s="5" t="s">
        <v>16</v>
      </c>
      <c r="D2048" s="5" t="s">
        <v>2068</v>
      </c>
      <c r="E2048" s="6" t="str">
        <f>HYPERLINK("https://twitter.com/sergio_fajardo/status/1381932217933438976","1381932217933438976")</f>
        <v>1381932217933438976</v>
      </c>
      <c r="F2048" s="7" t="s">
        <v>17</v>
      </c>
      <c r="G2048" s="7">
        <v>1569968</v>
      </c>
      <c r="H2048" s="7">
        <v>412</v>
      </c>
      <c r="I2048" s="7">
        <v>770</v>
      </c>
      <c r="J2048" s="7">
        <v>0</v>
      </c>
      <c r="K2048" s="7" t="s">
        <v>18</v>
      </c>
      <c r="L2048" s="8">
        <v>39891.213356481479</v>
      </c>
      <c r="M2048" s="9" t="s">
        <v>19</v>
      </c>
      <c r="N2048" s="9" t="s">
        <v>22</v>
      </c>
      <c r="O2048" s="6" t="str">
        <f>HYPERLINK("https://pbs.twimg.com/profile_images/988971255679324162/jrqiIYf__normal.jpg","View")</f>
        <v>View</v>
      </c>
      <c r="P2048" s="7"/>
    </row>
    <row r="2049" spans="1:16">
      <c r="A2049" s="3">
        <v>44300.224548611106</v>
      </c>
      <c r="B2049" s="4" t="str">
        <f>HYPERLINK("https://twitter.com/sergio_fajardo","@sergio_fajardo")</f>
        <v>@sergio_fajardo</v>
      </c>
      <c r="C2049" s="5" t="s">
        <v>16</v>
      </c>
      <c r="D2049" s="5" t="s">
        <v>2069</v>
      </c>
      <c r="E2049" s="6" t="str">
        <f>HYPERLINK("https://twitter.com/sergio_fajardo/status/1382119750747193345","1382119750747193345")</f>
        <v>1382119750747193345</v>
      </c>
      <c r="F2049" s="7" t="s">
        <v>17</v>
      </c>
      <c r="G2049" s="7">
        <v>1570115</v>
      </c>
      <c r="H2049" s="7">
        <v>412</v>
      </c>
      <c r="I2049" s="7">
        <v>18</v>
      </c>
      <c r="J2049" s="7">
        <v>0</v>
      </c>
      <c r="K2049" s="7" t="s">
        <v>18</v>
      </c>
      <c r="L2049" s="8">
        <v>39891.213356481479</v>
      </c>
      <c r="M2049" s="9" t="s">
        <v>19</v>
      </c>
      <c r="N2049" s="9" t="s">
        <v>22</v>
      </c>
      <c r="O2049" s="6" t="str">
        <f>HYPERLINK("https://pbs.twimg.com/profile_images/988971255679324162/jrqiIYf__normal.jpg","View")</f>
        <v>View</v>
      </c>
      <c r="P2049" s="7"/>
    </row>
    <row r="2050" spans="1:16">
      <c r="A2050" s="3">
        <v>44300.269143518519</v>
      </c>
      <c r="B2050" s="4" t="str">
        <f>HYPERLINK("https://twitter.com/sergio_fajardo","@sergio_fajardo")</f>
        <v>@sergio_fajardo</v>
      </c>
      <c r="C2050" s="5" t="s">
        <v>16</v>
      </c>
      <c r="D2050" s="5" t="s">
        <v>2070</v>
      </c>
      <c r="E2050" s="6" t="str">
        <f>HYPERLINK("https://twitter.com/sergio_fajardo/status/1382135909332701186","1382135909332701186")</f>
        <v>1382135909332701186</v>
      </c>
      <c r="F2050" s="7" t="s">
        <v>17</v>
      </c>
      <c r="G2050" s="7">
        <v>1570119</v>
      </c>
      <c r="H2050" s="7">
        <v>412</v>
      </c>
      <c r="I2050" s="7">
        <v>25</v>
      </c>
      <c r="J2050" s="7">
        <v>0</v>
      </c>
      <c r="K2050" s="7" t="s">
        <v>18</v>
      </c>
      <c r="L2050" s="8">
        <v>39891.213356481479</v>
      </c>
      <c r="M2050" s="9" t="s">
        <v>19</v>
      </c>
      <c r="N2050" s="9" t="s">
        <v>22</v>
      </c>
      <c r="O2050" s="6" t="str">
        <f>HYPERLINK("https://pbs.twimg.com/profile_images/988971255679324162/jrqiIYf__normal.jpg","View")</f>
        <v>View</v>
      </c>
      <c r="P2050" s="7"/>
    </row>
    <row r="2051" spans="1:16">
      <c r="A2051" s="3">
        <v>44301.239652777775</v>
      </c>
      <c r="B2051" s="4" t="str">
        <f>HYPERLINK("https://twitter.com/sergio_fajardo","@sergio_fajardo")</f>
        <v>@sergio_fajardo</v>
      </c>
      <c r="C2051" s="5" t="s">
        <v>16</v>
      </c>
      <c r="D2051" s="5" t="s">
        <v>2071</v>
      </c>
      <c r="E2051" s="6" t="str">
        <f>HYPERLINK("https://twitter.com/sergio_fajardo/status/1382487608966647814","1382487608966647814")</f>
        <v>1382487608966647814</v>
      </c>
      <c r="F2051" s="7" t="s">
        <v>17</v>
      </c>
      <c r="G2051" s="7">
        <v>1570190</v>
      </c>
      <c r="H2051" s="7">
        <v>412</v>
      </c>
      <c r="I2051" s="7">
        <v>6</v>
      </c>
      <c r="J2051" s="7">
        <v>10</v>
      </c>
      <c r="K2051" s="7" t="s">
        <v>18</v>
      </c>
      <c r="L2051" s="8">
        <v>39891.213356481479</v>
      </c>
      <c r="M2051" s="9" t="s">
        <v>19</v>
      </c>
      <c r="N2051" s="9" t="s">
        <v>22</v>
      </c>
      <c r="O2051" s="6" t="str">
        <f>HYPERLINK("https://pbs.twimg.com/profile_images/988971255679324162/jrqiIYf__normal.jpg","View")</f>
        <v>View</v>
      </c>
      <c r="P2051" s="7"/>
    </row>
    <row r="2052" spans="1:16">
      <c r="A2052" s="3">
        <v>44301.268784722226</v>
      </c>
      <c r="B2052" s="4" t="str">
        <f>HYPERLINK("https://twitter.com/sergio_fajardo","@sergio_fajardo")</f>
        <v>@sergio_fajardo</v>
      </c>
      <c r="C2052" s="5" t="s">
        <v>16</v>
      </c>
      <c r="D2052" s="5" t="s">
        <v>2072</v>
      </c>
      <c r="E2052" s="6" t="str">
        <f>HYPERLINK("https://twitter.com/sergio_fajardo/status/1382498170073145350","1382498170073145350")</f>
        <v>1382498170073145350</v>
      </c>
      <c r="F2052" s="7" t="s">
        <v>17</v>
      </c>
      <c r="G2052" s="7">
        <v>1570110</v>
      </c>
      <c r="H2052" s="7">
        <v>412</v>
      </c>
      <c r="I2052" s="7">
        <v>4</v>
      </c>
      <c r="J2052" s="7">
        <v>26</v>
      </c>
      <c r="K2052" s="7" t="s">
        <v>18</v>
      </c>
      <c r="L2052" s="8">
        <v>39891.213356481479</v>
      </c>
      <c r="M2052" s="9" t="s">
        <v>19</v>
      </c>
      <c r="N2052" s="9" t="s">
        <v>22</v>
      </c>
      <c r="O2052" s="6" t="str">
        <f>HYPERLINK("https://pbs.twimg.com/profile_images/988971255679324162/jrqiIYf__normal.jpg","View")</f>
        <v>View</v>
      </c>
      <c r="P2052" s="7"/>
    </row>
    <row r="2053" spans="1:16">
      <c r="A2053" s="3">
        <v>44301.85229166667</v>
      </c>
      <c r="B2053" s="4" t="str">
        <f>HYPERLINK("https://twitter.com/sergio_fajardo","@sergio_fajardo")</f>
        <v>@sergio_fajardo</v>
      </c>
      <c r="C2053" s="5" t="s">
        <v>16</v>
      </c>
      <c r="D2053" s="5" t="s">
        <v>2073</v>
      </c>
      <c r="E2053" s="6" t="str">
        <f>HYPERLINK("https://twitter.com/sergio_fajardo/status/1382709625372442627","1382709625372442627")</f>
        <v>1382709625372442627</v>
      </c>
      <c r="F2053" s="7" t="s">
        <v>20</v>
      </c>
      <c r="G2053" s="7">
        <v>1570235</v>
      </c>
      <c r="H2053" s="7">
        <v>413</v>
      </c>
      <c r="I2053" s="7">
        <v>17</v>
      </c>
      <c r="J2053" s="7">
        <v>0</v>
      </c>
      <c r="K2053" s="7" t="s">
        <v>18</v>
      </c>
      <c r="L2053" s="8">
        <v>39891.213356481479</v>
      </c>
      <c r="M2053" s="9" t="s">
        <v>19</v>
      </c>
      <c r="N2053" s="9" t="s">
        <v>22</v>
      </c>
      <c r="O2053" s="6" t="str">
        <f>HYPERLINK("https://pbs.twimg.com/profile_images/988971255679324162/jrqiIYf__normal.jpg","View")</f>
        <v>View</v>
      </c>
      <c r="P2053" s="7"/>
    </row>
    <row r="2054" spans="1:16">
      <c r="A2054" s="3">
        <v>44302.024247685185</v>
      </c>
      <c r="B2054" s="4" t="str">
        <f>HYPERLINK("https://twitter.com/sergio_fajardo","@sergio_fajardo")</f>
        <v>@sergio_fajardo</v>
      </c>
      <c r="C2054" s="5" t="s">
        <v>16</v>
      </c>
      <c r="D2054" s="5" t="s">
        <v>2074</v>
      </c>
      <c r="E2054" s="6" t="str">
        <f>HYPERLINK("https://twitter.com/sergio_fajardo/status/1382771939110961154","1382771939110961154")</f>
        <v>1382771939110961154</v>
      </c>
      <c r="F2054" s="7" t="s">
        <v>23</v>
      </c>
      <c r="G2054" s="7">
        <v>1570266</v>
      </c>
      <c r="H2054" s="7">
        <v>413</v>
      </c>
      <c r="I2054" s="7">
        <v>29</v>
      </c>
      <c r="J2054" s="7">
        <v>0</v>
      </c>
      <c r="K2054" s="7" t="s">
        <v>18</v>
      </c>
      <c r="L2054" s="8">
        <v>39891.213356481479</v>
      </c>
      <c r="M2054" s="9" t="s">
        <v>19</v>
      </c>
      <c r="N2054" s="9" t="s">
        <v>22</v>
      </c>
      <c r="O2054" s="6" t="str">
        <f>HYPERLINK("https://pbs.twimg.com/profile_images/988971255679324162/jrqiIYf__normal.jpg","View")</f>
        <v>View</v>
      </c>
      <c r="P2054" s="7"/>
    </row>
    <row r="2055" spans="1:16">
      <c r="A2055" s="3">
        <v>44303.725312499999</v>
      </c>
      <c r="B2055" s="4" t="str">
        <f>HYPERLINK("https://twitter.com/sergio_fajardo","@sergio_fajardo")</f>
        <v>@sergio_fajardo</v>
      </c>
      <c r="C2055" s="5" t="s">
        <v>16</v>
      </c>
      <c r="D2055" s="5" t="s">
        <v>2075</v>
      </c>
      <c r="E2055" s="6" t="str">
        <f>HYPERLINK("https://twitter.com/sergio_fajardo/status/1383388385667031045","1383388385667031045")</f>
        <v>1383388385667031045</v>
      </c>
      <c r="F2055" s="7" t="s">
        <v>17</v>
      </c>
      <c r="G2055" s="7">
        <v>1570352</v>
      </c>
      <c r="H2055" s="7">
        <v>413</v>
      </c>
      <c r="I2055" s="7">
        <v>4</v>
      </c>
      <c r="J2055" s="7">
        <v>19</v>
      </c>
      <c r="K2055" s="7" t="s">
        <v>18</v>
      </c>
      <c r="L2055" s="8">
        <v>39891.213356481479</v>
      </c>
      <c r="M2055" s="9" t="s">
        <v>19</v>
      </c>
      <c r="N2055" s="9" t="s">
        <v>22</v>
      </c>
      <c r="O2055" s="6" t="str">
        <f>HYPERLINK("https://pbs.twimg.com/profile_images/988971255679324162/jrqiIYf__normal.jpg","View")</f>
        <v>View</v>
      </c>
      <c r="P2055" s="7"/>
    </row>
    <row r="2056" spans="1:16">
      <c r="A2056" s="3">
        <v>44304.098912037036</v>
      </c>
      <c r="B2056" s="4" t="str">
        <f>HYPERLINK("https://twitter.com/sergio_fajardo","@sergio_fajardo")</f>
        <v>@sergio_fajardo</v>
      </c>
      <c r="C2056" s="5" t="s">
        <v>16</v>
      </c>
      <c r="D2056" s="5" t="s">
        <v>2076</v>
      </c>
      <c r="E2056" s="6" t="str">
        <f>HYPERLINK("https://twitter.com/sergio_fajardo/status/1383523772037173249","1383523772037173249")</f>
        <v>1383523772037173249</v>
      </c>
      <c r="F2056" s="7" t="s">
        <v>20</v>
      </c>
      <c r="G2056" s="7">
        <v>1570396</v>
      </c>
      <c r="H2056" s="7">
        <v>413</v>
      </c>
      <c r="I2056" s="7">
        <v>10</v>
      </c>
      <c r="J2056" s="7">
        <v>0</v>
      </c>
      <c r="K2056" s="7" t="s">
        <v>18</v>
      </c>
      <c r="L2056" s="8">
        <v>39891.213356481479</v>
      </c>
      <c r="M2056" s="9" t="s">
        <v>19</v>
      </c>
      <c r="N2056" s="9" t="s">
        <v>22</v>
      </c>
      <c r="O2056" s="6" t="str">
        <f>HYPERLINK("https://pbs.twimg.com/profile_images/988971255679324162/jrqiIYf__normal.jpg","View")</f>
        <v>View</v>
      </c>
      <c r="P2056" s="7"/>
    </row>
    <row r="2057" spans="1:16">
      <c r="A2057" s="3">
        <v>44304.680775462963</v>
      </c>
      <c r="B2057" s="4" t="str">
        <f>HYPERLINK("https://twitter.com/sergio_fajardo","@sergio_fajardo")</f>
        <v>@sergio_fajardo</v>
      </c>
      <c r="C2057" s="5" t="s">
        <v>16</v>
      </c>
      <c r="D2057" s="5" t="s">
        <v>2077</v>
      </c>
      <c r="E2057" s="6" t="str">
        <f>HYPERLINK("https://twitter.com/sergio_fajardo/status/1383734632550522880","1383734632550522880")</f>
        <v>1383734632550522880</v>
      </c>
      <c r="F2057" s="7" t="s">
        <v>17</v>
      </c>
      <c r="G2057" s="7">
        <v>1570417</v>
      </c>
      <c r="H2057" s="7">
        <v>413</v>
      </c>
      <c r="I2057" s="7">
        <v>58</v>
      </c>
      <c r="J2057" s="7">
        <v>0</v>
      </c>
      <c r="K2057" s="7" t="s">
        <v>18</v>
      </c>
      <c r="L2057" s="8">
        <v>39891.213356481479</v>
      </c>
      <c r="M2057" s="9" t="s">
        <v>19</v>
      </c>
      <c r="N2057" s="9" t="s">
        <v>22</v>
      </c>
      <c r="O2057" s="6" t="str">
        <f>HYPERLINK("https://pbs.twimg.com/profile_images/988971255679324162/jrqiIYf__normal.jpg","View")</f>
        <v>View</v>
      </c>
      <c r="P2057" s="7"/>
    </row>
    <row r="2058" spans="1:16">
      <c r="A2058" s="3">
        <v>44305.139421296291</v>
      </c>
      <c r="B2058" s="4" t="str">
        <f>HYPERLINK("https://twitter.com/sergio_fajardo","@sergio_fajardo")</f>
        <v>@sergio_fajardo</v>
      </c>
      <c r="C2058" s="5" t="s">
        <v>16</v>
      </c>
      <c r="D2058" s="5" t="s">
        <v>2078</v>
      </c>
      <c r="E2058" s="6" t="str">
        <f>HYPERLINK("https://twitter.com/sergio_fajardo/status/1383900840503615498","1383900840503615498")</f>
        <v>1383900840503615498</v>
      </c>
      <c r="F2058" s="7" t="s">
        <v>17</v>
      </c>
      <c r="G2058" s="7">
        <v>1570468</v>
      </c>
      <c r="H2058" s="7">
        <v>413</v>
      </c>
      <c r="I2058" s="7">
        <v>9</v>
      </c>
      <c r="J2058" s="7">
        <v>57</v>
      </c>
      <c r="K2058" s="7" t="s">
        <v>18</v>
      </c>
      <c r="L2058" s="8">
        <v>39891.213356481479</v>
      </c>
      <c r="M2058" s="9" t="s">
        <v>19</v>
      </c>
      <c r="N2058" s="9" t="s">
        <v>22</v>
      </c>
      <c r="O2058" s="6" t="str">
        <f>HYPERLINK("https://pbs.twimg.com/profile_images/988971255679324162/jrqiIYf__normal.jpg","View")</f>
        <v>View</v>
      </c>
      <c r="P2058" s="7"/>
    </row>
    <row r="2059" spans="1:16">
      <c r="A2059" s="3">
        <v>44305.226747685185</v>
      </c>
      <c r="B2059" s="4" t="str">
        <f>HYPERLINK("https://twitter.com/sergio_fajardo","@sergio_fajardo")</f>
        <v>@sergio_fajardo</v>
      </c>
      <c r="C2059" s="5" t="s">
        <v>16</v>
      </c>
      <c r="D2059" s="5" t="s">
        <v>2079</v>
      </c>
      <c r="E2059" s="6" t="str">
        <f>HYPERLINK("https://twitter.com/sergio_fajardo/status/1383932485101187074","1383932485101187074")</f>
        <v>1383932485101187074</v>
      </c>
      <c r="F2059" s="7" t="s">
        <v>20</v>
      </c>
      <c r="G2059" s="7">
        <v>1570484</v>
      </c>
      <c r="H2059" s="7">
        <v>413</v>
      </c>
      <c r="I2059" s="7">
        <v>42</v>
      </c>
      <c r="J2059" s="7">
        <v>111</v>
      </c>
      <c r="K2059" s="7" t="s">
        <v>18</v>
      </c>
      <c r="L2059" s="8">
        <v>39891.213356481479</v>
      </c>
      <c r="M2059" s="9" t="s">
        <v>19</v>
      </c>
      <c r="N2059" s="9" t="s">
        <v>22</v>
      </c>
      <c r="O2059" s="6" t="str">
        <f>HYPERLINK("https://pbs.twimg.com/profile_images/988971255679324162/jrqiIYf__normal.jpg","View")</f>
        <v>View</v>
      </c>
      <c r="P2059" s="7"/>
    </row>
    <row r="2060" spans="1:16">
      <c r="A2060" s="3">
        <v>44305.254849537036</v>
      </c>
      <c r="B2060" s="4" t="str">
        <f>HYPERLINK("https://twitter.com/sergio_fajardo","@sergio_fajardo")</f>
        <v>@sergio_fajardo</v>
      </c>
      <c r="C2060" s="5" t="s">
        <v>16</v>
      </c>
      <c r="D2060" s="5" t="s">
        <v>2080</v>
      </c>
      <c r="E2060" s="6" t="str">
        <f>HYPERLINK("https://twitter.com/sergio_fajardo/status/1383942671379562501","1383942671379562501")</f>
        <v>1383942671379562501</v>
      </c>
      <c r="F2060" s="7" t="s">
        <v>17</v>
      </c>
      <c r="G2060" s="7">
        <v>1570482</v>
      </c>
      <c r="H2060" s="7">
        <v>413</v>
      </c>
      <c r="I2060" s="7">
        <v>50</v>
      </c>
      <c r="J2060" s="7">
        <v>0</v>
      </c>
      <c r="K2060" s="7" t="s">
        <v>18</v>
      </c>
      <c r="L2060" s="8">
        <v>39891.213356481479</v>
      </c>
      <c r="M2060" s="9" t="s">
        <v>19</v>
      </c>
      <c r="N2060" s="9" t="s">
        <v>22</v>
      </c>
      <c r="O2060" s="6" t="str">
        <f>HYPERLINK("https://pbs.twimg.com/profile_images/988971255679324162/jrqiIYf__normal.jpg","View")</f>
        <v>View</v>
      </c>
      <c r="P2060" s="7"/>
    </row>
    <row r="2061" spans="1:16">
      <c r="A2061" s="3">
        <v>44305.295833333337</v>
      </c>
      <c r="B2061" s="4" t="str">
        <f>HYPERLINK("https://twitter.com/sergio_fajardo","@sergio_fajardo")</f>
        <v>@sergio_fajardo</v>
      </c>
      <c r="C2061" s="5" t="s">
        <v>16</v>
      </c>
      <c r="D2061" s="4" t="s">
        <v>2081</v>
      </c>
      <c r="E2061" s="6" t="str">
        <f>HYPERLINK("https://twitter.com/sergio_fajardo/status/1383957522390814722","1383957522390814722")</f>
        <v>1383957522390814722</v>
      </c>
      <c r="F2061" s="7" t="s">
        <v>23</v>
      </c>
      <c r="G2061" s="7">
        <v>1570488</v>
      </c>
      <c r="H2061" s="7">
        <v>413</v>
      </c>
      <c r="I2061" s="7">
        <v>6</v>
      </c>
      <c r="J2061" s="7">
        <v>16</v>
      </c>
      <c r="K2061" s="7" t="s">
        <v>18</v>
      </c>
      <c r="L2061" s="8">
        <v>39891.213356481479</v>
      </c>
      <c r="M2061" s="9" t="s">
        <v>19</v>
      </c>
      <c r="N2061" s="9" t="s">
        <v>22</v>
      </c>
      <c r="O2061" s="6" t="str">
        <f>HYPERLINK("https://pbs.twimg.com/profile_images/988971255679324162/jrqiIYf__normal.jpg","View")</f>
        <v>View</v>
      </c>
      <c r="P2061" s="7"/>
    </row>
    <row r="2062" spans="1:16">
      <c r="A2062" s="3">
        <v>44305.325520833328</v>
      </c>
      <c r="B2062" s="4" t="str">
        <f>HYPERLINK("https://twitter.com/sergio_fajardo","@sergio_fajardo")</f>
        <v>@sergio_fajardo</v>
      </c>
      <c r="C2062" s="5" t="s">
        <v>16</v>
      </c>
      <c r="D2062" s="5" t="s">
        <v>2082</v>
      </c>
      <c r="E2062" s="6" t="str">
        <f>HYPERLINK("https://twitter.com/sergio_fajardo/status/1383968281199996928","1383968281199996928")</f>
        <v>1383968281199996928</v>
      </c>
      <c r="F2062" s="7" t="s">
        <v>23</v>
      </c>
      <c r="G2062" s="7">
        <v>1570506</v>
      </c>
      <c r="H2062" s="7">
        <v>413</v>
      </c>
      <c r="I2062" s="7">
        <v>1</v>
      </c>
      <c r="J2062" s="7">
        <v>5</v>
      </c>
      <c r="K2062" s="7" t="s">
        <v>18</v>
      </c>
      <c r="L2062" s="8">
        <v>39891.213356481479</v>
      </c>
      <c r="M2062" s="9" t="s">
        <v>19</v>
      </c>
      <c r="N2062" s="9" t="s">
        <v>22</v>
      </c>
      <c r="O2062" s="6" t="str">
        <f>HYPERLINK("https://pbs.twimg.com/profile_images/988971255679324162/jrqiIYf__normal.jpg","View")</f>
        <v>View</v>
      </c>
      <c r="P2062" s="7"/>
    </row>
    <row r="2063" spans="1:16">
      <c r="A2063" s="3">
        <v>44305.747094907405</v>
      </c>
      <c r="B2063" s="4" t="str">
        <f>HYPERLINK("https://twitter.com/sergio_fajardo","@sergio_fajardo")</f>
        <v>@sergio_fajardo</v>
      </c>
      <c r="C2063" s="5" t="s">
        <v>16</v>
      </c>
      <c r="D2063" s="5" t="s">
        <v>2083</v>
      </c>
      <c r="E2063" s="6" t="str">
        <f>HYPERLINK("https://twitter.com/sergio_fajardo/status/1384121051492147206","1384121051492147206")</f>
        <v>1384121051492147206</v>
      </c>
      <c r="F2063" s="7" t="s">
        <v>20</v>
      </c>
      <c r="G2063" s="7">
        <v>1570520</v>
      </c>
      <c r="H2063" s="7">
        <v>413</v>
      </c>
      <c r="I2063" s="7">
        <v>49</v>
      </c>
      <c r="J2063" s="7">
        <v>178</v>
      </c>
      <c r="K2063" s="7" t="s">
        <v>18</v>
      </c>
      <c r="L2063" s="8">
        <v>39891.213356481479</v>
      </c>
      <c r="M2063" s="9" t="s">
        <v>19</v>
      </c>
      <c r="N2063" s="9" t="s">
        <v>22</v>
      </c>
      <c r="O2063" s="6" t="str">
        <f>HYPERLINK("https://pbs.twimg.com/profile_images/988971255679324162/jrqiIYf__normal.jpg","View")</f>
        <v>View</v>
      </c>
      <c r="P2063" s="7"/>
    </row>
    <row r="2064" spans="1:16">
      <c r="A2064" s="3">
        <v>44306.150243055556</v>
      </c>
      <c r="B2064" s="4" t="str">
        <f>HYPERLINK("https://twitter.com/sergio_fajardo","@sergio_fajardo")</f>
        <v>@sergio_fajardo</v>
      </c>
      <c r="C2064" s="5" t="s">
        <v>16</v>
      </c>
      <c r="D2064" s="5" t="s">
        <v>2084</v>
      </c>
      <c r="E2064" s="6" t="str">
        <f>HYPERLINK("https://twitter.com/sergio_fajardo/status/1384267150089547778","1384267150089547778")</f>
        <v>1384267150089547778</v>
      </c>
      <c r="F2064" s="7" t="s">
        <v>20</v>
      </c>
      <c r="G2064" s="7">
        <v>1570605</v>
      </c>
      <c r="H2064" s="7">
        <v>412</v>
      </c>
      <c r="I2064" s="7">
        <v>1</v>
      </c>
      <c r="J2064" s="7">
        <v>0</v>
      </c>
      <c r="K2064" s="7" t="s">
        <v>18</v>
      </c>
      <c r="L2064" s="8">
        <v>39891.213356481479</v>
      </c>
      <c r="M2064" s="9" t="s">
        <v>19</v>
      </c>
      <c r="N2064" s="9" t="s">
        <v>22</v>
      </c>
      <c r="O2064" s="6" t="str">
        <f>HYPERLINK("https://pbs.twimg.com/profile_images/988971255679324162/jrqiIYf__normal.jpg","View")</f>
        <v>View</v>
      </c>
      <c r="P2064" s="7"/>
    </row>
    <row r="2065" spans="1:16">
      <c r="A2065" s="3">
        <v>44306.151041666672</v>
      </c>
      <c r="B2065" s="4" t="str">
        <f>HYPERLINK("https://twitter.com/sergio_fajardo","@sergio_fajardo")</f>
        <v>@sergio_fajardo</v>
      </c>
      <c r="C2065" s="5" t="s">
        <v>16</v>
      </c>
      <c r="D2065" s="5" t="s">
        <v>2085</v>
      </c>
      <c r="E2065" s="6" t="str">
        <f>HYPERLINK("https://twitter.com/sergio_fajardo/status/1384267440071217155","1384267440071217155")</f>
        <v>1384267440071217155</v>
      </c>
      <c r="F2065" s="7" t="s">
        <v>20</v>
      </c>
      <c r="G2065" s="7">
        <v>1570605</v>
      </c>
      <c r="H2065" s="7">
        <v>412</v>
      </c>
      <c r="I2065" s="7">
        <v>8</v>
      </c>
      <c r="J2065" s="7">
        <v>0</v>
      </c>
      <c r="K2065" s="7" t="s">
        <v>18</v>
      </c>
      <c r="L2065" s="8">
        <v>39891.213356481479</v>
      </c>
      <c r="M2065" s="9" t="s">
        <v>19</v>
      </c>
      <c r="N2065" s="9" t="s">
        <v>22</v>
      </c>
      <c r="O2065" s="6" t="str">
        <f>HYPERLINK("https://pbs.twimg.com/profile_images/988971255679324162/jrqiIYf__normal.jpg","View")</f>
        <v>View</v>
      </c>
      <c r="P2065" s="7"/>
    </row>
    <row r="2066" spans="1:16">
      <c r="A2066" s="3">
        <v>44306.195173611108</v>
      </c>
      <c r="B2066" s="4" t="str">
        <f>HYPERLINK("https://twitter.com/sergio_fajardo","@sergio_fajardo")</f>
        <v>@sergio_fajardo</v>
      </c>
      <c r="C2066" s="5" t="s">
        <v>16</v>
      </c>
      <c r="D2066" s="5" t="s">
        <v>2086</v>
      </c>
      <c r="E2066" s="6" t="str">
        <f>HYPERLINK("https://twitter.com/sergio_fajardo/status/1384283433011015680","1384283433011015680")</f>
        <v>1384283433011015680</v>
      </c>
      <c r="F2066" s="7" t="s">
        <v>20</v>
      </c>
      <c r="G2066" s="7">
        <v>1570623</v>
      </c>
      <c r="H2066" s="7">
        <v>412</v>
      </c>
      <c r="I2066" s="7">
        <v>6</v>
      </c>
      <c r="J2066" s="7">
        <v>14</v>
      </c>
      <c r="K2066" s="7" t="s">
        <v>18</v>
      </c>
      <c r="L2066" s="8">
        <v>39891.213356481479</v>
      </c>
      <c r="M2066" s="9" t="s">
        <v>19</v>
      </c>
      <c r="N2066" s="9" t="s">
        <v>22</v>
      </c>
      <c r="O2066" s="6" t="str">
        <f>HYPERLINK("https://pbs.twimg.com/profile_images/988971255679324162/jrqiIYf__normal.jpg","View")</f>
        <v>View</v>
      </c>
      <c r="P2066" s="7"/>
    </row>
    <row r="2067" spans="1:16">
      <c r="A2067" s="3">
        <v>44306.229548611111</v>
      </c>
      <c r="B2067" s="4" t="str">
        <f>HYPERLINK("https://twitter.com/sergio_fajardo","@sergio_fajardo")</f>
        <v>@sergio_fajardo</v>
      </c>
      <c r="C2067" s="5" t="s">
        <v>16</v>
      </c>
      <c r="D2067" s="5" t="s">
        <v>2087</v>
      </c>
      <c r="E2067" s="6" t="str">
        <f>HYPERLINK("https://twitter.com/sergio_fajardo/status/1384295887833165832","1384295887833165832")</f>
        <v>1384295887833165832</v>
      </c>
      <c r="F2067" s="7" t="s">
        <v>21</v>
      </c>
      <c r="G2067" s="7">
        <v>1570637</v>
      </c>
      <c r="H2067" s="7">
        <v>412</v>
      </c>
      <c r="I2067" s="7">
        <v>16</v>
      </c>
      <c r="J2067" s="7">
        <v>32</v>
      </c>
      <c r="K2067" s="7" t="s">
        <v>18</v>
      </c>
      <c r="L2067" s="8">
        <v>39891.213356481479</v>
      </c>
      <c r="M2067" s="9" t="s">
        <v>19</v>
      </c>
      <c r="N2067" s="9" t="s">
        <v>22</v>
      </c>
      <c r="O2067" s="6" t="str">
        <f>HYPERLINK("https://pbs.twimg.com/profile_images/988971255679324162/jrqiIYf__normal.jpg","View")</f>
        <v>View</v>
      </c>
      <c r="P2067" s="7"/>
    </row>
    <row r="2068" spans="1:16">
      <c r="A2068" s="3">
        <v>44307.236342592594</v>
      </c>
      <c r="B2068" s="4" t="str">
        <f>HYPERLINK("https://twitter.com/sergio_fajardo","@sergio_fajardo")</f>
        <v>@sergio_fajardo</v>
      </c>
      <c r="C2068" s="5" t="s">
        <v>16</v>
      </c>
      <c r="D2068" s="5" t="s">
        <v>2088</v>
      </c>
      <c r="E2068" s="6" t="str">
        <f>HYPERLINK("https://twitter.com/sergio_fajardo/status/1384660738485149700","1384660738485149700")</f>
        <v>1384660738485149700</v>
      </c>
      <c r="F2068" s="7" t="s">
        <v>20</v>
      </c>
      <c r="G2068" s="7">
        <v>1570832</v>
      </c>
      <c r="H2068" s="7">
        <v>412</v>
      </c>
      <c r="I2068" s="7">
        <v>5</v>
      </c>
      <c r="J2068" s="7">
        <v>0</v>
      </c>
      <c r="K2068" s="7" t="s">
        <v>18</v>
      </c>
      <c r="L2068" s="8">
        <v>39891.213356481479</v>
      </c>
      <c r="M2068" s="9" t="s">
        <v>19</v>
      </c>
      <c r="N2068" s="9" t="s">
        <v>22</v>
      </c>
      <c r="O2068" s="6" t="str">
        <f>HYPERLINK("https://pbs.twimg.com/profile_images/988971255679324162/jrqiIYf__normal.jpg","View")</f>
        <v>View</v>
      </c>
      <c r="P2068" s="7"/>
    </row>
    <row r="2069" spans="1:16">
      <c r="A2069" s="3">
        <v>44307.960625</v>
      </c>
      <c r="B2069" s="4" t="str">
        <f>HYPERLINK("https://twitter.com/sergio_fajardo","@sergio_fajardo")</f>
        <v>@sergio_fajardo</v>
      </c>
      <c r="C2069" s="5" t="s">
        <v>16</v>
      </c>
      <c r="D2069" s="5" t="s">
        <v>2089</v>
      </c>
      <c r="E2069" s="6" t="str">
        <f>HYPERLINK("https://twitter.com/sergio_fajardo/status/1384923210899197957","1384923210899197957")</f>
        <v>1384923210899197957</v>
      </c>
      <c r="F2069" s="7" t="s">
        <v>17</v>
      </c>
      <c r="G2069" s="7">
        <v>1570913</v>
      </c>
      <c r="H2069" s="7">
        <v>412</v>
      </c>
      <c r="I2069" s="7">
        <v>35</v>
      </c>
      <c r="J2069" s="7">
        <v>158</v>
      </c>
      <c r="K2069" s="7" t="s">
        <v>18</v>
      </c>
      <c r="L2069" s="8">
        <v>39891.213356481479</v>
      </c>
      <c r="M2069" s="9" t="s">
        <v>19</v>
      </c>
      <c r="N2069" s="9" t="s">
        <v>22</v>
      </c>
      <c r="O2069" s="6" t="str">
        <f>HYPERLINK("https://pbs.twimg.com/profile_images/988971255679324162/jrqiIYf__normal.jpg","View")</f>
        <v>View</v>
      </c>
      <c r="P2069" s="7"/>
    </row>
    <row r="2070" spans="1:16">
      <c r="A2070" s="3">
        <v>44308.036944444444</v>
      </c>
      <c r="B2070" s="4" t="str">
        <f>HYPERLINK("https://twitter.com/sergio_fajardo","@sergio_fajardo")</f>
        <v>@sergio_fajardo</v>
      </c>
      <c r="C2070" s="5" t="s">
        <v>16</v>
      </c>
      <c r="D2070" s="5" t="s">
        <v>2090</v>
      </c>
      <c r="E2070" s="6" t="str">
        <f>HYPERLINK("https://twitter.com/sergio_fajardo/status/1384950865790914561","1384950865790914561")</f>
        <v>1384950865790914561</v>
      </c>
      <c r="F2070" s="7" t="s">
        <v>17</v>
      </c>
      <c r="G2070" s="7">
        <v>1570930</v>
      </c>
      <c r="H2070" s="7">
        <v>412</v>
      </c>
      <c r="I2070" s="7">
        <v>258</v>
      </c>
      <c r="J2070" s="7">
        <v>0</v>
      </c>
      <c r="K2070" s="7" t="s">
        <v>18</v>
      </c>
      <c r="L2070" s="8">
        <v>39891.213356481479</v>
      </c>
      <c r="M2070" s="9" t="s">
        <v>19</v>
      </c>
      <c r="N2070" s="9" t="s">
        <v>22</v>
      </c>
      <c r="O2070" s="6" t="str">
        <f>HYPERLINK("https://pbs.twimg.com/profile_images/988971255679324162/jrqiIYf__normal.jpg","View")</f>
        <v>View</v>
      </c>
      <c r="P2070" s="7"/>
    </row>
    <row r="2071" spans="1:16">
      <c r="A2071" s="3">
        <v>44308.75399305555</v>
      </c>
      <c r="B2071" s="4" t="str">
        <f>HYPERLINK("https://twitter.com/sergio_fajardo","@sergio_fajardo")</f>
        <v>@sergio_fajardo</v>
      </c>
      <c r="C2071" s="5" t="s">
        <v>16</v>
      </c>
      <c r="D2071" s="5" t="s">
        <v>2091</v>
      </c>
      <c r="E2071" s="6" t="str">
        <f>HYPERLINK("https://twitter.com/sergio_fajardo/status/1385210716039352320","1385210716039352320")</f>
        <v>1385210716039352320</v>
      </c>
      <c r="F2071" s="7" t="s">
        <v>23</v>
      </c>
      <c r="G2071" s="7">
        <v>1570957</v>
      </c>
      <c r="H2071" s="7">
        <v>412</v>
      </c>
      <c r="I2071" s="7">
        <v>8</v>
      </c>
      <c r="J2071" s="7">
        <v>51</v>
      </c>
      <c r="K2071" s="7" t="s">
        <v>18</v>
      </c>
      <c r="L2071" s="8">
        <v>39891.213356481479</v>
      </c>
      <c r="M2071" s="9" t="s">
        <v>19</v>
      </c>
      <c r="N2071" s="9" t="s">
        <v>22</v>
      </c>
      <c r="O2071" s="6" t="str">
        <f>HYPERLINK("https://pbs.twimg.com/profile_images/988971255679324162/jrqiIYf__normal.jpg","View")</f>
        <v>View</v>
      </c>
      <c r="P2071" s="7"/>
    </row>
    <row r="2072" spans="1:16">
      <c r="A2072" s="3">
        <v>44308.790300925924</v>
      </c>
      <c r="B2072" s="4" t="str">
        <f>HYPERLINK("https://twitter.com/sergio_fajardo","@sergio_fajardo")</f>
        <v>@sergio_fajardo</v>
      </c>
      <c r="C2072" s="5" t="s">
        <v>16</v>
      </c>
      <c r="D2072" s="5" t="s">
        <v>2092</v>
      </c>
      <c r="E2072" s="6" t="str">
        <f>HYPERLINK("https://twitter.com/sergio_fajardo/status/1385223873721950210","1385223873721950210")</f>
        <v>1385223873721950210</v>
      </c>
      <c r="F2072" s="7" t="s">
        <v>17</v>
      </c>
      <c r="G2072" s="7">
        <v>1570960</v>
      </c>
      <c r="H2072" s="7">
        <v>412</v>
      </c>
      <c r="I2072" s="7">
        <v>3</v>
      </c>
      <c r="J2072" s="7">
        <v>10</v>
      </c>
      <c r="K2072" s="7" t="s">
        <v>18</v>
      </c>
      <c r="L2072" s="8">
        <v>39891.213356481479</v>
      </c>
      <c r="M2072" s="9" t="s">
        <v>19</v>
      </c>
      <c r="N2072" s="9" t="s">
        <v>22</v>
      </c>
      <c r="O2072" s="6" t="str">
        <f>HYPERLINK("https://pbs.twimg.com/profile_images/988971255679324162/jrqiIYf__normal.jpg","View")</f>
        <v>View</v>
      </c>
      <c r="P2072" s="7"/>
    </row>
    <row r="2073" spans="1:16">
      <c r="A2073" s="3">
        <v>44309.287256944444</v>
      </c>
      <c r="B2073" s="4" t="str">
        <f>HYPERLINK("https://twitter.com/sergio_fajardo","@sergio_fajardo")</f>
        <v>@sergio_fajardo</v>
      </c>
      <c r="C2073" s="5" t="s">
        <v>16</v>
      </c>
      <c r="D2073" s="5" t="s">
        <v>2093</v>
      </c>
      <c r="E2073" s="6" t="str">
        <f>HYPERLINK("https://twitter.com/sergio_fajardo/status/1385403963290365955","1385403963290365955")</f>
        <v>1385403963290365955</v>
      </c>
      <c r="F2073" s="7" t="s">
        <v>23</v>
      </c>
      <c r="G2073" s="7">
        <v>1571024</v>
      </c>
      <c r="H2073" s="7">
        <v>412</v>
      </c>
      <c r="I2073" s="7">
        <v>12</v>
      </c>
      <c r="J2073" s="7">
        <v>69</v>
      </c>
      <c r="K2073" s="7" t="s">
        <v>18</v>
      </c>
      <c r="L2073" s="8">
        <v>39891.213356481479</v>
      </c>
      <c r="M2073" s="9" t="s">
        <v>19</v>
      </c>
      <c r="N2073" s="9" t="s">
        <v>22</v>
      </c>
      <c r="O2073" s="6" t="str">
        <f>HYPERLINK("https://pbs.twimg.com/profile_images/988971255679324162/jrqiIYf__normal.jpg","View")</f>
        <v>View</v>
      </c>
      <c r="P2073" s="7"/>
    </row>
    <row r="2074" spans="1:16">
      <c r="A2074" s="3">
        <v>44309.679201388892</v>
      </c>
      <c r="B2074" s="4" t="str">
        <f>HYPERLINK("https://twitter.com/sergio_fajardo","@sergio_fajardo")</f>
        <v>@sergio_fajardo</v>
      </c>
      <c r="C2074" s="5" t="s">
        <v>16</v>
      </c>
      <c r="D2074" s="5" t="s">
        <v>2094</v>
      </c>
      <c r="E2074" s="6" t="str">
        <f>HYPERLINK("https://twitter.com/sergio_fajardo/status/1385546002464223233","1385546002464223233")</f>
        <v>1385546002464223233</v>
      </c>
      <c r="F2074" s="7" t="s">
        <v>20</v>
      </c>
      <c r="G2074" s="7">
        <v>1571033</v>
      </c>
      <c r="H2074" s="7">
        <v>412</v>
      </c>
      <c r="I2074" s="7">
        <v>143</v>
      </c>
      <c r="J2074" s="7">
        <v>0</v>
      </c>
      <c r="K2074" s="7" t="s">
        <v>18</v>
      </c>
      <c r="L2074" s="8">
        <v>39891.213356481479</v>
      </c>
      <c r="M2074" s="9" t="s">
        <v>19</v>
      </c>
      <c r="N2074" s="9" t="s">
        <v>22</v>
      </c>
      <c r="O2074" s="6" t="str">
        <f>HYPERLINK("https://pbs.twimg.com/profile_images/988971255679324162/jrqiIYf__normal.jpg","View")</f>
        <v>View</v>
      </c>
      <c r="P2074" s="7"/>
    </row>
    <row r="2075" spans="1:16">
      <c r="A2075" s="3">
        <v>44309.845601851848</v>
      </c>
      <c r="B2075" s="4" t="str">
        <f>HYPERLINK("https://twitter.com/sergio_fajardo","@sergio_fajardo")</f>
        <v>@sergio_fajardo</v>
      </c>
      <c r="C2075" s="5" t="s">
        <v>16</v>
      </c>
      <c r="D2075" s="5" t="s">
        <v>2095</v>
      </c>
      <c r="E2075" s="6" t="str">
        <f>HYPERLINK("https://twitter.com/sergio_fajardo/status/1385606302219608067","1385606302219608067")</f>
        <v>1385606302219608067</v>
      </c>
      <c r="F2075" s="7" t="s">
        <v>17</v>
      </c>
      <c r="G2075" s="7">
        <v>1571075</v>
      </c>
      <c r="H2075" s="7">
        <v>412</v>
      </c>
      <c r="I2075" s="7">
        <v>62</v>
      </c>
      <c r="J2075" s="7">
        <v>0</v>
      </c>
      <c r="K2075" s="7" t="s">
        <v>18</v>
      </c>
      <c r="L2075" s="8">
        <v>39891.213356481479</v>
      </c>
      <c r="M2075" s="9" t="s">
        <v>19</v>
      </c>
      <c r="N2075" s="9" t="s">
        <v>22</v>
      </c>
      <c r="O2075" s="6" t="str">
        <f>HYPERLINK("https://pbs.twimg.com/profile_images/988971255679324162/jrqiIYf__normal.jpg","View")</f>
        <v>View</v>
      </c>
      <c r="P2075" s="7"/>
    </row>
    <row r="2076" spans="1:16">
      <c r="A2076" s="3">
        <v>44310.063391203701</v>
      </c>
      <c r="B2076" s="4" t="str">
        <f>HYPERLINK("https://twitter.com/sergio_fajardo","@sergio_fajardo")</f>
        <v>@sergio_fajardo</v>
      </c>
      <c r="C2076" s="5" t="s">
        <v>16</v>
      </c>
      <c r="D2076" s="5" t="s">
        <v>2096</v>
      </c>
      <c r="E2076" s="6" t="str">
        <f>HYPERLINK("https://twitter.com/sergio_fajardo/status/1385685226463154180","1385685226463154180")</f>
        <v>1385685226463154180</v>
      </c>
      <c r="F2076" s="7" t="s">
        <v>17</v>
      </c>
      <c r="G2076" s="7">
        <v>1571111</v>
      </c>
      <c r="H2076" s="7">
        <v>412</v>
      </c>
      <c r="I2076" s="7">
        <v>1</v>
      </c>
      <c r="J2076" s="7">
        <v>6</v>
      </c>
      <c r="K2076" s="7" t="s">
        <v>18</v>
      </c>
      <c r="L2076" s="8">
        <v>39891.213356481479</v>
      </c>
      <c r="M2076" s="9" t="s">
        <v>19</v>
      </c>
      <c r="N2076" s="9" t="s">
        <v>22</v>
      </c>
      <c r="O2076" s="6" t="str">
        <f>HYPERLINK("https://pbs.twimg.com/profile_images/988971255679324162/jrqiIYf__normal.jpg","View")</f>
        <v>View</v>
      </c>
      <c r="P2076" s="7"/>
    </row>
    <row r="2077" spans="1:16">
      <c r="A2077" s="3">
        <v>44310.176608796297</v>
      </c>
      <c r="B2077" s="4" t="str">
        <f>HYPERLINK("https://twitter.com/sergio_fajardo","@sergio_fajardo")</f>
        <v>@sergio_fajardo</v>
      </c>
      <c r="C2077" s="5" t="s">
        <v>16</v>
      </c>
      <c r="D2077" s="5" t="s">
        <v>2097</v>
      </c>
      <c r="E2077" s="6" t="str">
        <f>HYPERLINK("https://twitter.com/sergio_fajardo/status/1385726254947737602","1385726254947737602")</f>
        <v>1385726254947737602</v>
      </c>
      <c r="F2077" s="7" t="s">
        <v>20</v>
      </c>
      <c r="G2077" s="7">
        <v>1571118</v>
      </c>
      <c r="H2077" s="7">
        <v>412</v>
      </c>
      <c r="I2077" s="7">
        <v>8</v>
      </c>
      <c r="J2077" s="7">
        <v>32</v>
      </c>
      <c r="K2077" s="7" t="s">
        <v>18</v>
      </c>
      <c r="L2077" s="8">
        <v>39891.213356481479</v>
      </c>
      <c r="M2077" s="9" t="s">
        <v>19</v>
      </c>
      <c r="N2077" s="9" t="s">
        <v>22</v>
      </c>
      <c r="O2077" s="6" t="str">
        <f>HYPERLINK("https://pbs.twimg.com/profile_images/988971255679324162/jrqiIYf__normal.jpg","View")</f>
        <v>View</v>
      </c>
      <c r="P2077" s="7"/>
    </row>
    <row r="2078" spans="1:16">
      <c r="A2078" s="3">
        <v>44310.972303240742</v>
      </c>
      <c r="B2078" s="4" t="str">
        <f>HYPERLINK("https://twitter.com/sergio_fajardo","@sergio_fajardo")</f>
        <v>@sergio_fajardo</v>
      </c>
      <c r="C2078" s="5" t="s">
        <v>16</v>
      </c>
      <c r="D2078" s="5" t="s">
        <v>2098</v>
      </c>
      <c r="E2078" s="6" t="str">
        <f>HYPERLINK("https://twitter.com/sergio_fajardo/status/1386014606921977857","1386014606921977857")</f>
        <v>1386014606921977857</v>
      </c>
      <c r="F2078" s="7" t="s">
        <v>23</v>
      </c>
      <c r="G2078" s="7">
        <v>1571202</v>
      </c>
      <c r="H2078" s="7">
        <v>412</v>
      </c>
      <c r="I2078" s="7">
        <v>26</v>
      </c>
      <c r="J2078" s="7">
        <v>68</v>
      </c>
      <c r="K2078" s="7" t="s">
        <v>18</v>
      </c>
      <c r="L2078" s="8">
        <v>39891.213356481479</v>
      </c>
      <c r="M2078" s="9" t="s">
        <v>19</v>
      </c>
      <c r="N2078" s="9" t="s">
        <v>22</v>
      </c>
      <c r="O2078" s="6" t="str">
        <f>HYPERLINK("https://pbs.twimg.com/profile_images/988971255679324162/jrqiIYf__normal.jpg","View")</f>
        <v>View</v>
      </c>
      <c r="P2078" s="7"/>
    </row>
    <row r="2079" spans="1:16">
      <c r="A2079" s="3">
        <v>44311.20958333333</v>
      </c>
      <c r="B2079" s="4" t="str">
        <f>HYPERLINK("https://twitter.com/sergio_fajardo","@sergio_fajardo")</f>
        <v>@sergio_fajardo</v>
      </c>
      <c r="C2079" s="5" t="s">
        <v>16</v>
      </c>
      <c r="D2079" s="5" t="s">
        <v>2099</v>
      </c>
      <c r="E2079" s="6" t="str">
        <f>HYPERLINK("https://twitter.com/sergio_fajardo/status/1386100592578383872","1386100592578383872")</f>
        <v>1386100592578383872</v>
      </c>
      <c r="F2079" s="7" t="s">
        <v>20</v>
      </c>
      <c r="G2079" s="7">
        <v>1571165</v>
      </c>
      <c r="H2079" s="7">
        <v>412</v>
      </c>
      <c r="I2079" s="7">
        <v>2</v>
      </c>
      <c r="J2079" s="7">
        <v>2</v>
      </c>
      <c r="K2079" s="7" t="s">
        <v>18</v>
      </c>
      <c r="L2079" s="8">
        <v>39891.213356481479</v>
      </c>
      <c r="M2079" s="9" t="s">
        <v>19</v>
      </c>
      <c r="N2079" s="9" t="s">
        <v>22</v>
      </c>
      <c r="O2079" s="6" t="str">
        <f>HYPERLINK("https://pbs.twimg.com/profile_images/988971255679324162/jrqiIYf__normal.jpg","View")</f>
        <v>View</v>
      </c>
      <c r="P2079" s="7"/>
    </row>
    <row r="2080" spans="1:16">
      <c r="A2080" s="3">
        <v>44311.893506944441</v>
      </c>
      <c r="B2080" s="4" t="str">
        <f>HYPERLINK("https://twitter.com/sergio_fajardo","@sergio_fajardo")</f>
        <v>@sergio_fajardo</v>
      </c>
      <c r="C2080" s="5" t="s">
        <v>16</v>
      </c>
      <c r="D2080" s="5" t="s">
        <v>2100</v>
      </c>
      <c r="E2080" s="6" t="str">
        <f>HYPERLINK("https://twitter.com/sergio_fajardo/status/1386348438124744709","1386348438124744709")</f>
        <v>1386348438124744709</v>
      </c>
      <c r="F2080" s="7" t="s">
        <v>20</v>
      </c>
      <c r="G2080" s="7">
        <v>1571318</v>
      </c>
      <c r="H2080" s="7">
        <v>412</v>
      </c>
      <c r="I2080" s="7">
        <v>2</v>
      </c>
      <c r="J2080" s="7">
        <v>15</v>
      </c>
      <c r="K2080" s="7" t="s">
        <v>18</v>
      </c>
      <c r="L2080" s="8">
        <v>39891.213356481479</v>
      </c>
      <c r="M2080" s="9" t="s">
        <v>19</v>
      </c>
      <c r="N2080" s="9" t="s">
        <v>22</v>
      </c>
      <c r="O2080" s="6" t="str">
        <f>HYPERLINK("https://pbs.twimg.com/profile_images/988971255679324162/jrqiIYf__normal.jpg","View")</f>
        <v>View</v>
      </c>
      <c r="P2080" s="7"/>
    </row>
    <row r="2081" spans="1:16">
      <c r="A2081" s="3">
        <v>44312.161643518513</v>
      </c>
      <c r="B2081" s="4" t="str">
        <f>HYPERLINK("https://twitter.com/sergio_fajardo","@sergio_fajardo")</f>
        <v>@sergio_fajardo</v>
      </c>
      <c r="C2081" s="5" t="s">
        <v>16</v>
      </c>
      <c r="D2081" s="5" t="s">
        <v>2101</v>
      </c>
      <c r="E2081" s="6" t="str">
        <f>HYPERLINK("https://twitter.com/sergio_fajardo/status/1386445609561886720","1386445609561886720")</f>
        <v>1386445609561886720</v>
      </c>
      <c r="F2081" s="7" t="s">
        <v>23</v>
      </c>
      <c r="G2081" s="7">
        <v>1571349</v>
      </c>
      <c r="H2081" s="7">
        <v>412</v>
      </c>
      <c r="I2081" s="7">
        <v>11</v>
      </c>
      <c r="J2081" s="7">
        <v>49</v>
      </c>
      <c r="K2081" s="7" t="s">
        <v>18</v>
      </c>
      <c r="L2081" s="8">
        <v>39891.213356481479</v>
      </c>
      <c r="M2081" s="9" t="s">
        <v>19</v>
      </c>
      <c r="N2081" s="9" t="s">
        <v>22</v>
      </c>
      <c r="O2081" s="6" t="str">
        <f>HYPERLINK("https://pbs.twimg.com/profile_images/988971255679324162/jrqiIYf__normal.jpg","View")</f>
        <v>View</v>
      </c>
      <c r="P2081" s="7"/>
    </row>
    <row r="2082" spans="1:16">
      <c r="A2082" s="3">
        <v>44312.272395833337</v>
      </c>
      <c r="B2082" s="4" t="str">
        <f>HYPERLINK("https://twitter.com/sergio_fajardo","@sergio_fajardo")</f>
        <v>@sergio_fajardo</v>
      </c>
      <c r="C2082" s="5" t="s">
        <v>16</v>
      </c>
      <c r="D2082" s="5" t="s">
        <v>2102</v>
      </c>
      <c r="E2082" s="6" t="str">
        <f>HYPERLINK("https://twitter.com/sergio_fajardo/status/1386485742566879236","1386485742566879236")</f>
        <v>1386485742566879236</v>
      </c>
      <c r="F2082" s="7" t="s">
        <v>20</v>
      </c>
      <c r="G2082" s="7">
        <v>1571383</v>
      </c>
      <c r="H2082" s="7">
        <v>412</v>
      </c>
      <c r="I2082" s="7">
        <v>0</v>
      </c>
      <c r="J2082" s="7">
        <v>0</v>
      </c>
      <c r="K2082" s="7" t="s">
        <v>18</v>
      </c>
      <c r="L2082" s="8">
        <v>39891.213356481479</v>
      </c>
      <c r="M2082" s="9" t="s">
        <v>19</v>
      </c>
      <c r="N2082" s="9" t="s">
        <v>22</v>
      </c>
      <c r="O2082" s="6" t="str">
        <f>HYPERLINK("https://pbs.twimg.com/profile_images/988971255679324162/jrqiIYf__normal.jpg","View")</f>
        <v>View</v>
      </c>
      <c r="P2082" s="7"/>
    </row>
    <row r="2083" spans="1:16">
      <c r="A2083" s="3">
        <v>44312.893032407403</v>
      </c>
      <c r="B2083" s="4" t="str">
        <f>HYPERLINK("https://twitter.com/sergio_fajardo","@sergio_fajardo")</f>
        <v>@sergio_fajardo</v>
      </c>
      <c r="C2083" s="5" t="s">
        <v>16</v>
      </c>
      <c r="D2083" s="5" t="s">
        <v>2103</v>
      </c>
      <c r="E2083" s="6" t="str">
        <f>HYPERLINK("https://twitter.com/sergio_fajardo/status/1386710652937441284","1386710652937441284")</f>
        <v>1386710652937441284</v>
      </c>
      <c r="F2083" s="7" t="s">
        <v>23</v>
      </c>
      <c r="G2083" s="7">
        <v>1571429</v>
      </c>
      <c r="H2083" s="7">
        <v>412</v>
      </c>
      <c r="I2083" s="7">
        <v>25</v>
      </c>
      <c r="J2083" s="7">
        <v>0</v>
      </c>
      <c r="K2083" s="7" t="s">
        <v>18</v>
      </c>
      <c r="L2083" s="8">
        <v>39891.213356481479</v>
      </c>
      <c r="M2083" s="9" t="s">
        <v>19</v>
      </c>
      <c r="N2083" s="9" t="s">
        <v>22</v>
      </c>
      <c r="O2083" s="6" t="str">
        <f>HYPERLINK("https://pbs.twimg.com/profile_images/988971255679324162/jrqiIYf__normal.jpg","View")</f>
        <v>View</v>
      </c>
      <c r="P2083" s="7"/>
    </row>
    <row r="2084" spans="1:16">
      <c r="A2084" s="3">
        <v>44312.951215277775</v>
      </c>
      <c r="B2084" s="4" t="str">
        <f>HYPERLINK("https://twitter.com/sergio_fajardo","@sergio_fajardo")</f>
        <v>@sergio_fajardo</v>
      </c>
      <c r="C2084" s="5" t="s">
        <v>16</v>
      </c>
      <c r="D2084" s="5" t="s">
        <v>2104</v>
      </c>
      <c r="E2084" s="6" t="str">
        <f>HYPERLINK("https://twitter.com/sergio_fajardo/status/1386731740719468545","1386731740719468545")</f>
        <v>1386731740719468545</v>
      </c>
      <c r="F2084" s="7" t="s">
        <v>23</v>
      </c>
      <c r="G2084" s="7">
        <v>1571451</v>
      </c>
      <c r="H2084" s="7">
        <v>412</v>
      </c>
      <c r="I2084" s="7">
        <v>11</v>
      </c>
      <c r="J2084" s="7">
        <v>46</v>
      </c>
      <c r="K2084" s="7" t="s">
        <v>18</v>
      </c>
      <c r="L2084" s="8">
        <v>39891.213356481479</v>
      </c>
      <c r="M2084" s="9" t="s">
        <v>19</v>
      </c>
      <c r="N2084" s="9" t="s">
        <v>22</v>
      </c>
      <c r="O2084" s="6" t="str">
        <f>HYPERLINK("https://pbs.twimg.com/profile_images/988971255679324162/jrqiIYf__normal.jpg","View")</f>
        <v>View</v>
      </c>
      <c r="P2084" s="7"/>
    </row>
    <row r="2085" spans="1:16">
      <c r="A2085" s="3">
        <v>44313.059097222227</v>
      </c>
      <c r="B2085" s="4" t="str">
        <f>HYPERLINK("https://twitter.com/sergio_fajardo","@sergio_fajardo")</f>
        <v>@sergio_fajardo</v>
      </c>
      <c r="C2085" s="5" t="s">
        <v>16</v>
      </c>
      <c r="D2085" s="5" t="s">
        <v>2105</v>
      </c>
      <c r="E2085" s="6" t="str">
        <f>HYPERLINK("https://twitter.com/sergio_fajardo/status/1386770834216439817","1386770834216439817")</f>
        <v>1386770834216439817</v>
      </c>
      <c r="F2085" s="7" t="s">
        <v>20</v>
      </c>
      <c r="G2085" s="7">
        <v>1571459</v>
      </c>
      <c r="H2085" s="7">
        <v>412</v>
      </c>
      <c r="I2085" s="7">
        <v>21</v>
      </c>
      <c r="J2085" s="7">
        <v>58</v>
      </c>
      <c r="K2085" s="7" t="s">
        <v>18</v>
      </c>
      <c r="L2085" s="8">
        <v>39891.213356481479</v>
      </c>
      <c r="M2085" s="9" t="s">
        <v>19</v>
      </c>
      <c r="N2085" s="9" t="s">
        <v>22</v>
      </c>
      <c r="O2085" s="6" t="str">
        <f>HYPERLINK("https://pbs.twimg.com/profile_images/988971255679324162/jrqiIYf__normal.jpg","View")</f>
        <v>View</v>
      </c>
      <c r="P2085" s="7"/>
    </row>
    <row r="2086" spans="1:16">
      <c r="A2086" s="3">
        <v>44313.112743055557</v>
      </c>
      <c r="B2086" s="4" t="str">
        <f>HYPERLINK("https://twitter.com/sergio_fajardo","@sergio_fajardo")</f>
        <v>@sergio_fajardo</v>
      </c>
      <c r="C2086" s="5" t="s">
        <v>16</v>
      </c>
      <c r="D2086" s="5" t="s">
        <v>2106</v>
      </c>
      <c r="E2086" s="6" t="str">
        <f>HYPERLINK("https://twitter.com/sergio_fajardo/status/1386790273091579904","1386790273091579904")</f>
        <v>1386790273091579904</v>
      </c>
      <c r="F2086" s="7" t="s">
        <v>20</v>
      </c>
      <c r="G2086" s="7">
        <v>1571466</v>
      </c>
      <c r="H2086" s="7">
        <v>412</v>
      </c>
      <c r="I2086" s="7">
        <v>7</v>
      </c>
      <c r="J2086" s="7">
        <v>0</v>
      </c>
      <c r="K2086" s="7" t="s">
        <v>18</v>
      </c>
      <c r="L2086" s="8">
        <v>39891.213356481479</v>
      </c>
      <c r="M2086" s="9" t="s">
        <v>19</v>
      </c>
      <c r="N2086" s="9" t="s">
        <v>22</v>
      </c>
      <c r="O2086" s="6" t="str">
        <f>HYPERLINK("https://pbs.twimg.com/profile_images/988971255679324162/jrqiIYf__normal.jpg","View")</f>
        <v>View</v>
      </c>
      <c r="P2086" s="7"/>
    </row>
    <row r="2087" spans="1:16">
      <c r="A2087" s="3">
        <v>44313.296134259261</v>
      </c>
      <c r="B2087" s="4" t="str">
        <f>HYPERLINK("https://twitter.com/sergio_fajardo","@sergio_fajardo")</f>
        <v>@sergio_fajardo</v>
      </c>
      <c r="C2087" s="5" t="s">
        <v>16</v>
      </c>
      <c r="D2087" s="5" t="s">
        <v>2107</v>
      </c>
      <c r="E2087" s="6" t="str">
        <f>HYPERLINK("https://twitter.com/sergio_fajardo/status/1386856732270469125","1386856732270469125")</f>
        <v>1386856732270469125</v>
      </c>
      <c r="F2087" s="7" t="s">
        <v>23</v>
      </c>
      <c r="G2087" s="7">
        <v>1571508</v>
      </c>
      <c r="H2087" s="7">
        <v>412</v>
      </c>
      <c r="I2087" s="7">
        <v>15</v>
      </c>
      <c r="J2087" s="7">
        <v>0</v>
      </c>
      <c r="K2087" s="7" t="s">
        <v>18</v>
      </c>
      <c r="L2087" s="8">
        <v>39891.213356481479</v>
      </c>
      <c r="M2087" s="9" t="s">
        <v>19</v>
      </c>
      <c r="N2087" s="9" t="s">
        <v>22</v>
      </c>
      <c r="O2087" s="6" t="str">
        <f>HYPERLINK("https://pbs.twimg.com/profile_images/988971255679324162/jrqiIYf__normal.jpg","View")</f>
        <v>View</v>
      </c>
      <c r="P2087" s="7"/>
    </row>
    <row r="2088" spans="1:16">
      <c r="A2088" s="3">
        <v>44313.637523148151</v>
      </c>
      <c r="B2088" s="4" t="str">
        <f>HYPERLINK("https://twitter.com/sergio_fajardo","@sergio_fajardo")</f>
        <v>@sergio_fajardo</v>
      </c>
      <c r="C2088" s="5" t="s">
        <v>16</v>
      </c>
      <c r="D2088" s="5" t="s">
        <v>2108</v>
      </c>
      <c r="E2088" s="6" t="str">
        <f>HYPERLINK("https://twitter.com/sergio_fajardo/status/1386980448761430018","1386980448761430018")</f>
        <v>1386980448761430018</v>
      </c>
      <c r="F2088" s="7" t="s">
        <v>20</v>
      </c>
      <c r="G2088" s="7">
        <v>1571513</v>
      </c>
      <c r="H2088" s="7">
        <v>412</v>
      </c>
      <c r="I2088" s="7">
        <v>7</v>
      </c>
      <c r="J2088" s="7">
        <v>0</v>
      </c>
      <c r="K2088" s="7" t="s">
        <v>18</v>
      </c>
      <c r="L2088" s="8">
        <v>39891.213356481479</v>
      </c>
      <c r="M2088" s="9" t="s">
        <v>19</v>
      </c>
      <c r="N2088" s="9" t="s">
        <v>22</v>
      </c>
      <c r="O2088" s="6" t="str">
        <f>HYPERLINK("https://pbs.twimg.com/profile_images/988971255679324162/jrqiIYf__normal.jpg","View")</f>
        <v>View</v>
      </c>
      <c r="P2088" s="7"/>
    </row>
    <row r="2089" spans="1:16">
      <c r="A2089" s="3">
        <v>44313.874178240745</v>
      </c>
      <c r="B2089" s="4" t="str">
        <f>HYPERLINK("https://twitter.com/sergio_fajardo","@sergio_fajardo")</f>
        <v>@sergio_fajardo</v>
      </c>
      <c r="C2089" s="5" t="s">
        <v>16</v>
      </c>
      <c r="D2089" s="5" t="s">
        <v>2109</v>
      </c>
      <c r="E2089" s="6" t="str">
        <f>HYPERLINK("https://twitter.com/sergio_fajardo/status/1387066209821200395","1387066209821200395")</f>
        <v>1387066209821200395</v>
      </c>
      <c r="F2089" s="7" t="s">
        <v>17</v>
      </c>
      <c r="G2089" s="7">
        <v>1571550</v>
      </c>
      <c r="H2089" s="7">
        <v>412</v>
      </c>
      <c r="I2089" s="7">
        <v>3</v>
      </c>
      <c r="J2089" s="7">
        <v>17</v>
      </c>
      <c r="K2089" s="7" t="s">
        <v>18</v>
      </c>
      <c r="L2089" s="8">
        <v>39891.213356481479</v>
      </c>
      <c r="M2089" s="9" t="s">
        <v>19</v>
      </c>
      <c r="N2089" s="9" t="s">
        <v>22</v>
      </c>
      <c r="O2089" s="6" t="str">
        <f>HYPERLINK("https://pbs.twimg.com/profile_images/988971255679324162/jrqiIYf__normal.jpg","View")</f>
        <v>View</v>
      </c>
      <c r="P2089" s="7"/>
    </row>
    <row r="2090" spans="1:16">
      <c r="A2090" s="3">
        <v>44314.733599537038</v>
      </c>
      <c r="B2090" s="4" t="str">
        <f>HYPERLINK("https://twitter.com/sergio_fajardo","@sergio_fajardo")</f>
        <v>@sergio_fajardo</v>
      </c>
      <c r="C2090" s="5" t="s">
        <v>16</v>
      </c>
      <c r="D2090" s="5" t="s">
        <v>2110</v>
      </c>
      <c r="E2090" s="6" t="str">
        <f>HYPERLINK("https://twitter.com/sergio_fajardo/status/1387377652655431683","1387377652655431683")</f>
        <v>1387377652655431683</v>
      </c>
      <c r="F2090" s="7" t="s">
        <v>20</v>
      </c>
      <c r="G2090" s="7">
        <v>1571732</v>
      </c>
      <c r="H2090" s="7">
        <v>412</v>
      </c>
      <c r="I2090" s="7">
        <v>18</v>
      </c>
      <c r="J2090" s="7">
        <v>109</v>
      </c>
      <c r="K2090" s="7" t="s">
        <v>18</v>
      </c>
      <c r="L2090" s="8">
        <v>39891.213356481479</v>
      </c>
      <c r="M2090" s="9" t="s">
        <v>19</v>
      </c>
      <c r="N2090" s="9" t="s">
        <v>22</v>
      </c>
      <c r="O2090" s="6" t="str">
        <f>HYPERLINK("https://pbs.twimg.com/profile_images/988971255679324162/jrqiIYf__normal.jpg","View")</f>
        <v>View</v>
      </c>
      <c r="P2090" s="7"/>
    </row>
    <row r="2091" spans="1:16">
      <c r="A2091" s="3">
        <v>44314.742974537032</v>
      </c>
      <c r="B2091" s="4" t="str">
        <f>HYPERLINK("https://twitter.com/sergio_fajardo","@sergio_fajardo")</f>
        <v>@sergio_fajardo</v>
      </c>
      <c r="C2091" s="5" t="s">
        <v>16</v>
      </c>
      <c r="D2091" s="5" t="s">
        <v>2111</v>
      </c>
      <c r="E2091" s="6" t="str">
        <f>HYPERLINK("https://twitter.com/sergio_fajardo/status/1387381049710292992","1387381049710292992")</f>
        <v>1387381049710292992</v>
      </c>
      <c r="F2091" s="7" t="s">
        <v>20</v>
      </c>
      <c r="G2091" s="7">
        <v>1571732</v>
      </c>
      <c r="H2091" s="7">
        <v>412</v>
      </c>
      <c r="I2091" s="7">
        <v>4</v>
      </c>
      <c r="J2091" s="7">
        <v>9</v>
      </c>
      <c r="K2091" s="7" t="s">
        <v>18</v>
      </c>
      <c r="L2091" s="8">
        <v>39891.213356481479</v>
      </c>
      <c r="M2091" s="9" t="s">
        <v>19</v>
      </c>
      <c r="N2091" s="9" t="s">
        <v>22</v>
      </c>
      <c r="O2091" s="6" t="str">
        <f>HYPERLINK("https://pbs.twimg.com/profile_images/988971255679324162/jrqiIYf__normal.jpg","View")</f>
        <v>View</v>
      </c>
      <c r="P2091" s="7"/>
    </row>
    <row r="2092" spans="1:16">
      <c r="A2092" s="3">
        <v>44314.82912037037</v>
      </c>
      <c r="B2092" s="4" t="str">
        <f>HYPERLINK("https://twitter.com/sergio_fajardo","@sergio_fajardo")</f>
        <v>@sergio_fajardo</v>
      </c>
      <c r="C2092" s="5" t="s">
        <v>16</v>
      </c>
      <c r="D2092" s="5" t="s">
        <v>2112</v>
      </c>
      <c r="E2092" s="6" t="str">
        <f>HYPERLINK("https://twitter.com/sergio_fajardo/status/1387412271052247042","1387412271052247042")</f>
        <v>1387412271052247042</v>
      </c>
      <c r="F2092" s="7" t="s">
        <v>23</v>
      </c>
      <c r="G2092" s="7">
        <v>1571763</v>
      </c>
      <c r="H2092" s="7">
        <v>412</v>
      </c>
      <c r="I2092" s="7">
        <v>3</v>
      </c>
      <c r="J2092" s="7">
        <v>10</v>
      </c>
      <c r="K2092" s="7" t="s">
        <v>18</v>
      </c>
      <c r="L2092" s="8">
        <v>39891.213356481479</v>
      </c>
      <c r="M2092" s="9" t="s">
        <v>19</v>
      </c>
      <c r="N2092" s="9" t="s">
        <v>22</v>
      </c>
      <c r="O2092" s="6" t="str">
        <f>HYPERLINK("https://pbs.twimg.com/profile_images/988971255679324162/jrqiIYf__normal.jpg","View")</f>
        <v>View</v>
      </c>
      <c r="P2092" s="7"/>
    </row>
    <row r="2093" spans="1:16">
      <c r="A2093" s="3">
        <v>44314.829247685186</v>
      </c>
      <c r="B2093" s="4" t="str">
        <f>HYPERLINK("https://twitter.com/sergio_fajardo","@sergio_fajardo")</f>
        <v>@sergio_fajardo</v>
      </c>
      <c r="C2093" s="5" t="s">
        <v>16</v>
      </c>
      <c r="D2093" s="5" t="s">
        <v>2113</v>
      </c>
      <c r="E2093" s="6" t="str">
        <f>HYPERLINK("https://twitter.com/sergio_fajardo/status/1387412316203978756","1387412316203978756")</f>
        <v>1387412316203978756</v>
      </c>
      <c r="F2093" s="7" t="s">
        <v>23</v>
      </c>
      <c r="G2093" s="7">
        <v>1571763</v>
      </c>
      <c r="H2093" s="7">
        <v>412</v>
      </c>
      <c r="I2093" s="7">
        <v>2</v>
      </c>
      <c r="J2093" s="7">
        <v>2</v>
      </c>
      <c r="K2093" s="7" t="s">
        <v>18</v>
      </c>
      <c r="L2093" s="8">
        <v>39891.213356481479</v>
      </c>
      <c r="M2093" s="9" t="s">
        <v>19</v>
      </c>
      <c r="N2093" s="9" t="s">
        <v>22</v>
      </c>
      <c r="O2093" s="6" t="str">
        <f>HYPERLINK("https://pbs.twimg.com/profile_images/988971255679324162/jrqiIYf__normal.jpg","View")</f>
        <v>View</v>
      </c>
      <c r="P2093" s="7"/>
    </row>
    <row r="2094" spans="1:16">
      <c r="A2094" s="3">
        <v>44314.865520833337</v>
      </c>
      <c r="B2094" s="4" t="str">
        <f>HYPERLINK("https://twitter.com/sergio_fajardo","@sergio_fajardo")</f>
        <v>@sergio_fajardo</v>
      </c>
      <c r="C2094" s="5" t="s">
        <v>16</v>
      </c>
      <c r="D2094" s="5" t="s">
        <v>2114</v>
      </c>
      <c r="E2094" s="6" t="str">
        <f>HYPERLINK("https://twitter.com/sergio_fajardo/status/1387425458380283904","1387425458380283904")</f>
        <v>1387425458380283904</v>
      </c>
      <c r="F2094" s="7" t="s">
        <v>20</v>
      </c>
      <c r="G2094" s="7">
        <v>1571782</v>
      </c>
      <c r="H2094" s="7">
        <v>412</v>
      </c>
      <c r="I2094" s="7">
        <v>10</v>
      </c>
      <c r="J2094" s="7">
        <v>43</v>
      </c>
      <c r="K2094" s="7" t="s">
        <v>18</v>
      </c>
      <c r="L2094" s="8">
        <v>39891.213356481479</v>
      </c>
      <c r="M2094" s="9" t="s">
        <v>19</v>
      </c>
      <c r="N2094" s="9" t="s">
        <v>22</v>
      </c>
      <c r="O2094" s="6" t="str">
        <f>HYPERLINK("https://pbs.twimg.com/profile_images/988971255679324162/jrqiIYf__normal.jpg","View")</f>
        <v>View</v>
      </c>
      <c r="P2094" s="7"/>
    </row>
    <row r="2095" spans="1:16">
      <c r="A2095" s="3">
        <v>44314.970127314809</v>
      </c>
      <c r="B2095" s="4" t="str">
        <f>HYPERLINK("https://twitter.com/sergio_fajardo","@sergio_fajardo")</f>
        <v>@sergio_fajardo</v>
      </c>
      <c r="C2095" s="5" t="s">
        <v>16</v>
      </c>
      <c r="D2095" s="5" t="s">
        <v>2115</v>
      </c>
      <c r="E2095" s="6" t="str">
        <f>HYPERLINK("https://twitter.com/sergio_fajardo/status/1387463366449455109","1387463366449455109")</f>
        <v>1387463366449455109</v>
      </c>
      <c r="F2095" s="7" t="s">
        <v>20</v>
      </c>
      <c r="G2095" s="7">
        <v>1571846</v>
      </c>
      <c r="H2095" s="7">
        <v>412</v>
      </c>
      <c r="I2095" s="7">
        <v>35</v>
      </c>
      <c r="J2095" s="7">
        <v>262</v>
      </c>
      <c r="K2095" s="7" t="s">
        <v>18</v>
      </c>
      <c r="L2095" s="8">
        <v>39891.213356481479</v>
      </c>
      <c r="M2095" s="9" t="s">
        <v>19</v>
      </c>
      <c r="N2095" s="9" t="s">
        <v>22</v>
      </c>
      <c r="O2095" s="6" t="str">
        <f>HYPERLINK("https://pbs.twimg.com/profile_images/988971255679324162/jrqiIYf__normal.jpg","View")</f>
        <v>View</v>
      </c>
      <c r="P2095" s="7"/>
    </row>
    <row r="2096" spans="1:16">
      <c r="A2096" s="3">
        <v>44315.022210648152</v>
      </c>
      <c r="B2096" s="4" t="str">
        <f>HYPERLINK("https://twitter.com/sergio_fajardo","@sergio_fajardo")</f>
        <v>@sergio_fajardo</v>
      </c>
      <c r="C2096" s="5" t="s">
        <v>16</v>
      </c>
      <c r="D2096" s="5" t="s">
        <v>2116</v>
      </c>
      <c r="E2096" s="6" t="str">
        <f>HYPERLINK("https://twitter.com/sergio_fajardo/status/1387482243837448203","1387482243837448203")</f>
        <v>1387482243837448203</v>
      </c>
      <c r="F2096" s="7" t="s">
        <v>23</v>
      </c>
      <c r="G2096" s="7">
        <v>1571871</v>
      </c>
      <c r="H2096" s="7">
        <v>412</v>
      </c>
      <c r="I2096" s="7">
        <v>2</v>
      </c>
      <c r="J2096" s="7">
        <v>3</v>
      </c>
      <c r="K2096" s="7" t="s">
        <v>18</v>
      </c>
      <c r="L2096" s="8">
        <v>39891.213356481479</v>
      </c>
      <c r="M2096" s="9" t="s">
        <v>19</v>
      </c>
      <c r="N2096" s="9" t="s">
        <v>22</v>
      </c>
      <c r="O2096" s="6" t="str">
        <f>HYPERLINK("https://pbs.twimg.com/profile_images/988971255679324162/jrqiIYf__normal.jpg","View")</f>
        <v>View</v>
      </c>
      <c r="P2096" s="7"/>
    </row>
    <row r="2097" spans="1:16">
      <c r="A2097" s="3">
        <v>44315.022465277776</v>
      </c>
      <c r="B2097" s="4" t="str">
        <f>HYPERLINK("https://twitter.com/sergio_fajardo","@sergio_fajardo")</f>
        <v>@sergio_fajardo</v>
      </c>
      <c r="C2097" s="5" t="s">
        <v>16</v>
      </c>
      <c r="D2097" s="5" t="s">
        <v>2117</v>
      </c>
      <c r="E2097" s="6" t="str">
        <f>HYPERLINK("https://twitter.com/sergio_fajardo/status/1387482336695042051","1387482336695042051")</f>
        <v>1387482336695042051</v>
      </c>
      <c r="F2097" s="7" t="s">
        <v>23</v>
      </c>
      <c r="G2097" s="7">
        <v>1571878</v>
      </c>
      <c r="H2097" s="7">
        <v>412</v>
      </c>
      <c r="I2097" s="7">
        <v>14</v>
      </c>
      <c r="J2097" s="7">
        <v>91</v>
      </c>
      <c r="K2097" s="7" t="s">
        <v>18</v>
      </c>
      <c r="L2097" s="8">
        <v>39891.213356481479</v>
      </c>
      <c r="M2097" s="9" t="s">
        <v>19</v>
      </c>
      <c r="N2097" s="9" t="s">
        <v>22</v>
      </c>
      <c r="O2097" s="6" t="str">
        <f>HYPERLINK("https://pbs.twimg.com/profile_images/988971255679324162/jrqiIYf__normal.jpg","View")</f>
        <v>View</v>
      </c>
      <c r="P2097" s="7"/>
    </row>
    <row r="2098" spans="1:16">
      <c r="A2098" s="3">
        <v>44315.022812499999</v>
      </c>
      <c r="B2098" s="4" t="str">
        <f>HYPERLINK("https://twitter.com/sergio_fajardo","@sergio_fajardo")</f>
        <v>@sergio_fajardo</v>
      </c>
      <c r="C2098" s="5" t="s">
        <v>16</v>
      </c>
      <c r="D2098" s="5" t="s">
        <v>2118</v>
      </c>
      <c r="E2098" s="6" t="str">
        <f>HYPERLINK("https://twitter.com/sergio_fajardo/status/1387482458753572867","1387482458753572867")</f>
        <v>1387482458753572867</v>
      </c>
      <c r="F2098" s="7" t="s">
        <v>23</v>
      </c>
      <c r="G2098" s="7">
        <v>1571878</v>
      </c>
      <c r="H2098" s="7">
        <v>412</v>
      </c>
      <c r="I2098" s="7">
        <v>22</v>
      </c>
      <c r="J2098" s="7">
        <v>110</v>
      </c>
      <c r="K2098" s="7" t="s">
        <v>18</v>
      </c>
      <c r="L2098" s="8">
        <v>39891.213356481479</v>
      </c>
      <c r="M2098" s="9" t="s">
        <v>19</v>
      </c>
      <c r="N2098" s="9" t="s">
        <v>22</v>
      </c>
      <c r="O2098" s="6" t="str">
        <f>HYPERLINK("https://pbs.twimg.com/profile_images/988971255679324162/jrqiIYf__normal.jpg","View")</f>
        <v>View</v>
      </c>
      <c r="P2098" s="7"/>
    </row>
    <row r="2099" spans="1:16">
      <c r="A2099" s="3">
        <v>44315.237268518518</v>
      </c>
      <c r="B2099" s="4" t="str">
        <f>HYPERLINK("https://twitter.com/sergio_fajardo","@sergio_fajardo")</f>
        <v>@sergio_fajardo</v>
      </c>
      <c r="C2099" s="5" t="s">
        <v>16</v>
      </c>
      <c r="D2099" s="5" t="s">
        <v>2119</v>
      </c>
      <c r="E2099" s="6" t="str">
        <f>HYPERLINK("https://twitter.com/sergio_fajardo/status/1387560175180124162","1387560175180124162")</f>
        <v>1387560175180124162</v>
      </c>
      <c r="F2099" s="7" t="s">
        <v>23</v>
      </c>
      <c r="G2099" s="7">
        <v>1571987</v>
      </c>
      <c r="H2099" s="7">
        <v>412</v>
      </c>
      <c r="I2099" s="7">
        <v>20</v>
      </c>
      <c r="J2099" s="7">
        <v>61</v>
      </c>
      <c r="K2099" s="7" t="s">
        <v>18</v>
      </c>
      <c r="L2099" s="8">
        <v>39891.213356481479</v>
      </c>
      <c r="M2099" s="9" t="s">
        <v>19</v>
      </c>
      <c r="N2099" s="9" t="s">
        <v>22</v>
      </c>
      <c r="O2099" s="6" t="str">
        <f>HYPERLINK("https://pbs.twimg.com/profile_images/988971255679324162/jrqiIYf__normal.jpg","View")</f>
        <v>View</v>
      </c>
      <c r="P2099" s="7"/>
    </row>
    <row r="2100" spans="1:16">
      <c r="A2100" s="3">
        <v>44315.272824074069</v>
      </c>
      <c r="B2100" s="4" t="str">
        <f>HYPERLINK("https://twitter.com/sergio_fajardo","@sergio_fajardo")</f>
        <v>@sergio_fajardo</v>
      </c>
      <c r="C2100" s="5" t="s">
        <v>16</v>
      </c>
      <c r="D2100" s="5" t="s">
        <v>2120</v>
      </c>
      <c r="E2100" s="6" t="str">
        <f>HYPERLINK("https://twitter.com/sergio_fajardo/status/1387573061982072832","1387573061982072832")</f>
        <v>1387573061982072832</v>
      </c>
      <c r="F2100" s="7" t="s">
        <v>20</v>
      </c>
      <c r="G2100" s="7">
        <v>1572009</v>
      </c>
      <c r="H2100" s="7">
        <v>412</v>
      </c>
      <c r="I2100" s="7">
        <v>0</v>
      </c>
      <c r="J2100" s="7">
        <v>1</v>
      </c>
      <c r="K2100" s="7" t="s">
        <v>18</v>
      </c>
      <c r="L2100" s="8">
        <v>39891.213356481479</v>
      </c>
      <c r="M2100" s="9" t="s">
        <v>19</v>
      </c>
      <c r="N2100" s="9" t="s">
        <v>22</v>
      </c>
      <c r="O2100" s="6" t="str">
        <f>HYPERLINK("https://pbs.twimg.com/profile_images/988971255679324162/jrqiIYf__normal.jpg","View")</f>
        <v>View</v>
      </c>
      <c r="P2100" s="7"/>
    </row>
    <row r="2101" spans="1:16">
      <c r="A2101" s="3">
        <v>44315.757766203707</v>
      </c>
      <c r="B2101" s="4" t="str">
        <f>HYPERLINK("https://twitter.com/sergio_fajardo","@sergio_fajardo")</f>
        <v>@sergio_fajardo</v>
      </c>
      <c r="C2101" s="5" t="s">
        <v>16</v>
      </c>
      <c r="D2101" s="5" t="s">
        <v>2121</v>
      </c>
      <c r="E2101" s="6" t="str">
        <f>HYPERLINK("https://twitter.com/sergio_fajardo/status/1387748797401403395","1387748797401403395")</f>
        <v>1387748797401403395</v>
      </c>
      <c r="F2101" s="7" t="s">
        <v>20</v>
      </c>
      <c r="G2101" s="7">
        <v>1572198</v>
      </c>
      <c r="H2101" s="7">
        <v>411</v>
      </c>
      <c r="I2101" s="7">
        <v>11</v>
      </c>
      <c r="J2101" s="7">
        <v>37</v>
      </c>
      <c r="K2101" s="7" t="s">
        <v>18</v>
      </c>
      <c r="L2101" s="8">
        <v>39891.213356481479</v>
      </c>
      <c r="M2101" s="9" t="s">
        <v>19</v>
      </c>
      <c r="N2101" s="9" t="s">
        <v>22</v>
      </c>
      <c r="O2101" s="6" t="str">
        <f>HYPERLINK("https://pbs.twimg.com/profile_images/988971255679324162/jrqiIYf__normal.jpg","View")</f>
        <v>View</v>
      </c>
      <c r="P2101" s="7"/>
    </row>
    <row r="2102" spans="1:16">
      <c r="A2102" s="3">
        <v>44315.984710648147</v>
      </c>
      <c r="B2102" s="4" t="str">
        <f>HYPERLINK("https://twitter.com/sergio_fajardo","@sergio_fajardo")</f>
        <v>@sergio_fajardo</v>
      </c>
      <c r="C2102" s="5" t="s">
        <v>16</v>
      </c>
      <c r="D2102" s="5" t="s">
        <v>2122</v>
      </c>
      <c r="E2102" s="6" t="str">
        <f>HYPERLINK("https://twitter.com/sergio_fajardo/status/1387831042300682240","1387831042300682240")</f>
        <v>1387831042300682240</v>
      </c>
      <c r="F2102" s="7" t="s">
        <v>17</v>
      </c>
      <c r="G2102" s="7">
        <v>1572302</v>
      </c>
      <c r="H2102" s="7">
        <v>411</v>
      </c>
      <c r="I2102" s="7">
        <v>43</v>
      </c>
      <c r="J2102" s="7">
        <v>227</v>
      </c>
      <c r="K2102" s="7" t="s">
        <v>18</v>
      </c>
      <c r="L2102" s="8">
        <v>39891.213356481479</v>
      </c>
      <c r="M2102" s="9" t="s">
        <v>19</v>
      </c>
      <c r="N2102" s="9" t="s">
        <v>22</v>
      </c>
      <c r="O2102" s="6" t="str">
        <f>HYPERLINK("https://pbs.twimg.com/profile_images/988971255679324162/jrqiIYf__normal.jpg","View")</f>
        <v>View</v>
      </c>
      <c r="P2102" s="7"/>
    </row>
    <row r="2103" spans="1:16">
      <c r="A2103" s="3">
        <v>44317.01699074074</v>
      </c>
      <c r="B2103" s="4" t="str">
        <f>HYPERLINK("https://twitter.com/sergio_fajardo","@sergio_fajardo")</f>
        <v>@sergio_fajardo</v>
      </c>
      <c r="C2103" s="5" t="s">
        <v>16</v>
      </c>
      <c r="D2103" s="5" t="s">
        <v>2123</v>
      </c>
      <c r="E2103" s="6" t="str">
        <f>HYPERLINK("https://twitter.com/sergio_fajardo/status/1388205126863794176","1388205126863794176")</f>
        <v>1388205126863794176</v>
      </c>
      <c r="F2103" s="7" t="s">
        <v>23</v>
      </c>
      <c r="G2103" s="7">
        <v>1572572</v>
      </c>
      <c r="H2103" s="7">
        <v>411</v>
      </c>
      <c r="I2103" s="7">
        <v>16</v>
      </c>
      <c r="J2103" s="7">
        <v>58</v>
      </c>
      <c r="K2103" s="7" t="s">
        <v>18</v>
      </c>
      <c r="L2103" s="8">
        <v>39891.213356481479</v>
      </c>
      <c r="M2103" s="9" t="s">
        <v>19</v>
      </c>
      <c r="N2103" s="9" t="s">
        <v>22</v>
      </c>
      <c r="O2103" s="6" t="str">
        <f>HYPERLINK("https://pbs.twimg.com/profile_images/988971255679324162/jrqiIYf__normal.jpg","View")</f>
        <v>View</v>
      </c>
      <c r="P2103" s="7"/>
    </row>
    <row r="2104" spans="1:16">
      <c r="A2104" s="3">
        <v>44317.017175925925</v>
      </c>
      <c r="B2104" s="4" t="str">
        <f>HYPERLINK("https://twitter.com/sergio_fajardo","@sergio_fajardo")</f>
        <v>@sergio_fajardo</v>
      </c>
      <c r="C2104" s="5" t="s">
        <v>16</v>
      </c>
      <c r="D2104" s="5" t="s">
        <v>2124</v>
      </c>
      <c r="E2104" s="6" t="str">
        <f>HYPERLINK("https://twitter.com/sergio_fajardo/status/1388205194731827203","1388205194731827203")</f>
        <v>1388205194731827203</v>
      </c>
      <c r="F2104" s="7" t="s">
        <v>23</v>
      </c>
      <c r="G2104" s="7">
        <v>1572572</v>
      </c>
      <c r="H2104" s="7">
        <v>411</v>
      </c>
      <c r="I2104" s="7">
        <v>5</v>
      </c>
      <c r="J2104" s="7">
        <v>30</v>
      </c>
      <c r="K2104" s="7" t="s">
        <v>18</v>
      </c>
      <c r="L2104" s="8">
        <v>39891.213356481479</v>
      </c>
      <c r="M2104" s="9" t="s">
        <v>19</v>
      </c>
      <c r="N2104" s="9" t="s">
        <v>22</v>
      </c>
      <c r="O2104" s="6" t="str">
        <f>HYPERLINK("https://pbs.twimg.com/profile_images/988971255679324162/jrqiIYf__normal.jpg","View")</f>
        <v>View</v>
      </c>
      <c r="P2104" s="7"/>
    </row>
    <row r="2105" spans="1:16">
      <c r="A2105" s="3">
        <v>44317.017442129625</v>
      </c>
      <c r="B2105" s="4" t="str">
        <f>HYPERLINK("https://twitter.com/sergio_fajardo","@sergio_fajardo")</f>
        <v>@sergio_fajardo</v>
      </c>
      <c r="C2105" s="5" t="s">
        <v>16</v>
      </c>
      <c r="D2105" s="5" t="s">
        <v>2125</v>
      </c>
      <c r="E2105" s="6" t="str">
        <f>HYPERLINK("https://twitter.com/sergio_fajardo/status/1388205289502040065","1388205289502040065")</f>
        <v>1388205289502040065</v>
      </c>
      <c r="F2105" s="7" t="s">
        <v>23</v>
      </c>
      <c r="G2105" s="7">
        <v>1572572</v>
      </c>
      <c r="H2105" s="7">
        <v>411</v>
      </c>
      <c r="I2105" s="7">
        <v>4</v>
      </c>
      <c r="J2105" s="7">
        <v>22</v>
      </c>
      <c r="K2105" s="7" t="s">
        <v>18</v>
      </c>
      <c r="L2105" s="8">
        <v>39891.213356481479</v>
      </c>
      <c r="M2105" s="9" t="s">
        <v>19</v>
      </c>
      <c r="N2105" s="9" t="s">
        <v>22</v>
      </c>
      <c r="O2105" s="6" t="str">
        <f>HYPERLINK("https://pbs.twimg.com/profile_images/988971255679324162/jrqiIYf__normal.jpg","View")</f>
        <v>View</v>
      </c>
      <c r="P2105" s="7"/>
    </row>
    <row r="2106" spans="1:16">
      <c r="A2106" s="3">
        <v>44317.017696759256</v>
      </c>
      <c r="B2106" s="4" t="str">
        <f>HYPERLINK("https://twitter.com/sergio_fajardo","@sergio_fajardo")</f>
        <v>@sergio_fajardo</v>
      </c>
      <c r="C2106" s="5" t="s">
        <v>16</v>
      </c>
      <c r="D2106" s="5" t="s">
        <v>2126</v>
      </c>
      <c r="E2106" s="6" t="str">
        <f>HYPERLINK("https://twitter.com/sergio_fajardo/status/1388205381743173632","1388205381743173632")</f>
        <v>1388205381743173632</v>
      </c>
      <c r="F2106" s="7" t="s">
        <v>23</v>
      </c>
      <c r="G2106" s="7">
        <v>1572572</v>
      </c>
      <c r="H2106" s="7">
        <v>411</v>
      </c>
      <c r="I2106" s="7">
        <v>3</v>
      </c>
      <c r="J2106" s="7">
        <v>23</v>
      </c>
      <c r="K2106" s="7" t="s">
        <v>18</v>
      </c>
      <c r="L2106" s="8">
        <v>39891.213356481479</v>
      </c>
      <c r="M2106" s="9" t="s">
        <v>19</v>
      </c>
      <c r="N2106" s="9" t="s">
        <v>22</v>
      </c>
      <c r="O2106" s="6" t="str">
        <f>HYPERLINK("https://pbs.twimg.com/profile_images/988971255679324162/jrqiIYf__normal.jpg","View")</f>
        <v>View</v>
      </c>
      <c r="P2106" s="7"/>
    </row>
    <row r="2107" spans="1:16">
      <c r="A2107" s="3">
        <v>44317.947870370372</v>
      </c>
      <c r="B2107" s="4" t="str">
        <f>HYPERLINK("https://twitter.com/sergio_fajardo","@sergio_fajardo")</f>
        <v>@sergio_fajardo</v>
      </c>
      <c r="C2107" s="5" t="s">
        <v>16</v>
      </c>
      <c r="D2107" s="5" t="s">
        <v>2127</v>
      </c>
      <c r="E2107" s="6" t="str">
        <f>HYPERLINK("https://twitter.com/sergio_fajardo/status/1388542468359139333","1388542468359139333")</f>
        <v>1388542468359139333</v>
      </c>
      <c r="F2107" s="7" t="s">
        <v>17</v>
      </c>
      <c r="G2107" s="7">
        <v>1573023</v>
      </c>
      <c r="H2107" s="7">
        <v>410</v>
      </c>
      <c r="I2107" s="7">
        <v>133</v>
      </c>
      <c r="J2107" s="7">
        <v>485</v>
      </c>
      <c r="K2107" s="7" t="s">
        <v>18</v>
      </c>
      <c r="L2107" s="8">
        <v>39891.213356481479</v>
      </c>
      <c r="M2107" s="9" t="s">
        <v>19</v>
      </c>
      <c r="N2107" s="9" t="s">
        <v>22</v>
      </c>
      <c r="O2107" s="6" t="str">
        <f>HYPERLINK("https://pbs.twimg.com/profile_images/988971255679324162/jrqiIYf__normal.jpg","View")</f>
        <v>View</v>
      </c>
      <c r="P2107" s="7"/>
    </row>
    <row r="2108" spans="1:16">
      <c r="A2108" s="3">
        <v>44318.254317129627</v>
      </c>
      <c r="B2108" s="4" t="str">
        <f>HYPERLINK("https://twitter.com/sergio_fajardo","@sergio_fajardo")</f>
        <v>@sergio_fajardo</v>
      </c>
      <c r="C2108" s="5" t="s">
        <v>16</v>
      </c>
      <c r="D2108" s="5" t="s">
        <v>2128</v>
      </c>
      <c r="E2108" s="6" t="str">
        <f>HYPERLINK("https://twitter.com/sergio_fajardo/status/1388653518333042690","1388653518333042690")</f>
        <v>1388653518333042690</v>
      </c>
      <c r="F2108" s="7" t="s">
        <v>20</v>
      </c>
      <c r="G2108" s="7">
        <v>1573272</v>
      </c>
      <c r="H2108" s="7">
        <v>410</v>
      </c>
      <c r="I2108" s="7">
        <v>71</v>
      </c>
      <c r="J2108" s="7">
        <v>181</v>
      </c>
      <c r="K2108" s="7" t="s">
        <v>18</v>
      </c>
      <c r="L2108" s="8">
        <v>39891.213356481479</v>
      </c>
      <c r="M2108" s="9" t="s">
        <v>19</v>
      </c>
      <c r="N2108" s="9" t="s">
        <v>22</v>
      </c>
      <c r="O2108" s="6" t="str">
        <f>HYPERLINK("https://pbs.twimg.com/profile_images/988971255679324162/jrqiIYf__normal.jpg","View")</f>
        <v>View</v>
      </c>
      <c r="P2108" s="7"/>
    </row>
    <row r="2109" spans="1:16">
      <c r="A2109" s="3">
        <v>44318.792858796296</v>
      </c>
      <c r="B2109" s="4" t="str">
        <f>HYPERLINK("https://twitter.com/sergio_fajardo","@sergio_fajardo")</f>
        <v>@sergio_fajardo</v>
      </c>
      <c r="C2109" s="5" t="s">
        <v>16</v>
      </c>
      <c r="D2109" s="5" t="s">
        <v>2129</v>
      </c>
      <c r="E2109" s="6" t="str">
        <f>HYPERLINK("https://twitter.com/sergio_fajardo/status/1388848680149659651","1388848680149659651")</f>
        <v>1388848680149659651</v>
      </c>
      <c r="F2109" s="7" t="s">
        <v>20</v>
      </c>
      <c r="G2109" s="7">
        <v>1573598</v>
      </c>
      <c r="H2109" s="7">
        <v>410</v>
      </c>
      <c r="I2109" s="7">
        <v>1</v>
      </c>
      <c r="J2109" s="7">
        <v>4</v>
      </c>
      <c r="K2109" s="7" t="s">
        <v>18</v>
      </c>
      <c r="L2109" s="8">
        <v>39891.213356481479</v>
      </c>
      <c r="M2109" s="9" t="s">
        <v>19</v>
      </c>
      <c r="N2109" s="9" t="s">
        <v>22</v>
      </c>
      <c r="O2109" s="6" t="str">
        <f>HYPERLINK("https://pbs.twimg.com/profile_images/988971255679324162/jrqiIYf__normal.jpg","View")</f>
        <v>View</v>
      </c>
      <c r="P2109" s="7"/>
    </row>
    <row r="2110" spans="1:16">
      <c r="A2110" s="3">
        <v>44318.903692129628</v>
      </c>
      <c r="B2110" s="4" t="str">
        <f>HYPERLINK("https://twitter.com/sergio_fajardo","@sergio_fajardo")</f>
        <v>@sergio_fajardo</v>
      </c>
      <c r="C2110" s="5" t="s">
        <v>16</v>
      </c>
      <c r="D2110" s="5" t="s">
        <v>2130</v>
      </c>
      <c r="E2110" s="6" t="str">
        <f>HYPERLINK("https://twitter.com/sergio_fajardo/status/1388888843269640193","1388888843269640193")</f>
        <v>1388888843269640193</v>
      </c>
      <c r="F2110" s="7" t="s">
        <v>17</v>
      </c>
      <c r="G2110" s="7">
        <v>1573722</v>
      </c>
      <c r="H2110" s="7">
        <v>410</v>
      </c>
      <c r="I2110" s="7">
        <v>237</v>
      </c>
      <c r="J2110" s="7">
        <v>0</v>
      </c>
      <c r="K2110" s="7" t="s">
        <v>18</v>
      </c>
      <c r="L2110" s="8">
        <v>39891.213356481479</v>
      </c>
      <c r="M2110" s="9" t="s">
        <v>19</v>
      </c>
      <c r="N2110" s="9" t="s">
        <v>22</v>
      </c>
      <c r="O2110" s="6" t="str">
        <f>HYPERLINK("https://pbs.twimg.com/profile_images/988971255679324162/jrqiIYf__normal.jpg","View")</f>
        <v>View</v>
      </c>
      <c r="P2110" s="7"/>
    </row>
    <row r="2111" spans="1:16">
      <c r="A2111" s="3">
        <v>44318.965254629627</v>
      </c>
      <c r="B2111" s="4" t="str">
        <f>HYPERLINK("https://twitter.com/sergio_fajardo","@sergio_fajardo")</f>
        <v>@sergio_fajardo</v>
      </c>
      <c r="C2111" s="5" t="s">
        <v>16</v>
      </c>
      <c r="D2111" s="5" t="s">
        <v>2131</v>
      </c>
      <c r="E2111" s="6" t="str">
        <f>HYPERLINK("https://twitter.com/sergio_fajardo/status/1388911153305243654","1388911153305243654")</f>
        <v>1388911153305243654</v>
      </c>
      <c r="F2111" s="7" t="s">
        <v>20</v>
      </c>
      <c r="G2111" s="7">
        <v>1573819</v>
      </c>
      <c r="H2111" s="7">
        <v>410</v>
      </c>
      <c r="I2111" s="7">
        <v>153</v>
      </c>
      <c r="J2111" s="7">
        <v>814</v>
      </c>
      <c r="K2111" s="7" t="s">
        <v>18</v>
      </c>
      <c r="L2111" s="8">
        <v>39891.213356481479</v>
      </c>
      <c r="M2111" s="9" t="s">
        <v>19</v>
      </c>
      <c r="N2111" s="9" t="s">
        <v>22</v>
      </c>
      <c r="O2111" s="6" t="str">
        <f>HYPERLINK("https://pbs.twimg.com/profile_images/988971255679324162/jrqiIYf__normal.jpg","View")</f>
        <v>View</v>
      </c>
      <c r="P2111" s="7"/>
    </row>
    <row r="2112" spans="1:16">
      <c r="A2112" s="3">
        <v>44318.989548611113</v>
      </c>
      <c r="B2112" s="4" t="str">
        <f>HYPERLINK("https://twitter.com/sergio_fajardo","@sergio_fajardo")</f>
        <v>@sergio_fajardo</v>
      </c>
      <c r="C2112" s="5" t="s">
        <v>16</v>
      </c>
      <c r="D2112" s="5" t="s">
        <v>2132</v>
      </c>
      <c r="E2112" s="6" t="str">
        <f>HYPERLINK("https://twitter.com/sergio_fajardo/status/1388919959435231235","1388919959435231235")</f>
        <v>1388919959435231235</v>
      </c>
      <c r="F2112" s="7" t="s">
        <v>20</v>
      </c>
      <c r="G2112" s="7">
        <v>1573872</v>
      </c>
      <c r="H2112" s="7">
        <v>410</v>
      </c>
      <c r="I2112" s="7">
        <v>39</v>
      </c>
      <c r="J2112" s="7">
        <v>152</v>
      </c>
      <c r="K2112" s="7" t="s">
        <v>18</v>
      </c>
      <c r="L2112" s="8">
        <v>39891.213356481479</v>
      </c>
      <c r="M2112" s="9" t="s">
        <v>19</v>
      </c>
      <c r="N2112" s="9" t="s">
        <v>22</v>
      </c>
      <c r="O2112" s="6" t="str">
        <f>HYPERLINK("https://pbs.twimg.com/profile_images/988971255679324162/jrqiIYf__normal.jpg","View")</f>
        <v>View</v>
      </c>
      <c r="P2112" s="7"/>
    </row>
    <row r="2113" spans="1:16">
      <c r="A2113" s="3">
        <v>44319.205162037033</v>
      </c>
      <c r="B2113" s="4" t="str">
        <f>HYPERLINK("https://twitter.com/sergio_fajardo","@sergio_fajardo")</f>
        <v>@sergio_fajardo</v>
      </c>
      <c r="C2113" s="5" t="s">
        <v>16</v>
      </c>
      <c r="D2113" s="5" t="s">
        <v>2133</v>
      </c>
      <c r="E2113" s="6" t="str">
        <f>HYPERLINK("https://twitter.com/sergio_fajardo/status/1388998095564906497","1388998095564906497")</f>
        <v>1388998095564906497</v>
      </c>
      <c r="F2113" s="7" t="s">
        <v>20</v>
      </c>
      <c r="G2113" s="7">
        <v>1574168</v>
      </c>
      <c r="H2113" s="7">
        <v>411</v>
      </c>
      <c r="I2113" s="7">
        <v>20</v>
      </c>
      <c r="J2113" s="7">
        <v>131</v>
      </c>
      <c r="K2113" s="7" t="s">
        <v>18</v>
      </c>
      <c r="L2113" s="8">
        <v>39891.213356481479</v>
      </c>
      <c r="M2113" s="9" t="s">
        <v>19</v>
      </c>
      <c r="N2113" s="9" t="s">
        <v>22</v>
      </c>
      <c r="O2113" s="6" t="str">
        <f>HYPERLINK("https://pbs.twimg.com/profile_images/988971255679324162/jrqiIYf__normal.jpg","View")</f>
        <v>View</v>
      </c>
      <c r="P2113" s="7"/>
    </row>
    <row r="2114" spans="1:16">
      <c r="A2114" s="3">
        <v>44319.301168981481</v>
      </c>
      <c r="B2114" s="4" t="str">
        <f>HYPERLINK("https://twitter.com/sergio_fajardo","@sergio_fajardo")</f>
        <v>@sergio_fajardo</v>
      </c>
      <c r="C2114" s="5" t="s">
        <v>16</v>
      </c>
      <c r="D2114" s="5" t="s">
        <v>2134</v>
      </c>
      <c r="E2114" s="6" t="str">
        <f>HYPERLINK("https://twitter.com/sergio_fajardo/status/1389032884963512328","1389032884963512328")</f>
        <v>1389032884963512328</v>
      </c>
      <c r="F2114" s="7" t="s">
        <v>20</v>
      </c>
      <c r="G2114" s="7">
        <v>1574299</v>
      </c>
      <c r="H2114" s="7">
        <v>411</v>
      </c>
      <c r="I2114" s="7">
        <v>43</v>
      </c>
      <c r="J2114" s="7">
        <v>240</v>
      </c>
      <c r="K2114" s="7" t="s">
        <v>18</v>
      </c>
      <c r="L2114" s="8">
        <v>39891.213356481479</v>
      </c>
      <c r="M2114" s="9" t="s">
        <v>19</v>
      </c>
      <c r="N2114" s="9" t="s">
        <v>22</v>
      </c>
      <c r="O2114" s="6" t="str">
        <f>HYPERLINK("https://pbs.twimg.com/profile_images/988971255679324162/jrqiIYf__normal.jpg","View")</f>
        <v>View</v>
      </c>
      <c r="P2114" s="7"/>
    </row>
    <row r="2115" spans="1:16">
      <c r="A2115" s="3">
        <v>44319.301747685182</v>
      </c>
      <c r="B2115" s="4" t="str">
        <f>HYPERLINK("https://twitter.com/sergio_fajardo","@sergio_fajardo")</f>
        <v>@sergio_fajardo</v>
      </c>
      <c r="C2115" s="5" t="s">
        <v>16</v>
      </c>
      <c r="D2115" s="5" t="s">
        <v>2135</v>
      </c>
      <c r="E2115" s="6" t="str">
        <f>HYPERLINK("https://twitter.com/sergio_fajardo/status/1389033093831569411","1389033093831569411")</f>
        <v>1389033093831569411</v>
      </c>
      <c r="F2115" s="7" t="s">
        <v>20</v>
      </c>
      <c r="G2115" s="7">
        <v>1574299</v>
      </c>
      <c r="H2115" s="7">
        <v>411</v>
      </c>
      <c r="I2115" s="7">
        <v>26</v>
      </c>
      <c r="J2115" s="7">
        <v>180</v>
      </c>
      <c r="K2115" s="7" t="s">
        <v>18</v>
      </c>
      <c r="L2115" s="8">
        <v>39891.213356481479</v>
      </c>
      <c r="M2115" s="9" t="s">
        <v>19</v>
      </c>
      <c r="N2115" s="9" t="s">
        <v>22</v>
      </c>
      <c r="O2115" s="6" t="str">
        <f>HYPERLINK("https://pbs.twimg.com/profile_images/988971255679324162/jrqiIYf__normal.jpg","View")</f>
        <v>View</v>
      </c>
      <c r="P2115" s="7"/>
    </row>
    <row r="2116" spans="1:16">
      <c r="A2116" s="3">
        <v>44319.311736111107</v>
      </c>
      <c r="B2116" s="4" t="str">
        <f>HYPERLINK("https://twitter.com/sergio_fajardo","@sergio_fajardo")</f>
        <v>@sergio_fajardo</v>
      </c>
      <c r="C2116" s="5" t="s">
        <v>16</v>
      </c>
      <c r="D2116" s="5" t="s">
        <v>2136</v>
      </c>
      <c r="E2116" s="6" t="str">
        <f>HYPERLINK("https://twitter.com/sergio_fajardo/status/1389036714014957570","1389036714014957570")</f>
        <v>1389036714014957570</v>
      </c>
      <c r="F2116" s="7" t="s">
        <v>20</v>
      </c>
      <c r="G2116" s="7">
        <v>1574299</v>
      </c>
      <c r="H2116" s="7">
        <v>411</v>
      </c>
      <c r="I2116" s="7">
        <v>0</v>
      </c>
      <c r="J2116" s="7">
        <v>2</v>
      </c>
      <c r="K2116" s="7" t="s">
        <v>18</v>
      </c>
      <c r="L2116" s="8">
        <v>39891.213356481479</v>
      </c>
      <c r="M2116" s="9" t="s">
        <v>19</v>
      </c>
      <c r="N2116" s="9" t="s">
        <v>22</v>
      </c>
      <c r="O2116" s="6" t="str">
        <f>HYPERLINK("https://pbs.twimg.com/profile_images/988971255679324162/jrqiIYf__normal.jpg","View")</f>
        <v>View</v>
      </c>
      <c r="P2116" s="7"/>
    </row>
    <row r="2117" spans="1:16">
      <c r="A2117" s="3">
        <v>44319.777951388889</v>
      </c>
      <c r="B2117" s="4" t="str">
        <f>HYPERLINK("https://twitter.com/sergio_fajardo","@sergio_fajardo")</f>
        <v>@sergio_fajardo</v>
      </c>
      <c r="C2117" s="5" t="s">
        <v>16</v>
      </c>
      <c r="D2117" s="5" t="s">
        <v>2137</v>
      </c>
      <c r="E2117" s="6" t="str">
        <f>HYPERLINK("https://twitter.com/sergio_fajardo/status/1389205664640155654","1389205664640155654")</f>
        <v>1389205664640155654</v>
      </c>
      <c r="F2117" s="7" t="s">
        <v>20</v>
      </c>
      <c r="G2117" s="7">
        <v>1574465</v>
      </c>
      <c r="H2117" s="7">
        <v>411</v>
      </c>
      <c r="I2117" s="7">
        <v>104</v>
      </c>
      <c r="J2117" s="7">
        <v>0</v>
      </c>
      <c r="K2117" s="7" t="s">
        <v>18</v>
      </c>
      <c r="L2117" s="8">
        <v>39891.213356481479</v>
      </c>
      <c r="M2117" s="9" t="s">
        <v>19</v>
      </c>
      <c r="N2117" s="9" t="s">
        <v>22</v>
      </c>
      <c r="O2117" s="6" t="str">
        <f>HYPERLINK("https://pbs.twimg.com/profile_images/988971255679324162/jrqiIYf__normal.jpg","View")</f>
        <v>View</v>
      </c>
      <c r="P2117" s="7"/>
    </row>
    <row r="2118" spans="1:16">
      <c r="A2118" s="3">
        <v>44320.165717592594</v>
      </c>
      <c r="B2118" s="4" t="str">
        <f>HYPERLINK("https://twitter.com/sergio_fajardo","@sergio_fajardo")</f>
        <v>@sergio_fajardo</v>
      </c>
      <c r="C2118" s="5" t="s">
        <v>16</v>
      </c>
      <c r="D2118" s="5" t="s">
        <v>2138</v>
      </c>
      <c r="E2118" s="6" t="str">
        <f>HYPERLINK("https://twitter.com/sergio_fajardo/status/1389346189175369728","1389346189175369728")</f>
        <v>1389346189175369728</v>
      </c>
      <c r="F2118" s="7" t="s">
        <v>23</v>
      </c>
      <c r="G2118" s="7">
        <v>1574890</v>
      </c>
      <c r="H2118" s="7">
        <v>411</v>
      </c>
      <c r="I2118" s="7">
        <v>29</v>
      </c>
      <c r="J2118" s="7">
        <v>76</v>
      </c>
      <c r="K2118" s="7" t="s">
        <v>18</v>
      </c>
      <c r="L2118" s="8">
        <v>39891.213356481479</v>
      </c>
      <c r="M2118" s="9" t="s">
        <v>19</v>
      </c>
      <c r="N2118" s="9" t="s">
        <v>22</v>
      </c>
      <c r="O2118" s="6" t="str">
        <f>HYPERLINK("https://pbs.twimg.com/profile_images/988971255679324162/jrqiIYf__normal.jpg","View")</f>
        <v>View</v>
      </c>
      <c r="P2118" s="7"/>
    </row>
    <row r="2119" spans="1:16">
      <c r="A2119" s="3">
        <v>44320.718865740739</v>
      </c>
      <c r="B2119" s="4" t="str">
        <f>HYPERLINK("https://twitter.com/sergio_fajardo","@sergio_fajardo")</f>
        <v>@sergio_fajardo</v>
      </c>
      <c r="C2119" s="5" t="s">
        <v>16</v>
      </c>
      <c r="D2119" s="5" t="s">
        <v>2139</v>
      </c>
      <c r="E2119" s="6" t="str">
        <f>HYPERLINK("https://twitter.com/sergio_fajardo/status/1389546642207125507","1389546642207125507")</f>
        <v>1389546642207125507</v>
      </c>
      <c r="F2119" s="7" t="s">
        <v>23</v>
      </c>
      <c r="G2119" s="7">
        <v>1575308</v>
      </c>
      <c r="H2119" s="7">
        <v>411</v>
      </c>
      <c r="I2119" s="7">
        <v>133</v>
      </c>
      <c r="J2119" s="7">
        <v>480</v>
      </c>
      <c r="K2119" s="7" t="s">
        <v>18</v>
      </c>
      <c r="L2119" s="8">
        <v>39891.213356481479</v>
      </c>
      <c r="M2119" s="9" t="s">
        <v>19</v>
      </c>
      <c r="N2119" s="9" t="s">
        <v>22</v>
      </c>
      <c r="O2119" s="6" t="str">
        <f>HYPERLINK("https://pbs.twimg.com/profile_images/988971255679324162/jrqiIYf__normal.jpg","View")</f>
        <v>View</v>
      </c>
      <c r="P2119" s="7"/>
    </row>
    <row r="2120" spans="1:16">
      <c r="A2120" s="3">
        <v>44320.863784722227</v>
      </c>
      <c r="B2120" s="4" t="str">
        <f>HYPERLINK("https://twitter.com/sergio_fajardo","@sergio_fajardo")</f>
        <v>@sergio_fajardo</v>
      </c>
      <c r="C2120" s="5" t="s">
        <v>16</v>
      </c>
      <c r="D2120" s="5" t="s">
        <v>2140</v>
      </c>
      <c r="E2120" s="6" t="str">
        <f>HYPERLINK("https://twitter.com/sergio_fajardo/status/1389599158542213124","1389599158542213124")</f>
        <v>1389599158542213124</v>
      </c>
      <c r="F2120" s="7" t="s">
        <v>23</v>
      </c>
      <c r="G2120" s="7">
        <v>1575603</v>
      </c>
      <c r="H2120" s="7">
        <v>411</v>
      </c>
      <c r="I2120" s="7">
        <v>76</v>
      </c>
      <c r="J2120" s="7">
        <v>427</v>
      </c>
      <c r="K2120" s="7" t="s">
        <v>18</v>
      </c>
      <c r="L2120" s="8">
        <v>39891.213356481479</v>
      </c>
      <c r="M2120" s="9" t="s">
        <v>19</v>
      </c>
      <c r="N2120" s="9" t="s">
        <v>22</v>
      </c>
      <c r="O2120" s="6" t="str">
        <f>HYPERLINK("https://pbs.twimg.com/profile_images/988971255679324162/jrqiIYf__normal.jpg","View")</f>
        <v>View</v>
      </c>
      <c r="P2120" s="7"/>
    </row>
    <row r="2121" spans="1:16">
      <c r="A2121" s="3">
        <v>44321.090474537035</v>
      </c>
      <c r="B2121" s="4" t="str">
        <f>HYPERLINK("https://twitter.com/sergio_fajardo","@sergio_fajardo")</f>
        <v>@sergio_fajardo</v>
      </c>
      <c r="C2121" s="5" t="s">
        <v>16</v>
      </c>
      <c r="D2121" s="5" t="s">
        <v>2141</v>
      </c>
      <c r="E2121" s="6" t="str">
        <f>HYPERLINK("https://twitter.com/sergio_fajardo/status/1389681307312168961","1389681307312168961")</f>
        <v>1389681307312168961</v>
      </c>
      <c r="F2121" s="7" t="s">
        <v>20</v>
      </c>
      <c r="G2121" s="7">
        <v>1576184</v>
      </c>
      <c r="H2121" s="7">
        <v>411</v>
      </c>
      <c r="I2121" s="7">
        <v>476</v>
      </c>
      <c r="J2121" s="7">
        <v>0</v>
      </c>
      <c r="K2121" s="7" t="s">
        <v>18</v>
      </c>
      <c r="L2121" s="8">
        <v>39891.213356481479</v>
      </c>
      <c r="M2121" s="9" t="s">
        <v>19</v>
      </c>
      <c r="N2121" s="9" t="s">
        <v>22</v>
      </c>
      <c r="O2121" s="6" t="str">
        <f>HYPERLINK("https://pbs.twimg.com/profile_images/988971255679324162/jrqiIYf__normal.jpg","View")</f>
        <v>View</v>
      </c>
      <c r="P2121" s="7"/>
    </row>
    <row r="2122" spans="1:16">
      <c r="A2122" s="3">
        <v>44321.13559027778</v>
      </c>
      <c r="B2122" s="4" t="str">
        <f>HYPERLINK("https://twitter.com/sergio_fajardo","@sergio_fajardo")</f>
        <v>@sergio_fajardo</v>
      </c>
      <c r="C2122" s="5" t="s">
        <v>16</v>
      </c>
      <c r="D2122" s="5" t="s">
        <v>2142</v>
      </c>
      <c r="E2122" s="6" t="str">
        <f>HYPERLINK("https://twitter.com/sergio_fajardo/status/1389697656570748939","1389697656570748939")</f>
        <v>1389697656570748939</v>
      </c>
      <c r="F2122" s="7" t="s">
        <v>20</v>
      </c>
      <c r="G2122" s="7">
        <v>1576245</v>
      </c>
      <c r="H2122" s="7">
        <v>411</v>
      </c>
      <c r="I2122" s="7">
        <v>146</v>
      </c>
      <c r="J2122" s="7">
        <v>736</v>
      </c>
      <c r="K2122" s="7" t="s">
        <v>18</v>
      </c>
      <c r="L2122" s="8">
        <v>39891.213356481479</v>
      </c>
      <c r="M2122" s="9" t="s">
        <v>19</v>
      </c>
      <c r="N2122" s="9" t="s">
        <v>22</v>
      </c>
      <c r="O2122" s="6" t="str">
        <f>HYPERLINK("https://pbs.twimg.com/profile_images/988971255679324162/jrqiIYf__normal.jpg","View")</f>
        <v>View</v>
      </c>
      <c r="P2122" s="7"/>
    </row>
    <row r="2123" spans="1:16">
      <c r="A2123" s="3">
        <v>44321.200868055559</v>
      </c>
      <c r="B2123" s="4" t="str">
        <f>HYPERLINK("https://twitter.com/sergio_fajardo","@sergio_fajardo")</f>
        <v>@sergio_fajardo</v>
      </c>
      <c r="C2123" s="5" t="s">
        <v>16</v>
      </c>
      <c r="D2123" s="5" t="s">
        <v>2143</v>
      </c>
      <c r="E2123" s="6" t="str">
        <f>HYPERLINK("https://twitter.com/sergio_fajardo/status/1389721313753849860","1389721313753849860")</f>
        <v>1389721313753849860</v>
      </c>
      <c r="F2123" s="7" t="s">
        <v>20</v>
      </c>
      <c r="G2123" s="7">
        <v>1576357</v>
      </c>
      <c r="H2123" s="7">
        <v>411</v>
      </c>
      <c r="I2123" s="7">
        <v>3</v>
      </c>
      <c r="J2123" s="7">
        <v>8</v>
      </c>
      <c r="K2123" s="7" t="s">
        <v>18</v>
      </c>
      <c r="L2123" s="8">
        <v>39891.213356481479</v>
      </c>
      <c r="M2123" s="9" t="s">
        <v>19</v>
      </c>
      <c r="N2123" s="9" t="s">
        <v>22</v>
      </c>
      <c r="O2123" s="6" t="str">
        <f>HYPERLINK("https://pbs.twimg.com/profile_images/988971255679324162/jrqiIYf__normal.jpg","View")</f>
        <v>View</v>
      </c>
      <c r="P2123" s="7"/>
    </row>
    <row r="2124" spans="1:16">
      <c r="A2124" s="3">
        <v>44321.662615740745</v>
      </c>
      <c r="B2124" s="4" t="str">
        <f>HYPERLINK("https://twitter.com/sergio_fajardo","@sergio_fajardo")</f>
        <v>@sergio_fajardo</v>
      </c>
      <c r="C2124" s="5" t="s">
        <v>16</v>
      </c>
      <c r="D2124" s="5" t="s">
        <v>2144</v>
      </c>
      <c r="E2124" s="6" t="str">
        <f>HYPERLINK("https://twitter.com/sergio_fajardo/status/1389888643398053888","1389888643398053888")</f>
        <v>1389888643398053888</v>
      </c>
      <c r="F2124" s="7" t="s">
        <v>17</v>
      </c>
      <c r="G2124" s="7">
        <v>1577368</v>
      </c>
      <c r="H2124" s="7">
        <v>411</v>
      </c>
      <c r="I2124" s="7">
        <v>6</v>
      </c>
      <c r="J2124" s="7">
        <v>38</v>
      </c>
      <c r="K2124" s="7" t="s">
        <v>18</v>
      </c>
      <c r="L2124" s="8">
        <v>39891.213356481479</v>
      </c>
      <c r="M2124" s="9" t="s">
        <v>19</v>
      </c>
      <c r="N2124" s="9" t="s">
        <v>22</v>
      </c>
      <c r="O2124" s="6" t="str">
        <f>HYPERLINK("https://pbs.twimg.com/profile_images/988971255679324162/jrqiIYf__normal.jpg","View")</f>
        <v>View</v>
      </c>
      <c r="P2124" s="7"/>
    </row>
    <row r="2125" spans="1:16">
      <c r="A2125" s="3">
        <v>44321.688263888893</v>
      </c>
      <c r="B2125" s="4" t="str">
        <f>HYPERLINK("https://twitter.com/sergio_fajardo","@sergio_fajardo")</f>
        <v>@sergio_fajardo</v>
      </c>
      <c r="C2125" s="5" t="s">
        <v>16</v>
      </c>
      <c r="D2125" s="5" t="s">
        <v>2145</v>
      </c>
      <c r="E2125" s="6" t="str">
        <f>HYPERLINK("https://twitter.com/sergio_fajardo/status/1389897941637337089","1389897941637337089")</f>
        <v>1389897941637337089</v>
      </c>
      <c r="F2125" s="7" t="s">
        <v>17</v>
      </c>
      <c r="G2125" s="7">
        <v>1577373</v>
      </c>
      <c r="H2125" s="7">
        <v>411</v>
      </c>
      <c r="I2125" s="7">
        <v>27</v>
      </c>
      <c r="J2125" s="7">
        <v>0</v>
      </c>
      <c r="K2125" s="7" t="s">
        <v>18</v>
      </c>
      <c r="L2125" s="8">
        <v>39891.213356481479</v>
      </c>
      <c r="M2125" s="9" t="s">
        <v>19</v>
      </c>
      <c r="N2125" s="9" t="s">
        <v>22</v>
      </c>
      <c r="O2125" s="6" t="str">
        <f>HYPERLINK("https://pbs.twimg.com/profile_images/988971255679324162/jrqiIYf__normal.jpg","View")</f>
        <v>View</v>
      </c>
      <c r="P2125" s="7"/>
    </row>
    <row r="2126" spans="1:16">
      <c r="A2126" s="3">
        <v>44322.042465277773</v>
      </c>
      <c r="B2126" s="4" t="str">
        <f>HYPERLINK("https://twitter.com/sergio_fajardo","@sergio_fajardo")</f>
        <v>@sergio_fajardo</v>
      </c>
      <c r="C2126" s="5" t="s">
        <v>16</v>
      </c>
      <c r="D2126" s="5" t="s">
        <v>2146</v>
      </c>
      <c r="E2126" s="6" t="str">
        <f>HYPERLINK("https://twitter.com/sergio_fajardo/status/1390026298014187521","1390026298014187521")</f>
        <v>1390026298014187521</v>
      </c>
      <c r="F2126" s="7" t="s">
        <v>20</v>
      </c>
      <c r="G2126" s="7">
        <v>1578674</v>
      </c>
      <c r="H2126" s="7">
        <v>411</v>
      </c>
      <c r="I2126" s="7">
        <v>5</v>
      </c>
      <c r="J2126" s="7">
        <v>18</v>
      </c>
      <c r="K2126" s="7" t="s">
        <v>18</v>
      </c>
      <c r="L2126" s="8">
        <v>39891.213356481479</v>
      </c>
      <c r="M2126" s="9" t="s">
        <v>19</v>
      </c>
      <c r="N2126" s="9" t="s">
        <v>22</v>
      </c>
      <c r="O2126" s="6" t="str">
        <f>HYPERLINK("https://pbs.twimg.com/profile_images/988971255679324162/jrqiIYf__normal.jpg","View")</f>
        <v>View</v>
      </c>
      <c r="P2126" s="7"/>
    </row>
    <row r="2127" spans="1:16">
      <c r="A2127" s="3">
        <v>44322.14980324074</v>
      </c>
      <c r="B2127" s="4" t="str">
        <f>HYPERLINK("https://twitter.com/sergio_fajardo","@sergio_fajardo")</f>
        <v>@sergio_fajardo</v>
      </c>
      <c r="C2127" s="5" t="s">
        <v>16</v>
      </c>
      <c r="D2127" s="5" t="s">
        <v>2147</v>
      </c>
      <c r="E2127" s="6" t="str">
        <f>HYPERLINK("https://twitter.com/sergio_fajardo/status/1390065197172379648","1390065197172379648")</f>
        <v>1390065197172379648</v>
      </c>
      <c r="F2127" s="7" t="s">
        <v>20</v>
      </c>
      <c r="G2127" s="7">
        <v>1578944</v>
      </c>
      <c r="H2127" s="7">
        <v>411</v>
      </c>
      <c r="I2127" s="7">
        <v>44</v>
      </c>
      <c r="J2127" s="7">
        <v>0</v>
      </c>
      <c r="K2127" s="7" t="s">
        <v>18</v>
      </c>
      <c r="L2127" s="8">
        <v>39891.213356481479</v>
      </c>
      <c r="M2127" s="9" t="s">
        <v>19</v>
      </c>
      <c r="N2127" s="9" t="s">
        <v>22</v>
      </c>
      <c r="O2127" s="6" t="str">
        <f>HYPERLINK("https://pbs.twimg.com/profile_images/988971255679324162/jrqiIYf__normal.jpg","View")</f>
        <v>View</v>
      </c>
      <c r="P2127" s="7"/>
    </row>
    <row r="2128" spans="1:16">
      <c r="A2128" s="3">
        <v>44322.27479166667</v>
      </c>
      <c r="B2128" s="4" t="str">
        <f>HYPERLINK("https://twitter.com/sergio_fajardo","@sergio_fajardo")</f>
        <v>@sergio_fajardo</v>
      </c>
      <c r="C2128" s="5" t="s">
        <v>16</v>
      </c>
      <c r="D2128" s="5" t="s">
        <v>2148</v>
      </c>
      <c r="E2128" s="6" t="str">
        <f>HYPERLINK("https://twitter.com/sergio_fajardo/status/1390110490479693825","1390110490479693825")</f>
        <v>1390110490479693825</v>
      </c>
      <c r="F2128" s="7" t="s">
        <v>20</v>
      </c>
      <c r="G2128" s="7">
        <v>1579261</v>
      </c>
      <c r="H2128" s="7">
        <v>411</v>
      </c>
      <c r="I2128" s="7">
        <v>38</v>
      </c>
      <c r="J2128" s="7">
        <v>244</v>
      </c>
      <c r="K2128" s="7" t="s">
        <v>18</v>
      </c>
      <c r="L2128" s="8">
        <v>39891.213356481479</v>
      </c>
      <c r="M2128" s="9" t="s">
        <v>19</v>
      </c>
      <c r="N2128" s="9" t="s">
        <v>22</v>
      </c>
      <c r="O2128" s="6" t="str">
        <f>HYPERLINK("https://pbs.twimg.com/profile_images/988971255679324162/jrqiIYf__normal.jpg","View")</f>
        <v>View</v>
      </c>
      <c r="P2128" s="7"/>
    </row>
    <row r="2129" spans="1:16">
      <c r="A2129" s="3">
        <v>44322.785787037035</v>
      </c>
      <c r="B2129" s="4" t="str">
        <f>HYPERLINK("https://twitter.com/sergio_fajardo","@sergio_fajardo")</f>
        <v>@sergio_fajardo</v>
      </c>
      <c r="C2129" s="5" t="s">
        <v>16</v>
      </c>
      <c r="D2129" s="5" t="s">
        <v>2149</v>
      </c>
      <c r="E2129" s="6" t="str">
        <f>HYPERLINK("https://twitter.com/sergio_fajardo/status/1390295668736946180","1390295668736946180")</f>
        <v>1390295668736946180</v>
      </c>
      <c r="F2129" s="7" t="s">
        <v>20</v>
      </c>
      <c r="G2129" s="7">
        <v>1580032</v>
      </c>
      <c r="H2129" s="7">
        <v>411</v>
      </c>
      <c r="I2129" s="7">
        <v>63</v>
      </c>
      <c r="J2129" s="7">
        <v>292</v>
      </c>
      <c r="K2129" s="7" t="s">
        <v>18</v>
      </c>
      <c r="L2129" s="8">
        <v>39891.213356481479</v>
      </c>
      <c r="M2129" s="9" t="s">
        <v>19</v>
      </c>
      <c r="N2129" s="9" t="s">
        <v>22</v>
      </c>
      <c r="O2129" s="6" t="str">
        <f>HYPERLINK("https://pbs.twimg.com/profile_images/988971255679324162/jrqiIYf__normal.jpg","View")</f>
        <v>View</v>
      </c>
      <c r="P2129" s="7"/>
    </row>
    <row r="2130" spans="1:16">
      <c r="A2130" s="3">
        <v>44323.208391203705</v>
      </c>
      <c r="B2130" s="4" t="str">
        <f>HYPERLINK("https://twitter.com/sergio_fajardo","@sergio_fajardo")</f>
        <v>@sergio_fajardo</v>
      </c>
      <c r="C2130" s="5" t="s">
        <v>16</v>
      </c>
      <c r="D2130" s="5" t="s">
        <v>2150</v>
      </c>
      <c r="E2130" s="6" t="str">
        <f>HYPERLINK("https://twitter.com/sergio_fajardo/status/1390448815094829060","1390448815094829060")</f>
        <v>1390448815094829060</v>
      </c>
      <c r="F2130" s="7" t="s">
        <v>20</v>
      </c>
      <c r="G2130" s="7">
        <v>1580717</v>
      </c>
      <c r="H2130" s="7">
        <v>411</v>
      </c>
      <c r="I2130" s="7">
        <v>9</v>
      </c>
      <c r="J2130" s="7">
        <v>29</v>
      </c>
      <c r="K2130" s="7" t="s">
        <v>18</v>
      </c>
      <c r="L2130" s="8">
        <v>39891.213356481479</v>
      </c>
      <c r="M2130" s="9" t="s">
        <v>19</v>
      </c>
      <c r="N2130" s="9" t="s">
        <v>22</v>
      </c>
      <c r="O2130" s="6" t="str">
        <f>HYPERLINK("https://pbs.twimg.com/profile_images/988971255679324162/jrqiIYf__normal.jpg","View")</f>
        <v>View</v>
      </c>
      <c r="P2130" s="7"/>
    </row>
    <row r="2131" spans="1:16">
      <c r="A2131" s="3">
        <v>44323.820844907408</v>
      </c>
      <c r="B2131" s="4" t="str">
        <f>HYPERLINK("https://twitter.com/sergio_fajardo","@sergio_fajardo")</f>
        <v>@sergio_fajardo</v>
      </c>
      <c r="C2131" s="5" t="s">
        <v>16</v>
      </c>
      <c r="D2131" s="5" t="s">
        <v>2151</v>
      </c>
      <c r="E2131" s="6" t="str">
        <f>HYPERLINK("https://twitter.com/sergio_fajardo/status/1390670763095695362","1390670763095695362")</f>
        <v>1390670763095695362</v>
      </c>
      <c r="F2131" s="7" t="s">
        <v>20</v>
      </c>
      <c r="G2131" s="7">
        <v>1581172</v>
      </c>
      <c r="H2131" s="7">
        <v>411</v>
      </c>
      <c r="I2131" s="7">
        <v>38</v>
      </c>
      <c r="J2131" s="7">
        <v>124</v>
      </c>
      <c r="K2131" s="7" t="s">
        <v>18</v>
      </c>
      <c r="L2131" s="8">
        <v>39891.213356481479</v>
      </c>
      <c r="M2131" s="9" t="s">
        <v>19</v>
      </c>
      <c r="N2131" s="9" t="s">
        <v>22</v>
      </c>
      <c r="O2131" s="6" t="str">
        <f>HYPERLINK("https://pbs.twimg.com/profile_images/988971255679324162/jrqiIYf__normal.jpg","View")</f>
        <v>View</v>
      </c>
      <c r="P2131" s="7"/>
    </row>
    <row r="2132" spans="1:16">
      <c r="A2132" s="3">
        <v>44323.922685185185</v>
      </c>
      <c r="B2132" s="4" t="str">
        <f>HYPERLINK("https://twitter.com/sergio_fajardo","@sergio_fajardo")</f>
        <v>@sergio_fajardo</v>
      </c>
      <c r="C2132" s="5" t="s">
        <v>16</v>
      </c>
      <c r="D2132" s="5" t="s">
        <v>2152</v>
      </c>
      <c r="E2132" s="6" t="str">
        <f>HYPERLINK("https://twitter.com/sergio_fajardo/status/1390707668663377920","1390707668663377920")</f>
        <v>1390707668663377920</v>
      </c>
      <c r="F2132" s="7" t="s">
        <v>20</v>
      </c>
      <c r="G2132" s="7">
        <v>1581332</v>
      </c>
      <c r="H2132" s="7">
        <v>411</v>
      </c>
      <c r="I2132" s="7">
        <v>94</v>
      </c>
      <c r="J2132" s="7">
        <v>379</v>
      </c>
      <c r="K2132" s="7" t="s">
        <v>18</v>
      </c>
      <c r="L2132" s="8">
        <v>39891.213356481479</v>
      </c>
      <c r="M2132" s="9" t="s">
        <v>19</v>
      </c>
      <c r="N2132" s="9" t="s">
        <v>22</v>
      </c>
      <c r="O2132" s="6" t="str">
        <f>HYPERLINK("https://pbs.twimg.com/profile_images/988971255679324162/jrqiIYf__normal.jpg","View")</f>
        <v>View</v>
      </c>
      <c r="P2132" s="7"/>
    </row>
    <row r="2133" spans="1:16">
      <c r="A2133" s="3">
        <v>44324.20793981482</v>
      </c>
      <c r="B2133" s="4" t="str">
        <f>HYPERLINK("https://twitter.com/sergio_fajardo","@sergio_fajardo")</f>
        <v>@sergio_fajardo</v>
      </c>
      <c r="C2133" s="5" t="s">
        <v>16</v>
      </c>
      <c r="D2133" s="5" t="s">
        <v>2153</v>
      </c>
      <c r="E2133" s="6" t="str">
        <f>HYPERLINK("https://twitter.com/sergio_fajardo/status/1390811041215492101","1390811041215492101")</f>
        <v>1390811041215492101</v>
      </c>
      <c r="F2133" s="7" t="s">
        <v>20</v>
      </c>
      <c r="G2133" s="7">
        <v>1581631</v>
      </c>
      <c r="H2133" s="7">
        <v>411</v>
      </c>
      <c r="I2133" s="7">
        <v>15</v>
      </c>
      <c r="J2133" s="7">
        <v>0</v>
      </c>
      <c r="K2133" s="7" t="s">
        <v>18</v>
      </c>
      <c r="L2133" s="8">
        <v>39891.213356481479</v>
      </c>
      <c r="M2133" s="9" t="s">
        <v>19</v>
      </c>
      <c r="N2133" s="9" t="s">
        <v>22</v>
      </c>
      <c r="O2133" s="6" t="str">
        <f>HYPERLINK("https://pbs.twimg.com/profile_images/988971255679324162/jrqiIYf__normal.jpg","View")</f>
        <v>View</v>
      </c>
      <c r="P2133" s="7"/>
    </row>
    <row r="2134" spans="1:16">
      <c r="A2134" s="3">
        <v>44324.231921296298</v>
      </c>
      <c r="B2134" s="4" t="str">
        <f>HYPERLINK("https://twitter.com/sergio_fajardo","@sergio_fajardo")</f>
        <v>@sergio_fajardo</v>
      </c>
      <c r="C2134" s="5" t="s">
        <v>16</v>
      </c>
      <c r="D2134" s="5" t="s">
        <v>2154</v>
      </c>
      <c r="E2134" s="6" t="str">
        <f>HYPERLINK("https://twitter.com/sergio_fajardo/status/1390819730726998022","1390819730726998022")</f>
        <v>1390819730726998022</v>
      </c>
      <c r="F2134" s="7" t="s">
        <v>20</v>
      </c>
      <c r="G2134" s="7">
        <v>1581674</v>
      </c>
      <c r="H2134" s="7">
        <v>411</v>
      </c>
      <c r="I2134" s="7">
        <v>15</v>
      </c>
      <c r="J2134" s="7">
        <v>80</v>
      </c>
      <c r="K2134" s="7" t="s">
        <v>18</v>
      </c>
      <c r="L2134" s="8">
        <v>39891.213356481479</v>
      </c>
      <c r="M2134" s="9" t="s">
        <v>19</v>
      </c>
      <c r="N2134" s="9" t="s">
        <v>22</v>
      </c>
      <c r="O2134" s="6" t="str">
        <f>HYPERLINK("https://pbs.twimg.com/profile_images/988971255679324162/jrqiIYf__normal.jpg","View")</f>
        <v>View</v>
      </c>
      <c r="P2134" s="7"/>
    </row>
    <row r="2135" spans="1:16">
      <c r="A2135" s="3">
        <v>44324.305358796293</v>
      </c>
      <c r="B2135" s="4" t="str">
        <f>HYPERLINK("https://twitter.com/sergio_fajardo","@sergio_fajardo")</f>
        <v>@sergio_fajardo</v>
      </c>
      <c r="C2135" s="5" t="s">
        <v>16</v>
      </c>
      <c r="D2135" s="5" t="s">
        <v>2155</v>
      </c>
      <c r="E2135" s="6" t="str">
        <f>HYPERLINK("https://twitter.com/sergio_fajardo/status/1390846344475160576","1390846344475160576")</f>
        <v>1390846344475160576</v>
      </c>
      <c r="F2135" s="7" t="s">
        <v>17</v>
      </c>
      <c r="G2135" s="7">
        <v>1581727</v>
      </c>
      <c r="H2135" s="7">
        <v>411</v>
      </c>
      <c r="I2135" s="7">
        <v>498</v>
      </c>
      <c r="J2135" s="7">
        <v>0</v>
      </c>
      <c r="K2135" s="7" t="s">
        <v>18</v>
      </c>
      <c r="L2135" s="8">
        <v>39891.213356481479</v>
      </c>
      <c r="M2135" s="9" t="s">
        <v>19</v>
      </c>
      <c r="N2135" s="9" t="s">
        <v>22</v>
      </c>
      <c r="O2135" s="6" t="str">
        <f>HYPERLINK("https://pbs.twimg.com/profile_images/988971255679324162/jrqiIYf__normal.jpg","View")</f>
        <v>View</v>
      </c>
      <c r="P2135" s="7"/>
    </row>
    <row r="2136" spans="1:16">
      <c r="A2136" s="3">
        <v>44324.897361111114</v>
      </c>
      <c r="B2136" s="4" t="str">
        <f>HYPERLINK("https://twitter.com/sergio_fajardo","@sergio_fajardo")</f>
        <v>@sergio_fajardo</v>
      </c>
      <c r="C2136" s="5" t="s">
        <v>16</v>
      </c>
      <c r="D2136" s="5" t="s">
        <v>2156</v>
      </c>
      <c r="E2136" s="6" t="str">
        <f>HYPERLINK("https://twitter.com/sergio_fajardo/status/1391060876875153410","1391060876875153410")</f>
        <v>1391060876875153410</v>
      </c>
      <c r="F2136" s="7" t="s">
        <v>20</v>
      </c>
      <c r="G2136" s="7">
        <v>1581983</v>
      </c>
      <c r="H2136" s="7">
        <v>411</v>
      </c>
      <c r="I2136" s="7">
        <v>14</v>
      </c>
      <c r="J2136" s="7">
        <v>0</v>
      </c>
      <c r="K2136" s="7" t="s">
        <v>18</v>
      </c>
      <c r="L2136" s="8">
        <v>39891.213356481479</v>
      </c>
      <c r="M2136" s="9" t="s">
        <v>19</v>
      </c>
      <c r="N2136" s="9" t="s">
        <v>22</v>
      </c>
      <c r="O2136" s="6" t="str">
        <f>HYPERLINK("https://pbs.twimg.com/profile_images/988971255679324162/jrqiIYf__normal.jpg","View")</f>
        <v>View</v>
      </c>
      <c r="P2136" s="7"/>
    </row>
    <row r="2137" spans="1:16">
      <c r="A2137" s="3">
        <v>44324.976701388892</v>
      </c>
      <c r="B2137" s="4" t="str">
        <f>HYPERLINK("https://twitter.com/sergio_fajardo","@sergio_fajardo")</f>
        <v>@sergio_fajardo</v>
      </c>
      <c r="C2137" s="5" t="s">
        <v>16</v>
      </c>
      <c r="D2137" s="5" t="s">
        <v>2157</v>
      </c>
      <c r="E2137" s="6" t="str">
        <f>HYPERLINK("https://twitter.com/sergio_fajardo/status/1391089629256982531","1391089629256982531")</f>
        <v>1391089629256982531</v>
      </c>
      <c r="F2137" s="7" t="s">
        <v>20</v>
      </c>
      <c r="G2137" s="7">
        <v>1582027</v>
      </c>
      <c r="H2137" s="7">
        <v>411</v>
      </c>
      <c r="I2137" s="7">
        <v>16</v>
      </c>
      <c r="J2137" s="7">
        <v>91</v>
      </c>
      <c r="K2137" s="7" t="s">
        <v>18</v>
      </c>
      <c r="L2137" s="8">
        <v>39891.213356481479</v>
      </c>
      <c r="M2137" s="9" t="s">
        <v>19</v>
      </c>
      <c r="N2137" s="9" t="s">
        <v>22</v>
      </c>
      <c r="O2137" s="6" t="str">
        <f>HYPERLINK("https://pbs.twimg.com/profile_images/988971255679324162/jrqiIYf__normal.jpg","View")</f>
        <v>View</v>
      </c>
      <c r="P2137" s="7"/>
    </row>
    <row r="2138" spans="1:16">
      <c r="A2138" s="3">
        <v>44325.319097222222</v>
      </c>
      <c r="B2138" s="4" t="str">
        <f>HYPERLINK("https://twitter.com/sergio_fajardo","@sergio_fajardo")</f>
        <v>@sergio_fajardo</v>
      </c>
      <c r="C2138" s="5" t="s">
        <v>16</v>
      </c>
      <c r="D2138" s="5" t="s">
        <v>2158</v>
      </c>
      <c r="E2138" s="6" t="str">
        <f>HYPERLINK("https://twitter.com/sergio_fajardo/status/1391213710279168010","1391213710279168010")</f>
        <v>1391213710279168010</v>
      </c>
      <c r="F2138" s="7" t="s">
        <v>17</v>
      </c>
      <c r="G2138" s="7">
        <v>1582239</v>
      </c>
      <c r="H2138" s="7">
        <v>411</v>
      </c>
      <c r="I2138" s="7">
        <v>61</v>
      </c>
      <c r="J2138" s="7">
        <v>0</v>
      </c>
      <c r="K2138" s="7" t="s">
        <v>18</v>
      </c>
      <c r="L2138" s="8">
        <v>39891.213356481479</v>
      </c>
      <c r="M2138" s="9" t="s">
        <v>19</v>
      </c>
      <c r="N2138" s="9" t="s">
        <v>22</v>
      </c>
      <c r="O2138" s="6" t="str">
        <f>HYPERLINK("https://pbs.twimg.com/profile_images/988971255679324162/jrqiIYf__normal.jpg","View")</f>
        <v>View</v>
      </c>
      <c r="P2138" s="7"/>
    </row>
    <row r="2139" spans="1:16">
      <c r="A2139" s="3">
        <v>44325.322766203702</v>
      </c>
      <c r="B2139" s="4" t="str">
        <f>HYPERLINK("https://twitter.com/sergio_fajardo","@sergio_fajardo")</f>
        <v>@sergio_fajardo</v>
      </c>
      <c r="C2139" s="5" t="s">
        <v>16</v>
      </c>
      <c r="D2139" s="5" t="s">
        <v>2159</v>
      </c>
      <c r="E2139" s="6" t="str">
        <f>HYPERLINK("https://twitter.com/sergio_fajardo/status/1391215037122064384","1391215037122064384")</f>
        <v>1391215037122064384</v>
      </c>
      <c r="F2139" s="7" t="s">
        <v>17</v>
      </c>
      <c r="G2139" s="7">
        <v>1582239</v>
      </c>
      <c r="H2139" s="7">
        <v>411</v>
      </c>
      <c r="I2139" s="7">
        <v>243</v>
      </c>
      <c r="J2139" s="7">
        <v>0</v>
      </c>
      <c r="K2139" s="7" t="s">
        <v>18</v>
      </c>
      <c r="L2139" s="8">
        <v>39891.213356481479</v>
      </c>
      <c r="M2139" s="9" t="s">
        <v>19</v>
      </c>
      <c r="N2139" s="9" t="s">
        <v>22</v>
      </c>
      <c r="O2139" s="6" t="str">
        <f>HYPERLINK("https://pbs.twimg.com/profile_images/988971255679324162/jrqiIYf__normal.jpg","View")</f>
        <v>View</v>
      </c>
      <c r="P2139" s="7"/>
    </row>
    <row r="2140" spans="1:16">
      <c r="A2140" s="3">
        <v>44326.17769675926</v>
      </c>
      <c r="B2140" s="4" t="str">
        <f>HYPERLINK("https://twitter.com/sergio_fajardo","@sergio_fajardo")</f>
        <v>@sergio_fajardo</v>
      </c>
      <c r="C2140" s="5" t="s">
        <v>16</v>
      </c>
      <c r="D2140" s="5" t="s">
        <v>2160</v>
      </c>
      <c r="E2140" s="6" t="str">
        <f>HYPERLINK("https://twitter.com/sergio_fajardo/status/1391524854122360836","1391524854122360836")</f>
        <v>1391524854122360836</v>
      </c>
      <c r="F2140" s="7" t="s">
        <v>23</v>
      </c>
      <c r="G2140" s="7">
        <v>1582567</v>
      </c>
      <c r="H2140" s="7">
        <v>411</v>
      </c>
      <c r="I2140" s="7">
        <v>28</v>
      </c>
      <c r="J2140" s="7">
        <v>124</v>
      </c>
      <c r="K2140" s="7" t="s">
        <v>18</v>
      </c>
      <c r="L2140" s="8">
        <v>39891.213356481479</v>
      </c>
      <c r="M2140" s="9" t="s">
        <v>19</v>
      </c>
      <c r="N2140" s="9" t="s">
        <v>22</v>
      </c>
      <c r="O2140" s="6" t="str">
        <f>HYPERLINK("https://pbs.twimg.com/profile_images/988971255679324162/jrqiIYf__normal.jpg","View")</f>
        <v>View</v>
      </c>
      <c r="P2140" s="7"/>
    </row>
    <row r="2141" spans="1:16">
      <c r="A2141" s="3">
        <v>44326.17769675926</v>
      </c>
      <c r="B2141" s="4" t="str">
        <f>HYPERLINK("https://twitter.com/sergio_fajardo","@sergio_fajardo")</f>
        <v>@sergio_fajardo</v>
      </c>
      <c r="C2141" s="5" t="s">
        <v>16</v>
      </c>
      <c r="D2141" s="5" t="s">
        <v>2161</v>
      </c>
      <c r="E2141" s="6" t="str">
        <f>HYPERLINK("https://twitter.com/sergio_fajardo/status/1391524855821082626","1391524855821082626")</f>
        <v>1391524855821082626</v>
      </c>
      <c r="F2141" s="7" t="s">
        <v>23</v>
      </c>
      <c r="G2141" s="7">
        <v>1582567</v>
      </c>
      <c r="H2141" s="7">
        <v>411</v>
      </c>
      <c r="I2141" s="7">
        <v>4</v>
      </c>
      <c r="J2141" s="7">
        <v>16</v>
      </c>
      <c r="K2141" s="7" t="s">
        <v>18</v>
      </c>
      <c r="L2141" s="8">
        <v>39891.213356481479</v>
      </c>
      <c r="M2141" s="9" t="s">
        <v>19</v>
      </c>
      <c r="N2141" s="9" t="s">
        <v>22</v>
      </c>
      <c r="O2141" s="6" t="str">
        <f>HYPERLINK("https://pbs.twimg.com/profile_images/988971255679324162/jrqiIYf__normal.jpg","View")</f>
        <v>View</v>
      </c>
      <c r="P2141" s="7"/>
    </row>
    <row r="2142" spans="1:16">
      <c r="A2142" s="3">
        <v>44326.17769675926</v>
      </c>
      <c r="B2142" s="4" t="str">
        <f>HYPERLINK("https://twitter.com/sergio_fajardo","@sergio_fajardo")</f>
        <v>@sergio_fajardo</v>
      </c>
      <c r="C2142" s="5" t="s">
        <v>16</v>
      </c>
      <c r="D2142" s="5" t="s">
        <v>2162</v>
      </c>
      <c r="E2142" s="6" t="str">
        <f>HYPERLINK("https://twitter.com/sergio_fajardo/status/1391524857511399429","1391524857511399429")</f>
        <v>1391524857511399429</v>
      </c>
      <c r="F2142" s="7" t="s">
        <v>23</v>
      </c>
      <c r="G2142" s="7">
        <v>1582567</v>
      </c>
      <c r="H2142" s="7">
        <v>411</v>
      </c>
      <c r="I2142" s="7">
        <v>6</v>
      </c>
      <c r="J2142" s="7">
        <v>18</v>
      </c>
      <c r="K2142" s="7" t="s">
        <v>18</v>
      </c>
      <c r="L2142" s="8">
        <v>39891.213356481479</v>
      </c>
      <c r="M2142" s="9" t="s">
        <v>19</v>
      </c>
      <c r="N2142" s="9" t="s">
        <v>22</v>
      </c>
      <c r="O2142" s="6" t="str">
        <f>HYPERLINK("https://pbs.twimg.com/profile_images/988971255679324162/jrqiIYf__normal.jpg","View")</f>
        <v>View</v>
      </c>
      <c r="P2142" s="7"/>
    </row>
    <row r="2143" spans="1:16">
      <c r="A2143" s="3">
        <v>44326.177708333329</v>
      </c>
      <c r="B2143" s="4" t="str">
        <f>HYPERLINK("https://twitter.com/sergio_fajardo","@sergio_fajardo")</f>
        <v>@sergio_fajardo</v>
      </c>
      <c r="C2143" s="5" t="s">
        <v>16</v>
      </c>
      <c r="D2143" s="5" t="s">
        <v>2163</v>
      </c>
      <c r="E2143" s="6" t="str">
        <f>HYPERLINK("https://twitter.com/sergio_fajardo/status/1391524859243552768","1391524859243552768")</f>
        <v>1391524859243552768</v>
      </c>
      <c r="F2143" s="7" t="s">
        <v>23</v>
      </c>
      <c r="G2143" s="7">
        <v>1582567</v>
      </c>
      <c r="H2143" s="7">
        <v>411</v>
      </c>
      <c r="I2143" s="7">
        <v>15</v>
      </c>
      <c r="J2143" s="7">
        <v>53</v>
      </c>
      <c r="K2143" s="7" t="s">
        <v>18</v>
      </c>
      <c r="L2143" s="8">
        <v>39891.213356481479</v>
      </c>
      <c r="M2143" s="9" t="s">
        <v>19</v>
      </c>
      <c r="N2143" s="9" t="s">
        <v>22</v>
      </c>
      <c r="O2143" s="6" t="str">
        <f>HYPERLINK("https://pbs.twimg.com/profile_images/988971255679324162/jrqiIYf__normal.jpg","View")</f>
        <v>View</v>
      </c>
      <c r="P2143" s="7"/>
    </row>
    <row r="2144" spans="1:16">
      <c r="A2144" s="3">
        <v>44326.177708333329</v>
      </c>
      <c r="B2144" s="4" t="str">
        <f>HYPERLINK("https://twitter.com/sergio_fajardo","@sergio_fajardo")</f>
        <v>@sergio_fajardo</v>
      </c>
      <c r="C2144" s="5" t="s">
        <v>16</v>
      </c>
      <c r="D2144" s="5" t="s">
        <v>2164</v>
      </c>
      <c r="E2144" s="6" t="str">
        <f>HYPERLINK("https://twitter.com/sergio_fajardo/status/1391524860980043781","1391524860980043781")</f>
        <v>1391524860980043781</v>
      </c>
      <c r="F2144" s="7" t="s">
        <v>23</v>
      </c>
      <c r="G2144" s="7">
        <v>1582567</v>
      </c>
      <c r="H2144" s="7">
        <v>411</v>
      </c>
      <c r="I2144" s="7">
        <v>19</v>
      </c>
      <c r="J2144" s="7">
        <v>56</v>
      </c>
      <c r="K2144" s="7" t="s">
        <v>18</v>
      </c>
      <c r="L2144" s="8">
        <v>39891.213356481479</v>
      </c>
      <c r="M2144" s="9" t="s">
        <v>19</v>
      </c>
      <c r="N2144" s="9" t="s">
        <v>22</v>
      </c>
      <c r="O2144" s="6" t="str">
        <f>HYPERLINK("https://pbs.twimg.com/profile_images/988971255679324162/jrqiIYf__normal.jpg","View")</f>
        <v>View</v>
      </c>
      <c r="P2144" s="7"/>
    </row>
    <row r="2145" spans="1:16">
      <c r="A2145" s="3">
        <v>44326.843611111108</v>
      </c>
      <c r="B2145" s="4" t="str">
        <f>HYPERLINK("https://twitter.com/sergio_fajardo","@sergio_fajardo")</f>
        <v>@sergio_fajardo</v>
      </c>
      <c r="C2145" s="5" t="s">
        <v>16</v>
      </c>
      <c r="D2145" s="5" t="s">
        <v>2165</v>
      </c>
      <c r="E2145" s="6" t="str">
        <f>HYPERLINK("https://twitter.com/sergio_fajardo/status/1391766175567187975","1391766175567187975")</f>
        <v>1391766175567187975</v>
      </c>
      <c r="F2145" s="7" t="s">
        <v>17</v>
      </c>
      <c r="G2145" s="7">
        <v>1582959</v>
      </c>
      <c r="H2145" s="7">
        <v>411</v>
      </c>
      <c r="I2145" s="7">
        <v>68</v>
      </c>
      <c r="J2145" s="7">
        <v>0</v>
      </c>
      <c r="K2145" s="7" t="s">
        <v>18</v>
      </c>
      <c r="L2145" s="8">
        <v>39891.213356481479</v>
      </c>
      <c r="M2145" s="9" t="s">
        <v>19</v>
      </c>
      <c r="N2145" s="9" t="s">
        <v>22</v>
      </c>
      <c r="O2145" s="6" t="str">
        <f>HYPERLINK("https://pbs.twimg.com/profile_images/988971255679324162/jrqiIYf__normal.jpg","View")</f>
        <v>View</v>
      </c>
      <c r="P2145" s="7"/>
    </row>
    <row r="2146" spans="1:16">
      <c r="A2146" s="3">
        <v>44326.967407407406</v>
      </c>
      <c r="B2146" s="4" t="str">
        <f>HYPERLINK("https://twitter.com/sergio_fajardo","@sergio_fajardo")</f>
        <v>@sergio_fajardo</v>
      </c>
      <c r="C2146" s="5" t="s">
        <v>16</v>
      </c>
      <c r="D2146" s="5" t="s">
        <v>2166</v>
      </c>
      <c r="E2146" s="6" t="str">
        <f>HYPERLINK("https://twitter.com/sergio_fajardo/status/1391811039067611143","1391811039067611143")</f>
        <v>1391811039067611143</v>
      </c>
      <c r="F2146" s="7" t="s">
        <v>17</v>
      </c>
      <c r="G2146" s="7">
        <v>1583046</v>
      </c>
      <c r="H2146" s="7">
        <v>411</v>
      </c>
      <c r="I2146" s="7">
        <v>324</v>
      </c>
      <c r="J2146" s="7">
        <v>0</v>
      </c>
      <c r="K2146" s="7" t="s">
        <v>18</v>
      </c>
      <c r="L2146" s="8">
        <v>39891.213356481479</v>
      </c>
      <c r="M2146" s="9" t="s">
        <v>19</v>
      </c>
      <c r="N2146" s="9" t="s">
        <v>22</v>
      </c>
      <c r="O2146" s="6" t="str">
        <f>HYPERLINK("https://pbs.twimg.com/profile_images/988971255679324162/jrqiIYf__normal.jpg","View")</f>
        <v>View</v>
      </c>
      <c r="P2146" s="7"/>
    </row>
    <row r="2147" spans="1:16">
      <c r="A2147" s="3">
        <v>44327.72934027778</v>
      </c>
      <c r="B2147" s="4" t="str">
        <f>HYPERLINK("https://twitter.com/sergio_fajardo","@sergio_fajardo")</f>
        <v>@sergio_fajardo</v>
      </c>
      <c r="C2147" s="5" t="s">
        <v>16</v>
      </c>
      <c r="D2147" s="5" t="s">
        <v>2167</v>
      </c>
      <c r="E2147" s="6" t="str">
        <f>HYPERLINK("https://twitter.com/sergio_fajardo/status/1392087154373931014","1392087154373931014")</f>
        <v>1392087154373931014</v>
      </c>
      <c r="F2147" s="7" t="s">
        <v>17</v>
      </c>
      <c r="G2147" s="7">
        <v>1583478</v>
      </c>
      <c r="H2147" s="7">
        <v>411</v>
      </c>
      <c r="I2147" s="7">
        <v>2</v>
      </c>
      <c r="J2147" s="7">
        <v>23</v>
      </c>
      <c r="K2147" s="7" t="s">
        <v>18</v>
      </c>
      <c r="L2147" s="8">
        <v>39891.213356481479</v>
      </c>
      <c r="M2147" s="9" t="s">
        <v>19</v>
      </c>
      <c r="N2147" s="9" t="s">
        <v>22</v>
      </c>
      <c r="O2147" s="6" t="str">
        <f>HYPERLINK("https://pbs.twimg.com/profile_images/988971255679324162/jrqiIYf__normal.jpg","View")</f>
        <v>View</v>
      </c>
      <c r="P2147" s="7"/>
    </row>
    <row r="2148" spans="1:16">
      <c r="A2148" s="3">
        <v>44327.97378472222</v>
      </c>
      <c r="B2148" s="4" t="str">
        <f>HYPERLINK("https://twitter.com/sergio_fajardo","@sergio_fajardo")</f>
        <v>@sergio_fajardo</v>
      </c>
      <c r="C2148" s="5" t="s">
        <v>16</v>
      </c>
      <c r="D2148" s="5" t="s">
        <v>2168</v>
      </c>
      <c r="E2148" s="6" t="str">
        <f>HYPERLINK("https://twitter.com/sergio_fajardo/status/1392175735381663751","1392175735381663751")</f>
        <v>1392175735381663751</v>
      </c>
      <c r="F2148" s="7" t="s">
        <v>20</v>
      </c>
      <c r="G2148" s="7">
        <v>1583669</v>
      </c>
      <c r="H2148" s="7">
        <v>411</v>
      </c>
      <c r="I2148" s="7">
        <v>525</v>
      </c>
      <c r="J2148" s="7">
        <v>0</v>
      </c>
      <c r="K2148" s="7" t="s">
        <v>18</v>
      </c>
      <c r="L2148" s="8">
        <v>39891.213356481479</v>
      </c>
      <c r="M2148" s="9" t="s">
        <v>19</v>
      </c>
      <c r="N2148" s="9" t="s">
        <v>22</v>
      </c>
      <c r="O2148" s="6" t="str">
        <f>HYPERLINK("https://pbs.twimg.com/profile_images/988971255679324162/jrqiIYf__normal.jpg","View")</f>
        <v>View</v>
      </c>
      <c r="P2148" s="7"/>
    </row>
    <row r="2149" spans="1:16">
      <c r="A2149" s="3">
        <v>44328.31313657407</v>
      </c>
      <c r="B2149" s="4" t="str">
        <f>HYPERLINK("https://twitter.com/sergio_fajardo","@sergio_fajardo")</f>
        <v>@sergio_fajardo</v>
      </c>
      <c r="C2149" s="5" t="s">
        <v>16</v>
      </c>
      <c r="D2149" s="5" t="s">
        <v>2169</v>
      </c>
      <c r="E2149" s="6" t="str">
        <f>HYPERLINK("https://twitter.com/sergio_fajardo/status/1392298714207866884","1392298714207866884")</f>
        <v>1392298714207866884</v>
      </c>
      <c r="F2149" s="7" t="s">
        <v>23</v>
      </c>
      <c r="G2149" s="7">
        <v>1583893</v>
      </c>
      <c r="H2149" s="7">
        <v>411</v>
      </c>
      <c r="I2149" s="7">
        <v>9</v>
      </c>
      <c r="J2149" s="7">
        <v>61</v>
      </c>
      <c r="K2149" s="7" t="s">
        <v>18</v>
      </c>
      <c r="L2149" s="8">
        <v>39891.213356481479</v>
      </c>
      <c r="M2149" s="9" t="s">
        <v>19</v>
      </c>
      <c r="N2149" s="9" t="s">
        <v>22</v>
      </c>
      <c r="O2149" s="6" t="str">
        <f>HYPERLINK("https://pbs.twimg.com/profile_images/988971255679324162/jrqiIYf__normal.jpg","View")</f>
        <v>View</v>
      </c>
      <c r="P2149" s="7"/>
    </row>
    <row r="2150" spans="1:16">
      <c r="A2150" s="3">
        <v>44328.75712962963</v>
      </c>
      <c r="B2150" s="4" t="str">
        <f>HYPERLINK("https://twitter.com/sergio_fajardo","@sergio_fajardo")</f>
        <v>@sergio_fajardo</v>
      </c>
      <c r="C2150" s="5" t="s">
        <v>16</v>
      </c>
      <c r="D2150" s="5" t="s">
        <v>2170</v>
      </c>
      <c r="E2150" s="6" t="str">
        <f>HYPERLINK("https://twitter.com/sergio_fajardo/status/1392459612482375685","1392459612482375685")</f>
        <v>1392459612482375685</v>
      </c>
      <c r="F2150" s="7" t="s">
        <v>17</v>
      </c>
      <c r="G2150" s="7">
        <v>1584040</v>
      </c>
      <c r="H2150" s="7">
        <v>411</v>
      </c>
      <c r="I2150" s="7">
        <v>9</v>
      </c>
      <c r="J2150" s="7">
        <v>0</v>
      </c>
      <c r="K2150" s="7" t="s">
        <v>18</v>
      </c>
      <c r="L2150" s="8">
        <v>39891.213356481479</v>
      </c>
      <c r="M2150" s="9" t="s">
        <v>19</v>
      </c>
      <c r="N2150" s="9" t="s">
        <v>22</v>
      </c>
      <c r="O2150" s="6" t="str">
        <f>HYPERLINK("https://pbs.twimg.com/profile_images/988971255679324162/jrqiIYf__normal.jpg","View")</f>
        <v>View</v>
      </c>
      <c r="P2150" s="7"/>
    </row>
    <row r="2151" spans="1:16">
      <c r="A2151" s="3">
        <v>44329.221909722226</v>
      </c>
      <c r="B2151" s="4" t="str">
        <f>HYPERLINK("https://twitter.com/sergio_fajardo","@sergio_fajardo")</f>
        <v>@sergio_fajardo</v>
      </c>
      <c r="C2151" s="5" t="s">
        <v>16</v>
      </c>
      <c r="D2151" s="5" t="s">
        <v>2171</v>
      </c>
      <c r="E2151" s="6" t="str">
        <f>HYPERLINK("https://twitter.com/sergio_fajardo/status/1392628041852071936","1392628041852071936")</f>
        <v>1392628041852071936</v>
      </c>
      <c r="F2151" s="7" t="s">
        <v>23</v>
      </c>
      <c r="G2151" s="7">
        <v>1584298</v>
      </c>
      <c r="H2151" s="7">
        <v>411</v>
      </c>
      <c r="I2151" s="7">
        <v>27</v>
      </c>
      <c r="J2151" s="7">
        <v>113</v>
      </c>
      <c r="K2151" s="7" t="s">
        <v>18</v>
      </c>
      <c r="L2151" s="8">
        <v>39891.213356481479</v>
      </c>
      <c r="M2151" s="9" t="s">
        <v>19</v>
      </c>
      <c r="N2151" s="9" t="s">
        <v>22</v>
      </c>
      <c r="O2151" s="6" t="str">
        <f>HYPERLINK("https://pbs.twimg.com/profile_images/988971255679324162/jrqiIYf__normal.jpg","View")</f>
        <v>View</v>
      </c>
      <c r="P2151" s="7"/>
    </row>
    <row r="2152" spans="1:16">
      <c r="A2152" s="3">
        <v>44329.222152777773</v>
      </c>
      <c r="B2152" s="4" t="str">
        <f>HYPERLINK("https://twitter.com/sergio_fajardo","@sergio_fajardo")</f>
        <v>@sergio_fajardo</v>
      </c>
      <c r="C2152" s="5" t="s">
        <v>16</v>
      </c>
      <c r="D2152" s="5" t="s">
        <v>2172</v>
      </c>
      <c r="E2152" s="6" t="str">
        <f>HYPERLINK("https://twitter.com/sergio_fajardo/status/1392628130062520322","1392628130062520322")</f>
        <v>1392628130062520322</v>
      </c>
      <c r="F2152" s="7" t="s">
        <v>23</v>
      </c>
      <c r="G2152" s="7">
        <v>1584298</v>
      </c>
      <c r="H2152" s="7">
        <v>411</v>
      </c>
      <c r="I2152" s="7">
        <v>1</v>
      </c>
      <c r="J2152" s="7">
        <v>19</v>
      </c>
      <c r="K2152" s="7" t="s">
        <v>18</v>
      </c>
      <c r="L2152" s="8">
        <v>39891.213356481479</v>
      </c>
      <c r="M2152" s="9" t="s">
        <v>19</v>
      </c>
      <c r="N2152" s="9" t="s">
        <v>22</v>
      </c>
      <c r="O2152" s="6" t="str">
        <f>HYPERLINK("https://pbs.twimg.com/profile_images/988971255679324162/jrqiIYf__normal.jpg","View")</f>
        <v>View</v>
      </c>
      <c r="P2152" s="7"/>
    </row>
    <row r="2153" spans="1:16">
      <c r="A2153" s="3">
        <v>44329.22347222222</v>
      </c>
      <c r="B2153" s="4" t="str">
        <f>HYPERLINK("https://twitter.com/sergio_fajardo","@sergio_fajardo")</f>
        <v>@sergio_fajardo</v>
      </c>
      <c r="C2153" s="5" t="s">
        <v>16</v>
      </c>
      <c r="D2153" s="5" t="s">
        <v>2173</v>
      </c>
      <c r="E2153" s="6" t="str">
        <f>HYPERLINK("https://twitter.com/sergio_fajardo/status/1392628609274327040","1392628609274327040")</f>
        <v>1392628609274327040</v>
      </c>
      <c r="F2153" s="7" t="s">
        <v>23</v>
      </c>
      <c r="G2153" s="7">
        <v>1584298</v>
      </c>
      <c r="H2153" s="7">
        <v>411</v>
      </c>
      <c r="I2153" s="7">
        <v>0</v>
      </c>
      <c r="J2153" s="7">
        <v>16</v>
      </c>
      <c r="K2153" s="7" t="s">
        <v>18</v>
      </c>
      <c r="L2153" s="8">
        <v>39891.213356481479</v>
      </c>
      <c r="M2153" s="9" t="s">
        <v>19</v>
      </c>
      <c r="N2153" s="9" t="s">
        <v>22</v>
      </c>
      <c r="O2153" s="6" t="str">
        <f>HYPERLINK("https://pbs.twimg.com/profile_images/988971255679324162/jrqiIYf__normal.jpg","View")</f>
        <v>View</v>
      </c>
      <c r="P2153" s="7"/>
    </row>
    <row r="2154" spans="1:16">
      <c r="A2154" s="3">
        <v>44329.223865740743</v>
      </c>
      <c r="B2154" s="4" t="str">
        <f>HYPERLINK("https://twitter.com/sergio_fajardo","@sergio_fajardo")</f>
        <v>@sergio_fajardo</v>
      </c>
      <c r="C2154" s="5" t="s">
        <v>16</v>
      </c>
      <c r="D2154" s="5" t="s">
        <v>2174</v>
      </c>
      <c r="E2154" s="6" t="str">
        <f>HYPERLINK("https://twitter.com/sergio_fajardo/status/1392628751310143490","1392628751310143490")</f>
        <v>1392628751310143490</v>
      </c>
      <c r="F2154" s="7" t="s">
        <v>23</v>
      </c>
      <c r="G2154" s="7">
        <v>1584298</v>
      </c>
      <c r="H2154" s="7">
        <v>411</v>
      </c>
      <c r="I2154" s="7">
        <v>4</v>
      </c>
      <c r="J2154" s="7">
        <v>21</v>
      </c>
      <c r="K2154" s="7" t="s">
        <v>18</v>
      </c>
      <c r="L2154" s="8">
        <v>39891.213356481479</v>
      </c>
      <c r="M2154" s="9" t="s">
        <v>19</v>
      </c>
      <c r="N2154" s="9" t="s">
        <v>22</v>
      </c>
      <c r="O2154" s="6" t="str">
        <f>HYPERLINK("https://pbs.twimg.com/profile_images/988971255679324162/jrqiIYf__normal.jpg","View")</f>
        <v>View</v>
      </c>
      <c r="P2154" s="7"/>
    </row>
    <row r="2155" spans="1:16">
      <c r="A2155" s="3">
        <v>44329.224340277782</v>
      </c>
      <c r="B2155" s="4" t="str">
        <f>HYPERLINK("https://twitter.com/sergio_fajardo","@sergio_fajardo")</f>
        <v>@sergio_fajardo</v>
      </c>
      <c r="C2155" s="5" t="s">
        <v>16</v>
      </c>
      <c r="D2155" s="5" t="s">
        <v>2175</v>
      </c>
      <c r="E2155" s="6" t="str">
        <f>HYPERLINK("https://twitter.com/sergio_fajardo/status/1392628921900879872","1392628921900879872")</f>
        <v>1392628921900879872</v>
      </c>
      <c r="F2155" s="7" t="s">
        <v>23</v>
      </c>
      <c r="G2155" s="7">
        <v>1584298</v>
      </c>
      <c r="H2155" s="7">
        <v>411</v>
      </c>
      <c r="I2155" s="7">
        <v>1</v>
      </c>
      <c r="J2155" s="7">
        <v>18</v>
      </c>
      <c r="K2155" s="7" t="s">
        <v>18</v>
      </c>
      <c r="L2155" s="8">
        <v>39891.213356481479</v>
      </c>
      <c r="M2155" s="9" t="s">
        <v>19</v>
      </c>
      <c r="N2155" s="9" t="s">
        <v>22</v>
      </c>
      <c r="O2155" s="6" t="str">
        <f>HYPERLINK("https://pbs.twimg.com/profile_images/988971255679324162/jrqiIYf__normal.jpg","View")</f>
        <v>View</v>
      </c>
      <c r="P2155" s="7"/>
    </row>
    <row r="2156" spans="1:16">
      <c r="A2156" s="3">
        <v>44329.225393518514</v>
      </c>
      <c r="B2156" s="4" t="str">
        <f>HYPERLINK("https://twitter.com/sergio_fajardo","@sergio_fajardo")</f>
        <v>@sergio_fajardo</v>
      </c>
      <c r="C2156" s="5" t="s">
        <v>16</v>
      </c>
      <c r="D2156" s="5" t="s">
        <v>2176</v>
      </c>
      <c r="E2156" s="6" t="str">
        <f>HYPERLINK("https://twitter.com/sergio_fajardo/status/1392629303263875072","1392629303263875072")</f>
        <v>1392629303263875072</v>
      </c>
      <c r="F2156" s="7" t="s">
        <v>23</v>
      </c>
      <c r="G2156" s="7">
        <v>1584298</v>
      </c>
      <c r="H2156" s="7">
        <v>411</v>
      </c>
      <c r="I2156" s="7">
        <v>3</v>
      </c>
      <c r="J2156" s="7">
        <v>12</v>
      </c>
      <c r="K2156" s="7" t="s">
        <v>18</v>
      </c>
      <c r="L2156" s="8">
        <v>39891.213356481479</v>
      </c>
      <c r="M2156" s="9" t="s">
        <v>19</v>
      </c>
      <c r="N2156" s="9" t="s">
        <v>22</v>
      </c>
      <c r="O2156" s="6" t="str">
        <f>HYPERLINK("https://pbs.twimg.com/profile_images/988971255679324162/jrqiIYf__normal.jpg","View")</f>
        <v>View</v>
      </c>
      <c r="P2156" s="7"/>
    </row>
    <row r="2157" spans="1:16">
      <c r="A2157" s="3">
        <v>44329.225821759261</v>
      </c>
      <c r="B2157" s="4" t="str">
        <f>HYPERLINK("https://twitter.com/sergio_fajardo","@sergio_fajardo")</f>
        <v>@sergio_fajardo</v>
      </c>
      <c r="C2157" s="5" t="s">
        <v>16</v>
      </c>
      <c r="D2157" s="5" t="s">
        <v>2177</v>
      </c>
      <c r="E2157" s="6" t="str">
        <f>HYPERLINK("https://twitter.com/sergio_fajardo/status/1392629458109181962","1392629458109181962")</f>
        <v>1392629458109181962</v>
      </c>
      <c r="F2157" s="7" t="s">
        <v>23</v>
      </c>
      <c r="G2157" s="7">
        <v>1584298</v>
      </c>
      <c r="H2157" s="7">
        <v>411</v>
      </c>
      <c r="I2157" s="7">
        <v>2</v>
      </c>
      <c r="J2157" s="7">
        <v>15</v>
      </c>
      <c r="K2157" s="7" t="s">
        <v>18</v>
      </c>
      <c r="L2157" s="8">
        <v>39891.213356481479</v>
      </c>
      <c r="M2157" s="9" t="s">
        <v>19</v>
      </c>
      <c r="N2157" s="9" t="s">
        <v>22</v>
      </c>
      <c r="O2157" s="6" t="str">
        <f>HYPERLINK("https://pbs.twimg.com/profile_images/988971255679324162/jrqiIYf__normal.jpg","View")</f>
        <v>View</v>
      </c>
      <c r="P2157" s="7"/>
    </row>
    <row r="2158" spans="1:16">
      <c r="A2158" s="3">
        <v>44329.226180555561</v>
      </c>
      <c r="B2158" s="4" t="str">
        <f>HYPERLINK("https://twitter.com/sergio_fajardo","@sergio_fajardo")</f>
        <v>@sergio_fajardo</v>
      </c>
      <c r="C2158" s="5" t="s">
        <v>16</v>
      </c>
      <c r="D2158" s="5" t="s">
        <v>2178</v>
      </c>
      <c r="E2158" s="6" t="str">
        <f>HYPERLINK("https://twitter.com/sergio_fajardo/status/1392629589525078018","1392629589525078018")</f>
        <v>1392629589525078018</v>
      </c>
      <c r="F2158" s="7" t="s">
        <v>23</v>
      </c>
      <c r="G2158" s="7">
        <v>1584298</v>
      </c>
      <c r="H2158" s="7">
        <v>411</v>
      </c>
      <c r="I2158" s="7">
        <v>0</v>
      </c>
      <c r="J2158" s="7">
        <v>12</v>
      </c>
      <c r="K2158" s="7" t="s">
        <v>18</v>
      </c>
      <c r="L2158" s="8">
        <v>39891.213356481479</v>
      </c>
      <c r="M2158" s="9" t="s">
        <v>19</v>
      </c>
      <c r="N2158" s="9" t="s">
        <v>22</v>
      </c>
      <c r="O2158" s="6" t="str">
        <f>HYPERLINK("https://pbs.twimg.com/profile_images/988971255679324162/jrqiIYf__normal.jpg","View")</f>
        <v>View</v>
      </c>
      <c r="P2158" s="7"/>
    </row>
    <row r="2159" spans="1:16">
      <c r="A2159" s="3">
        <v>44329.226504629631</v>
      </c>
      <c r="B2159" s="4" t="str">
        <f>HYPERLINK("https://twitter.com/sergio_fajardo","@sergio_fajardo")</f>
        <v>@sergio_fajardo</v>
      </c>
      <c r="C2159" s="5" t="s">
        <v>16</v>
      </c>
      <c r="D2159" s="5" t="s">
        <v>2179</v>
      </c>
      <c r="E2159" s="6" t="str">
        <f>HYPERLINK("https://twitter.com/sergio_fajardo/status/1392629706080628738","1392629706080628738")</f>
        <v>1392629706080628738</v>
      </c>
      <c r="F2159" s="7" t="s">
        <v>23</v>
      </c>
      <c r="G2159" s="7">
        <v>1584298</v>
      </c>
      <c r="H2159" s="7">
        <v>411</v>
      </c>
      <c r="I2159" s="7">
        <v>0</v>
      </c>
      <c r="J2159" s="7">
        <v>14</v>
      </c>
      <c r="K2159" s="7" t="s">
        <v>18</v>
      </c>
      <c r="L2159" s="8">
        <v>39891.213356481479</v>
      </c>
      <c r="M2159" s="9" t="s">
        <v>19</v>
      </c>
      <c r="N2159" s="9" t="s">
        <v>22</v>
      </c>
      <c r="O2159" s="6" t="str">
        <f>HYPERLINK("https://pbs.twimg.com/profile_images/988971255679324162/jrqiIYf__normal.jpg","View")</f>
        <v>View</v>
      </c>
      <c r="P2159" s="7"/>
    </row>
    <row r="2160" spans="1:16">
      <c r="A2160" s="3">
        <v>44329.226655092592</v>
      </c>
      <c r="B2160" s="4" t="str">
        <f>HYPERLINK("https://twitter.com/sergio_fajardo","@sergio_fajardo")</f>
        <v>@sergio_fajardo</v>
      </c>
      <c r="C2160" s="5" t="s">
        <v>16</v>
      </c>
      <c r="D2160" s="5" t="s">
        <v>2180</v>
      </c>
      <c r="E2160" s="6" t="str">
        <f>HYPERLINK("https://twitter.com/sergio_fajardo/status/1392629759876739072","1392629759876739072")</f>
        <v>1392629759876739072</v>
      </c>
      <c r="F2160" s="7" t="s">
        <v>23</v>
      </c>
      <c r="G2160" s="7">
        <v>1584298</v>
      </c>
      <c r="H2160" s="7">
        <v>411</v>
      </c>
      <c r="I2160" s="7">
        <v>0</v>
      </c>
      <c r="J2160" s="7">
        <v>19</v>
      </c>
      <c r="K2160" s="7" t="s">
        <v>18</v>
      </c>
      <c r="L2160" s="8">
        <v>39891.213356481479</v>
      </c>
      <c r="M2160" s="9" t="s">
        <v>19</v>
      </c>
      <c r="N2160" s="9" t="s">
        <v>22</v>
      </c>
      <c r="O2160" s="6" t="str">
        <f>HYPERLINK("https://pbs.twimg.com/profile_images/988971255679324162/jrqiIYf__normal.jpg","View")</f>
        <v>View</v>
      </c>
      <c r="P2160" s="7"/>
    </row>
    <row r="2161" spans="1:16">
      <c r="A2161" s="3">
        <v>44329.2268287037</v>
      </c>
      <c r="B2161" s="4" t="str">
        <f>HYPERLINK("https://twitter.com/sergio_fajardo","@sergio_fajardo")</f>
        <v>@sergio_fajardo</v>
      </c>
      <c r="C2161" s="5" t="s">
        <v>16</v>
      </c>
      <c r="D2161" s="5" t="s">
        <v>2181</v>
      </c>
      <c r="E2161" s="6" t="str">
        <f>HYPERLINK("https://twitter.com/sergio_fajardo/status/1392629825676976129","1392629825676976129")</f>
        <v>1392629825676976129</v>
      </c>
      <c r="F2161" s="7" t="s">
        <v>23</v>
      </c>
      <c r="G2161" s="7">
        <v>1584298</v>
      </c>
      <c r="H2161" s="7">
        <v>411</v>
      </c>
      <c r="I2161" s="7">
        <v>2</v>
      </c>
      <c r="J2161" s="7">
        <v>20</v>
      </c>
      <c r="K2161" s="7" t="s">
        <v>18</v>
      </c>
      <c r="L2161" s="8">
        <v>39891.213356481479</v>
      </c>
      <c r="M2161" s="9" t="s">
        <v>19</v>
      </c>
      <c r="N2161" s="9" t="s">
        <v>22</v>
      </c>
      <c r="O2161" s="6" t="str">
        <f>HYPERLINK("https://pbs.twimg.com/profile_images/988971255679324162/jrqiIYf__normal.jpg","View")</f>
        <v>View</v>
      </c>
      <c r="P2161" s="7"/>
    </row>
    <row r="2162" spans="1:16">
      <c r="A2162" s="3">
        <v>44329.306331018517</v>
      </c>
      <c r="B2162" s="4" t="str">
        <f>HYPERLINK("https://twitter.com/sergio_fajardo","@sergio_fajardo")</f>
        <v>@sergio_fajardo</v>
      </c>
      <c r="C2162" s="5" t="s">
        <v>16</v>
      </c>
      <c r="D2162" s="5" t="s">
        <v>2182</v>
      </c>
      <c r="E2162" s="6" t="str">
        <f>HYPERLINK("https://twitter.com/sergio_fajardo/status/1392658632702140421","1392658632702140421")</f>
        <v>1392658632702140421</v>
      </c>
      <c r="F2162" s="7" t="s">
        <v>23</v>
      </c>
      <c r="G2162" s="7">
        <v>1584329</v>
      </c>
      <c r="H2162" s="7">
        <v>411</v>
      </c>
      <c r="I2162" s="7">
        <v>57</v>
      </c>
      <c r="J2162" s="7">
        <v>184</v>
      </c>
      <c r="K2162" s="7" t="s">
        <v>18</v>
      </c>
      <c r="L2162" s="8">
        <v>39891.213356481479</v>
      </c>
      <c r="M2162" s="9" t="s">
        <v>19</v>
      </c>
      <c r="N2162" s="9" t="s">
        <v>22</v>
      </c>
      <c r="O2162" s="6" t="str">
        <f>HYPERLINK("https://pbs.twimg.com/profile_images/988971255679324162/jrqiIYf__normal.jpg","View")</f>
        <v>View</v>
      </c>
      <c r="P2162" s="7"/>
    </row>
    <row r="2163" spans="1:16">
      <c r="A2163" s="3">
        <v>44330.168703703705</v>
      </c>
      <c r="B2163" s="4" t="str">
        <f>HYPERLINK("https://twitter.com/sergio_fajardo","@sergio_fajardo")</f>
        <v>@sergio_fajardo</v>
      </c>
      <c r="C2163" s="5" t="s">
        <v>16</v>
      </c>
      <c r="D2163" s="5" t="s">
        <v>2183</v>
      </c>
      <c r="E2163" s="6" t="str">
        <f>HYPERLINK("https://twitter.com/sergio_fajardo/status/1392971148820877318","1392971148820877318")</f>
        <v>1392971148820877318</v>
      </c>
      <c r="F2163" s="7" t="s">
        <v>17</v>
      </c>
      <c r="G2163" s="7">
        <v>1584460</v>
      </c>
      <c r="H2163" s="7">
        <v>411</v>
      </c>
      <c r="I2163" s="7">
        <v>2</v>
      </c>
      <c r="J2163" s="7">
        <v>7</v>
      </c>
      <c r="K2163" s="7" t="s">
        <v>18</v>
      </c>
      <c r="L2163" s="8">
        <v>39891.213356481479</v>
      </c>
      <c r="M2163" s="9" t="s">
        <v>19</v>
      </c>
      <c r="N2163" s="9" t="s">
        <v>22</v>
      </c>
      <c r="O2163" s="6" t="str">
        <f>HYPERLINK("https://pbs.twimg.com/profile_images/988971255679324162/jrqiIYf__normal.jpg","View")</f>
        <v>View</v>
      </c>
      <c r="P2163" s="7"/>
    </row>
    <row r="2164" spans="1:16">
      <c r="A2164" s="3">
        <v>44330.752696759257</v>
      </c>
      <c r="B2164" s="4" t="str">
        <f>HYPERLINK("https://twitter.com/sergio_fajardo","@sergio_fajardo")</f>
        <v>@sergio_fajardo</v>
      </c>
      <c r="C2164" s="5" t="s">
        <v>16</v>
      </c>
      <c r="D2164" s="5" t="s">
        <v>2184</v>
      </c>
      <c r="E2164" s="6" t="str">
        <f>HYPERLINK("https://twitter.com/sergio_fajardo/status/1393182778724954115","1393182778724954115")</f>
        <v>1393182778724954115</v>
      </c>
      <c r="F2164" s="7" t="s">
        <v>23</v>
      </c>
      <c r="G2164" s="7">
        <v>1584477</v>
      </c>
      <c r="H2164" s="7">
        <v>411</v>
      </c>
      <c r="I2164" s="7">
        <v>25</v>
      </c>
      <c r="J2164" s="7">
        <v>103</v>
      </c>
      <c r="K2164" s="7" t="s">
        <v>18</v>
      </c>
      <c r="L2164" s="8">
        <v>39891.213356481479</v>
      </c>
      <c r="M2164" s="9" t="s">
        <v>19</v>
      </c>
      <c r="N2164" s="9" t="s">
        <v>22</v>
      </c>
      <c r="O2164" s="6" t="str">
        <f>HYPERLINK("https://pbs.twimg.com/profile_images/988971255679324162/jrqiIYf__normal.jpg","View")</f>
        <v>View</v>
      </c>
      <c r="P2164" s="7"/>
    </row>
    <row r="2165" spans="1:16">
      <c r="A2165" s="3">
        <v>44330.752789351856</v>
      </c>
      <c r="B2165" s="4" t="str">
        <f>HYPERLINK("https://twitter.com/sergio_fajardo","@sergio_fajardo")</f>
        <v>@sergio_fajardo</v>
      </c>
      <c r="C2165" s="5" t="s">
        <v>16</v>
      </c>
      <c r="D2165" s="5" t="s">
        <v>2185</v>
      </c>
      <c r="E2165" s="6" t="str">
        <f>HYPERLINK("https://twitter.com/sergio_fajardo/status/1393182812770115586","1393182812770115586")</f>
        <v>1393182812770115586</v>
      </c>
      <c r="F2165" s="7" t="s">
        <v>23</v>
      </c>
      <c r="G2165" s="7">
        <v>1584477</v>
      </c>
      <c r="H2165" s="7">
        <v>411</v>
      </c>
      <c r="I2165" s="7">
        <v>20</v>
      </c>
      <c r="J2165" s="7">
        <v>77</v>
      </c>
      <c r="K2165" s="7" t="s">
        <v>18</v>
      </c>
      <c r="L2165" s="8">
        <v>39891.213356481479</v>
      </c>
      <c r="M2165" s="9" t="s">
        <v>19</v>
      </c>
      <c r="N2165" s="9" t="s">
        <v>22</v>
      </c>
      <c r="O2165" s="6" t="str">
        <f>HYPERLINK("https://pbs.twimg.com/profile_images/988971255679324162/jrqiIYf__normal.jpg","View")</f>
        <v>View</v>
      </c>
      <c r="P2165" s="7"/>
    </row>
    <row r="2166" spans="1:16">
      <c r="A2166" s="3">
        <v>44330.892789351856</v>
      </c>
      <c r="B2166" s="4" t="str">
        <f>HYPERLINK("https://twitter.com/sergio_fajardo","@sergio_fajardo")</f>
        <v>@sergio_fajardo</v>
      </c>
      <c r="C2166" s="5" t="s">
        <v>16</v>
      </c>
      <c r="D2166" s="5" t="s">
        <v>2186</v>
      </c>
      <c r="E2166" s="6" t="str">
        <f>HYPERLINK("https://twitter.com/sergio_fajardo/status/1393233549071994883","1393233549071994883")</f>
        <v>1393233549071994883</v>
      </c>
      <c r="F2166" s="7" t="s">
        <v>17</v>
      </c>
      <c r="G2166" s="7">
        <v>1584521</v>
      </c>
      <c r="H2166" s="7">
        <v>411</v>
      </c>
      <c r="I2166" s="7">
        <v>2</v>
      </c>
      <c r="J2166" s="7">
        <v>0</v>
      </c>
      <c r="K2166" s="7" t="s">
        <v>18</v>
      </c>
      <c r="L2166" s="8">
        <v>39891.213356481479</v>
      </c>
      <c r="M2166" s="9" t="s">
        <v>19</v>
      </c>
      <c r="N2166" s="9" t="s">
        <v>22</v>
      </c>
      <c r="O2166" s="6" t="str">
        <f>HYPERLINK("https://pbs.twimg.com/profile_images/988971255679324162/jrqiIYf__normal.jpg","View")</f>
        <v>View</v>
      </c>
      <c r="P2166" s="7"/>
    </row>
    <row r="2167" spans="1:16">
      <c r="A2167" s="3">
        <v>44330.918634259258</v>
      </c>
      <c r="B2167" s="4" t="str">
        <f>HYPERLINK("https://twitter.com/sergio_fajardo","@sergio_fajardo")</f>
        <v>@sergio_fajardo</v>
      </c>
      <c r="C2167" s="5" t="s">
        <v>16</v>
      </c>
      <c r="D2167" s="5" t="s">
        <v>2187</v>
      </c>
      <c r="E2167" s="6" t="str">
        <f>HYPERLINK("https://twitter.com/sergio_fajardo/status/1393242912079687682","1393242912079687682")</f>
        <v>1393242912079687682</v>
      </c>
      <c r="F2167" s="7" t="s">
        <v>23</v>
      </c>
      <c r="G2167" s="7">
        <v>1584507</v>
      </c>
      <c r="H2167" s="7">
        <v>411</v>
      </c>
      <c r="I2167" s="7">
        <v>15</v>
      </c>
      <c r="J2167" s="7">
        <v>104</v>
      </c>
      <c r="K2167" s="7" t="s">
        <v>18</v>
      </c>
      <c r="L2167" s="8">
        <v>39891.213356481479</v>
      </c>
      <c r="M2167" s="9" t="s">
        <v>19</v>
      </c>
      <c r="N2167" s="9" t="s">
        <v>22</v>
      </c>
      <c r="O2167" s="6" t="str">
        <f>HYPERLINK("https://pbs.twimg.com/profile_images/988971255679324162/jrqiIYf__normal.jpg","View")</f>
        <v>View</v>
      </c>
      <c r="P2167" s="7"/>
    </row>
    <row r="2168" spans="1:16">
      <c r="A2168" s="3">
        <v>44331.189976851849</v>
      </c>
      <c r="B2168" s="4" t="str">
        <f>HYPERLINK("https://twitter.com/sergio_fajardo","@sergio_fajardo")</f>
        <v>@sergio_fajardo</v>
      </c>
      <c r="C2168" s="5" t="s">
        <v>16</v>
      </c>
      <c r="D2168" s="5" t="s">
        <v>2188</v>
      </c>
      <c r="E2168" s="6" t="str">
        <f>HYPERLINK("https://twitter.com/sergio_fajardo/status/1393341245498535945","1393341245498535945")</f>
        <v>1393341245498535945</v>
      </c>
      <c r="F2168" s="7" t="s">
        <v>23</v>
      </c>
      <c r="G2168" s="7">
        <v>1584571</v>
      </c>
      <c r="H2168" s="7">
        <v>411</v>
      </c>
      <c r="I2168" s="7">
        <v>12</v>
      </c>
      <c r="J2168" s="7">
        <v>64</v>
      </c>
      <c r="K2168" s="7" t="s">
        <v>18</v>
      </c>
      <c r="L2168" s="8">
        <v>39891.213356481479</v>
      </c>
      <c r="M2168" s="9" t="s">
        <v>19</v>
      </c>
      <c r="N2168" s="9" t="s">
        <v>22</v>
      </c>
      <c r="O2168" s="6" t="str">
        <f>HYPERLINK("https://pbs.twimg.com/profile_images/988971255679324162/jrqiIYf__normal.jpg","View")</f>
        <v>View</v>
      </c>
      <c r="P2168" s="7"/>
    </row>
    <row r="2169" spans="1:16">
      <c r="A2169" s="3">
        <v>44331.308738425927</v>
      </c>
      <c r="B2169" s="4" t="str">
        <f>HYPERLINK("https://twitter.com/sergio_fajardo","@sergio_fajardo")</f>
        <v>@sergio_fajardo</v>
      </c>
      <c r="C2169" s="5" t="s">
        <v>16</v>
      </c>
      <c r="D2169" s="5" t="s">
        <v>2189</v>
      </c>
      <c r="E2169" s="6" t="str">
        <f>HYPERLINK("https://twitter.com/sergio_fajardo/status/1393384280966012930","1393384280966012930")</f>
        <v>1393384280966012930</v>
      </c>
      <c r="F2169" s="7" t="s">
        <v>23</v>
      </c>
      <c r="G2169" s="7">
        <v>1584594</v>
      </c>
      <c r="H2169" s="7">
        <v>411</v>
      </c>
      <c r="I2169" s="7">
        <v>71</v>
      </c>
      <c r="J2169" s="7">
        <v>225</v>
      </c>
      <c r="K2169" s="7" t="s">
        <v>18</v>
      </c>
      <c r="L2169" s="8">
        <v>39891.213356481479</v>
      </c>
      <c r="M2169" s="9" t="s">
        <v>19</v>
      </c>
      <c r="N2169" s="9" t="s">
        <v>22</v>
      </c>
      <c r="O2169" s="6" t="str">
        <f>HYPERLINK("https://pbs.twimg.com/profile_images/988971255679324162/jrqiIYf__normal.jpg","View")</f>
        <v>View</v>
      </c>
      <c r="P2169" s="7"/>
    </row>
    <row r="2170" spans="1:16">
      <c r="A2170" s="3">
        <v>44331.805474537032</v>
      </c>
      <c r="B2170" s="4" t="str">
        <f>HYPERLINK("https://twitter.com/sergio_fajardo","@sergio_fajardo")</f>
        <v>@sergio_fajardo</v>
      </c>
      <c r="C2170" s="5" t="s">
        <v>16</v>
      </c>
      <c r="D2170" s="5" t="s">
        <v>2190</v>
      </c>
      <c r="E2170" s="6" t="str">
        <f>HYPERLINK("https://twitter.com/sergio_fajardo/status/1393564292050456576","1393564292050456576")</f>
        <v>1393564292050456576</v>
      </c>
      <c r="F2170" s="7" t="s">
        <v>23</v>
      </c>
      <c r="G2170" s="7">
        <v>1584612</v>
      </c>
      <c r="H2170" s="7">
        <v>411</v>
      </c>
      <c r="I2170" s="7">
        <v>13</v>
      </c>
      <c r="J2170" s="7">
        <v>79</v>
      </c>
      <c r="K2170" s="7" t="s">
        <v>18</v>
      </c>
      <c r="L2170" s="8">
        <v>39891.213356481479</v>
      </c>
      <c r="M2170" s="9" t="s">
        <v>19</v>
      </c>
      <c r="N2170" s="9" t="s">
        <v>22</v>
      </c>
      <c r="O2170" s="6" t="str">
        <f>HYPERLINK("https://pbs.twimg.com/profile_images/988971255679324162/jrqiIYf__normal.jpg","View")</f>
        <v>View</v>
      </c>
      <c r="P2170" s="7"/>
    </row>
    <row r="2171" spans="1:16">
      <c r="A2171" s="3">
        <v>44331.805787037039</v>
      </c>
      <c r="B2171" s="4" t="str">
        <f>HYPERLINK("https://twitter.com/sergio_fajardo","@sergio_fajardo")</f>
        <v>@sergio_fajardo</v>
      </c>
      <c r="C2171" s="5" t="s">
        <v>16</v>
      </c>
      <c r="D2171" s="5" t="s">
        <v>2191</v>
      </c>
      <c r="E2171" s="6" t="str">
        <f>HYPERLINK("https://twitter.com/sergio_fajardo/status/1393564408111063057","1393564408111063057")</f>
        <v>1393564408111063057</v>
      </c>
      <c r="F2171" s="7" t="s">
        <v>23</v>
      </c>
      <c r="G2171" s="7">
        <v>1584612</v>
      </c>
      <c r="H2171" s="7">
        <v>411</v>
      </c>
      <c r="I2171" s="7">
        <v>5</v>
      </c>
      <c r="J2171" s="7">
        <v>44</v>
      </c>
      <c r="K2171" s="7" t="s">
        <v>18</v>
      </c>
      <c r="L2171" s="8">
        <v>39891.213356481479</v>
      </c>
      <c r="M2171" s="9" t="s">
        <v>19</v>
      </c>
      <c r="N2171" s="9" t="s">
        <v>22</v>
      </c>
      <c r="O2171" s="6" t="str">
        <f>HYPERLINK("https://pbs.twimg.com/profile_images/988971255679324162/jrqiIYf__normal.jpg","View")</f>
        <v>View</v>
      </c>
      <c r="P2171" s="7"/>
    </row>
    <row r="2172" spans="1:16">
      <c r="A2172" s="3">
        <v>44332.208807870367</v>
      </c>
      <c r="B2172" s="4" t="str">
        <f>HYPERLINK("https://twitter.com/sergio_fajardo","@sergio_fajardo")</f>
        <v>@sergio_fajardo</v>
      </c>
      <c r="C2172" s="5" t="s">
        <v>16</v>
      </c>
      <c r="D2172" s="5" t="s">
        <v>2192</v>
      </c>
      <c r="E2172" s="6" t="str">
        <f>HYPERLINK("https://twitter.com/sergio_fajardo/status/1393710457140154368","1393710457140154368")</f>
        <v>1393710457140154368</v>
      </c>
      <c r="F2172" s="7" t="s">
        <v>17</v>
      </c>
      <c r="G2172" s="7">
        <v>1584679</v>
      </c>
      <c r="H2172" s="7">
        <v>411</v>
      </c>
      <c r="I2172" s="7">
        <v>13</v>
      </c>
      <c r="J2172" s="7">
        <v>59</v>
      </c>
      <c r="K2172" s="7" t="s">
        <v>18</v>
      </c>
      <c r="L2172" s="8">
        <v>39891.213356481479</v>
      </c>
      <c r="M2172" s="9" t="s">
        <v>19</v>
      </c>
      <c r="N2172" s="9" t="s">
        <v>22</v>
      </c>
      <c r="O2172" s="6" t="str">
        <f>HYPERLINK("https://pbs.twimg.com/profile_images/988971255679324162/jrqiIYf__normal.jpg","View")</f>
        <v>View</v>
      </c>
      <c r="P2172" s="7"/>
    </row>
    <row r="2173" spans="1:16">
      <c r="A2173" s="3">
        <v>44332.210752314815</v>
      </c>
      <c r="B2173" s="4" t="str">
        <f>HYPERLINK("https://twitter.com/sergio_fajardo","@sergio_fajardo")</f>
        <v>@sergio_fajardo</v>
      </c>
      <c r="C2173" s="5" t="s">
        <v>16</v>
      </c>
      <c r="D2173" s="5" t="s">
        <v>2193</v>
      </c>
      <c r="E2173" s="6" t="str">
        <f>HYPERLINK("https://twitter.com/sergio_fajardo/status/1393711162852794368","1393711162852794368")</f>
        <v>1393711162852794368</v>
      </c>
      <c r="F2173" s="7" t="s">
        <v>17</v>
      </c>
      <c r="G2173" s="7">
        <v>1584679</v>
      </c>
      <c r="H2173" s="7">
        <v>411</v>
      </c>
      <c r="I2173" s="7">
        <v>14</v>
      </c>
      <c r="J2173" s="7">
        <v>57</v>
      </c>
      <c r="K2173" s="7" t="s">
        <v>18</v>
      </c>
      <c r="L2173" s="8">
        <v>39891.213356481479</v>
      </c>
      <c r="M2173" s="9" t="s">
        <v>19</v>
      </c>
      <c r="N2173" s="9" t="s">
        <v>22</v>
      </c>
      <c r="O2173" s="6" t="str">
        <f>HYPERLINK("https://pbs.twimg.com/profile_images/988971255679324162/jrqiIYf__normal.jpg","View")</f>
        <v>View</v>
      </c>
      <c r="P2173" s="7"/>
    </row>
    <row r="2174" spans="1:16">
      <c r="A2174" s="3">
        <v>44332.297997685186</v>
      </c>
      <c r="B2174" s="4" t="str">
        <f>HYPERLINK("https://twitter.com/sergio_fajardo","@sergio_fajardo")</f>
        <v>@sergio_fajardo</v>
      </c>
      <c r="C2174" s="5" t="s">
        <v>16</v>
      </c>
      <c r="D2174" s="5" t="s">
        <v>2194</v>
      </c>
      <c r="E2174" s="6" t="str">
        <f>HYPERLINK("https://twitter.com/sergio_fajardo/status/1393742780300660738","1393742780300660738")</f>
        <v>1393742780300660738</v>
      </c>
      <c r="F2174" s="7" t="s">
        <v>17</v>
      </c>
      <c r="G2174" s="7">
        <v>1584684</v>
      </c>
      <c r="H2174" s="7">
        <v>411</v>
      </c>
      <c r="I2174" s="7">
        <v>7</v>
      </c>
      <c r="J2174" s="7">
        <v>53</v>
      </c>
      <c r="K2174" s="7" t="s">
        <v>18</v>
      </c>
      <c r="L2174" s="8">
        <v>39891.213356481479</v>
      </c>
      <c r="M2174" s="9" t="s">
        <v>19</v>
      </c>
      <c r="N2174" s="9" t="s">
        <v>22</v>
      </c>
      <c r="O2174" s="6" t="str">
        <f>HYPERLINK("https://pbs.twimg.com/profile_images/988971255679324162/jrqiIYf__normal.jpg","View")</f>
        <v>View</v>
      </c>
      <c r="P2174" s="7"/>
    </row>
    <row r="2175" spans="1:16">
      <c r="A2175" s="3">
        <v>44332.679756944446</v>
      </c>
      <c r="B2175" s="4" t="str">
        <f>HYPERLINK("https://twitter.com/sergio_fajardo","@sergio_fajardo")</f>
        <v>@sergio_fajardo</v>
      </c>
      <c r="C2175" s="5" t="s">
        <v>16</v>
      </c>
      <c r="D2175" s="5" t="s">
        <v>2195</v>
      </c>
      <c r="E2175" s="6" t="str">
        <f>HYPERLINK("https://twitter.com/sergio_fajardo/status/1393881123495845901","1393881123495845901")</f>
        <v>1393881123495845901</v>
      </c>
      <c r="F2175" s="7" t="s">
        <v>23</v>
      </c>
      <c r="G2175" s="7">
        <v>1584673</v>
      </c>
      <c r="H2175" s="7">
        <v>411</v>
      </c>
      <c r="I2175" s="7">
        <v>285</v>
      </c>
      <c r="J2175" s="7">
        <v>0</v>
      </c>
      <c r="K2175" s="7" t="s">
        <v>18</v>
      </c>
      <c r="L2175" s="8">
        <v>39891.213356481479</v>
      </c>
      <c r="M2175" s="9" t="s">
        <v>19</v>
      </c>
      <c r="N2175" s="9" t="s">
        <v>22</v>
      </c>
      <c r="O2175" s="6" t="str">
        <f>HYPERLINK("https://pbs.twimg.com/profile_images/988971255679324162/jrqiIYf__normal.jpg","View")</f>
        <v>View</v>
      </c>
      <c r="P2175" s="7"/>
    </row>
    <row r="2176" spans="1:16">
      <c r="A2176" s="3">
        <v>44332.693449074075</v>
      </c>
      <c r="B2176" s="4" t="str">
        <f>HYPERLINK("https://twitter.com/sergio_fajardo","@sergio_fajardo")</f>
        <v>@sergio_fajardo</v>
      </c>
      <c r="C2176" s="5" t="s">
        <v>16</v>
      </c>
      <c r="D2176" s="5" t="s">
        <v>2196</v>
      </c>
      <c r="E2176" s="6" t="str">
        <f>HYPERLINK("https://twitter.com/sergio_fajardo/status/1393886085000966152","1393886085000966152")</f>
        <v>1393886085000966152</v>
      </c>
      <c r="F2176" s="7" t="s">
        <v>17</v>
      </c>
      <c r="G2176" s="7">
        <v>1584673</v>
      </c>
      <c r="H2176" s="7">
        <v>411</v>
      </c>
      <c r="I2176" s="7">
        <v>12</v>
      </c>
      <c r="J2176" s="7">
        <v>0</v>
      </c>
      <c r="K2176" s="7" t="s">
        <v>18</v>
      </c>
      <c r="L2176" s="8">
        <v>39891.213356481479</v>
      </c>
      <c r="M2176" s="9" t="s">
        <v>19</v>
      </c>
      <c r="N2176" s="9" t="s">
        <v>22</v>
      </c>
      <c r="O2176" s="6" t="str">
        <f>HYPERLINK("https://pbs.twimg.com/profile_images/988971255679324162/jrqiIYf__normal.jpg","View")</f>
        <v>View</v>
      </c>
      <c r="P2176" s="7"/>
    </row>
    <row r="2177" spans="1:16">
      <c r="A2177" s="3">
        <v>44332.935150462959</v>
      </c>
      <c r="B2177" s="4" t="str">
        <f>HYPERLINK("https://twitter.com/sergio_fajardo","@sergio_fajardo")</f>
        <v>@sergio_fajardo</v>
      </c>
      <c r="C2177" s="5" t="s">
        <v>16</v>
      </c>
      <c r="D2177" s="5" t="s">
        <v>2197</v>
      </c>
      <c r="E2177" s="6" t="str">
        <f>HYPERLINK("https://twitter.com/sergio_fajardo/status/1393973675548938247","1393973675548938247")</f>
        <v>1393973675548938247</v>
      </c>
      <c r="F2177" s="7" t="s">
        <v>23</v>
      </c>
      <c r="G2177" s="7">
        <v>1584679</v>
      </c>
      <c r="H2177" s="7">
        <v>411</v>
      </c>
      <c r="I2177" s="7">
        <v>15</v>
      </c>
      <c r="J2177" s="7">
        <v>46</v>
      </c>
      <c r="K2177" s="7" t="s">
        <v>18</v>
      </c>
      <c r="L2177" s="8">
        <v>39891.213356481479</v>
      </c>
      <c r="M2177" s="9" t="s">
        <v>19</v>
      </c>
      <c r="N2177" s="9" t="s">
        <v>22</v>
      </c>
      <c r="O2177" s="6" t="str">
        <f>HYPERLINK("https://pbs.twimg.com/profile_images/988971255679324162/jrqiIYf__normal.jpg","View")</f>
        <v>View</v>
      </c>
      <c r="P2177" s="7"/>
    </row>
    <row r="2178" spans="1:16">
      <c r="A2178" s="3">
        <v>44333.228275462963</v>
      </c>
      <c r="B2178" s="4" t="str">
        <f>HYPERLINK("https://twitter.com/sergio_fajardo","@sergio_fajardo")</f>
        <v>@sergio_fajardo</v>
      </c>
      <c r="C2178" s="5" t="s">
        <v>16</v>
      </c>
      <c r="D2178" s="5" t="s">
        <v>2198</v>
      </c>
      <c r="E2178" s="6" t="str">
        <f>HYPERLINK("https://twitter.com/sergio_fajardo/status/1394079898499788803","1394079898499788803")</f>
        <v>1394079898499788803</v>
      </c>
      <c r="F2178" s="7" t="s">
        <v>17</v>
      </c>
      <c r="G2178" s="7">
        <v>1584743</v>
      </c>
      <c r="H2178" s="7">
        <v>411</v>
      </c>
      <c r="I2178" s="7">
        <v>23</v>
      </c>
      <c r="J2178" s="7">
        <v>0</v>
      </c>
      <c r="K2178" s="7" t="s">
        <v>18</v>
      </c>
      <c r="L2178" s="8">
        <v>39891.213356481479</v>
      </c>
      <c r="M2178" s="9" t="s">
        <v>19</v>
      </c>
      <c r="N2178" s="9" t="s">
        <v>22</v>
      </c>
      <c r="O2178" s="6" t="str">
        <f>HYPERLINK("https://pbs.twimg.com/profile_images/988971255679324162/jrqiIYf__normal.jpg","View")</f>
        <v>View</v>
      </c>
      <c r="P2178" s="7"/>
    </row>
    <row r="2179" spans="1:16">
      <c r="A2179" s="3">
        <v>44333.237604166672</v>
      </c>
      <c r="B2179" s="4" t="str">
        <f>HYPERLINK("https://twitter.com/sergio_fajardo","@sergio_fajardo")</f>
        <v>@sergio_fajardo</v>
      </c>
      <c r="C2179" s="5" t="s">
        <v>16</v>
      </c>
      <c r="D2179" s="5" t="s">
        <v>2199</v>
      </c>
      <c r="E2179" s="6" t="str">
        <f>HYPERLINK("https://twitter.com/sergio_fajardo/status/1394083279020728322","1394083279020728322")</f>
        <v>1394083279020728322</v>
      </c>
      <c r="F2179" s="7" t="s">
        <v>17</v>
      </c>
      <c r="G2179" s="7">
        <v>1584743</v>
      </c>
      <c r="H2179" s="7">
        <v>411</v>
      </c>
      <c r="I2179" s="7">
        <v>25</v>
      </c>
      <c r="J2179" s="7">
        <v>103</v>
      </c>
      <c r="K2179" s="7" t="s">
        <v>18</v>
      </c>
      <c r="L2179" s="8">
        <v>39891.213356481479</v>
      </c>
      <c r="M2179" s="9" t="s">
        <v>19</v>
      </c>
      <c r="N2179" s="9" t="s">
        <v>22</v>
      </c>
      <c r="O2179" s="6" t="str">
        <f>HYPERLINK("https://pbs.twimg.com/profile_images/988971255679324162/jrqiIYf__normal.jpg","View")</f>
        <v>View</v>
      </c>
      <c r="P2179" s="7"/>
    </row>
    <row r="2180" spans="1:16">
      <c r="A2180" s="3">
        <v>44333.237604166672</v>
      </c>
      <c r="B2180" s="4" t="str">
        <f>HYPERLINK("https://twitter.com/sergio_fajardo","@sergio_fajardo")</f>
        <v>@sergio_fajardo</v>
      </c>
      <c r="C2180" s="5" t="s">
        <v>16</v>
      </c>
      <c r="D2180" s="5" t="s">
        <v>2200</v>
      </c>
      <c r="E2180" s="6" t="str">
        <f>HYPERLINK("https://twitter.com/sergio_fajardo/status/1394083280127938563","1394083280127938563")</f>
        <v>1394083280127938563</v>
      </c>
      <c r="F2180" s="7" t="s">
        <v>17</v>
      </c>
      <c r="G2180" s="7">
        <v>1584743</v>
      </c>
      <c r="H2180" s="7">
        <v>411</v>
      </c>
      <c r="I2180" s="7">
        <v>16</v>
      </c>
      <c r="J2180" s="7">
        <v>104</v>
      </c>
      <c r="K2180" s="7" t="s">
        <v>18</v>
      </c>
      <c r="L2180" s="8">
        <v>39891.213356481479</v>
      </c>
      <c r="M2180" s="9" t="s">
        <v>19</v>
      </c>
      <c r="N2180" s="9" t="s">
        <v>22</v>
      </c>
      <c r="O2180" s="6" t="str">
        <f>HYPERLINK("https://pbs.twimg.com/profile_images/988971255679324162/jrqiIYf__normal.jpg","View")</f>
        <v>View</v>
      </c>
      <c r="P2180" s="7"/>
    </row>
    <row r="2181" spans="1:16">
      <c r="A2181" s="3">
        <v>44333.944155092591</v>
      </c>
      <c r="B2181" s="4" t="str">
        <f>HYPERLINK("https://twitter.com/sergio_fajardo","@sergio_fajardo")</f>
        <v>@sergio_fajardo</v>
      </c>
      <c r="C2181" s="5" t="s">
        <v>16</v>
      </c>
      <c r="D2181" s="5" t="s">
        <v>2201</v>
      </c>
      <c r="E2181" s="6" t="str">
        <f>HYPERLINK("https://twitter.com/sergio_fajardo/status/1394339327753211907","1394339327753211907")</f>
        <v>1394339327753211907</v>
      </c>
      <c r="F2181" s="7" t="s">
        <v>17</v>
      </c>
      <c r="G2181" s="7">
        <v>1584912</v>
      </c>
      <c r="H2181" s="7">
        <v>411</v>
      </c>
      <c r="I2181" s="7">
        <v>9</v>
      </c>
      <c r="J2181" s="7">
        <v>0</v>
      </c>
      <c r="K2181" s="7" t="s">
        <v>18</v>
      </c>
      <c r="L2181" s="8">
        <v>39891.213356481479</v>
      </c>
      <c r="M2181" s="9" t="s">
        <v>19</v>
      </c>
      <c r="N2181" s="9" t="s">
        <v>22</v>
      </c>
      <c r="O2181" s="6" t="str">
        <f>HYPERLINK("https://pbs.twimg.com/profile_images/988971255679324162/jrqiIYf__normal.jpg","View")</f>
        <v>View</v>
      </c>
      <c r="P2181" s="7"/>
    </row>
    <row r="2182" spans="1:16">
      <c r="A2182" s="3">
        <v>44334.192662037036</v>
      </c>
      <c r="B2182" s="4" t="str">
        <f>HYPERLINK("https://twitter.com/sergio_fajardo","@sergio_fajardo")</f>
        <v>@sergio_fajardo</v>
      </c>
      <c r="C2182" s="5" t="s">
        <v>16</v>
      </c>
      <c r="D2182" s="5" t="s">
        <v>2202</v>
      </c>
      <c r="E2182" s="6" t="str">
        <f>HYPERLINK("https://twitter.com/sergio_fajardo/status/1394429380852649992","1394429380852649992")</f>
        <v>1394429380852649992</v>
      </c>
      <c r="F2182" s="7" t="s">
        <v>17</v>
      </c>
      <c r="G2182" s="7">
        <v>1585090</v>
      </c>
      <c r="H2182" s="7">
        <v>411</v>
      </c>
      <c r="I2182" s="7">
        <v>35</v>
      </c>
      <c r="J2182" s="7">
        <v>0</v>
      </c>
      <c r="K2182" s="7" t="s">
        <v>18</v>
      </c>
      <c r="L2182" s="8">
        <v>39891.213356481479</v>
      </c>
      <c r="M2182" s="9" t="s">
        <v>19</v>
      </c>
      <c r="N2182" s="9" t="s">
        <v>22</v>
      </c>
      <c r="O2182" s="6" t="str">
        <f>HYPERLINK("https://pbs.twimg.com/profile_images/988971255679324162/jrqiIYf__normal.jpg","View")</f>
        <v>View</v>
      </c>
      <c r="P2182" s="7"/>
    </row>
    <row r="2183" spans="1:16">
      <c r="A2183" s="3">
        <v>44334.774988425925</v>
      </c>
      <c r="B2183" s="4" t="str">
        <f>HYPERLINK("https://twitter.com/sergio_fajardo","@sergio_fajardo")</f>
        <v>@sergio_fajardo</v>
      </c>
      <c r="C2183" s="5" t="s">
        <v>16</v>
      </c>
      <c r="D2183" s="5" t="s">
        <v>2203</v>
      </c>
      <c r="E2183" s="6" t="str">
        <f>HYPERLINK("https://twitter.com/sergio_fajardo/status/1394640408156807168","1394640408156807168")</f>
        <v>1394640408156807168</v>
      </c>
      <c r="F2183" s="7" t="s">
        <v>23</v>
      </c>
      <c r="G2183" s="7">
        <v>1585300</v>
      </c>
      <c r="H2183" s="7">
        <v>411</v>
      </c>
      <c r="I2183" s="7">
        <v>5</v>
      </c>
      <c r="J2183" s="7">
        <v>52</v>
      </c>
      <c r="K2183" s="7" t="s">
        <v>18</v>
      </c>
      <c r="L2183" s="8">
        <v>39891.213356481479</v>
      </c>
      <c r="M2183" s="9" t="s">
        <v>19</v>
      </c>
      <c r="N2183" s="9" t="s">
        <v>22</v>
      </c>
      <c r="O2183" s="6" t="str">
        <f>HYPERLINK("https://pbs.twimg.com/profile_images/988971255679324162/jrqiIYf__normal.jpg","View")</f>
        <v>View</v>
      </c>
      <c r="P2183" s="7"/>
    </row>
    <row r="2184" spans="1:16">
      <c r="A2184" s="3">
        <v>44334.801319444443</v>
      </c>
      <c r="B2184" s="4" t="str">
        <f>HYPERLINK("https://twitter.com/sergio_fajardo","@sergio_fajardo")</f>
        <v>@sergio_fajardo</v>
      </c>
      <c r="C2184" s="5" t="s">
        <v>16</v>
      </c>
      <c r="D2184" s="5" t="s">
        <v>2204</v>
      </c>
      <c r="E2184" s="6" t="str">
        <f>HYPERLINK("https://twitter.com/sergio_fajardo/status/1394649953679679496","1394649953679679496")</f>
        <v>1394649953679679496</v>
      </c>
      <c r="F2184" s="7" t="s">
        <v>23</v>
      </c>
      <c r="G2184" s="7">
        <v>1585326</v>
      </c>
      <c r="H2184" s="7">
        <v>411</v>
      </c>
      <c r="I2184" s="7">
        <v>8</v>
      </c>
      <c r="J2184" s="7">
        <v>41</v>
      </c>
      <c r="K2184" s="7" t="s">
        <v>18</v>
      </c>
      <c r="L2184" s="8">
        <v>39891.213356481479</v>
      </c>
      <c r="M2184" s="9" t="s">
        <v>19</v>
      </c>
      <c r="N2184" s="9" t="s">
        <v>22</v>
      </c>
      <c r="O2184" s="6" t="str">
        <f>HYPERLINK("https://pbs.twimg.com/profile_images/988971255679324162/jrqiIYf__normal.jpg","View")</f>
        <v>View</v>
      </c>
      <c r="P2184" s="7"/>
    </row>
    <row r="2185" spans="1:16">
      <c r="A2185" s="3">
        <v>44334.925763888888</v>
      </c>
      <c r="B2185" s="4" t="str">
        <f>HYPERLINK("https://twitter.com/sergio_fajardo","@sergio_fajardo")</f>
        <v>@sergio_fajardo</v>
      </c>
      <c r="C2185" s="5" t="s">
        <v>16</v>
      </c>
      <c r="D2185" s="5" t="s">
        <v>2205</v>
      </c>
      <c r="E2185" s="6" t="str">
        <f>HYPERLINK("https://twitter.com/sergio_fajardo/status/1394695047300501504","1394695047300501504")</f>
        <v>1394695047300501504</v>
      </c>
      <c r="F2185" s="7" t="s">
        <v>20</v>
      </c>
      <c r="G2185" s="7">
        <v>1585408</v>
      </c>
      <c r="H2185" s="7">
        <v>411</v>
      </c>
      <c r="I2185" s="7">
        <v>13</v>
      </c>
      <c r="J2185" s="7">
        <v>43</v>
      </c>
      <c r="K2185" s="7" t="s">
        <v>18</v>
      </c>
      <c r="L2185" s="8">
        <v>39891.213356481479</v>
      </c>
      <c r="M2185" s="9" t="s">
        <v>19</v>
      </c>
      <c r="N2185" s="9" t="s">
        <v>22</v>
      </c>
      <c r="O2185" s="6" t="str">
        <f>HYPERLINK("https://pbs.twimg.com/profile_images/988971255679324162/jrqiIYf__normal.jpg","View")</f>
        <v>View</v>
      </c>
      <c r="P2185" s="7"/>
    </row>
    <row r="2186" spans="1:16">
      <c r="A2186" s="3">
        <v>44335.09642361111</v>
      </c>
      <c r="B2186" s="4" t="str">
        <f>HYPERLINK("https://twitter.com/sergio_fajardo","@sergio_fajardo")</f>
        <v>@sergio_fajardo</v>
      </c>
      <c r="C2186" s="5" t="s">
        <v>16</v>
      </c>
      <c r="D2186" s="5" t="s">
        <v>2206</v>
      </c>
      <c r="E2186" s="6" t="str">
        <f>HYPERLINK("https://twitter.com/sergio_fajardo/status/1394756894938603528","1394756894938603528")</f>
        <v>1394756894938603528</v>
      </c>
      <c r="F2186" s="7" t="s">
        <v>17</v>
      </c>
      <c r="G2186" s="7">
        <v>1585558</v>
      </c>
      <c r="H2186" s="7">
        <v>411</v>
      </c>
      <c r="I2186" s="7">
        <v>19</v>
      </c>
      <c r="J2186" s="7">
        <v>0</v>
      </c>
      <c r="K2186" s="7" t="s">
        <v>18</v>
      </c>
      <c r="L2186" s="8">
        <v>39891.213356481479</v>
      </c>
      <c r="M2186" s="9" t="s">
        <v>19</v>
      </c>
      <c r="N2186" s="9" t="s">
        <v>22</v>
      </c>
      <c r="O2186" s="6" t="str">
        <f>HYPERLINK("https://pbs.twimg.com/profile_images/988971255679324162/jrqiIYf__normal.jpg","View")</f>
        <v>View</v>
      </c>
      <c r="P2186" s="7"/>
    </row>
    <row r="2187" spans="1:16">
      <c r="A2187" s="3">
        <v>44335.244768518518</v>
      </c>
      <c r="B2187" s="4" t="str">
        <f>HYPERLINK("https://twitter.com/sergio_fajardo","@sergio_fajardo")</f>
        <v>@sergio_fajardo</v>
      </c>
      <c r="C2187" s="5" t="s">
        <v>16</v>
      </c>
      <c r="D2187" s="5" t="s">
        <v>2207</v>
      </c>
      <c r="E2187" s="6" t="str">
        <f>HYPERLINK("https://twitter.com/sergio_fajardo/status/1394810651885907971","1394810651885907971")</f>
        <v>1394810651885907971</v>
      </c>
      <c r="F2187" s="7" t="s">
        <v>20</v>
      </c>
      <c r="G2187" s="7">
        <v>1585576</v>
      </c>
      <c r="H2187" s="7">
        <v>411</v>
      </c>
      <c r="I2187" s="7">
        <v>61</v>
      </c>
      <c r="J2187" s="7">
        <v>368</v>
      </c>
      <c r="K2187" s="7" t="s">
        <v>18</v>
      </c>
      <c r="L2187" s="8">
        <v>39891.213356481479</v>
      </c>
      <c r="M2187" s="9" t="s">
        <v>19</v>
      </c>
      <c r="N2187" s="9" t="s">
        <v>22</v>
      </c>
      <c r="O2187" s="6" t="str">
        <f>HYPERLINK("https://pbs.twimg.com/profile_images/988971255679324162/jrqiIYf__normal.jpg","View")</f>
        <v>View</v>
      </c>
      <c r="P2187" s="7"/>
    </row>
    <row r="2188" spans="1:16">
      <c r="A2188" s="3">
        <v>44335.726261574076</v>
      </c>
      <c r="B2188" s="4" t="str">
        <f>HYPERLINK("https://twitter.com/sergio_fajardo","@sergio_fajardo")</f>
        <v>@sergio_fajardo</v>
      </c>
      <c r="C2188" s="5" t="s">
        <v>16</v>
      </c>
      <c r="D2188" s="5" t="s">
        <v>2208</v>
      </c>
      <c r="E2188" s="6" t="str">
        <f>HYPERLINK("https://twitter.com/sergio_fajardo/status/1394985138719690752","1394985138719690752")</f>
        <v>1394985138719690752</v>
      </c>
      <c r="F2188" s="7" t="s">
        <v>17</v>
      </c>
      <c r="G2188" s="7">
        <v>1585659</v>
      </c>
      <c r="H2188" s="7">
        <v>411</v>
      </c>
      <c r="I2188" s="7">
        <v>10</v>
      </c>
      <c r="J2188" s="7">
        <v>0</v>
      </c>
      <c r="K2188" s="7" t="s">
        <v>18</v>
      </c>
      <c r="L2188" s="8">
        <v>39891.213356481479</v>
      </c>
      <c r="M2188" s="9" t="s">
        <v>19</v>
      </c>
      <c r="N2188" s="9" t="s">
        <v>22</v>
      </c>
      <c r="O2188" s="6" t="str">
        <f>HYPERLINK("https://pbs.twimg.com/profile_images/988971255679324162/jrqiIYf__normal.jpg","View")</f>
        <v>View</v>
      </c>
      <c r="P2188" s="7"/>
    </row>
    <row r="2189" spans="1:16">
      <c r="A2189" s="3">
        <v>44335.821180555555</v>
      </c>
      <c r="B2189" s="4" t="str">
        <f>HYPERLINK("https://twitter.com/sergio_fajardo","@sergio_fajardo")</f>
        <v>@sergio_fajardo</v>
      </c>
      <c r="C2189" s="5" t="s">
        <v>16</v>
      </c>
      <c r="D2189" s="5" t="s">
        <v>2209</v>
      </c>
      <c r="E2189" s="6" t="str">
        <f>HYPERLINK("https://twitter.com/sergio_fajardo/status/1395019538803183618","1395019538803183618")</f>
        <v>1395019538803183618</v>
      </c>
      <c r="F2189" s="7" t="s">
        <v>17</v>
      </c>
      <c r="G2189" s="7">
        <v>1585692</v>
      </c>
      <c r="H2189" s="7">
        <v>411</v>
      </c>
      <c r="I2189" s="7">
        <v>3</v>
      </c>
      <c r="J2189" s="7">
        <v>26</v>
      </c>
      <c r="K2189" s="7" t="s">
        <v>18</v>
      </c>
      <c r="L2189" s="8">
        <v>39891.213356481479</v>
      </c>
      <c r="M2189" s="9" t="s">
        <v>19</v>
      </c>
      <c r="N2189" s="9" t="s">
        <v>22</v>
      </c>
      <c r="O2189" s="6" t="str">
        <f>HYPERLINK("https://pbs.twimg.com/profile_images/988971255679324162/jrqiIYf__normal.jpg","View")</f>
        <v>View</v>
      </c>
      <c r="P2189" s="7"/>
    </row>
    <row r="2190" spans="1:16">
      <c r="A2190" s="3">
        <v>44335.950925925921</v>
      </c>
      <c r="B2190" s="4" t="str">
        <f>HYPERLINK("https://twitter.com/sergio_fajardo","@sergio_fajardo")</f>
        <v>@sergio_fajardo</v>
      </c>
      <c r="C2190" s="5" t="s">
        <v>16</v>
      </c>
      <c r="D2190" s="5" t="s">
        <v>2210</v>
      </c>
      <c r="E2190" s="6" t="str">
        <f>HYPERLINK("https://twitter.com/sergio_fajardo/status/1395066555650740225","1395066555650740225")</f>
        <v>1395066555650740225</v>
      </c>
      <c r="F2190" s="7" t="s">
        <v>23</v>
      </c>
      <c r="G2190" s="7">
        <v>1585717</v>
      </c>
      <c r="H2190" s="7">
        <v>411</v>
      </c>
      <c r="I2190" s="7">
        <v>9</v>
      </c>
      <c r="J2190" s="7">
        <v>45</v>
      </c>
      <c r="K2190" s="7" t="s">
        <v>18</v>
      </c>
      <c r="L2190" s="8">
        <v>39891.213356481479</v>
      </c>
      <c r="M2190" s="9" t="s">
        <v>19</v>
      </c>
      <c r="N2190" s="9" t="s">
        <v>22</v>
      </c>
      <c r="O2190" s="6" t="str">
        <f>HYPERLINK("https://pbs.twimg.com/profile_images/988971255679324162/jrqiIYf__normal.jpg","View")</f>
        <v>View</v>
      </c>
      <c r="P2190" s="7"/>
    </row>
    <row r="2191" spans="1:16">
      <c r="A2191" s="3">
        <v>44336.111979166672</v>
      </c>
      <c r="B2191" s="4" t="str">
        <f>HYPERLINK("https://twitter.com/sergio_fajardo","@sergio_fajardo")</f>
        <v>@sergio_fajardo</v>
      </c>
      <c r="C2191" s="5" t="s">
        <v>16</v>
      </c>
      <c r="D2191" s="5" t="s">
        <v>2211</v>
      </c>
      <c r="E2191" s="6" t="str">
        <f>HYPERLINK("https://twitter.com/sergio_fajardo/status/1395124920192020481","1395124920192020481")</f>
        <v>1395124920192020481</v>
      </c>
      <c r="F2191" s="7" t="s">
        <v>17</v>
      </c>
      <c r="G2191" s="7">
        <v>1585784</v>
      </c>
      <c r="H2191" s="7">
        <v>411</v>
      </c>
      <c r="I2191" s="7">
        <v>5</v>
      </c>
      <c r="J2191" s="7">
        <v>8</v>
      </c>
      <c r="K2191" s="7" t="s">
        <v>18</v>
      </c>
      <c r="L2191" s="8">
        <v>39891.213356481479</v>
      </c>
      <c r="M2191" s="9" t="s">
        <v>19</v>
      </c>
      <c r="N2191" s="9" t="s">
        <v>22</v>
      </c>
      <c r="O2191" s="6" t="str">
        <f>HYPERLINK("https://pbs.twimg.com/profile_images/988971255679324162/jrqiIYf__normal.jpg","View")</f>
        <v>View</v>
      </c>
      <c r="P2191" s="7"/>
    </row>
    <row r="2192" spans="1:16">
      <c r="A2192" s="3">
        <v>44336.16238425926</v>
      </c>
      <c r="B2192" s="4" t="str">
        <f>HYPERLINK("https://twitter.com/sergio_fajardo","@sergio_fajardo")</f>
        <v>@sergio_fajardo</v>
      </c>
      <c r="C2192" s="5" t="s">
        <v>16</v>
      </c>
      <c r="D2192" s="5" t="s">
        <v>2212</v>
      </c>
      <c r="E2192" s="6" t="str">
        <f>HYPERLINK("https://twitter.com/sergio_fajardo/status/1395143185110872066","1395143185110872066")</f>
        <v>1395143185110872066</v>
      </c>
      <c r="F2192" s="7" t="s">
        <v>17</v>
      </c>
      <c r="G2192" s="7">
        <v>1585801</v>
      </c>
      <c r="H2192" s="7">
        <v>411</v>
      </c>
      <c r="I2192" s="7">
        <v>76</v>
      </c>
      <c r="J2192" s="7">
        <v>0</v>
      </c>
      <c r="K2192" s="7" t="s">
        <v>18</v>
      </c>
      <c r="L2192" s="8">
        <v>39891.213356481479</v>
      </c>
      <c r="M2192" s="9" t="s">
        <v>19</v>
      </c>
      <c r="N2192" s="9" t="s">
        <v>22</v>
      </c>
      <c r="O2192" s="6" t="str">
        <f>HYPERLINK("https://pbs.twimg.com/profile_images/988971255679324162/jrqiIYf__normal.jpg","View")</f>
        <v>View</v>
      </c>
      <c r="P2192" s="7"/>
    </row>
    <row r="2193" spans="1:16">
      <c r="A2193" s="3">
        <v>44336.231527777782</v>
      </c>
      <c r="B2193" s="4" t="str">
        <f>HYPERLINK("https://twitter.com/sergio_fajardo","@sergio_fajardo")</f>
        <v>@sergio_fajardo</v>
      </c>
      <c r="C2193" s="5" t="s">
        <v>16</v>
      </c>
      <c r="D2193" s="5" t="s">
        <v>2213</v>
      </c>
      <c r="E2193" s="6" t="str">
        <f>HYPERLINK("https://twitter.com/sergio_fajardo/status/1395168242503614466","1395168242503614466")</f>
        <v>1395168242503614466</v>
      </c>
      <c r="F2193" s="7" t="s">
        <v>21</v>
      </c>
      <c r="G2193" s="7">
        <v>1585800</v>
      </c>
      <c r="H2193" s="7">
        <v>411</v>
      </c>
      <c r="I2193" s="7">
        <v>12</v>
      </c>
      <c r="J2193" s="7">
        <v>26</v>
      </c>
      <c r="K2193" s="7" t="s">
        <v>18</v>
      </c>
      <c r="L2193" s="8">
        <v>39891.213356481479</v>
      </c>
      <c r="M2193" s="9" t="s">
        <v>19</v>
      </c>
      <c r="N2193" s="9" t="s">
        <v>22</v>
      </c>
      <c r="O2193" s="6" t="str">
        <f>HYPERLINK("https://pbs.twimg.com/profile_images/988971255679324162/jrqiIYf__normal.jpg","View")</f>
        <v>View</v>
      </c>
      <c r="P2193" s="7"/>
    </row>
    <row r="2194" spans="1:16">
      <c r="A2194" s="3">
        <v>44336.317789351851</v>
      </c>
      <c r="B2194" s="4" t="str">
        <f>HYPERLINK("https://twitter.com/sergio_fajardo","@sergio_fajardo")</f>
        <v>@sergio_fajardo</v>
      </c>
      <c r="C2194" s="5" t="s">
        <v>16</v>
      </c>
      <c r="D2194" s="5" t="s">
        <v>2214</v>
      </c>
      <c r="E2194" s="6" t="str">
        <f>HYPERLINK("https://twitter.com/sergio_fajardo/status/1395199500583673862","1395199500583673862")</f>
        <v>1395199500583673862</v>
      </c>
      <c r="F2194" s="7" t="s">
        <v>20</v>
      </c>
      <c r="G2194" s="7">
        <v>1585814</v>
      </c>
      <c r="H2194" s="7">
        <v>411</v>
      </c>
      <c r="I2194" s="7">
        <v>15</v>
      </c>
      <c r="J2194" s="7">
        <v>148</v>
      </c>
      <c r="K2194" s="7" t="s">
        <v>18</v>
      </c>
      <c r="L2194" s="8">
        <v>39891.213356481479</v>
      </c>
      <c r="M2194" s="9" t="s">
        <v>19</v>
      </c>
      <c r="N2194" s="9" t="s">
        <v>22</v>
      </c>
      <c r="O2194" s="6" t="str">
        <f>HYPERLINK("https://pbs.twimg.com/profile_images/988971255679324162/jrqiIYf__normal.jpg","View")</f>
        <v>View</v>
      </c>
      <c r="P2194" s="7"/>
    </row>
    <row r="2195" spans="1:16">
      <c r="A2195" s="3">
        <v>44336.817384259259</v>
      </c>
      <c r="B2195" s="4" t="str">
        <f>HYPERLINK("https://twitter.com/sergio_fajardo","@sergio_fajardo")</f>
        <v>@sergio_fajardo</v>
      </c>
      <c r="C2195" s="5" t="s">
        <v>16</v>
      </c>
      <c r="D2195" s="5" t="s">
        <v>2215</v>
      </c>
      <c r="E2195" s="6" t="str">
        <f>HYPERLINK("https://twitter.com/sergio_fajardo/status/1395380548198191105","1395380548198191105")</f>
        <v>1395380548198191105</v>
      </c>
      <c r="F2195" s="7" t="s">
        <v>17</v>
      </c>
      <c r="G2195" s="7">
        <v>1585821</v>
      </c>
      <c r="H2195" s="7">
        <v>411</v>
      </c>
      <c r="I2195" s="7">
        <v>25</v>
      </c>
      <c r="J2195" s="7">
        <v>0</v>
      </c>
      <c r="K2195" s="7" t="s">
        <v>18</v>
      </c>
      <c r="L2195" s="8">
        <v>39891.213356481479</v>
      </c>
      <c r="M2195" s="9" t="s">
        <v>19</v>
      </c>
      <c r="N2195" s="9" t="s">
        <v>22</v>
      </c>
      <c r="O2195" s="6" t="str">
        <f>HYPERLINK("https://pbs.twimg.com/profile_images/988971255679324162/jrqiIYf__normal.jpg","View")</f>
        <v>View</v>
      </c>
      <c r="P2195" s="7"/>
    </row>
    <row r="2196" spans="1:16">
      <c r="A2196" s="3">
        <v>44336.908402777779</v>
      </c>
      <c r="B2196" s="4" t="str">
        <f>HYPERLINK("https://twitter.com/sergio_fajardo","@sergio_fajardo")</f>
        <v>@sergio_fajardo</v>
      </c>
      <c r="C2196" s="5" t="s">
        <v>16</v>
      </c>
      <c r="D2196" s="5" t="s">
        <v>2216</v>
      </c>
      <c r="E2196" s="6" t="str">
        <f>HYPERLINK("https://twitter.com/sergio_fajardo/status/1395413531672125442","1395413531672125442")</f>
        <v>1395413531672125442</v>
      </c>
      <c r="F2196" s="7" t="s">
        <v>20</v>
      </c>
      <c r="G2196" s="7">
        <v>1585833</v>
      </c>
      <c r="H2196" s="7">
        <v>411</v>
      </c>
      <c r="I2196" s="7">
        <v>146</v>
      </c>
      <c r="J2196" s="7">
        <v>596</v>
      </c>
      <c r="K2196" s="7" t="s">
        <v>18</v>
      </c>
      <c r="L2196" s="8">
        <v>39891.213356481479</v>
      </c>
      <c r="M2196" s="9" t="s">
        <v>19</v>
      </c>
      <c r="N2196" s="9" t="s">
        <v>22</v>
      </c>
      <c r="O2196" s="6" t="str">
        <f>HYPERLINK("https://pbs.twimg.com/profile_images/988971255679324162/jrqiIYf__normal.jpg","View")</f>
        <v>View</v>
      </c>
      <c r="P2196" s="7"/>
    </row>
    <row r="2197" spans="1:16">
      <c r="A2197" s="3">
        <v>44337.009675925925</v>
      </c>
      <c r="B2197" s="4" t="str">
        <f>HYPERLINK("https://twitter.com/sergio_fajardo","@sergio_fajardo")</f>
        <v>@sergio_fajardo</v>
      </c>
      <c r="C2197" s="5" t="s">
        <v>16</v>
      </c>
      <c r="D2197" s="5" t="s">
        <v>2217</v>
      </c>
      <c r="E2197" s="6" t="str">
        <f>HYPERLINK("https://twitter.com/sergio_fajardo/status/1395450234319290374","1395450234319290374")</f>
        <v>1395450234319290374</v>
      </c>
      <c r="F2197" s="7" t="s">
        <v>20</v>
      </c>
      <c r="G2197" s="7">
        <v>1585830</v>
      </c>
      <c r="H2197" s="7">
        <v>411</v>
      </c>
      <c r="I2197" s="7">
        <v>15</v>
      </c>
      <c r="J2197" s="7">
        <v>81</v>
      </c>
      <c r="K2197" s="7" t="s">
        <v>18</v>
      </c>
      <c r="L2197" s="8">
        <v>39891.213356481479</v>
      </c>
      <c r="M2197" s="9" t="s">
        <v>19</v>
      </c>
      <c r="N2197" s="9" t="s">
        <v>22</v>
      </c>
      <c r="O2197" s="6" t="str">
        <f>HYPERLINK("https://pbs.twimg.com/profile_images/988971255679324162/jrqiIYf__normal.jpg","View")</f>
        <v>View</v>
      </c>
      <c r="P2197" s="7"/>
    </row>
    <row r="2198" spans="1:16">
      <c r="A2198" s="3">
        <v>44337.082662037035</v>
      </c>
      <c r="B2198" s="4" t="str">
        <f>HYPERLINK("https://twitter.com/sergio_fajardo","@sergio_fajardo")</f>
        <v>@sergio_fajardo</v>
      </c>
      <c r="C2198" s="5" t="s">
        <v>16</v>
      </c>
      <c r="D2198" s="5" t="s">
        <v>2218</v>
      </c>
      <c r="E2198" s="6" t="str">
        <f>HYPERLINK("https://twitter.com/sergio_fajardo/status/1395476683956834304","1395476683956834304")</f>
        <v>1395476683956834304</v>
      </c>
      <c r="F2198" s="7" t="s">
        <v>20</v>
      </c>
      <c r="G2198" s="7">
        <v>1585849</v>
      </c>
      <c r="H2198" s="7">
        <v>411</v>
      </c>
      <c r="I2198" s="7">
        <v>61</v>
      </c>
      <c r="J2198" s="7">
        <v>0</v>
      </c>
      <c r="K2198" s="7" t="s">
        <v>18</v>
      </c>
      <c r="L2198" s="8">
        <v>39891.213356481479</v>
      </c>
      <c r="M2198" s="9" t="s">
        <v>19</v>
      </c>
      <c r="N2198" s="9" t="s">
        <v>22</v>
      </c>
      <c r="O2198" s="6" t="str">
        <f>HYPERLINK("https://pbs.twimg.com/profile_images/988971255679324162/jrqiIYf__normal.jpg","View")</f>
        <v>View</v>
      </c>
      <c r="P2198" s="7"/>
    </row>
    <row r="2199" spans="1:16">
      <c r="A2199" s="3">
        <v>44337.284421296295</v>
      </c>
      <c r="B2199" s="4" t="str">
        <f>HYPERLINK("https://twitter.com/sergio_fajardo","@sergio_fajardo")</f>
        <v>@sergio_fajardo</v>
      </c>
      <c r="C2199" s="5" t="s">
        <v>16</v>
      </c>
      <c r="D2199" s="5" t="s">
        <v>2219</v>
      </c>
      <c r="E2199" s="6" t="str">
        <f>HYPERLINK("https://twitter.com/sergio_fajardo/status/1395549795750719495","1395549795750719495")</f>
        <v>1395549795750719495</v>
      </c>
      <c r="F2199" s="7" t="s">
        <v>20</v>
      </c>
      <c r="G2199" s="7">
        <v>1585835</v>
      </c>
      <c r="H2199" s="7">
        <v>411</v>
      </c>
      <c r="I2199" s="7">
        <v>5</v>
      </c>
      <c r="J2199" s="7">
        <v>35</v>
      </c>
      <c r="K2199" s="7" t="s">
        <v>18</v>
      </c>
      <c r="L2199" s="8">
        <v>39891.213356481479</v>
      </c>
      <c r="M2199" s="9" t="s">
        <v>19</v>
      </c>
      <c r="N2199" s="9" t="s">
        <v>22</v>
      </c>
      <c r="O2199" s="6" t="str">
        <f>HYPERLINK("https://pbs.twimg.com/profile_images/988971255679324162/jrqiIYf__normal.jpg","View")</f>
        <v>View</v>
      </c>
      <c r="P2199" s="7"/>
    </row>
    <row r="2200" spans="1:16">
      <c r="A2200" s="3">
        <v>44337.662627314814</v>
      </c>
      <c r="B2200" s="4" t="str">
        <f>HYPERLINK("https://twitter.com/sergio_fajardo","@sergio_fajardo")</f>
        <v>@sergio_fajardo</v>
      </c>
      <c r="C2200" s="5" t="s">
        <v>16</v>
      </c>
      <c r="D2200" s="5" t="s">
        <v>2220</v>
      </c>
      <c r="E2200" s="6" t="str">
        <f>HYPERLINK("https://twitter.com/sergio_fajardo/status/1395686853756456961","1395686853756456961")</f>
        <v>1395686853756456961</v>
      </c>
      <c r="F2200" s="7" t="s">
        <v>20</v>
      </c>
      <c r="G2200" s="7">
        <v>1585810</v>
      </c>
      <c r="H2200" s="7">
        <v>411</v>
      </c>
      <c r="I2200" s="7">
        <v>9</v>
      </c>
      <c r="J2200" s="7">
        <v>45</v>
      </c>
      <c r="K2200" s="7" t="s">
        <v>18</v>
      </c>
      <c r="L2200" s="8">
        <v>39891.213356481479</v>
      </c>
      <c r="M2200" s="9" t="s">
        <v>19</v>
      </c>
      <c r="N2200" s="9" t="s">
        <v>22</v>
      </c>
      <c r="O2200" s="6" t="str">
        <f>HYPERLINK("https://pbs.twimg.com/profile_images/988971255679324162/jrqiIYf__normal.jpg","View")</f>
        <v>View</v>
      </c>
      <c r="P2200" s="7"/>
    </row>
    <row r="2201" spans="1:16">
      <c r="A2201" s="3">
        <v>44337.939050925925</v>
      </c>
      <c r="B2201" s="4" t="str">
        <f>HYPERLINK("https://twitter.com/sergio_fajardo","@sergio_fajardo")</f>
        <v>@sergio_fajardo</v>
      </c>
      <c r="C2201" s="5" t="s">
        <v>16</v>
      </c>
      <c r="D2201" s="5" t="s">
        <v>2221</v>
      </c>
      <c r="E2201" s="6" t="str">
        <f>HYPERLINK("https://twitter.com/sergio_fajardo/status/1395787027489116166","1395787027489116166")</f>
        <v>1395787027489116166</v>
      </c>
      <c r="F2201" s="7" t="s">
        <v>17</v>
      </c>
      <c r="G2201" s="7">
        <v>1585902</v>
      </c>
      <c r="H2201" s="7">
        <v>412</v>
      </c>
      <c r="I2201" s="7">
        <v>29</v>
      </c>
      <c r="J2201" s="7">
        <v>155</v>
      </c>
      <c r="K2201" s="7" t="s">
        <v>18</v>
      </c>
      <c r="L2201" s="8">
        <v>39891.213356481479</v>
      </c>
      <c r="M2201" s="9" t="s">
        <v>19</v>
      </c>
      <c r="N2201" s="9" t="s">
        <v>22</v>
      </c>
      <c r="O2201" s="6" t="str">
        <f>HYPERLINK("https://pbs.twimg.com/profile_images/988971255679324162/jrqiIYf__normal.jpg","View")</f>
        <v>View</v>
      </c>
      <c r="P2201" s="7"/>
    </row>
    <row r="2202" spans="1:16">
      <c r="A2202" s="3">
        <v>44338.141238425931</v>
      </c>
      <c r="B2202" s="4" t="str">
        <f>HYPERLINK("https://twitter.com/sergio_fajardo","@sergio_fajardo")</f>
        <v>@sergio_fajardo</v>
      </c>
      <c r="C2202" s="5" t="s">
        <v>16</v>
      </c>
      <c r="D2202" s="5" t="s">
        <v>2222</v>
      </c>
      <c r="E2202" s="6" t="str">
        <f>HYPERLINK("https://twitter.com/sergio_fajardo/status/1395860297211129860","1395860297211129860")</f>
        <v>1395860297211129860</v>
      </c>
      <c r="F2202" s="7" t="s">
        <v>20</v>
      </c>
      <c r="G2202" s="7">
        <v>1585914</v>
      </c>
      <c r="H2202" s="7">
        <v>412</v>
      </c>
      <c r="I2202" s="7">
        <v>60</v>
      </c>
      <c r="J2202" s="7">
        <v>328</v>
      </c>
      <c r="K2202" s="7" t="s">
        <v>18</v>
      </c>
      <c r="L2202" s="8">
        <v>39891.213356481479</v>
      </c>
      <c r="M2202" s="9" t="s">
        <v>19</v>
      </c>
      <c r="N2202" s="9" t="s">
        <v>22</v>
      </c>
      <c r="O2202" s="6" t="str">
        <f>HYPERLINK("https://pbs.twimg.com/profile_images/988971255679324162/jrqiIYf__normal.jpg","View")</f>
        <v>View</v>
      </c>
      <c r="P2202" s="7"/>
    </row>
    <row r="2203" spans="1:16">
      <c r="A2203" s="3">
        <v>44338.213842592595</v>
      </c>
      <c r="B2203" s="4" t="str">
        <f>HYPERLINK("https://twitter.com/sergio_fajardo","@sergio_fajardo")</f>
        <v>@sergio_fajardo</v>
      </c>
      <c r="C2203" s="5" t="s">
        <v>16</v>
      </c>
      <c r="D2203" s="5" t="s">
        <v>2223</v>
      </c>
      <c r="E2203" s="6" t="str">
        <f>HYPERLINK("https://twitter.com/sergio_fajardo/status/1395886607442526209","1395886607442526209")</f>
        <v>1395886607442526209</v>
      </c>
      <c r="F2203" s="7" t="s">
        <v>17</v>
      </c>
      <c r="G2203" s="7">
        <v>1585939</v>
      </c>
      <c r="H2203" s="7">
        <v>412</v>
      </c>
      <c r="I2203" s="7">
        <v>20</v>
      </c>
      <c r="J2203" s="7">
        <v>115</v>
      </c>
      <c r="K2203" s="7" t="s">
        <v>18</v>
      </c>
      <c r="L2203" s="8">
        <v>39891.213356481479</v>
      </c>
      <c r="M2203" s="9" t="s">
        <v>19</v>
      </c>
      <c r="N2203" s="9" t="s">
        <v>22</v>
      </c>
      <c r="O2203" s="6" t="str">
        <f>HYPERLINK("https://pbs.twimg.com/profile_images/988971255679324162/jrqiIYf__normal.jpg","View")</f>
        <v>View</v>
      </c>
      <c r="P2203" s="7"/>
    </row>
    <row r="2204" spans="1:16">
      <c r="A2204" s="3">
        <v>44338.243148148147</v>
      </c>
      <c r="B2204" s="4" t="str">
        <f>HYPERLINK("https://twitter.com/sergio_fajardo","@sergio_fajardo")</f>
        <v>@sergio_fajardo</v>
      </c>
      <c r="C2204" s="5" t="s">
        <v>16</v>
      </c>
      <c r="D2204" s="5" t="s">
        <v>2224</v>
      </c>
      <c r="E2204" s="6" t="str">
        <f>HYPERLINK("https://twitter.com/sergio_fajardo/status/1395897227005026307","1395897227005026307")</f>
        <v>1395897227005026307</v>
      </c>
      <c r="F2204" s="7" t="s">
        <v>17</v>
      </c>
      <c r="G2204" s="7">
        <v>1585915</v>
      </c>
      <c r="H2204" s="7">
        <v>412</v>
      </c>
      <c r="I2204" s="7">
        <v>28</v>
      </c>
      <c r="J2204" s="7">
        <v>164</v>
      </c>
      <c r="K2204" s="7" t="s">
        <v>18</v>
      </c>
      <c r="L2204" s="8">
        <v>39891.213356481479</v>
      </c>
      <c r="M2204" s="9" t="s">
        <v>19</v>
      </c>
      <c r="N2204" s="9" t="s">
        <v>22</v>
      </c>
      <c r="O2204" s="6" t="str">
        <f>HYPERLINK("https://pbs.twimg.com/profile_images/988971255679324162/jrqiIYf__normal.jpg","View")</f>
        <v>View</v>
      </c>
      <c r="P2204" s="7"/>
    </row>
    <row r="2205" spans="1:16">
      <c r="A2205" s="3">
        <v>44338.699814814812</v>
      </c>
      <c r="B2205" s="4" t="str">
        <f>HYPERLINK("https://twitter.com/sergio_fajardo","@sergio_fajardo")</f>
        <v>@sergio_fajardo</v>
      </c>
      <c r="C2205" s="5" t="s">
        <v>16</v>
      </c>
      <c r="D2205" s="5" t="s">
        <v>2225</v>
      </c>
      <c r="E2205" s="6" t="str">
        <f>HYPERLINK("https://twitter.com/sergio_fajardo/status/1396062720584212482","1396062720584212482")</f>
        <v>1396062720584212482</v>
      </c>
      <c r="F2205" s="7" t="s">
        <v>17</v>
      </c>
      <c r="G2205" s="7">
        <v>1585892</v>
      </c>
      <c r="H2205" s="7">
        <v>412</v>
      </c>
      <c r="I2205" s="7">
        <v>0</v>
      </c>
      <c r="J2205" s="7">
        <v>0</v>
      </c>
      <c r="K2205" s="7" t="s">
        <v>18</v>
      </c>
      <c r="L2205" s="8">
        <v>39891.213356481479</v>
      </c>
      <c r="M2205" s="9" t="s">
        <v>19</v>
      </c>
      <c r="N2205" s="9" t="s">
        <v>22</v>
      </c>
      <c r="O2205" s="6" t="str">
        <f>HYPERLINK("https://pbs.twimg.com/profile_images/988971255679324162/jrqiIYf__normal.jpg","View")</f>
        <v>View</v>
      </c>
      <c r="P2205" s="7"/>
    </row>
    <row r="2206" spans="1:16">
      <c r="A2206" s="3">
        <v>44338.854328703703</v>
      </c>
      <c r="B2206" s="4" t="str">
        <f>HYPERLINK("https://twitter.com/sergio_fajardo","@sergio_fajardo")</f>
        <v>@sergio_fajardo</v>
      </c>
      <c r="C2206" s="5" t="s">
        <v>16</v>
      </c>
      <c r="D2206" s="5" t="s">
        <v>2226</v>
      </c>
      <c r="E2206" s="6" t="str">
        <f>HYPERLINK("https://twitter.com/sergio_fajardo/status/1396118714546900992","1396118714546900992")</f>
        <v>1396118714546900992</v>
      </c>
      <c r="F2206" s="7" t="s">
        <v>17</v>
      </c>
      <c r="G2206" s="7">
        <v>1585944</v>
      </c>
      <c r="H2206" s="7">
        <v>412</v>
      </c>
      <c r="I2206" s="7">
        <v>50</v>
      </c>
      <c r="J2206" s="7">
        <v>191</v>
      </c>
      <c r="K2206" s="7" t="s">
        <v>18</v>
      </c>
      <c r="L2206" s="8">
        <v>39891.213356481479</v>
      </c>
      <c r="M2206" s="9" t="s">
        <v>19</v>
      </c>
      <c r="N2206" s="9" t="s">
        <v>22</v>
      </c>
      <c r="O2206" s="6" t="str">
        <f>HYPERLINK("https://pbs.twimg.com/profile_images/988971255679324162/jrqiIYf__normal.jpg","View")</f>
        <v>View</v>
      </c>
      <c r="P2206" s="7"/>
    </row>
    <row r="2207" spans="1:16">
      <c r="A2207" s="3">
        <v>44338.954305555555</v>
      </c>
      <c r="B2207" s="4" t="str">
        <f>HYPERLINK("https://twitter.com/sergio_fajardo","@sergio_fajardo")</f>
        <v>@sergio_fajardo</v>
      </c>
      <c r="C2207" s="5" t="s">
        <v>16</v>
      </c>
      <c r="D2207" s="5" t="s">
        <v>2227</v>
      </c>
      <c r="E2207" s="6" t="str">
        <f>HYPERLINK("https://twitter.com/sergio_fajardo/status/1396154942637973512","1396154942637973512")</f>
        <v>1396154942637973512</v>
      </c>
      <c r="F2207" s="7" t="s">
        <v>20</v>
      </c>
      <c r="G2207" s="7">
        <v>1585998</v>
      </c>
      <c r="H2207" s="7">
        <v>412</v>
      </c>
      <c r="I2207" s="7">
        <v>1075</v>
      </c>
      <c r="J2207" s="7">
        <v>0</v>
      </c>
      <c r="K2207" s="7" t="s">
        <v>18</v>
      </c>
      <c r="L2207" s="8">
        <v>39891.213356481479</v>
      </c>
      <c r="M2207" s="9" t="s">
        <v>19</v>
      </c>
      <c r="N2207" s="9" t="s">
        <v>22</v>
      </c>
      <c r="O2207" s="6" t="str">
        <f>HYPERLINK("https://pbs.twimg.com/profile_images/988971255679324162/jrqiIYf__normal.jpg","View")</f>
        <v>View</v>
      </c>
      <c r="P2207" s="7"/>
    </row>
    <row r="2208" spans="1:16">
      <c r="A2208" s="3">
        <v>44340.311215277776</v>
      </c>
      <c r="B2208" s="4" t="str">
        <f>HYPERLINK("https://twitter.com/sergio_fajardo","@sergio_fajardo")</f>
        <v>@sergio_fajardo</v>
      </c>
      <c r="C2208" s="5" t="s">
        <v>16</v>
      </c>
      <c r="D2208" s="5" t="s">
        <v>2228</v>
      </c>
      <c r="E2208" s="6" t="str">
        <f>HYPERLINK("https://twitter.com/sergio_fajardo/status/1396646671350702080","1396646671350702080")</f>
        <v>1396646671350702080</v>
      </c>
      <c r="F2208" s="7" t="s">
        <v>17</v>
      </c>
      <c r="G2208" s="7">
        <v>1586442</v>
      </c>
      <c r="H2208" s="7">
        <v>412</v>
      </c>
      <c r="I2208" s="7">
        <v>27</v>
      </c>
      <c r="J2208" s="7">
        <v>95</v>
      </c>
      <c r="K2208" s="7" t="s">
        <v>18</v>
      </c>
      <c r="L2208" s="8">
        <v>39891.213356481479</v>
      </c>
      <c r="M2208" s="9" t="s">
        <v>19</v>
      </c>
      <c r="N2208" s="9" t="s">
        <v>22</v>
      </c>
      <c r="O2208" s="6" t="str">
        <f>HYPERLINK("https://pbs.twimg.com/profile_images/988971255679324162/jrqiIYf__normal.jpg","View")</f>
        <v>View</v>
      </c>
      <c r="P2208" s="7"/>
    </row>
    <row r="2209" spans="1:16">
      <c r="A2209" s="3">
        <v>44341.052546296298</v>
      </c>
      <c r="B2209" s="4" t="str">
        <f>HYPERLINK("https://twitter.com/sergio_fajardo","@sergio_fajardo")</f>
        <v>@sergio_fajardo</v>
      </c>
      <c r="C2209" s="5" t="s">
        <v>16</v>
      </c>
      <c r="D2209" s="5" t="s">
        <v>2229</v>
      </c>
      <c r="E2209" s="6" t="str">
        <f>HYPERLINK("https://twitter.com/sergio_fajardo/status/1396915319919288324","1396915319919288324")</f>
        <v>1396915319919288324</v>
      </c>
      <c r="F2209" s="7" t="s">
        <v>23</v>
      </c>
      <c r="G2209" s="7">
        <v>1586627</v>
      </c>
      <c r="H2209" s="7">
        <v>412</v>
      </c>
      <c r="I2209" s="7">
        <v>22</v>
      </c>
      <c r="J2209" s="7">
        <v>118</v>
      </c>
      <c r="K2209" s="7" t="s">
        <v>18</v>
      </c>
      <c r="L2209" s="8">
        <v>39891.213356481479</v>
      </c>
      <c r="M2209" s="9" t="s">
        <v>19</v>
      </c>
      <c r="N2209" s="9" t="s">
        <v>22</v>
      </c>
      <c r="O2209" s="6" t="str">
        <f>HYPERLINK("https://pbs.twimg.com/profile_images/988971255679324162/jrqiIYf__normal.jpg","View")</f>
        <v>View</v>
      </c>
      <c r="P2209" s="7"/>
    </row>
    <row r="2210" spans="1:16">
      <c r="A2210" s="3">
        <v>44341.063958333332</v>
      </c>
      <c r="B2210" s="4" t="str">
        <f>HYPERLINK("https://twitter.com/sergio_fajardo","@sergio_fajardo")</f>
        <v>@sergio_fajardo</v>
      </c>
      <c r="C2210" s="5" t="s">
        <v>16</v>
      </c>
      <c r="D2210" s="5" t="s">
        <v>2230</v>
      </c>
      <c r="E2210" s="6" t="str">
        <f>HYPERLINK("https://twitter.com/sergio_fajardo/status/1396919455062577156","1396919455062577156")</f>
        <v>1396919455062577156</v>
      </c>
      <c r="F2210" s="7" t="s">
        <v>20</v>
      </c>
      <c r="G2210" s="7">
        <v>1586627</v>
      </c>
      <c r="H2210" s="7">
        <v>412</v>
      </c>
      <c r="I2210" s="7">
        <v>6</v>
      </c>
      <c r="J2210" s="7">
        <v>21</v>
      </c>
      <c r="K2210" s="7" t="s">
        <v>18</v>
      </c>
      <c r="L2210" s="8">
        <v>39891.213356481479</v>
      </c>
      <c r="M2210" s="9" t="s">
        <v>19</v>
      </c>
      <c r="N2210" s="9" t="s">
        <v>22</v>
      </c>
      <c r="O2210" s="6" t="str">
        <f>HYPERLINK("https://pbs.twimg.com/profile_images/988971255679324162/jrqiIYf__normal.jpg","View")</f>
        <v>View</v>
      </c>
      <c r="P2210" s="7"/>
    </row>
    <row r="2211" spans="1:16">
      <c r="A2211" s="3">
        <v>44341.133761574078</v>
      </c>
      <c r="B2211" s="4" t="str">
        <f>HYPERLINK("https://twitter.com/sergio_fajardo","@sergio_fajardo")</f>
        <v>@sergio_fajardo</v>
      </c>
      <c r="C2211" s="5" t="s">
        <v>16</v>
      </c>
      <c r="D2211" s="5" t="s">
        <v>2231</v>
      </c>
      <c r="E2211" s="6" t="str">
        <f>HYPERLINK("https://twitter.com/sergio_fajardo/status/1396944751044268038","1396944751044268038")</f>
        <v>1396944751044268038</v>
      </c>
      <c r="F2211" s="7" t="s">
        <v>20</v>
      </c>
      <c r="G2211" s="7">
        <v>1586659</v>
      </c>
      <c r="H2211" s="7">
        <v>412</v>
      </c>
      <c r="I2211" s="7">
        <v>9</v>
      </c>
      <c r="J2211" s="7">
        <v>34</v>
      </c>
      <c r="K2211" s="7" t="s">
        <v>18</v>
      </c>
      <c r="L2211" s="8">
        <v>39891.213356481479</v>
      </c>
      <c r="M2211" s="9" t="s">
        <v>19</v>
      </c>
      <c r="N2211" s="9" t="s">
        <v>22</v>
      </c>
      <c r="O2211" s="6" t="str">
        <f>HYPERLINK("https://pbs.twimg.com/profile_images/988971255679324162/jrqiIYf__normal.jpg","View")</f>
        <v>View</v>
      </c>
      <c r="P2211" s="7"/>
    </row>
    <row r="2212" spans="1:16">
      <c r="A2212" s="3">
        <v>44341.213402777779</v>
      </c>
      <c r="B2212" s="4" t="str">
        <f>HYPERLINK("https://twitter.com/sergio_fajardo","@sergio_fajardo")</f>
        <v>@sergio_fajardo</v>
      </c>
      <c r="C2212" s="5" t="s">
        <v>16</v>
      </c>
      <c r="D2212" s="5" t="s">
        <v>2232</v>
      </c>
      <c r="E2212" s="6" t="str">
        <f>HYPERLINK("https://twitter.com/sergio_fajardo/status/1396973612511506438","1396973612511506438")</f>
        <v>1396973612511506438</v>
      </c>
      <c r="F2212" s="7" t="s">
        <v>23</v>
      </c>
      <c r="G2212" s="7">
        <v>1586710</v>
      </c>
      <c r="H2212" s="7">
        <v>412</v>
      </c>
      <c r="I2212" s="7">
        <v>13</v>
      </c>
      <c r="J2212" s="7">
        <v>0</v>
      </c>
      <c r="K2212" s="7" t="s">
        <v>18</v>
      </c>
      <c r="L2212" s="8">
        <v>39891.213356481479</v>
      </c>
      <c r="M2212" s="9" t="s">
        <v>19</v>
      </c>
      <c r="N2212" s="9" t="s">
        <v>22</v>
      </c>
      <c r="O2212" s="6" t="str">
        <f>HYPERLINK("https://pbs.twimg.com/profile_images/988971255679324162/jrqiIYf__normal.jpg","View")</f>
        <v>View</v>
      </c>
      <c r="P2212" s="7"/>
    </row>
    <row r="2213" spans="1:16">
      <c r="A2213" s="3">
        <v>44341.327233796299</v>
      </c>
      <c r="B2213" s="4" t="str">
        <f>HYPERLINK("https://twitter.com/sergio_fajardo","@sergio_fajardo")</f>
        <v>@sergio_fajardo</v>
      </c>
      <c r="C2213" s="5" t="s">
        <v>16</v>
      </c>
      <c r="D2213" s="5" t="s">
        <v>2233</v>
      </c>
      <c r="E2213" s="6" t="str">
        <f>HYPERLINK("https://twitter.com/sergio_fajardo/status/1397014865668198403","1397014865668198403")</f>
        <v>1397014865668198403</v>
      </c>
      <c r="F2213" s="7" t="s">
        <v>17</v>
      </c>
      <c r="G2213" s="7">
        <v>1586746</v>
      </c>
      <c r="H2213" s="7">
        <v>412</v>
      </c>
      <c r="I2213" s="7">
        <v>11</v>
      </c>
      <c r="J2213" s="7">
        <v>0</v>
      </c>
      <c r="K2213" s="7" t="s">
        <v>18</v>
      </c>
      <c r="L2213" s="8">
        <v>39891.213356481479</v>
      </c>
      <c r="M2213" s="9" t="s">
        <v>19</v>
      </c>
      <c r="N2213" s="9" t="s">
        <v>22</v>
      </c>
      <c r="O2213" s="6" t="str">
        <f>HYPERLINK("https://pbs.twimg.com/profile_images/988971255679324162/jrqiIYf__normal.jpg","View")</f>
        <v>View</v>
      </c>
      <c r="P2213" s="7"/>
    </row>
    <row r="2214" spans="1:16">
      <c r="A2214" s="3">
        <v>44341.693402777775</v>
      </c>
      <c r="B2214" s="4" t="str">
        <f>HYPERLINK("https://twitter.com/sergio_fajardo","@sergio_fajardo")</f>
        <v>@sergio_fajardo</v>
      </c>
      <c r="C2214" s="5" t="s">
        <v>16</v>
      </c>
      <c r="D2214" s="5" t="s">
        <v>2234</v>
      </c>
      <c r="E2214" s="6" t="str">
        <f>HYPERLINK("https://twitter.com/sergio_fajardo/status/1397147560729616386","1397147560729616386")</f>
        <v>1397147560729616386</v>
      </c>
      <c r="F2214" s="7" t="s">
        <v>17</v>
      </c>
      <c r="G2214" s="7">
        <v>1586804</v>
      </c>
      <c r="H2214" s="7">
        <v>412</v>
      </c>
      <c r="I2214" s="7">
        <v>1590</v>
      </c>
      <c r="J2214" s="7">
        <v>0</v>
      </c>
      <c r="K2214" s="7" t="s">
        <v>18</v>
      </c>
      <c r="L2214" s="8">
        <v>39891.213356481479</v>
      </c>
      <c r="M2214" s="9" t="s">
        <v>19</v>
      </c>
      <c r="N2214" s="9" t="s">
        <v>22</v>
      </c>
      <c r="O2214" s="6" t="str">
        <f>HYPERLINK("https://pbs.twimg.com/profile_images/988971255679324162/jrqiIYf__normal.jpg","View")</f>
        <v>View</v>
      </c>
      <c r="P2214" s="7"/>
    </row>
    <row r="2215" spans="1:16">
      <c r="A2215" s="3">
        <v>44341.88453703704</v>
      </c>
      <c r="B2215" s="4" t="str">
        <f>HYPERLINK("https://twitter.com/sergio_fajardo","@sergio_fajardo")</f>
        <v>@sergio_fajardo</v>
      </c>
      <c r="C2215" s="5" t="s">
        <v>16</v>
      </c>
      <c r="D2215" s="5" t="s">
        <v>2235</v>
      </c>
      <c r="E2215" s="6" t="str">
        <f>HYPERLINK("https://twitter.com/sergio_fajardo/status/1397216825172242438","1397216825172242438")</f>
        <v>1397216825172242438</v>
      </c>
      <c r="F2215" s="7" t="s">
        <v>23</v>
      </c>
      <c r="G2215" s="7">
        <v>1586860</v>
      </c>
      <c r="H2215" s="7">
        <v>412</v>
      </c>
      <c r="I2215" s="7">
        <v>2</v>
      </c>
      <c r="J2215" s="7">
        <v>33</v>
      </c>
      <c r="K2215" s="7" t="s">
        <v>18</v>
      </c>
      <c r="L2215" s="8">
        <v>39891.213356481479</v>
      </c>
      <c r="M2215" s="9" t="s">
        <v>19</v>
      </c>
      <c r="N2215" s="9" t="s">
        <v>22</v>
      </c>
      <c r="O2215" s="6" t="str">
        <f>HYPERLINK("https://pbs.twimg.com/profile_images/988971255679324162/jrqiIYf__normal.jpg","View")</f>
        <v>View</v>
      </c>
      <c r="P2215" s="7"/>
    </row>
    <row r="2216" spans="1:16">
      <c r="A2216" s="3">
        <v>44341.978784722218</v>
      </c>
      <c r="B2216" s="4" t="str">
        <f>HYPERLINK("https://twitter.com/sergio_fajardo","@sergio_fajardo")</f>
        <v>@sergio_fajardo</v>
      </c>
      <c r="C2216" s="5" t="s">
        <v>16</v>
      </c>
      <c r="D2216" s="5" t="s">
        <v>2236</v>
      </c>
      <c r="E2216" s="6" t="str">
        <f>HYPERLINK("https://twitter.com/sergio_fajardo/status/1397250977472860160","1397250977472860160")</f>
        <v>1397250977472860160</v>
      </c>
      <c r="F2216" s="7" t="s">
        <v>20</v>
      </c>
      <c r="G2216" s="7">
        <v>1586898</v>
      </c>
      <c r="H2216" s="7">
        <v>412</v>
      </c>
      <c r="I2216" s="7">
        <v>7</v>
      </c>
      <c r="J2216" s="7">
        <v>48</v>
      </c>
      <c r="K2216" s="7" t="s">
        <v>18</v>
      </c>
      <c r="L2216" s="8">
        <v>39891.213356481479</v>
      </c>
      <c r="M2216" s="9" t="s">
        <v>19</v>
      </c>
      <c r="N2216" s="9" t="s">
        <v>22</v>
      </c>
      <c r="O2216" s="6" t="str">
        <f>HYPERLINK("https://pbs.twimg.com/profile_images/988971255679324162/jrqiIYf__normal.jpg","View")</f>
        <v>View</v>
      </c>
      <c r="P2216" s="7"/>
    </row>
    <row r="2217" spans="1:16">
      <c r="A2217" s="3">
        <v>44342.051828703705</v>
      </c>
      <c r="B2217" s="4" t="str">
        <f>HYPERLINK("https://twitter.com/sergio_fajardo","@sergio_fajardo")</f>
        <v>@sergio_fajardo</v>
      </c>
      <c r="C2217" s="5" t="s">
        <v>16</v>
      </c>
      <c r="D2217" s="5" t="s">
        <v>2237</v>
      </c>
      <c r="E2217" s="6" t="str">
        <f>HYPERLINK("https://twitter.com/sergio_fajardo/status/1397277449881362441","1397277449881362441")</f>
        <v>1397277449881362441</v>
      </c>
      <c r="F2217" s="7" t="s">
        <v>17</v>
      </c>
      <c r="G2217" s="7">
        <v>1586943</v>
      </c>
      <c r="H2217" s="7">
        <v>412</v>
      </c>
      <c r="I2217" s="7">
        <v>4</v>
      </c>
      <c r="J2217" s="7">
        <v>0</v>
      </c>
      <c r="K2217" s="7" t="s">
        <v>18</v>
      </c>
      <c r="L2217" s="8">
        <v>39891.213356481479</v>
      </c>
      <c r="M2217" s="9" t="s">
        <v>19</v>
      </c>
      <c r="N2217" s="9" t="s">
        <v>22</v>
      </c>
      <c r="O2217" s="6" t="str">
        <f>HYPERLINK("https://pbs.twimg.com/profile_images/988971255679324162/jrqiIYf__normal.jpg","View")</f>
        <v>View</v>
      </c>
      <c r="P2217" s="7"/>
    </row>
    <row r="2218" spans="1:16">
      <c r="A2218" s="3">
        <v>44342.126180555555</v>
      </c>
      <c r="B2218" s="4" t="str">
        <f>HYPERLINK("https://twitter.com/sergio_fajardo","@sergio_fajardo")</f>
        <v>@sergio_fajardo</v>
      </c>
      <c r="C2218" s="5" t="s">
        <v>16</v>
      </c>
      <c r="D2218" s="5" t="s">
        <v>2238</v>
      </c>
      <c r="E2218" s="6" t="str">
        <f>HYPERLINK("https://twitter.com/sergio_fajardo/status/1397304392395771906","1397304392395771906")</f>
        <v>1397304392395771906</v>
      </c>
      <c r="F2218" s="7" t="s">
        <v>17</v>
      </c>
      <c r="G2218" s="7">
        <v>1586983</v>
      </c>
      <c r="H2218" s="7">
        <v>412</v>
      </c>
      <c r="I2218" s="7">
        <v>2</v>
      </c>
      <c r="J2218" s="7">
        <v>5</v>
      </c>
      <c r="K2218" s="7" t="s">
        <v>18</v>
      </c>
      <c r="L2218" s="8">
        <v>39891.213356481479</v>
      </c>
      <c r="M2218" s="9" t="s">
        <v>19</v>
      </c>
      <c r="N2218" s="9" t="s">
        <v>22</v>
      </c>
      <c r="O2218" s="6" t="str">
        <f>HYPERLINK("https://pbs.twimg.com/profile_images/988971255679324162/jrqiIYf__normal.jpg","View")</f>
        <v>View</v>
      </c>
      <c r="P2218" s="7"/>
    </row>
    <row r="2219" spans="1:16">
      <c r="A2219" s="3">
        <v>44342.660937499997</v>
      </c>
      <c r="B2219" s="4" t="str">
        <f>HYPERLINK("https://twitter.com/sergio_fajardo","@sergio_fajardo")</f>
        <v>@sergio_fajardo</v>
      </c>
      <c r="C2219" s="5" t="s">
        <v>16</v>
      </c>
      <c r="D2219" s="5" t="s">
        <v>2239</v>
      </c>
      <c r="E2219" s="6" t="str">
        <f>HYPERLINK("https://twitter.com/sergio_fajardo/status/1397498181752139777","1397498181752139777")</f>
        <v>1397498181752139777</v>
      </c>
      <c r="F2219" s="7" t="s">
        <v>20</v>
      </c>
      <c r="G2219" s="7">
        <v>1587011</v>
      </c>
      <c r="H2219" s="7">
        <v>413</v>
      </c>
      <c r="I2219" s="7">
        <v>9</v>
      </c>
      <c r="J2219" s="7">
        <v>50</v>
      </c>
      <c r="K2219" s="7" t="s">
        <v>18</v>
      </c>
      <c r="L2219" s="8">
        <v>39891.213356481479</v>
      </c>
      <c r="M2219" s="9" t="s">
        <v>19</v>
      </c>
      <c r="N2219" s="9" t="s">
        <v>22</v>
      </c>
      <c r="O2219" s="6" t="str">
        <f>HYPERLINK("https://pbs.twimg.com/profile_images/988971255679324162/jrqiIYf__normal.jpg","View")</f>
        <v>View</v>
      </c>
      <c r="P2219" s="7"/>
    </row>
    <row r="2220" spans="1:16">
      <c r="A2220" s="3">
        <v>44342.741805555561</v>
      </c>
      <c r="B2220" s="4" t="str">
        <f>HYPERLINK("https://twitter.com/sergio_fajardo","@sergio_fajardo")</f>
        <v>@sergio_fajardo</v>
      </c>
      <c r="C2220" s="5" t="s">
        <v>16</v>
      </c>
      <c r="D2220" s="5" t="s">
        <v>2240</v>
      </c>
      <c r="E2220" s="6" t="str">
        <f>HYPERLINK("https://twitter.com/sergio_fajardo/status/1397527485554823171","1397527485554823171")</f>
        <v>1397527485554823171</v>
      </c>
      <c r="F2220" s="7" t="s">
        <v>17</v>
      </c>
      <c r="G2220" s="7">
        <v>1587030</v>
      </c>
      <c r="H2220" s="7">
        <v>413</v>
      </c>
      <c r="I2220" s="7">
        <v>6</v>
      </c>
      <c r="J2220" s="7">
        <v>0</v>
      </c>
      <c r="K2220" s="7" t="s">
        <v>18</v>
      </c>
      <c r="L2220" s="8">
        <v>39891.213356481479</v>
      </c>
      <c r="M2220" s="9" t="s">
        <v>19</v>
      </c>
      <c r="N2220" s="9" t="s">
        <v>22</v>
      </c>
      <c r="O2220" s="6" t="str">
        <f>HYPERLINK("https://pbs.twimg.com/profile_images/988971255679324162/jrqiIYf__normal.jpg","View")</f>
        <v>View</v>
      </c>
      <c r="P2220" s="7"/>
    </row>
    <row r="2221" spans="1:16">
      <c r="A2221" s="3">
        <v>44342.918564814812</v>
      </c>
      <c r="B2221" s="4" t="str">
        <f>HYPERLINK("https://twitter.com/sergio_fajardo","@sergio_fajardo")</f>
        <v>@sergio_fajardo</v>
      </c>
      <c r="C2221" s="5" t="s">
        <v>16</v>
      </c>
      <c r="D2221" s="5" t="s">
        <v>2241</v>
      </c>
      <c r="E2221" s="6" t="str">
        <f>HYPERLINK("https://twitter.com/sergio_fajardo/status/1397591540999106560","1397591540999106560")</f>
        <v>1397591540999106560</v>
      </c>
      <c r="F2221" s="7" t="s">
        <v>17</v>
      </c>
      <c r="G2221" s="7">
        <v>1587075</v>
      </c>
      <c r="H2221" s="7">
        <v>413</v>
      </c>
      <c r="I2221" s="7">
        <v>55</v>
      </c>
      <c r="J2221" s="7">
        <v>0</v>
      </c>
      <c r="K2221" s="7" t="s">
        <v>18</v>
      </c>
      <c r="L2221" s="8">
        <v>39891.213356481479</v>
      </c>
      <c r="M2221" s="9" t="s">
        <v>19</v>
      </c>
      <c r="N2221" s="9" t="s">
        <v>22</v>
      </c>
      <c r="O2221" s="6" t="str">
        <f>HYPERLINK("https://pbs.twimg.com/profile_images/988971255679324162/jrqiIYf__normal.jpg","View")</f>
        <v>View</v>
      </c>
      <c r="P2221" s="7"/>
    </row>
    <row r="2222" spans="1:16">
      <c r="A2222" s="3">
        <v>44343.206111111111</v>
      </c>
      <c r="B2222" s="4" t="str">
        <f>HYPERLINK("https://twitter.com/sergio_fajardo","@sergio_fajardo")</f>
        <v>@sergio_fajardo</v>
      </c>
      <c r="C2222" s="5" t="s">
        <v>16</v>
      </c>
      <c r="D2222" s="5" t="s">
        <v>2242</v>
      </c>
      <c r="E2222" s="6" t="str">
        <f>HYPERLINK("https://twitter.com/sergio_fajardo/status/1397695744715460613","1397695744715460613")</f>
        <v>1397695744715460613</v>
      </c>
      <c r="F2222" s="7" t="s">
        <v>23</v>
      </c>
      <c r="G2222" s="7">
        <v>1587103</v>
      </c>
      <c r="H2222" s="7">
        <v>413</v>
      </c>
      <c r="I2222" s="7">
        <v>15</v>
      </c>
      <c r="J2222" s="7">
        <v>88</v>
      </c>
      <c r="K2222" s="7" t="s">
        <v>18</v>
      </c>
      <c r="L2222" s="8">
        <v>39891.213356481479</v>
      </c>
      <c r="M2222" s="9" t="s">
        <v>19</v>
      </c>
      <c r="N2222" s="9" t="s">
        <v>22</v>
      </c>
      <c r="O2222" s="6" t="str">
        <f>HYPERLINK("https://pbs.twimg.com/profile_images/988971255679324162/jrqiIYf__normal.jpg","View")</f>
        <v>View</v>
      </c>
      <c r="P2222" s="7"/>
    </row>
    <row r="2223" spans="1:16">
      <c r="A2223" s="3">
        <v>44343.24936342593</v>
      </c>
      <c r="B2223" s="4" t="str">
        <f>HYPERLINK("https://twitter.com/sergio_fajardo","@sergio_fajardo")</f>
        <v>@sergio_fajardo</v>
      </c>
      <c r="C2223" s="5" t="s">
        <v>16</v>
      </c>
      <c r="D2223" s="5" t="s">
        <v>2243</v>
      </c>
      <c r="E2223" s="6" t="str">
        <f>HYPERLINK("https://twitter.com/sergio_fajardo/status/1397711420075266049","1397711420075266049")</f>
        <v>1397711420075266049</v>
      </c>
      <c r="F2223" s="7" t="s">
        <v>17</v>
      </c>
      <c r="G2223" s="7">
        <v>1587087</v>
      </c>
      <c r="H2223" s="7">
        <v>413</v>
      </c>
      <c r="I2223" s="7">
        <v>22</v>
      </c>
      <c r="J2223" s="7">
        <v>90</v>
      </c>
      <c r="K2223" s="7" t="s">
        <v>18</v>
      </c>
      <c r="L2223" s="8">
        <v>39891.213356481479</v>
      </c>
      <c r="M2223" s="9" t="s">
        <v>19</v>
      </c>
      <c r="N2223" s="9" t="s">
        <v>22</v>
      </c>
      <c r="O2223" s="6" t="str">
        <f>HYPERLINK("https://pbs.twimg.com/profile_images/988971255679324162/jrqiIYf__normal.jpg","View")</f>
        <v>View</v>
      </c>
      <c r="P2223" s="7"/>
    </row>
    <row r="2224" spans="1:16">
      <c r="A2224" s="3">
        <v>44343.251481481479</v>
      </c>
      <c r="B2224" s="4" t="str">
        <f>HYPERLINK("https://twitter.com/sergio_fajardo","@sergio_fajardo")</f>
        <v>@sergio_fajardo</v>
      </c>
      <c r="C2224" s="5" t="s">
        <v>16</v>
      </c>
      <c r="D2224" s="5" t="s">
        <v>2244</v>
      </c>
      <c r="E2224" s="6" t="str">
        <f>HYPERLINK("https://twitter.com/sergio_fajardo/status/1397712188358410242","1397712188358410242")</f>
        <v>1397712188358410242</v>
      </c>
      <c r="F2224" s="7" t="s">
        <v>20</v>
      </c>
      <c r="G2224" s="7">
        <v>1587087</v>
      </c>
      <c r="H2224" s="7">
        <v>413</v>
      </c>
      <c r="I2224" s="7">
        <v>215</v>
      </c>
      <c r="J2224" s="7">
        <v>0</v>
      </c>
      <c r="K2224" s="7" t="s">
        <v>18</v>
      </c>
      <c r="L2224" s="8">
        <v>39891.213356481479</v>
      </c>
      <c r="M2224" s="9" t="s">
        <v>19</v>
      </c>
      <c r="N2224" s="9" t="s">
        <v>22</v>
      </c>
      <c r="O2224" s="6" t="str">
        <f>HYPERLINK("https://pbs.twimg.com/profile_images/988971255679324162/jrqiIYf__normal.jpg","View")</f>
        <v>View</v>
      </c>
      <c r="P2224" s="7"/>
    </row>
    <row r="2225" spans="1:16">
      <c r="A2225" s="3">
        <v>44343.771319444444</v>
      </c>
      <c r="B2225" s="4" t="str">
        <f>HYPERLINK("https://twitter.com/sergio_fajardo","@sergio_fajardo")</f>
        <v>@sergio_fajardo</v>
      </c>
      <c r="C2225" s="5" t="s">
        <v>16</v>
      </c>
      <c r="D2225" s="5" t="s">
        <v>2245</v>
      </c>
      <c r="E2225" s="6" t="str">
        <f>HYPERLINK("https://twitter.com/sergio_fajardo/status/1397900569654747143","1397900569654747143")</f>
        <v>1397900569654747143</v>
      </c>
      <c r="F2225" s="7" t="s">
        <v>20</v>
      </c>
      <c r="G2225" s="7">
        <v>1587039</v>
      </c>
      <c r="H2225" s="7">
        <v>414</v>
      </c>
      <c r="I2225" s="7">
        <v>2</v>
      </c>
      <c r="J2225" s="7">
        <v>10</v>
      </c>
      <c r="K2225" s="7" t="s">
        <v>18</v>
      </c>
      <c r="L2225" s="8">
        <v>39891.213356481479</v>
      </c>
      <c r="M2225" s="9" t="s">
        <v>19</v>
      </c>
      <c r="N2225" s="9" t="s">
        <v>22</v>
      </c>
      <c r="O2225" s="6" t="str">
        <f>HYPERLINK("https://pbs.twimg.com/profile_images/988971255679324162/jrqiIYf__normal.jpg","View")</f>
        <v>View</v>
      </c>
      <c r="P2225" s="7"/>
    </row>
    <row r="2226" spans="1:16">
      <c r="A2226" s="3">
        <v>44343.986203703702</v>
      </c>
      <c r="B2226" s="4" t="str">
        <f>HYPERLINK("https://twitter.com/sergio_fajardo","@sergio_fajardo")</f>
        <v>@sergio_fajardo</v>
      </c>
      <c r="C2226" s="5" t="s">
        <v>16</v>
      </c>
      <c r="D2226" s="5" t="s">
        <v>2246</v>
      </c>
      <c r="E2226" s="6" t="str">
        <f>HYPERLINK("https://twitter.com/sergio_fajardo/status/1397978441056718856","1397978441056718856")</f>
        <v>1397978441056718856</v>
      </c>
      <c r="F2226" s="7" t="s">
        <v>17</v>
      </c>
      <c r="G2226" s="7">
        <v>1587073</v>
      </c>
      <c r="H2226" s="7">
        <v>415</v>
      </c>
      <c r="I2226" s="7">
        <v>98</v>
      </c>
      <c r="J2226" s="7">
        <v>453</v>
      </c>
      <c r="K2226" s="7" t="s">
        <v>18</v>
      </c>
      <c r="L2226" s="8">
        <v>39891.213356481479</v>
      </c>
      <c r="M2226" s="9" t="s">
        <v>19</v>
      </c>
      <c r="N2226" s="9" t="s">
        <v>22</v>
      </c>
      <c r="O2226" s="6" t="str">
        <f>HYPERLINK("https://pbs.twimg.com/profile_images/988971255679324162/jrqiIYf__normal.jpg","View")</f>
        <v>View</v>
      </c>
      <c r="P2226" s="7"/>
    </row>
    <row r="2227" spans="1:16">
      <c r="A2227" s="3">
        <v>44344.037986111114</v>
      </c>
      <c r="B2227" s="4" t="str">
        <f>HYPERLINK("https://twitter.com/sergio_fajardo","@sergio_fajardo")</f>
        <v>@sergio_fajardo</v>
      </c>
      <c r="C2227" s="5" t="s">
        <v>16</v>
      </c>
      <c r="D2227" s="4" t="s">
        <v>2247</v>
      </c>
      <c r="E2227" s="6" t="str">
        <f>HYPERLINK("https://twitter.com/sergio_fajardo/status/1397997205856915461","1397997205856915461")</f>
        <v>1397997205856915461</v>
      </c>
      <c r="F2227" s="7" t="s">
        <v>17</v>
      </c>
      <c r="G2227" s="7">
        <v>1587086</v>
      </c>
      <c r="H2227" s="7">
        <v>415</v>
      </c>
      <c r="I2227" s="7">
        <v>1</v>
      </c>
      <c r="J2227" s="7">
        <v>4</v>
      </c>
      <c r="K2227" s="7" t="s">
        <v>18</v>
      </c>
      <c r="L2227" s="8">
        <v>39891.213356481479</v>
      </c>
      <c r="M2227" s="9" t="s">
        <v>19</v>
      </c>
      <c r="N2227" s="9" t="s">
        <v>22</v>
      </c>
      <c r="O2227" s="6" t="str">
        <f>HYPERLINK("https://pbs.twimg.com/profile_images/988971255679324162/jrqiIYf__normal.jpg","View")</f>
        <v>View</v>
      </c>
      <c r="P2227" s="7"/>
    </row>
    <row r="2228" spans="1:16">
      <c r="A2228" s="3">
        <v>44344.429710648154</v>
      </c>
      <c r="B2228" s="4" t="str">
        <f>HYPERLINK("https://twitter.com/sergio_fajardo","@sergio_fajardo")</f>
        <v>@sergio_fajardo</v>
      </c>
      <c r="C2228" s="5" t="s">
        <v>16</v>
      </c>
      <c r="D2228" s="5" t="s">
        <v>2248</v>
      </c>
      <c r="E2228" s="6" t="str">
        <f>HYPERLINK("https://twitter.com/sergio_fajardo/status/1398139163707334657","1398139163707334657")</f>
        <v>1398139163707334657</v>
      </c>
      <c r="F2228" s="7" t="s">
        <v>17</v>
      </c>
      <c r="G2228" s="7">
        <v>1587081</v>
      </c>
      <c r="H2228" s="7">
        <v>415</v>
      </c>
      <c r="I2228" s="7">
        <v>29</v>
      </c>
      <c r="J2228" s="7">
        <v>0</v>
      </c>
      <c r="K2228" s="7" t="s">
        <v>18</v>
      </c>
      <c r="L2228" s="8">
        <v>39891.213356481479</v>
      </c>
      <c r="M2228" s="9" t="s">
        <v>19</v>
      </c>
      <c r="N2228" s="9" t="s">
        <v>22</v>
      </c>
      <c r="O2228" s="6" t="str">
        <f>HYPERLINK("https://pbs.twimg.com/profile_images/988971255679324162/jrqiIYf__normal.jpg","View")</f>
        <v>View</v>
      </c>
      <c r="P2228" s="7"/>
    </row>
    <row r="2229" spans="1:16">
      <c r="A2229" s="3">
        <v>44344.445833333331</v>
      </c>
      <c r="B2229" s="4" t="str">
        <f>HYPERLINK("https://twitter.com/sergio_fajardo","@sergio_fajardo")</f>
        <v>@sergio_fajardo</v>
      </c>
      <c r="C2229" s="5" t="s">
        <v>16</v>
      </c>
      <c r="D2229" s="5" t="s">
        <v>2249</v>
      </c>
      <c r="E2229" s="6" t="str">
        <f>HYPERLINK("https://twitter.com/sergio_fajardo/status/1398145006527975425","1398145006527975425")</f>
        <v>1398145006527975425</v>
      </c>
      <c r="F2229" s="7" t="s">
        <v>17</v>
      </c>
      <c r="G2229" s="7">
        <v>1587084</v>
      </c>
      <c r="H2229" s="7">
        <v>415</v>
      </c>
      <c r="I2229" s="7">
        <v>5</v>
      </c>
      <c r="J2229" s="7">
        <v>63</v>
      </c>
      <c r="K2229" s="7" t="s">
        <v>18</v>
      </c>
      <c r="L2229" s="8">
        <v>39891.213356481479</v>
      </c>
      <c r="M2229" s="9" t="s">
        <v>19</v>
      </c>
      <c r="N2229" s="9" t="s">
        <v>22</v>
      </c>
      <c r="O2229" s="6" t="str">
        <f>HYPERLINK("https://pbs.twimg.com/profile_images/988971255679324162/jrqiIYf__normal.jpg","View")</f>
        <v>View</v>
      </c>
      <c r="P2229" s="7"/>
    </row>
    <row r="2230" spans="1:16">
      <c r="A2230" s="3">
        <v>44344.818865740745</v>
      </c>
      <c r="B2230" s="4" t="str">
        <f>HYPERLINK("https://twitter.com/sergio_fajardo","@sergio_fajardo")</f>
        <v>@sergio_fajardo</v>
      </c>
      <c r="C2230" s="5" t="s">
        <v>16</v>
      </c>
      <c r="D2230" s="5" t="s">
        <v>2250</v>
      </c>
      <c r="E2230" s="6" t="str">
        <f>HYPERLINK("https://twitter.com/sergio_fajardo/status/1398280189122068484","1398280189122068484")</f>
        <v>1398280189122068484</v>
      </c>
      <c r="F2230" s="7" t="s">
        <v>17</v>
      </c>
      <c r="G2230" s="7">
        <v>1587065</v>
      </c>
      <c r="H2230" s="7">
        <v>415</v>
      </c>
      <c r="I2230" s="7">
        <v>22</v>
      </c>
      <c r="J2230" s="7">
        <v>121</v>
      </c>
      <c r="K2230" s="7" t="s">
        <v>18</v>
      </c>
      <c r="L2230" s="8">
        <v>39891.213356481479</v>
      </c>
      <c r="M2230" s="9" t="s">
        <v>19</v>
      </c>
      <c r="N2230" s="9" t="s">
        <v>22</v>
      </c>
      <c r="O2230" s="6" t="str">
        <f>HYPERLINK("https://pbs.twimg.com/profile_images/988971255679324162/jrqiIYf__normal.jpg","View")</f>
        <v>View</v>
      </c>
      <c r="P2230" s="7"/>
    </row>
    <row r="2231" spans="1:16">
      <c r="A2231" s="3">
        <v>44344.818865740745</v>
      </c>
      <c r="B2231" s="4" t="str">
        <f>HYPERLINK("https://twitter.com/sergio_fajardo","@sergio_fajardo")</f>
        <v>@sergio_fajardo</v>
      </c>
      <c r="C2231" s="5" t="s">
        <v>16</v>
      </c>
      <c r="D2231" s="5" t="s">
        <v>2251</v>
      </c>
      <c r="E2231" s="6" t="str">
        <f>HYPERLINK("https://twitter.com/sergio_fajardo/status/1398280190778916864","1398280190778916864")</f>
        <v>1398280190778916864</v>
      </c>
      <c r="F2231" s="7" t="s">
        <v>17</v>
      </c>
      <c r="G2231" s="7">
        <v>1587065</v>
      </c>
      <c r="H2231" s="7">
        <v>415</v>
      </c>
      <c r="I2231" s="7">
        <v>7</v>
      </c>
      <c r="J2231" s="7">
        <v>49</v>
      </c>
      <c r="K2231" s="7" t="s">
        <v>18</v>
      </c>
      <c r="L2231" s="8">
        <v>39891.213356481479</v>
      </c>
      <c r="M2231" s="9" t="s">
        <v>19</v>
      </c>
      <c r="N2231" s="9" t="s">
        <v>22</v>
      </c>
      <c r="O2231" s="6" t="str">
        <f>HYPERLINK("https://pbs.twimg.com/profile_images/988971255679324162/jrqiIYf__normal.jpg","View")</f>
        <v>View</v>
      </c>
      <c r="P2231" s="7"/>
    </row>
    <row r="2232" spans="1:16">
      <c r="A2232" s="3">
        <v>44344.818877314814</v>
      </c>
      <c r="B2232" s="4" t="str">
        <f>HYPERLINK("https://twitter.com/sergio_fajardo","@sergio_fajardo")</f>
        <v>@sergio_fajardo</v>
      </c>
      <c r="C2232" s="5" t="s">
        <v>16</v>
      </c>
      <c r="D2232" s="5" t="s">
        <v>2252</v>
      </c>
      <c r="E2232" s="6" t="str">
        <f>HYPERLINK("https://twitter.com/sergio_fajardo/status/1398280191949131778","1398280191949131778")</f>
        <v>1398280191949131778</v>
      </c>
      <c r="F2232" s="7" t="s">
        <v>17</v>
      </c>
      <c r="G2232" s="7">
        <v>1587065</v>
      </c>
      <c r="H2232" s="7">
        <v>415</v>
      </c>
      <c r="I2232" s="7">
        <v>7</v>
      </c>
      <c r="J2232" s="7">
        <v>64</v>
      </c>
      <c r="K2232" s="7" t="s">
        <v>18</v>
      </c>
      <c r="L2232" s="8">
        <v>39891.213356481479</v>
      </c>
      <c r="M2232" s="9" t="s">
        <v>19</v>
      </c>
      <c r="N2232" s="9" t="s">
        <v>22</v>
      </c>
      <c r="O2232" s="6" t="str">
        <f>HYPERLINK("https://pbs.twimg.com/profile_images/988971255679324162/jrqiIYf__normal.jpg","View")</f>
        <v>View</v>
      </c>
      <c r="P2232" s="7"/>
    </row>
    <row r="2233" spans="1:16">
      <c r="A2233" s="3">
        <v>44344.818877314814</v>
      </c>
      <c r="B2233" s="4" t="str">
        <f>HYPERLINK("https://twitter.com/sergio_fajardo","@sergio_fajardo")</f>
        <v>@sergio_fajardo</v>
      </c>
      <c r="C2233" s="5" t="s">
        <v>16</v>
      </c>
      <c r="D2233" s="5" t="s">
        <v>2253</v>
      </c>
      <c r="E2233" s="6" t="str">
        <f>HYPERLINK("https://twitter.com/sergio_fajardo/status/1398280193261834248","1398280193261834248")</f>
        <v>1398280193261834248</v>
      </c>
      <c r="F2233" s="7" t="s">
        <v>17</v>
      </c>
      <c r="G2233" s="7">
        <v>1587065</v>
      </c>
      <c r="H2233" s="7">
        <v>415</v>
      </c>
      <c r="I2233" s="7">
        <v>10</v>
      </c>
      <c r="J2233" s="7">
        <v>59</v>
      </c>
      <c r="K2233" s="7" t="s">
        <v>18</v>
      </c>
      <c r="L2233" s="8">
        <v>39891.213356481479</v>
      </c>
      <c r="M2233" s="9" t="s">
        <v>19</v>
      </c>
      <c r="N2233" s="9" t="s">
        <v>22</v>
      </c>
      <c r="O2233" s="6" t="str">
        <f>HYPERLINK("https://pbs.twimg.com/profile_images/988971255679324162/jrqiIYf__normal.jpg","View")</f>
        <v>View</v>
      </c>
      <c r="P2233" s="7"/>
    </row>
    <row r="2234" spans="1:16">
      <c r="A2234" s="3">
        <v>44344.930138888885</v>
      </c>
      <c r="B2234" s="4" t="str">
        <f>HYPERLINK("https://twitter.com/sergio_fajardo","@sergio_fajardo")</f>
        <v>@sergio_fajardo</v>
      </c>
      <c r="C2234" s="5" t="s">
        <v>16</v>
      </c>
      <c r="D2234" s="5" t="s">
        <v>2254</v>
      </c>
      <c r="E2234" s="6" t="str">
        <f>HYPERLINK("https://twitter.com/sergio_fajardo/status/1398320513475305475","1398320513475305475")</f>
        <v>1398320513475305475</v>
      </c>
      <c r="F2234" s="7" t="s">
        <v>17</v>
      </c>
      <c r="G2234" s="7">
        <v>1587080</v>
      </c>
      <c r="H2234" s="7">
        <v>415</v>
      </c>
      <c r="I2234" s="7">
        <v>39</v>
      </c>
      <c r="J2234" s="7">
        <v>236</v>
      </c>
      <c r="K2234" s="7" t="s">
        <v>18</v>
      </c>
      <c r="L2234" s="8">
        <v>39891.213356481479</v>
      </c>
      <c r="M2234" s="9" t="s">
        <v>19</v>
      </c>
      <c r="N2234" s="9" t="s">
        <v>22</v>
      </c>
      <c r="O2234" s="6" t="str">
        <f>HYPERLINK("https://pbs.twimg.com/profile_images/988971255679324162/jrqiIYf__normal.jpg","View")</f>
        <v>View</v>
      </c>
      <c r="P2234" s="7"/>
    </row>
    <row r="2235" spans="1:16">
      <c r="A2235" s="3">
        <v>44345.097094907411</v>
      </c>
      <c r="B2235" s="4" t="str">
        <f>HYPERLINK("https://twitter.com/sergio_fajardo","@sergio_fajardo")</f>
        <v>@sergio_fajardo</v>
      </c>
      <c r="C2235" s="5" t="s">
        <v>16</v>
      </c>
      <c r="D2235" s="5" t="s">
        <v>2255</v>
      </c>
      <c r="E2235" s="6" t="str">
        <f>HYPERLINK("https://twitter.com/sergio_fajardo/status/1398381017770205191","1398381017770205191")</f>
        <v>1398381017770205191</v>
      </c>
      <c r="F2235" s="7" t="s">
        <v>17</v>
      </c>
      <c r="G2235" s="7">
        <v>1587084</v>
      </c>
      <c r="H2235" s="7">
        <v>415</v>
      </c>
      <c r="I2235" s="7">
        <v>9</v>
      </c>
      <c r="J2235" s="7">
        <v>67</v>
      </c>
      <c r="K2235" s="7" t="s">
        <v>18</v>
      </c>
      <c r="L2235" s="8">
        <v>39891.213356481479</v>
      </c>
      <c r="M2235" s="9" t="s">
        <v>19</v>
      </c>
      <c r="N2235" s="9" t="s">
        <v>22</v>
      </c>
      <c r="O2235" s="6" t="str">
        <f>HYPERLINK("https://pbs.twimg.com/profile_images/988971255679324162/jrqiIYf__normal.jpg","View")</f>
        <v>View</v>
      </c>
      <c r="P2235" s="7"/>
    </row>
    <row r="2236" spans="1:16">
      <c r="A2236" s="3">
        <v>44345.098703703705</v>
      </c>
      <c r="B2236" s="4" t="str">
        <f>HYPERLINK("https://twitter.com/sergio_fajardo","@sergio_fajardo")</f>
        <v>@sergio_fajardo</v>
      </c>
      <c r="C2236" s="5" t="s">
        <v>16</v>
      </c>
      <c r="D2236" s="5" t="s">
        <v>2256</v>
      </c>
      <c r="E2236" s="6" t="str">
        <f>HYPERLINK("https://twitter.com/sergio_fajardo/status/1398381597712396293","1398381597712396293")</f>
        <v>1398381597712396293</v>
      </c>
      <c r="F2236" s="7" t="s">
        <v>17</v>
      </c>
      <c r="G2236" s="7">
        <v>1587084</v>
      </c>
      <c r="H2236" s="7">
        <v>415</v>
      </c>
      <c r="I2236" s="7">
        <v>7</v>
      </c>
      <c r="J2236" s="7">
        <v>24</v>
      </c>
      <c r="K2236" s="7" t="s">
        <v>18</v>
      </c>
      <c r="L2236" s="8">
        <v>39891.213356481479</v>
      </c>
      <c r="M2236" s="9" t="s">
        <v>19</v>
      </c>
      <c r="N2236" s="9" t="s">
        <v>22</v>
      </c>
      <c r="O2236" s="6" t="str">
        <f>HYPERLINK("https://pbs.twimg.com/profile_images/988971255679324162/jrqiIYf__normal.jpg","View")</f>
        <v>View</v>
      </c>
      <c r="P2236" s="7"/>
    </row>
    <row r="2237" spans="1:16">
      <c r="A2237" s="3">
        <v>44345.196875000001</v>
      </c>
      <c r="B2237" s="4" t="str">
        <f>HYPERLINK("https://twitter.com/sergio_fajardo","@sergio_fajardo")</f>
        <v>@sergio_fajardo</v>
      </c>
      <c r="C2237" s="5" t="s">
        <v>16</v>
      </c>
      <c r="D2237" s="5" t="s">
        <v>2257</v>
      </c>
      <c r="E2237" s="6" t="str">
        <f>HYPERLINK("https://twitter.com/sergio_fajardo/status/1398417173035560961","1398417173035560961")</f>
        <v>1398417173035560961</v>
      </c>
      <c r="F2237" s="7" t="s">
        <v>23</v>
      </c>
      <c r="G2237" s="7">
        <v>1587090</v>
      </c>
      <c r="H2237" s="7">
        <v>415</v>
      </c>
      <c r="I2237" s="7">
        <v>88</v>
      </c>
      <c r="J2237" s="7">
        <v>339</v>
      </c>
      <c r="K2237" s="7" t="s">
        <v>18</v>
      </c>
      <c r="L2237" s="8">
        <v>39891.213356481479</v>
      </c>
      <c r="M2237" s="9" t="s">
        <v>19</v>
      </c>
      <c r="N2237" s="9" t="s">
        <v>22</v>
      </c>
      <c r="O2237" s="6" t="str">
        <f>HYPERLINK("https://pbs.twimg.com/profile_images/988971255679324162/jrqiIYf__normal.jpg","View")</f>
        <v>View</v>
      </c>
      <c r="P2237" s="7"/>
    </row>
    <row r="2238" spans="1:16">
      <c r="A2238" s="3">
        <v>44345.205891203703</v>
      </c>
      <c r="B2238" s="4" t="str">
        <f>HYPERLINK("https://twitter.com/sergio_fajardo","@sergio_fajardo")</f>
        <v>@sergio_fajardo</v>
      </c>
      <c r="C2238" s="5" t="s">
        <v>16</v>
      </c>
      <c r="D2238" s="5" t="s">
        <v>2258</v>
      </c>
      <c r="E2238" s="6" t="str">
        <f>HYPERLINK("https://twitter.com/sergio_fajardo/status/1398420441782538241","1398420441782538241")</f>
        <v>1398420441782538241</v>
      </c>
      <c r="F2238" s="7" t="s">
        <v>20</v>
      </c>
      <c r="G2238" s="7">
        <v>1587090</v>
      </c>
      <c r="H2238" s="7">
        <v>415</v>
      </c>
      <c r="I2238" s="7">
        <v>34</v>
      </c>
      <c r="J2238" s="7">
        <v>132</v>
      </c>
      <c r="K2238" s="7" t="s">
        <v>18</v>
      </c>
      <c r="L2238" s="8">
        <v>39891.213356481479</v>
      </c>
      <c r="M2238" s="9" t="s">
        <v>19</v>
      </c>
      <c r="N2238" s="9" t="s">
        <v>22</v>
      </c>
      <c r="O2238" s="6" t="str">
        <f>HYPERLINK("https://pbs.twimg.com/profile_images/988971255679324162/jrqiIYf__normal.jpg","View")</f>
        <v>View</v>
      </c>
      <c r="P2238" s="7"/>
    </row>
    <row r="2239" spans="1:16">
      <c r="A2239" s="3">
        <v>44345.2575462963</v>
      </c>
      <c r="B2239" s="4" t="str">
        <f>HYPERLINK("https://twitter.com/sergio_fajardo","@sergio_fajardo")</f>
        <v>@sergio_fajardo</v>
      </c>
      <c r="C2239" s="5" t="s">
        <v>16</v>
      </c>
      <c r="D2239" s="5" t="s">
        <v>2259</v>
      </c>
      <c r="E2239" s="6" t="str">
        <f>HYPERLINK("https://twitter.com/sergio_fajardo/status/1398439162945101831","1398439162945101831")</f>
        <v>1398439162945101831</v>
      </c>
      <c r="F2239" s="7" t="s">
        <v>20</v>
      </c>
      <c r="G2239" s="7">
        <v>1587117</v>
      </c>
      <c r="H2239" s="7">
        <v>415</v>
      </c>
      <c r="I2239" s="7">
        <v>2</v>
      </c>
      <c r="J2239" s="7">
        <v>10</v>
      </c>
      <c r="K2239" s="7" t="s">
        <v>18</v>
      </c>
      <c r="L2239" s="8">
        <v>39891.213356481479</v>
      </c>
      <c r="M2239" s="9" t="s">
        <v>19</v>
      </c>
      <c r="N2239" s="9" t="s">
        <v>22</v>
      </c>
      <c r="O2239" s="6" t="str">
        <f>HYPERLINK("https://pbs.twimg.com/profile_images/988971255679324162/jrqiIYf__normal.jpg","View")</f>
        <v>View</v>
      </c>
      <c r="P2239" s="7"/>
    </row>
    <row r="2240" spans="1:16">
      <c r="A2240" s="3">
        <v>44345.933333333334</v>
      </c>
      <c r="B2240" s="4" t="str">
        <f>HYPERLINK("https://twitter.com/sergio_fajardo","@sergio_fajardo")</f>
        <v>@sergio_fajardo</v>
      </c>
      <c r="C2240" s="5" t="s">
        <v>16</v>
      </c>
      <c r="D2240" s="5" t="s">
        <v>2260</v>
      </c>
      <c r="E2240" s="6" t="str">
        <f>HYPERLINK("https://twitter.com/sergio_fajardo/status/1398684057500672004","1398684057500672004")</f>
        <v>1398684057500672004</v>
      </c>
      <c r="F2240" s="7" t="s">
        <v>17</v>
      </c>
      <c r="G2240" s="7">
        <v>1587214</v>
      </c>
      <c r="H2240" s="7">
        <v>415</v>
      </c>
      <c r="I2240" s="7">
        <v>25</v>
      </c>
      <c r="J2240" s="7">
        <v>91</v>
      </c>
      <c r="K2240" s="7" t="s">
        <v>18</v>
      </c>
      <c r="L2240" s="8">
        <v>39891.213356481479</v>
      </c>
      <c r="M2240" s="9" t="s">
        <v>19</v>
      </c>
      <c r="N2240" s="9" t="s">
        <v>22</v>
      </c>
      <c r="O2240" s="6" t="str">
        <f>HYPERLINK("https://pbs.twimg.com/profile_images/988971255679324162/jrqiIYf__normal.jpg","View")</f>
        <v>View</v>
      </c>
      <c r="P2240" s="7"/>
    </row>
    <row r="2241" spans="1:16">
      <c r="A2241" s="3">
        <v>44345.933333333334</v>
      </c>
      <c r="B2241" s="4" t="str">
        <f>HYPERLINK("https://twitter.com/sergio_fajardo","@sergio_fajardo")</f>
        <v>@sergio_fajardo</v>
      </c>
      <c r="C2241" s="5" t="s">
        <v>16</v>
      </c>
      <c r="D2241" s="5" t="s">
        <v>2261</v>
      </c>
      <c r="E2241" s="6" t="str">
        <f>HYPERLINK("https://twitter.com/sergio_fajardo/status/1398684058532683779","1398684058532683779")</f>
        <v>1398684058532683779</v>
      </c>
      <c r="F2241" s="7" t="s">
        <v>17</v>
      </c>
      <c r="G2241" s="7">
        <v>1587214</v>
      </c>
      <c r="H2241" s="7">
        <v>415</v>
      </c>
      <c r="I2241" s="7">
        <v>12</v>
      </c>
      <c r="J2241" s="7">
        <v>52</v>
      </c>
      <c r="K2241" s="7" t="s">
        <v>18</v>
      </c>
      <c r="L2241" s="8">
        <v>39891.213356481479</v>
      </c>
      <c r="M2241" s="9" t="s">
        <v>19</v>
      </c>
      <c r="N2241" s="9" t="s">
        <v>22</v>
      </c>
      <c r="O2241" s="6" t="str">
        <f>HYPERLINK("https://pbs.twimg.com/profile_images/988971255679324162/jrqiIYf__normal.jpg","View")</f>
        <v>View</v>
      </c>
      <c r="P2241" s="7"/>
    </row>
    <row r="2242" spans="1:16">
      <c r="A2242" s="3">
        <v>44346.213043981479</v>
      </c>
      <c r="B2242" s="4" t="str">
        <f>HYPERLINK("https://twitter.com/sergio_fajardo","@sergio_fajardo")</f>
        <v>@sergio_fajardo</v>
      </c>
      <c r="C2242" s="5" t="s">
        <v>16</v>
      </c>
      <c r="D2242" s="5" t="s">
        <v>2262</v>
      </c>
      <c r="E2242" s="6" t="str">
        <f>HYPERLINK("https://twitter.com/sergio_fajardo/status/1398785422650707970","1398785422650707970")</f>
        <v>1398785422650707970</v>
      </c>
      <c r="F2242" s="7" t="s">
        <v>20</v>
      </c>
      <c r="G2242" s="7">
        <v>1587287</v>
      </c>
      <c r="H2242" s="7">
        <v>415</v>
      </c>
      <c r="I2242" s="7">
        <v>292</v>
      </c>
      <c r="J2242" s="7">
        <v>0</v>
      </c>
      <c r="K2242" s="7" t="s">
        <v>18</v>
      </c>
      <c r="L2242" s="8">
        <v>39891.213356481479</v>
      </c>
      <c r="M2242" s="9" t="s">
        <v>19</v>
      </c>
      <c r="N2242" s="9" t="s">
        <v>22</v>
      </c>
      <c r="O2242" s="6" t="str">
        <f>HYPERLINK("https://pbs.twimg.com/profile_images/988971255679324162/jrqiIYf__normal.jpg","View")</f>
        <v>View</v>
      </c>
      <c r="P2242" s="7"/>
    </row>
    <row r="2243" spans="1:16">
      <c r="A2243" s="3">
        <v>44346.873298611114</v>
      </c>
      <c r="B2243" s="4" t="str">
        <f>HYPERLINK("https://twitter.com/sergio_fajardo","@sergio_fajardo")</f>
        <v>@sergio_fajardo</v>
      </c>
      <c r="C2243" s="5" t="s">
        <v>16</v>
      </c>
      <c r="D2243" s="5" t="s">
        <v>2263</v>
      </c>
      <c r="E2243" s="6" t="str">
        <f>HYPERLINK("https://twitter.com/sergio_fajardo/status/1399024690593665031","1399024690593665031")</f>
        <v>1399024690593665031</v>
      </c>
      <c r="F2243" s="7" t="s">
        <v>20</v>
      </c>
      <c r="G2243" s="7">
        <v>1587368</v>
      </c>
      <c r="H2243" s="7">
        <v>415</v>
      </c>
      <c r="I2243" s="7">
        <v>19</v>
      </c>
      <c r="J2243" s="7">
        <v>236</v>
      </c>
      <c r="K2243" s="7" t="s">
        <v>18</v>
      </c>
      <c r="L2243" s="8">
        <v>39891.213356481479</v>
      </c>
      <c r="M2243" s="9" t="s">
        <v>19</v>
      </c>
      <c r="N2243" s="9" t="s">
        <v>22</v>
      </c>
      <c r="O2243" s="6" t="str">
        <f>HYPERLINK("https://pbs.twimg.com/profile_images/988971255679324162/jrqiIYf__normal.jpg","View")</f>
        <v>View</v>
      </c>
      <c r="P2243" s="7"/>
    </row>
    <row r="2244" spans="1:16">
      <c r="A2244" s="3">
        <v>44346.879421296297</v>
      </c>
      <c r="B2244" s="4" t="str">
        <f>HYPERLINK("https://twitter.com/sergio_fajardo","@sergio_fajardo")</f>
        <v>@sergio_fajardo</v>
      </c>
      <c r="C2244" s="5" t="s">
        <v>16</v>
      </c>
      <c r="D2244" s="5" t="s">
        <v>2264</v>
      </c>
      <c r="E2244" s="6" t="str">
        <f>HYPERLINK("https://twitter.com/sergio_fajardo/status/1399026909716094980","1399026909716094980")</f>
        <v>1399026909716094980</v>
      </c>
      <c r="F2244" s="7" t="s">
        <v>17</v>
      </c>
      <c r="G2244" s="7">
        <v>1587375</v>
      </c>
      <c r="H2244" s="7">
        <v>415</v>
      </c>
      <c r="I2244" s="7">
        <v>29</v>
      </c>
      <c r="J2244" s="7">
        <v>0</v>
      </c>
      <c r="K2244" s="7" t="s">
        <v>18</v>
      </c>
      <c r="L2244" s="8">
        <v>39891.213356481479</v>
      </c>
      <c r="M2244" s="9" t="s">
        <v>19</v>
      </c>
      <c r="N2244" s="9" t="s">
        <v>22</v>
      </c>
      <c r="O2244" s="6" t="str">
        <f>HYPERLINK("https://pbs.twimg.com/profile_images/988971255679324162/jrqiIYf__normal.jpg","View")</f>
        <v>View</v>
      </c>
      <c r="P2244" s="7"/>
    </row>
    <row r="2245" spans="1:16">
      <c r="A2245" s="3">
        <v>44347.944282407407</v>
      </c>
      <c r="B2245" s="4" t="str">
        <f>HYPERLINK("https://twitter.com/sergio_fajardo","@sergio_fajardo")</f>
        <v>@sergio_fajardo</v>
      </c>
      <c r="C2245" s="5" t="s">
        <v>16</v>
      </c>
      <c r="D2245" s="5" t="s">
        <v>2265</v>
      </c>
      <c r="E2245" s="6" t="str">
        <f>HYPERLINK("https://twitter.com/sergio_fajardo/status/1399412803774058498","1399412803774058498")</f>
        <v>1399412803774058498</v>
      </c>
      <c r="F2245" s="7" t="s">
        <v>17</v>
      </c>
      <c r="G2245" s="7">
        <v>1587495</v>
      </c>
      <c r="H2245" s="7">
        <v>415</v>
      </c>
      <c r="I2245" s="7">
        <v>7</v>
      </c>
      <c r="J2245" s="7">
        <v>21</v>
      </c>
      <c r="K2245" s="7" t="s">
        <v>18</v>
      </c>
      <c r="L2245" s="8">
        <v>39891.213356481479</v>
      </c>
      <c r="M2245" s="9" t="s">
        <v>19</v>
      </c>
      <c r="N2245" s="9" t="s">
        <v>22</v>
      </c>
      <c r="O2245" s="6" t="str">
        <f>HYPERLINK("https://pbs.twimg.com/profile_images/988971255679324162/jrqiIYf__normal.jpg","View")</f>
        <v>View</v>
      </c>
      <c r="P2245" s="7"/>
    </row>
    <row r="2246" spans="1:16">
      <c r="A2246" s="3">
        <v>44348.191747685181</v>
      </c>
      <c r="B2246" s="4" t="str">
        <f>HYPERLINK("https://twitter.com/sergio_fajardo","@sergio_fajardo")</f>
        <v>@sergio_fajardo</v>
      </c>
      <c r="C2246" s="5" t="s">
        <v>16</v>
      </c>
      <c r="D2246" s="5" t="s">
        <v>2266</v>
      </c>
      <c r="E2246" s="6" t="str">
        <f>HYPERLINK("https://twitter.com/sergio_fajardo/status/1399502478958284802","1399502478958284802")</f>
        <v>1399502478958284802</v>
      </c>
      <c r="F2246" s="7" t="s">
        <v>20</v>
      </c>
      <c r="G2246" s="7">
        <v>1587535</v>
      </c>
      <c r="H2246" s="7">
        <v>415</v>
      </c>
      <c r="I2246" s="7">
        <v>10</v>
      </c>
      <c r="J2246" s="7">
        <v>30</v>
      </c>
      <c r="K2246" s="7" t="s">
        <v>18</v>
      </c>
      <c r="L2246" s="8">
        <v>39891.213356481479</v>
      </c>
      <c r="M2246" s="9" t="s">
        <v>19</v>
      </c>
      <c r="N2246" s="9" t="s">
        <v>22</v>
      </c>
      <c r="O2246" s="6" t="str">
        <f>HYPERLINK("https://pbs.twimg.com/profile_images/988971255679324162/jrqiIYf__normal.jpg","View")</f>
        <v>View</v>
      </c>
      <c r="P2246" s="7"/>
    </row>
    <row r="2247" spans="1:16">
      <c r="A2247" s="3">
        <v>44348.324074074073</v>
      </c>
      <c r="B2247" s="4" t="str">
        <f>HYPERLINK("https://twitter.com/sergio_fajardo","@sergio_fajardo")</f>
        <v>@sergio_fajardo</v>
      </c>
      <c r="C2247" s="5" t="s">
        <v>16</v>
      </c>
      <c r="D2247" s="5" t="s">
        <v>2267</v>
      </c>
      <c r="E2247" s="6" t="str">
        <f>HYPERLINK("https://twitter.com/sergio_fajardo/status/1399550434428297218","1399550434428297218")</f>
        <v>1399550434428297218</v>
      </c>
      <c r="F2247" s="7" t="s">
        <v>17</v>
      </c>
      <c r="G2247" s="7">
        <v>1587637</v>
      </c>
      <c r="H2247" s="7">
        <v>415</v>
      </c>
      <c r="I2247" s="7">
        <v>1</v>
      </c>
      <c r="J2247" s="7">
        <v>9</v>
      </c>
      <c r="K2247" s="7" t="s">
        <v>18</v>
      </c>
      <c r="L2247" s="8">
        <v>39891.213356481479</v>
      </c>
      <c r="M2247" s="9" t="s">
        <v>19</v>
      </c>
      <c r="N2247" s="9" t="s">
        <v>22</v>
      </c>
      <c r="O2247" s="6" t="str">
        <f>HYPERLINK("https://pbs.twimg.com/profile_images/988971255679324162/jrqiIYf__normal.jpg","View")</f>
        <v>View</v>
      </c>
      <c r="P2247" s="7"/>
    </row>
    <row r="2248" spans="1:16">
      <c r="A2248" s="3">
        <v>44348.324872685189</v>
      </c>
      <c r="B2248" s="4" t="str">
        <f>HYPERLINK("https://twitter.com/sergio_fajardo","@sergio_fajardo")</f>
        <v>@sergio_fajardo</v>
      </c>
      <c r="C2248" s="5" t="s">
        <v>16</v>
      </c>
      <c r="D2248" s="5" t="s">
        <v>2268</v>
      </c>
      <c r="E2248" s="6" t="str">
        <f>HYPERLINK("https://twitter.com/sergio_fajardo/status/1399550724032372736","1399550724032372736")</f>
        <v>1399550724032372736</v>
      </c>
      <c r="F2248" s="7" t="s">
        <v>17</v>
      </c>
      <c r="G2248" s="7">
        <v>1587637</v>
      </c>
      <c r="H2248" s="7">
        <v>415</v>
      </c>
      <c r="I2248" s="7">
        <v>2</v>
      </c>
      <c r="J2248" s="7">
        <v>7</v>
      </c>
      <c r="K2248" s="7" t="s">
        <v>18</v>
      </c>
      <c r="L2248" s="8">
        <v>39891.213356481479</v>
      </c>
      <c r="M2248" s="9" t="s">
        <v>19</v>
      </c>
      <c r="N2248" s="9" t="s">
        <v>22</v>
      </c>
      <c r="O2248" s="6" t="str">
        <f>HYPERLINK("https://pbs.twimg.com/profile_images/988971255679324162/jrqiIYf__normal.jpg","View")</f>
        <v>View</v>
      </c>
      <c r="P2248" s="7"/>
    </row>
    <row r="2249" spans="1:16">
      <c r="A2249" s="3">
        <v>44348.325462962966</v>
      </c>
      <c r="B2249" s="4" t="str">
        <f>HYPERLINK("https://twitter.com/sergio_fajardo","@sergio_fajardo")</f>
        <v>@sergio_fajardo</v>
      </c>
      <c r="C2249" s="5" t="s">
        <v>16</v>
      </c>
      <c r="D2249" s="5" t="s">
        <v>2269</v>
      </c>
      <c r="E2249" s="6" t="str">
        <f>HYPERLINK("https://twitter.com/sergio_fajardo/status/1399550936243183616","1399550936243183616")</f>
        <v>1399550936243183616</v>
      </c>
      <c r="F2249" s="7" t="s">
        <v>17</v>
      </c>
      <c r="G2249" s="7">
        <v>1587637</v>
      </c>
      <c r="H2249" s="7">
        <v>415</v>
      </c>
      <c r="I2249" s="7">
        <v>1</v>
      </c>
      <c r="J2249" s="7">
        <v>3</v>
      </c>
      <c r="K2249" s="7" t="s">
        <v>18</v>
      </c>
      <c r="L2249" s="8">
        <v>39891.213356481479</v>
      </c>
      <c r="M2249" s="9" t="s">
        <v>19</v>
      </c>
      <c r="N2249" s="9" t="s">
        <v>22</v>
      </c>
      <c r="O2249" s="6" t="str">
        <f>HYPERLINK("https://pbs.twimg.com/profile_images/988971255679324162/jrqiIYf__normal.jpg","View")</f>
        <v>View</v>
      </c>
      <c r="P2249" s="7"/>
    </row>
    <row r="2250" spans="1:16">
      <c r="A2250" s="3">
        <v>44348.331134259264</v>
      </c>
      <c r="B2250" s="4" t="str">
        <f>HYPERLINK("https://twitter.com/sergio_fajardo","@sergio_fajardo")</f>
        <v>@sergio_fajardo</v>
      </c>
      <c r="C2250" s="5" t="s">
        <v>16</v>
      </c>
      <c r="D2250" s="5" t="s">
        <v>2270</v>
      </c>
      <c r="E2250" s="6" t="str">
        <f>HYPERLINK("https://twitter.com/sergio_fajardo/status/1399552993326997504","1399552993326997504")</f>
        <v>1399552993326997504</v>
      </c>
      <c r="F2250" s="7" t="s">
        <v>23</v>
      </c>
      <c r="G2250" s="7">
        <v>1587637</v>
      </c>
      <c r="H2250" s="7">
        <v>415</v>
      </c>
      <c r="I2250" s="7">
        <v>2</v>
      </c>
      <c r="J2250" s="7">
        <v>3</v>
      </c>
      <c r="K2250" s="7" t="s">
        <v>18</v>
      </c>
      <c r="L2250" s="8">
        <v>39891.213356481479</v>
      </c>
      <c r="M2250" s="9" t="s">
        <v>19</v>
      </c>
      <c r="N2250" s="9" t="s">
        <v>22</v>
      </c>
      <c r="O2250" s="6" t="str">
        <f>HYPERLINK("https://pbs.twimg.com/profile_images/988971255679324162/jrqiIYf__normal.jpg","View")</f>
        <v>View</v>
      </c>
      <c r="P2250" s="7"/>
    </row>
    <row r="2251" spans="1:16">
      <c r="A2251" s="3">
        <v>44348.337025462963</v>
      </c>
      <c r="B2251" s="4" t="str">
        <f>HYPERLINK("https://twitter.com/sergio_fajardo","@sergio_fajardo")</f>
        <v>@sergio_fajardo</v>
      </c>
      <c r="C2251" s="5" t="s">
        <v>16</v>
      </c>
      <c r="D2251" s="5" t="s">
        <v>2271</v>
      </c>
      <c r="E2251" s="6" t="str">
        <f>HYPERLINK("https://twitter.com/sergio_fajardo/status/1399555127883800577","1399555127883800577")</f>
        <v>1399555127883800577</v>
      </c>
      <c r="F2251" s="7" t="s">
        <v>17</v>
      </c>
      <c r="G2251" s="7">
        <v>1587642</v>
      </c>
      <c r="H2251" s="7">
        <v>415</v>
      </c>
      <c r="I2251" s="7">
        <v>16</v>
      </c>
      <c r="J2251" s="7">
        <v>156</v>
      </c>
      <c r="K2251" s="7" t="s">
        <v>18</v>
      </c>
      <c r="L2251" s="8">
        <v>39891.213356481479</v>
      </c>
      <c r="M2251" s="9" t="s">
        <v>19</v>
      </c>
      <c r="N2251" s="9" t="s">
        <v>22</v>
      </c>
      <c r="O2251" s="6" t="str">
        <f>HYPERLINK("https://pbs.twimg.com/profile_images/988971255679324162/jrqiIYf__normal.jpg","View")</f>
        <v>View</v>
      </c>
      <c r="P2251" s="7"/>
    </row>
    <row r="2252" spans="1:16">
      <c r="A2252" s="3">
        <v>44348.755659722221</v>
      </c>
      <c r="B2252" s="4" t="str">
        <f>HYPERLINK("https://twitter.com/sergio_fajardo","@sergio_fajardo")</f>
        <v>@sergio_fajardo</v>
      </c>
      <c r="C2252" s="5" t="s">
        <v>16</v>
      </c>
      <c r="D2252" s="5" t="s">
        <v>2272</v>
      </c>
      <c r="E2252" s="6" t="str">
        <f>HYPERLINK("https://twitter.com/sergio_fajardo/status/1399706834852892676","1399706834852892676")</f>
        <v>1399706834852892676</v>
      </c>
      <c r="F2252" s="7" t="s">
        <v>17</v>
      </c>
      <c r="G2252" s="7">
        <v>1587679</v>
      </c>
      <c r="H2252" s="7">
        <v>415</v>
      </c>
      <c r="I2252" s="7">
        <v>41</v>
      </c>
      <c r="J2252" s="7">
        <v>0</v>
      </c>
      <c r="K2252" s="7" t="s">
        <v>18</v>
      </c>
      <c r="L2252" s="8">
        <v>39891.213356481479</v>
      </c>
      <c r="M2252" s="9" t="s">
        <v>19</v>
      </c>
      <c r="N2252" s="9" t="s">
        <v>22</v>
      </c>
      <c r="O2252" s="6" t="str">
        <f>HYPERLINK("https://pbs.twimg.com/profile_images/988971255679324162/jrqiIYf__normal.jpg","View")</f>
        <v>View</v>
      </c>
      <c r="P2252" s="7"/>
    </row>
    <row r="2253" spans="1:16">
      <c r="A2253" s="3">
        <v>44348.856226851851</v>
      </c>
      <c r="B2253" s="4" t="str">
        <f>HYPERLINK("https://twitter.com/sergio_fajardo","@sergio_fajardo")</f>
        <v>@sergio_fajardo</v>
      </c>
      <c r="C2253" s="5" t="s">
        <v>16</v>
      </c>
      <c r="D2253" s="5" t="s">
        <v>2273</v>
      </c>
      <c r="E2253" s="6" t="str">
        <f>HYPERLINK("https://twitter.com/sergio_fajardo/status/1399743278271111173","1399743278271111173")</f>
        <v>1399743278271111173</v>
      </c>
      <c r="F2253" s="7" t="s">
        <v>17</v>
      </c>
      <c r="G2253" s="7">
        <v>1587706</v>
      </c>
      <c r="H2253" s="7">
        <v>415</v>
      </c>
      <c r="I2253" s="7">
        <v>56</v>
      </c>
      <c r="J2253" s="7">
        <v>0</v>
      </c>
      <c r="K2253" s="7" t="s">
        <v>18</v>
      </c>
      <c r="L2253" s="8">
        <v>39891.213356481479</v>
      </c>
      <c r="M2253" s="9" t="s">
        <v>19</v>
      </c>
      <c r="N2253" s="9" t="s">
        <v>22</v>
      </c>
      <c r="O2253" s="6" t="str">
        <f>HYPERLINK("https://pbs.twimg.com/profile_images/988971255679324162/jrqiIYf__normal.jpg","View")</f>
        <v>View</v>
      </c>
      <c r="P2253" s="7"/>
    </row>
    <row r="2254" spans="1:16">
      <c r="A2254" s="3">
        <v>44349.264317129629</v>
      </c>
      <c r="B2254" s="4" t="str">
        <f>HYPERLINK("https://twitter.com/sergio_fajardo","@sergio_fajardo")</f>
        <v>@sergio_fajardo</v>
      </c>
      <c r="C2254" s="5" t="s">
        <v>16</v>
      </c>
      <c r="D2254" s="5" t="s">
        <v>2274</v>
      </c>
      <c r="E2254" s="6" t="str">
        <f>HYPERLINK("https://twitter.com/sergio_fajardo/status/1399891166150205442","1399891166150205442")</f>
        <v>1399891166150205442</v>
      </c>
      <c r="F2254" s="7" t="s">
        <v>17</v>
      </c>
      <c r="G2254" s="7">
        <v>1587784</v>
      </c>
      <c r="H2254" s="7">
        <v>415</v>
      </c>
      <c r="I2254" s="7">
        <v>20</v>
      </c>
      <c r="J2254" s="7">
        <v>132</v>
      </c>
      <c r="K2254" s="7" t="s">
        <v>18</v>
      </c>
      <c r="L2254" s="8">
        <v>39891.213356481479</v>
      </c>
      <c r="M2254" s="9" t="s">
        <v>19</v>
      </c>
      <c r="N2254" s="9" t="s">
        <v>22</v>
      </c>
      <c r="O2254" s="6" t="str">
        <f>HYPERLINK("https://pbs.twimg.com/profile_images/988971255679324162/jrqiIYf__normal.jpg","View")</f>
        <v>View</v>
      </c>
      <c r="P2254" s="7"/>
    </row>
    <row r="2255" spans="1:16">
      <c r="A2255" s="3">
        <v>44350.158726851849</v>
      </c>
      <c r="B2255" s="4" t="str">
        <f>HYPERLINK("https://twitter.com/sergio_fajardo","@sergio_fajardo")</f>
        <v>@sergio_fajardo</v>
      </c>
      <c r="C2255" s="5" t="s">
        <v>16</v>
      </c>
      <c r="D2255" s="5" t="s">
        <v>2275</v>
      </c>
      <c r="E2255" s="6" t="str">
        <f>HYPERLINK("https://twitter.com/sergio_fajardo/status/1400215288956731397","1400215288956731397")</f>
        <v>1400215288956731397</v>
      </c>
      <c r="F2255" s="7" t="s">
        <v>23</v>
      </c>
      <c r="G2255" s="7">
        <v>1587934</v>
      </c>
      <c r="H2255" s="7">
        <v>415</v>
      </c>
      <c r="I2255" s="7">
        <v>12</v>
      </c>
      <c r="J2255" s="7">
        <v>61</v>
      </c>
      <c r="K2255" s="7" t="s">
        <v>18</v>
      </c>
      <c r="L2255" s="8">
        <v>39891.213356481479</v>
      </c>
      <c r="M2255" s="9" t="s">
        <v>19</v>
      </c>
      <c r="N2255" s="9" t="s">
        <v>22</v>
      </c>
      <c r="O2255" s="6" t="str">
        <f>HYPERLINK("https://pbs.twimg.com/profile_images/988971255679324162/jrqiIYf__normal.jpg","View")</f>
        <v>View</v>
      </c>
      <c r="P2255" s="7"/>
    </row>
    <row r="2256" spans="1:16">
      <c r="A2256" s="3">
        <v>44350.168553240743</v>
      </c>
      <c r="B2256" s="4" t="str">
        <f>HYPERLINK("https://twitter.com/sergio_fajardo","@sergio_fajardo")</f>
        <v>@sergio_fajardo</v>
      </c>
      <c r="C2256" s="5" t="s">
        <v>16</v>
      </c>
      <c r="D2256" s="5" t="s">
        <v>2276</v>
      </c>
      <c r="E2256" s="6" t="str">
        <f>HYPERLINK("https://twitter.com/sergio_fajardo/status/1400218850575138820","1400218850575138820")</f>
        <v>1400218850575138820</v>
      </c>
      <c r="F2256" s="7" t="s">
        <v>23</v>
      </c>
      <c r="G2256" s="7">
        <v>1587925</v>
      </c>
      <c r="H2256" s="7">
        <v>415</v>
      </c>
      <c r="I2256" s="7">
        <v>7</v>
      </c>
      <c r="J2256" s="7">
        <v>46</v>
      </c>
      <c r="K2256" s="7" t="s">
        <v>18</v>
      </c>
      <c r="L2256" s="8">
        <v>39891.213356481479</v>
      </c>
      <c r="M2256" s="9" t="s">
        <v>19</v>
      </c>
      <c r="N2256" s="9" t="s">
        <v>22</v>
      </c>
      <c r="O2256" s="6" t="str">
        <f>HYPERLINK("https://pbs.twimg.com/profile_images/988971255679324162/jrqiIYf__normal.jpg","View")</f>
        <v>View</v>
      </c>
      <c r="P2256" s="7"/>
    </row>
    <row r="2257" spans="1:16">
      <c r="A2257" s="3">
        <v>44350.174803240741</v>
      </c>
      <c r="B2257" s="4" t="str">
        <f>HYPERLINK("https://twitter.com/sergio_fajardo","@sergio_fajardo")</f>
        <v>@sergio_fajardo</v>
      </c>
      <c r="C2257" s="5" t="s">
        <v>16</v>
      </c>
      <c r="D2257" s="5" t="s">
        <v>2277</v>
      </c>
      <c r="E2257" s="6" t="str">
        <f>HYPERLINK("https://twitter.com/sergio_fajardo/status/1400221116455608320","1400221116455608320")</f>
        <v>1400221116455608320</v>
      </c>
      <c r="F2257" s="7" t="s">
        <v>23</v>
      </c>
      <c r="G2257" s="7">
        <v>1587925</v>
      </c>
      <c r="H2257" s="7">
        <v>415</v>
      </c>
      <c r="I2257" s="7">
        <v>9</v>
      </c>
      <c r="J2257" s="7">
        <v>38</v>
      </c>
      <c r="K2257" s="7" t="s">
        <v>18</v>
      </c>
      <c r="L2257" s="8">
        <v>39891.213356481479</v>
      </c>
      <c r="M2257" s="9" t="s">
        <v>19</v>
      </c>
      <c r="N2257" s="9" t="s">
        <v>22</v>
      </c>
      <c r="O2257" s="6" t="str">
        <f>HYPERLINK("https://pbs.twimg.com/profile_images/988971255679324162/jrqiIYf__normal.jpg","View")</f>
        <v>View</v>
      </c>
      <c r="P2257" s="7"/>
    </row>
    <row r="2258" spans="1:16">
      <c r="A2258" s="3">
        <v>44350.17763888889</v>
      </c>
      <c r="B2258" s="4" t="str">
        <f>HYPERLINK("https://twitter.com/sergio_fajardo","@sergio_fajardo")</f>
        <v>@sergio_fajardo</v>
      </c>
      <c r="C2258" s="5" t="s">
        <v>16</v>
      </c>
      <c r="D2258" s="5" t="s">
        <v>2278</v>
      </c>
      <c r="E2258" s="6" t="str">
        <f>HYPERLINK("https://twitter.com/sergio_fajardo/status/1400222143724597251","1400222143724597251")</f>
        <v>1400222143724597251</v>
      </c>
      <c r="F2258" s="7" t="s">
        <v>23</v>
      </c>
      <c r="G2258" s="7">
        <v>1587925</v>
      </c>
      <c r="H2258" s="7">
        <v>415</v>
      </c>
      <c r="I2258" s="7">
        <v>6</v>
      </c>
      <c r="J2258" s="7">
        <v>24</v>
      </c>
      <c r="K2258" s="7" t="s">
        <v>18</v>
      </c>
      <c r="L2258" s="8">
        <v>39891.213356481479</v>
      </c>
      <c r="M2258" s="9" t="s">
        <v>19</v>
      </c>
      <c r="N2258" s="9" t="s">
        <v>22</v>
      </c>
      <c r="O2258" s="6" t="str">
        <f>HYPERLINK("https://pbs.twimg.com/profile_images/988971255679324162/jrqiIYf__normal.jpg","View")</f>
        <v>View</v>
      </c>
      <c r="P2258" s="7"/>
    </row>
    <row r="2259" spans="1:16">
      <c r="A2259" s="3">
        <v>44350.180532407408</v>
      </c>
      <c r="B2259" s="4" t="str">
        <f>HYPERLINK("https://twitter.com/sergio_fajardo","@sergio_fajardo")</f>
        <v>@sergio_fajardo</v>
      </c>
      <c r="C2259" s="5" t="s">
        <v>16</v>
      </c>
      <c r="D2259" s="5" t="s">
        <v>2279</v>
      </c>
      <c r="E2259" s="6" t="str">
        <f>HYPERLINK("https://twitter.com/sergio_fajardo/status/1400223192610975749","1400223192610975749")</f>
        <v>1400223192610975749</v>
      </c>
      <c r="F2259" s="7" t="s">
        <v>23</v>
      </c>
      <c r="G2259" s="7">
        <v>1587925</v>
      </c>
      <c r="H2259" s="7">
        <v>415</v>
      </c>
      <c r="I2259" s="7">
        <v>14</v>
      </c>
      <c r="J2259" s="7">
        <v>68</v>
      </c>
      <c r="K2259" s="7" t="s">
        <v>18</v>
      </c>
      <c r="L2259" s="8">
        <v>39891.213356481479</v>
      </c>
      <c r="M2259" s="9" t="s">
        <v>19</v>
      </c>
      <c r="N2259" s="9" t="s">
        <v>22</v>
      </c>
      <c r="O2259" s="6" t="str">
        <f>HYPERLINK("https://pbs.twimg.com/profile_images/988971255679324162/jrqiIYf__normal.jpg","View")</f>
        <v>View</v>
      </c>
      <c r="P2259" s="7"/>
    </row>
    <row r="2260" spans="1:16">
      <c r="A2260" s="3">
        <v>44350.186759259261</v>
      </c>
      <c r="B2260" s="4" t="str">
        <f>HYPERLINK("https://twitter.com/sergio_fajardo","@sergio_fajardo")</f>
        <v>@sergio_fajardo</v>
      </c>
      <c r="C2260" s="5" t="s">
        <v>16</v>
      </c>
      <c r="D2260" s="5" t="s">
        <v>2280</v>
      </c>
      <c r="E2260" s="6" t="str">
        <f>HYPERLINK("https://twitter.com/sergio_fajardo/status/1400225447330336769","1400225447330336769")</f>
        <v>1400225447330336769</v>
      </c>
      <c r="F2260" s="7" t="s">
        <v>23</v>
      </c>
      <c r="G2260" s="7">
        <v>1587925</v>
      </c>
      <c r="H2260" s="7">
        <v>415</v>
      </c>
      <c r="I2260" s="7">
        <v>15</v>
      </c>
      <c r="J2260" s="7">
        <v>81</v>
      </c>
      <c r="K2260" s="7" t="s">
        <v>18</v>
      </c>
      <c r="L2260" s="8">
        <v>39891.213356481479</v>
      </c>
      <c r="M2260" s="9" t="s">
        <v>19</v>
      </c>
      <c r="N2260" s="9" t="s">
        <v>22</v>
      </c>
      <c r="O2260" s="6" t="str">
        <f>HYPERLINK("https://pbs.twimg.com/profile_images/988971255679324162/jrqiIYf__normal.jpg","View")</f>
        <v>View</v>
      </c>
      <c r="P2260" s="7"/>
    </row>
    <row r="2261" spans="1:16">
      <c r="A2261" s="3">
        <v>44350.188935185186</v>
      </c>
      <c r="B2261" s="4" t="str">
        <f>HYPERLINK("https://twitter.com/sergio_fajardo","@sergio_fajardo")</f>
        <v>@sergio_fajardo</v>
      </c>
      <c r="C2261" s="5" t="s">
        <v>16</v>
      </c>
      <c r="D2261" s="5" t="s">
        <v>2281</v>
      </c>
      <c r="E2261" s="6" t="str">
        <f>HYPERLINK("https://twitter.com/sergio_fajardo/status/1400226235649773568","1400226235649773568")</f>
        <v>1400226235649773568</v>
      </c>
      <c r="F2261" s="7" t="s">
        <v>23</v>
      </c>
      <c r="G2261" s="7">
        <v>1587925</v>
      </c>
      <c r="H2261" s="7">
        <v>415</v>
      </c>
      <c r="I2261" s="7">
        <v>0</v>
      </c>
      <c r="J2261" s="7">
        <v>0</v>
      </c>
      <c r="K2261" s="7" t="s">
        <v>18</v>
      </c>
      <c r="L2261" s="8">
        <v>39891.213356481479</v>
      </c>
      <c r="M2261" s="9" t="s">
        <v>19</v>
      </c>
      <c r="N2261" s="9" t="s">
        <v>22</v>
      </c>
      <c r="O2261" s="6" t="str">
        <f>HYPERLINK("https://pbs.twimg.com/profile_images/988971255679324162/jrqiIYf__normal.jpg","View")</f>
        <v>View</v>
      </c>
      <c r="P2261" s="7"/>
    </row>
    <row r="2262" spans="1:16">
      <c r="A2262" s="3">
        <v>44350.198298611111</v>
      </c>
      <c r="B2262" s="4" t="str">
        <f>HYPERLINK("https://twitter.com/sergio_fajardo","@sergio_fajardo")</f>
        <v>@sergio_fajardo</v>
      </c>
      <c r="C2262" s="5" t="s">
        <v>16</v>
      </c>
      <c r="D2262" s="5" t="s">
        <v>2282</v>
      </c>
      <c r="E2262" s="6" t="str">
        <f>HYPERLINK("https://twitter.com/sergio_fajardo/status/1400229630980902915","1400229630980902915")</f>
        <v>1400229630980902915</v>
      </c>
      <c r="F2262" s="7" t="s">
        <v>20</v>
      </c>
      <c r="G2262" s="7">
        <v>1587920</v>
      </c>
      <c r="H2262" s="7">
        <v>415</v>
      </c>
      <c r="I2262" s="7">
        <v>11</v>
      </c>
      <c r="J2262" s="7">
        <v>47</v>
      </c>
      <c r="K2262" s="7" t="s">
        <v>18</v>
      </c>
      <c r="L2262" s="8">
        <v>39891.213356481479</v>
      </c>
      <c r="M2262" s="9" t="s">
        <v>19</v>
      </c>
      <c r="N2262" s="9" t="s">
        <v>22</v>
      </c>
      <c r="O2262" s="6" t="str">
        <f>HYPERLINK("https://pbs.twimg.com/profile_images/988971255679324162/jrqiIYf__normal.jpg","View")</f>
        <v>View</v>
      </c>
      <c r="P2262" s="7"/>
    </row>
    <row r="2263" spans="1:16">
      <c r="A2263" s="3">
        <v>44350.200717592597</v>
      </c>
      <c r="B2263" s="4" t="str">
        <f>HYPERLINK("https://twitter.com/sergio_fajardo","@sergio_fajardo")</f>
        <v>@sergio_fajardo</v>
      </c>
      <c r="C2263" s="5" t="s">
        <v>16</v>
      </c>
      <c r="D2263" s="5" t="s">
        <v>2283</v>
      </c>
      <c r="E2263" s="6" t="str">
        <f>HYPERLINK("https://twitter.com/sergio_fajardo/status/1400230504750895105","1400230504750895105")</f>
        <v>1400230504750895105</v>
      </c>
      <c r="F2263" s="7" t="s">
        <v>23</v>
      </c>
      <c r="G2263" s="7">
        <v>1587920</v>
      </c>
      <c r="H2263" s="7">
        <v>415</v>
      </c>
      <c r="I2263" s="7">
        <v>5</v>
      </c>
      <c r="J2263" s="7">
        <v>29</v>
      </c>
      <c r="K2263" s="7" t="s">
        <v>18</v>
      </c>
      <c r="L2263" s="8">
        <v>39891.213356481479</v>
      </c>
      <c r="M2263" s="9" t="s">
        <v>19</v>
      </c>
      <c r="N2263" s="9" t="s">
        <v>22</v>
      </c>
      <c r="O2263" s="6" t="str">
        <f>HYPERLINK("https://pbs.twimg.com/profile_images/988971255679324162/jrqiIYf__normal.jpg","View")</f>
        <v>View</v>
      </c>
      <c r="P2263" s="7"/>
    </row>
    <row r="2264" spans="1:16">
      <c r="A2264" s="3">
        <v>44350.207337962958</v>
      </c>
      <c r="B2264" s="4" t="str">
        <f>HYPERLINK("https://twitter.com/sergio_fajardo","@sergio_fajardo")</f>
        <v>@sergio_fajardo</v>
      </c>
      <c r="C2264" s="5" t="s">
        <v>16</v>
      </c>
      <c r="D2264" s="5" t="s">
        <v>2284</v>
      </c>
      <c r="E2264" s="6" t="str">
        <f>HYPERLINK("https://twitter.com/sergio_fajardo/status/1400232907524952064","1400232907524952064")</f>
        <v>1400232907524952064</v>
      </c>
      <c r="F2264" s="7" t="s">
        <v>23</v>
      </c>
      <c r="G2264" s="7">
        <v>1587920</v>
      </c>
      <c r="H2264" s="7">
        <v>415</v>
      </c>
      <c r="I2264" s="7">
        <v>1</v>
      </c>
      <c r="J2264" s="7">
        <v>24</v>
      </c>
      <c r="K2264" s="7" t="s">
        <v>18</v>
      </c>
      <c r="L2264" s="8">
        <v>39891.213356481479</v>
      </c>
      <c r="M2264" s="9" t="s">
        <v>19</v>
      </c>
      <c r="N2264" s="9" t="s">
        <v>22</v>
      </c>
      <c r="O2264" s="6" t="str">
        <f>HYPERLINK("https://pbs.twimg.com/profile_images/988971255679324162/jrqiIYf__normal.jpg","View")</f>
        <v>View</v>
      </c>
      <c r="P2264" s="7"/>
    </row>
    <row r="2265" spans="1:16">
      <c r="A2265" s="3">
        <v>44350.20925925926</v>
      </c>
      <c r="B2265" s="4" t="str">
        <f>HYPERLINK("https://twitter.com/sergio_fajardo","@sergio_fajardo")</f>
        <v>@sergio_fajardo</v>
      </c>
      <c r="C2265" s="5" t="s">
        <v>16</v>
      </c>
      <c r="D2265" s="5" t="s">
        <v>2285</v>
      </c>
      <c r="E2265" s="6" t="str">
        <f>HYPERLINK("https://twitter.com/sergio_fajardo/status/1400233601787121670","1400233601787121670")</f>
        <v>1400233601787121670</v>
      </c>
      <c r="F2265" s="7" t="s">
        <v>23</v>
      </c>
      <c r="G2265" s="7">
        <v>1587920</v>
      </c>
      <c r="H2265" s="7">
        <v>415</v>
      </c>
      <c r="I2265" s="7">
        <v>0</v>
      </c>
      <c r="J2265" s="7">
        <v>4</v>
      </c>
      <c r="K2265" s="7" t="s">
        <v>18</v>
      </c>
      <c r="L2265" s="8">
        <v>39891.213356481479</v>
      </c>
      <c r="M2265" s="9" t="s">
        <v>19</v>
      </c>
      <c r="N2265" s="9" t="s">
        <v>22</v>
      </c>
      <c r="O2265" s="6" t="str">
        <f>HYPERLINK("https://pbs.twimg.com/profile_images/988971255679324162/jrqiIYf__normal.jpg","View")</f>
        <v>View</v>
      </c>
      <c r="P2265" s="7"/>
    </row>
    <row r="2266" spans="1:16">
      <c r="A2266" s="3">
        <v>44350.21157407407</v>
      </c>
      <c r="B2266" s="4" t="str">
        <f>HYPERLINK("https://twitter.com/sergio_fajardo","@sergio_fajardo")</f>
        <v>@sergio_fajardo</v>
      </c>
      <c r="C2266" s="5" t="s">
        <v>16</v>
      </c>
      <c r="D2266" s="5" t="s">
        <v>2286</v>
      </c>
      <c r="E2266" s="6" t="str">
        <f>HYPERLINK("https://twitter.com/sergio_fajardo/status/1400234442854174723","1400234442854174723")</f>
        <v>1400234442854174723</v>
      </c>
      <c r="F2266" s="7" t="s">
        <v>23</v>
      </c>
      <c r="G2266" s="7">
        <v>1587918</v>
      </c>
      <c r="H2266" s="7">
        <v>415</v>
      </c>
      <c r="I2266" s="7">
        <v>15</v>
      </c>
      <c r="J2266" s="7">
        <v>106</v>
      </c>
      <c r="K2266" s="7" t="s">
        <v>18</v>
      </c>
      <c r="L2266" s="8">
        <v>39891.213356481479</v>
      </c>
      <c r="M2266" s="9" t="s">
        <v>19</v>
      </c>
      <c r="N2266" s="9" t="s">
        <v>22</v>
      </c>
      <c r="O2266" s="6" t="str">
        <f>HYPERLINK("https://pbs.twimg.com/profile_images/988971255679324162/jrqiIYf__normal.jpg","View")</f>
        <v>View</v>
      </c>
      <c r="P2266" s="7"/>
    </row>
    <row r="2267" spans="1:16">
      <c r="A2267" s="3">
        <v>44350.217199074075</v>
      </c>
      <c r="B2267" s="4" t="str">
        <f>HYPERLINK("https://twitter.com/sergio_fajardo","@sergio_fajardo")</f>
        <v>@sergio_fajardo</v>
      </c>
      <c r="C2267" s="5" t="s">
        <v>16</v>
      </c>
      <c r="D2267" s="5" t="s">
        <v>2287</v>
      </c>
      <c r="E2267" s="6" t="str">
        <f>HYPERLINK("https://twitter.com/sergio_fajardo/status/1400236481088737280","1400236481088737280")</f>
        <v>1400236481088737280</v>
      </c>
      <c r="F2267" s="7" t="s">
        <v>23</v>
      </c>
      <c r="G2267" s="7">
        <v>1587918</v>
      </c>
      <c r="H2267" s="7">
        <v>415</v>
      </c>
      <c r="I2267" s="7">
        <v>14</v>
      </c>
      <c r="J2267" s="7">
        <v>77</v>
      </c>
      <c r="K2267" s="7" t="s">
        <v>18</v>
      </c>
      <c r="L2267" s="8">
        <v>39891.213356481479</v>
      </c>
      <c r="M2267" s="9" t="s">
        <v>19</v>
      </c>
      <c r="N2267" s="9" t="s">
        <v>22</v>
      </c>
      <c r="O2267" s="6" t="str">
        <f>HYPERLINK("https://pbs.twimg.com/profile_images/988971255679324162/jrqiIYf__normal.jpg","View")</f>
        <v>View</v>
      </c>
      <c r="P2267" s="7"/>
    </row>
    <row r="2268" spans="1:16">
      <c r="A2268" s="3">
        <v>44350.220717592594</v>
      </c>
      <c r="B2268" s="4" t="str">
        <f>HYPERLINK("https://twitter.com/sergio_fajardo","@sergio_fajardo")</f>
        <v>@sergio_fajardo</v>
      </c>
      <c r="C2268" s="5" t="s">
        <v>16</v>
      </c>
      <c r="D2268" s="5" t="s">
        <v>2288</v>
      </c>
      <c r="E2268" s="6" t="str">
        <f>HYPERLINK("https://twitter.com/sergio_fajardo/status/1400237753347026951","1400237753347026951")</f>
        <v>1400237753347026951</v>
      </c>
      <c r="F2268" s="7" t="s">
        <v>23</v>
      </c>
      <c r="G2268" s="7">
        <v>1587918</v>
      </c>
      <c r="H2268" s="7">
        <v>415</v>
      </c>
      <c r="I2268" s="7">
        <v>1</v>
      </c>
      <c r="J2268" s="7">
        <v>14</v>
      </c>
      <c r="K2268" s="7" t="s">
        <v>18</v>
      </c>
      <c r="L2268" s="8">
        <v>39891.213356481479</v>
      </c>
      <c r="M2268" s="9" t="s">
        <v>19</v>
      </c>
      <c r="N2268" s="9" t="s">
        <v>22</v>
      </c>
      <c r="O2268" s="6" t="str">
        <f>HYPERLINK("https://pbs.twimg.com/profile_images/988971255679324162/jrqiIYf__normal.jpg","View")</f>
        <v>View</v>
      </c>
      <c r="P2268" s="7"/>
    </row>
    <row r="2269" spans="1:16">
      <c r="A2269" s="3">
        <v>44350.22284722222</v>
      </c>
      <c r="B2269" s="4" t="str">
        <f>HYPERLINK("https://twitter.com/sergio_fajardo","@sergio_fajardo")</f>
        <v>@sergio_fajardo</v>
      </c>
      <c r="C2269" s="5" t="s">
        <v>16</v>
      </c>
      <c r="D2269" s="5" t="s">
        <v>2289</v>
      </c>
      <c r="E2269" s="6" t="str">
        <f>HYPERLINK("https://twitter.com/sergio_fajardo/status/1400238526248243202","1400238526248243202")</f>
        <v>1400238526248243202</v>
      </c>
      <c r="F2269" s="7" t="s">
        <v>23</v>
      </c>
      <c r="G2269" s="7">
        <v>1587918</v>
      </c>
      <c r="H2269" s="7">
        <v>415</v>
      </c>
      <c r="I2269" s="7">
        <v>0</v>
      </c>
      <c r="J2269" s="7">
        <v>4</v>
      </c>
      <c r="K2269" s="7" t="s">
        <v>18</v>
      </c>
      <c r="L2269" s="8">
        <v>39891.213356481479</v>
      </c>
      <c r="M2269" s="9" t="s">
        <v>19</v>
      </c>
      <c r="N2269" s="9" t="s">
        <v>22</v>
      </c>
      <c r="O2269" s="6" t="str">
        <f>HYPERLINK("https://pbs.twimg.com/profile_images/988971255679324162/jrqiIYf__normal.jpg","View")</f>
        <v>View</v>
      </c>
      <c r="P2269" s="7"/>
    </row>
    <row r="2270" spans="1:16">
      <c r="A2270" s="3">
        <v>44350.225439814814</v>
      </c>
      <c r="B2270" s="4" t="str">
        <f>HYPERLINK("https://twitter.com/sergio_fajardo","@sergio_fajardo")</f>
        <v>@sergio_fajardo</v>
      </c>
      <c r="C2270" s="5" t="s">
        <v>16</v>
      </c>
      <c r="D2270" s="5" t="s">
        <v>2290</v>
      </c>
      <c r="E2270" s="6" t="str">
        <f>HYPERLINK("https://twitter.com/sergio_fajardo/status/1400239466288140291","1400239466288140291")</f>
        <v>1400239466288140291</v>
      </c>
      <c r="F2270" s="7" t="s">
        <v>23</v>
      </c>
      <c r="G2270" s="7">
        <v>1587918</v>
      </c>
      <c r="H2270" s="7">
        <v>415</v>
      </c>
      <c r="I2270" s="7">
        <v>11</v>
      </c>
      <c r="J2270" s="7">
        <v>80</v>
      </c>
      <c r="K2270" s="7" t="s">
        <v>18</v>
      </c>
      <c r="L2270" s="8">
        <v>39891.213356481479</v>
      </c>
      <c r="M2270" s="9" t="s">
        <v>19</v>
      </c>
      <c r="N2270" s="9" t="s">
        <v>22</v>
      </c>
      <c r="O2270" s="6" t="str">
        <f>HYPERLINK("https://pbs.twimg.com/profile_images/988971255679324162/jrqiIYf__normal.jpg","View")</f>
        <v>View</v>
      </c>
      <c r="P2270" s="7"/>
    </row>
    <row r="2271" spans="1:16">
      <c r="A2271" s="3">
        <v>44350.227488425924</v>
      </c>
      <c r="B2271" s="4" t="str">
        <f>HYPERLINK("https://twitter.com/sergio_fajardo","@sergio_fajardo")</f>
        <v>@sergio_fajardo</v>
      </c>
      <c r="C2271" s="5" t="s">
        <v>16</v>
      </c>
      <c r="D2271" s="5" t="s">
        <v>2291</v>
      </c>
      <c r="E2271" s="6" t="str">
        <f>HYPERLINK("https://twitter.com/sergio_fajardo/status/1400240208646492168","1400240208646492168")</f>
        <v>1400240208646492168</v>
      </c>
      <c r="F2271" s="7" t="s">
        <v>23</v>
      </c>
      <c r="G2271" s="7">
        <v>1587918</v>
      </c>
      <c r="H2271" s="7">
        <v>415</v>
      </c>
      <c r="I2271" s="7">
        <v>1</v>
      </c>
      <c r="J2271" s="7">
        <v>5</v>
      </c>
      <c r="K2271" s="7" t="s">
        <v>18</v>
      </c>
      <c r="L2271" s="8">
        <v>39891.213356481479</v>
      </c>
      <c r="M2271" s="9" t="s">
        <v>19</v>
      </c>
      <c r="N2271" s="9" t="s">
        <v>22</v>
      </c>
      <c r="O2271" s="6" t="str">
        <f>HYPERLINK("https://pbs.twimg.com/profile_images/988971255679324162/jrqiIYf__normal.jpg","View")</f>
        <v>View</v>
      </c>
      <c r="P2271" s="7"/>
    </row>
    <row r="2272" spans="1:16">
      <c r="A2272" s="3">
        <v>44350.229178240741</v>
      </c>
      <c r="B2272" s="4" t="str">
        <f>HYPERLINK("https://twitter.com/sergio_fajardo","@sergio_fajardo")</f>
        <v>@sergio_fajardo</v>
      </c>
      <c r="C2272" s="5" t="s">
        <v>16</v>
      </c>
      <c r="D2272" s="5" t="s">
        <v>2292</v>
      </c>
      <c r="E2272" s="6" t="str">
        <f>HYPERLINK("https://twitter.com/sergio_fajardo/status/1400240819219664896","1400240819219664896")</f>
        <v>1400240819219664896</v>
      </c>
      <c r="F2272" s="7" t="s">
        <v>23</v>
      </c>
      <c r="G2272" s="7">
        <v>1587918</v>
      </c>
      <c r="H2272" s="7">
        <v>415</v>
      </c>
      <c r="I2272" s="7">
        <v>3</v>
      </c>
      <c r="J2272" s="7">
        <v>44</v>
      </c>
      <c r="K2272" s="7" t="s">
        <v>18</v>
      </c>
      <c r="L2272" s="8">
        <v>39891.213356481479</v>
      </c>
      <c r="M2272" s="9" t="s">
        <v>19</v>
      </c>
      <c r="N2272" s="9" t="s">
        <v>22</v>
      </c>
      <c r="O2272" s="6" t="str">
        <f>HYPERLINK("https://pbs.twimg.com/profile_images/988971255679324162/jrqiIYf__normal.jpg","View")</f>
        <v>View</v>
      </c>
      <c r="P2272" s="7"/>
    </row>
    <row r="2273" spans="1:16">
      <c r="A2273" s="3">
        <v>44350.29896990741</v>
      </c>
      <c r="B2273" s="4" t="str">
        <f>HYPERLINK("https://twitter.com/sergio_fajardo","@sergio_fajardo")</f>
        <v>@sergio_fajardo</v>
      </c>
      <c r="C2273" s="5" t="s">
        <v>16</v>
      </c>
      <c r="D2273" s="5" t="s">
        <v>2293</v>
      </c>
      <c r="E2273" s="6" t="str">
        <f>HYPERLINK("https://twitter.com/sergio_fajardo/status/1400266110474375174","1400266110474375174")</f>
        <v>1400266110474375174</v>
      </c>
      <c r="F2273" s="7" t="s">
        <v>20</v>
      </c>
      <c r="G2273" s="7">
        <v>1587930</v>
      </c>
      <c r="H2273" s="7">
        <v>415</v>
      </c>
      <c r="I2273" s="7">
        <v>1</v>
      </c>
      <c r="J2273" s="7">
        <v>6</v>
      </c>
      <c r="K2273" s="7" t="s">
        <v>18</v>
      </c>
      <c r="L2273" s="8">
        <v>39891.213356481479</v>
      </c>
      <c r="M2273" s="9" t="s">
        <v>19</v>
      </c>
      <c r="N2273" s="9" t="s">
        <v>22</v>
      </c>
      <c r="O2273" s="6" t="str">
        <f>HYPERLINK("https://pbs.twimg.com/profile_images/988971255679324162/jrqiIYf__normal.jpg","View")</f>
        <v>View</v>
      </c>
      <c r="P2273" s="7"/>
    </row>
    <row r="2274" spans="1:16">
      <c r="A2274" s="3">
        <v>44350.32231481481</v>
      </c>
      <c r="B2274" s="4" t="str">
        <f>HYPERLINK("https://twitter.com/sergio_fajardo","@sergio_fajardo")</f>
        <v>@sergio_fajardo</v>
      </c>
      <c r="C2274" s="5" t="s">
        <v>16</v>
      </c>
      <c r="D2274" s="4" t="s">
        <v>2294</v>
      </c>
      <c r="E2274" s="6" t="str">
        <f>HYPERLINK("https://twitter.com/sergio_fajardo/status/1400274571236945920","1400274571236945920")</f>
        <v>1400274571236945920</v>
      </c>
      <c r="F2274" s="7" t="s">
        <v>17</v>
      </c>
      <c r="G2274" s="7">
        <v>1587940</v>
      </c>
      <c r="H2274" s="7">
        <v>415</v>
      </c>
      <c r="I2274" s="7">
        <v>3</v>
      </c>
      <c r="J2274" s="7">
        <v>10</v>
      </c>
      <c r="K2274" s="7" t="s">
        <v>18</v>
      </c>
      <c r="L2274" s="8">
        <v>39891.213356481479</v>
      </c>
      <c r="M2274" s="9" t="s">
        <v>19</v>
      </c>
      <c r="N2274" s="9" t="s">
        <v>22</v>
      </c>
      <c r="O2274" s="6" t="str">
        <f>HYPERLINK("https://pbs.twimg.com/profile_images/988971255679324162/jrqiIYf__normal.jpg","View")</f>
        <v>View</v>
      </c>
      <c r="P2274" s="7"/>
    </row>
    <row r="2275" spans="1:16">
      <c r="A2275" s="3">
        <v>44350.682534722218</v>
      </c>
      <c r="B2275" s="4" t="str">
        <f>HYPERLINK("https://twitter.com/sergio_fajardo","@sergio_fajardo")</f>
        <v>@sergio_fajardo</v>
      </c>
      <c r="C2275" s="5" t="s">
        <v>16</v>
      </c>
      <c r="D2275" s="5" t="s">
        <v>2295</v>
      </c>
      <c r="E2275" s="6" t="str">
        <f>HYPERLINK("https://twitter.com/sergio_fajardo/status/1400405112149970954","1400405112149970954")</f>
        <v>1400405112149970954</v>
      </c>
      <c r="F2275" s="7" t="s">
        <v>20</v>
      </c>
      <c r="G2275" s="7">
        <v>1587977</v>
      </c>
      <c r="H2275" s="7">
        <v>415</v>
      </c>
      <c r="I2275" s="7">
        <v>12</v>
      </c>
      <c r="J2275" s="7">
        <v>33</v>
      </c>
      <c r="K2275" s="7" t="s">
        <v>18</v>
      </c>
      <c r="L2275" s="8">
        <v>39891.213356481479</v>
      </c>
      <c r="M2275" s="9" t="s">
        <v>19</v>
      </c>
      <c r="N2275" s="9" t="s">
        <v>22</v>
      </c>
      <c r="O2275" s="6" t="str">
        <f>HYPERLINK("https://pbs.twimg.com/profile_images/988971255679324162/jrqiIYf__normal.jpg","View")</f>
        <v>View</v>
      </c>
      <c r="P2275" s="7"/>
    </row>
    <row r="2276" spans="1:16">
      <c r="A2276" s="3">
        <v>44350.772789351853</v>
      </c>
      <c r="B2276" s="4" t="str">
        <f>HYPERLINK("https://twitter.com/sergio_fajardo","@sergio_fajardo")</f>
        <v>@sergio_fajardo</v>
      </c>
      <c r="C2276" s="5" t="s">
        <v>16</v>
      </c>
      <c r="D2276" s="5" t="s">
        <v>2296</v>
      </c>
      <c r="E2276" s="6" t="str">
        <f>HYPERLINK("https://twitter.com/sergio_fajardo/status/1400437820339240968","1400437820339240968")</f>
        <v>1400437820339240968</v>
      </c>
      <c r="F2276" s="7" t="s">
        <v>17</v>
      </c>
      <c r="G2276" s="7">
        <v>1587990</v>
      </c>
      <c r="H2276" s="7">
        <v>415</v>
      </c>
      <c r="I2276" s="7">
        <v>0</v>
      </c>
      <c r="J2276" s="7">
        <v>0</v>
      </c>
      <c r="K2276" s="7" t="s">
        <v>18</v>
      </c>
      <c r="L2276" s="8">
        <v>39891.213356481479</v>
      </c>
      <c r="M2276" s="9" t="s">
        <v>19</v>
      </c>
      <c r="N2276" s="9" t="s">
        <v>22</v>
      </c>
      <c r="O2276" s="6" t="str">
        <f>HYPERLINK("https://pbs.twimg.com/profile_images/988971255679324162/jrqiIYf__normal.jpg","View")</f>
        <v>View</v>
      </c>
      <c r="P2276" s="7"/>
    </row>
    <row r="2277" spans="1:16">
      <c r="A2277" s="3">
        <v>44350.833981481483</v>
      </c>
      <c r="B2277" s="4" t="str">
        <f>HYPERLINK("https://twitter.com/sergio_fajardo","@sergio_fajardo")</f>
        <v>@sergio_fajardo</v>
      </c>
      <c r="C2277" s="5" t="s">
        <v>16</v>
      </c>
      <c r="D2277" s="5" t="s">
        <v>2297</v>
      </c>
      <c r="E2277" s="6" t="str">
        <f>HYPERLINK("https://twitter.com/sergio_fajardo/status/1400459994743525379","1400459994743525379")</f>
        <v>1400459994743525379</v>
      </c>
      <c r="F2277" s="7" t="s">
        <v>20</v>
      </c>
      <c r="G2277" s="7">
        <v>1587920</v>
      </c>
      <c r="H2277" s="7">
        <v>415</v>
      </c>
      <c r="I2277" s="7">
        <v>1</v>
      </c>
      <c r="J2277" s="7">
        <v>6</v>
      </c>
      <c r="K2277" s="7" t="s">
        <v>18</v>
      </c>
      <c r="L2277" s="8">
        <v>39891.213356481479</v>
      </c>
      <c r="M2277" s="9" t="s">
        <v>19</v>
      </c>
      <c r="N2277" s="9" t="s">
        <v>22</v>
      </c>
      <c r="O2277" s="6" t="str">
        <f>HYPERLINK("https://pbs.twimg.com/profile_images/988971255679324162/jrqiIYf__normal.jpg","View")</f>
        <v>View</v>
      </c>
      <c r="P2277" s="7"/>
    </row>
    <row r="2278" spans="1:16">
      <c r="A2278" s="3">
        <v>44350.895925925928</v>
      </c>
      <c r="B2278" s="4" t="str">
        <f>HYPERLINK("https://twitter.com/sergio_fajardo","@sergio_fajardo")</f>
        <v>@sergio_fajardo</v>
      </c>
      <c r="C2278" s="5" t="s">
        <v>16</v>
      </c>
      <c r="D2278" s="5" t="s">
        <v>2298</v>
      </c>
      <c r="E2278" s="6" t="str">
        <f>HYPERLINK("https://twitter.com/sergio_fajardo/status/1400482443862347776","1400482443862347776")</f>
        <v>1400482443862347776</v>
      </c>
      <c r="F2278" s="7" t="s">
        <v>20</v>
      </c>
      <c r="G2278" s="7">
        <v>1588024</v>
      </c>
      <c r="H2278" s="7">
        <v>415</v>
      </c>
      <c r="I2278" s="7">
        <v>7</v>
      </c>
      <c r="J2278" s="7">
        <v>0</v>
      </c>
      <c r="K2278" s="7" t="s">
        <v>18</v>
      </c>
      <c r="L2278" s="8">
        <v>39891.213356481479</v>
      </c>
      <c r="M2278" s="9" t="s">
        <v>19</v>
      </c>
      <c r="N2278" s="9" t="s">
        <v>22</v>
      </c>
      <c r="O2278" s="6" t="str">
        <f>HYPERLINK("https://pbs.twimg.com/profile_images/988971255679324162/jrqiIYf__normal.jpg","View")</f>
        <v>View</v>
      </c>
      <c r="P2278" s="7"/>
    </row>
    <row r="2279" spans="1:16">
      <c r="A2279" s="3">
        <v>44350.898321759261</v>
      </c>
      <c r="B2279" s="4" t="str">
        <f>HYPERLINK("https://twitter.com/sergio_fajardo","@sergio_fajardo")</f>
        <v>@sergio_fajardo</v>
      </c>
      <c r="C2279" s="5" t="s">
        <v>16</v>
      </c>
      <c r="D2279" s="5" t="s">
        <v>2299</v>
      </c>
      <c r="E2279" s="6" t="str">
        <f>HYPERLINK("https://twitter.com/sergio_fajardo/status/1400483308878938117","1400483308878938117")</f>
        <v>1400483308878938117</v>
      </c>
      <c r="F2279" s="7" t="s">
        <v>23</v>
      </c>
      <c r="G2279" s="7">
        <v>1588028</v>
      </c>
      <c r="H2279" s="7">
        <v>415</v>
      </c>
      <c r="I2279" s="7">
        <v>9</v>
      </c>
      <c r="J2279" s="7">
        <v>29</v>
      </c>
      <c r="K2279" s="7" t="s">
        <v>18</v>
      </c>
      <c r="L2279" s="8">
        <v>39891.213356481479</v>
      </c>
      <c r="M2279" s="9" t="s">
        <v>19</v>
      </c>
      <c r="N2279" s="9" t="s">
        <v>22</v>
      </c>
      <c r="O2279" s="6" t="str">
        <f>HYPERLINK("https://pbs.twimg.com/profile_images/988971255679324162/jrqiIYf__normal.jpg","View")</f>
        <v>View</v>
      </c>
      <c r="P2279" s="7"/>
    </row>
    <row r="2280" spans="1:16">
      <c r="A2280" s="3">
        <v>44351.050011574072</v>
      </c>
      <c r="B2280" s="4" t="str">
        <f>HYPERLINK("https://twitter.com/sergio_fajardo","@sergio_fajardo")</f>
        <v>@sergio_fajardo</v>
      </c>
      <c r="C2280" s="5" t="s">
        <v>16</v>
      </c>
      <c r="D2280" s="5" t="s">
        <v>2300</v>
      </c>
      <c r="E2280" s="6" t="str">
        <f>HYPERLINK("https://twitter.com/sergio_fajardo/status/1400538282417704967","1400538282417704967")</f>
        <v>1400538282417704967</v>
      </c>
      <c r="F2280" s="7" t="s">
        <v>20</v>
      </c>
      <c r="G2280" s="7">
        <v>1588051</v>
      </c>
      <c r="H2280" s="7">
        <v>415</v>
      </c>
      <c r="I2280" s="7">
        <v>29</v>
      </c>
      <c r="J2280" s="7">
        <v>140</v>
      </c>
      <c r="K2280" s="7" t="s">
        <v>18</v>
      </c>
      <c r="L2280" s="8">
        <v>39891.213356481479</v>
      </c>
      <c r="M2280" s="9" t="s">
        <v>19</v>
      </c>
      <c r="N2280" s="9" t="s">
        <v>22</v>
      </c>
      <c r="O2280" s="6" t="str">
        <f>HYPERLINK("https://pbs.twimg.com/profile_images/988971255679324162/jrqiIYf__normal.jpg","View")</f>
        <v>View</v>
      </c>
      <c r="P2280" s="7"/>
    </row>
    <row r="2281" spans="1:16">
      <c r="A2281" s="3">
        <v>44351.116909722223</v>
      </c>
      <c r="B2281" s="4" t="str">
        <f>HYPERLINK("https://twitter.com/sergio_fajardo","@sergio_fajardo")</f>
        <v>@sergio_fajardo</v>
      </c>
      <c r="C2281" s="5" t="s">
        <v>16</v>
      </c>
      <c r="D2281" s="5" t="s">
        <v>2301</v>
      </c>
      <c r="E2281" s="6" t="str">
        <f>HYPERLINK("https://twitter.com/sergio_fajardo/status/1400562523997454336","1400562523997454336")</f>
        <v>1400562523997454336</v>
      </c>
      <c r="F2281" s="7" t="s">
        <v>23</v>
      </c>
      <c r="G2281" s="7">
        <v>1588059</v>
      </c>
      <c r="H2281" s="7">
        <v>415</v>
      </c>
      <c r="I2281" s="7">
        <v>16</v>
      </c>
      <c r="J2281" s="7">
        <v>85</v>
      </c>
      <c r="K2281" s="7" t="s">
        <v>18</v>
      </c>
      <c r="L2281" s="8">
        <v>39891.213356481479</v>
      </c>
      <c r="M2281" s="9" t="s">
        <v>19</v>
      </c>
      <c r="N2281" s="9" t="s">
        <v>22</v>
      </c>
      <c r="O2281" s="6" t="str">
        <f>HYPERLINK("https://pbs.twimg.com/profile_images/988971255679324162/jrqiIYf__normal.jpg","View")</f>
        <v>View</v>
      </c>
      <c r="P2281" s="7"/>
    </row>
    <row r="2282" spans="1:16">
      <c r="A2282" s="3">
        <v>44351.143009259264</v>
      </c>
      <c r="B2282" s="4" t="str">
        <f>HYPERLINK("https://twitter.com/sergio_fajardo","@sergio_fajardo")</f>
        <v>@sergio_fajardo</v>
      </c>
      <c r="C2282" s="5" t="s">
        <v>16</v>
      </c>
      <c r="D2282" s="5" t="s">
        <v>2302</v>
      </c>
      <c r="E2282" s="6" t="str">
        <f>HYPERLINK("https://twitter.com/sergio_fajardo/status/1400571982954086403","1400571982954086403")</f>
        <v>1400571982954086403</v>
      </c>
      <c r="F2282" s="7" t="s">
        <v>20</v>
      </c>
      <c r="G2282" s="7">
        <v>1588061</v>
      </c>
      <c r="H2282" s="7">
        <v>415</v>
      </c>
      <c r="I2282" s="7">
        <v>6</v>
      </c>
      <c r="J2282" s="7">
        <v>0</v>
      </c>
      <c r="K2282" s="7" t="s">
        <v>18</v>
      </c>
      <c r="L2282" s="8">
        <v>39891.213356481479</v>
      </c>
      <c r="M2282" s="9" t="s">
        <v>19</v>
      </c>
      <c r="N2282" s="9" t="s">
        <v>22</v>
      </c>
      <c r="O2282" s="6" t="str">
        <f>HYPERLINK("https://pbs.twimg.com/profile_images/988971255679324162/jrqiIYf__normal.jpg","View")</f>
        <v>View</v>
      </c>
      <c r="P2282" s="7"/>
    </row>
    <row r="2283" spans="1:16">
      <c r="A2283" s="3">
        <v>44351.317986111113</v>
      </c>
      <c r="B2283" s="4" t="str">
        <f>HYPERLINK("https://twitter.com/sergio_fajardo","@sergio_fajardo")</f>
        <v>@sergio_fajardo</v>
      </c>
      <c r="C2283" s="5" t="s">
        <v>16</v>
      </c>
      <c r="D2283" s="5" t="s">
        <v>2303</v>
      </c>
      <c r="E2283" s="6" t="str">
        <f>HYPERLINK("https://twitter.com/sergio_fajardo/status/1400635390919315456","1400635390919315456")</f>
        <v>1400635390919315456</v>
      </c>
      <c r="F2283" s="7" t="s">
        <v>20</v>
      </c>
      <c r="G2283" s="7">
        <v>1588100</v>
      </c>
      <c r="H2283" s="7">
        <v>415</v>
      </c>
      <c r="I2283" s="7">
        <v>5</v>
      </c>
      <c r="J2283" s="7">
        <v>0</v>
      </c>
      <c r="K2283" s="7" t="s">
        <v>18</v>
      </c>
      <c r="L2283" s="8">
        <v>39891.213356481479</v>
      </c>
      <c r="M2283" s="9" t="s">
        <v>19</v>
      </c>
      <c r="N2283" s="9" t="s">
        <v>22</v>
      </c>
      <c r="O2283" s="6" t="str">
        <f>HYPERLINK("https://pbs.twimg.com/profile_images/988971255679324162/jrqiIYf__normal.jpg","View")</f>
        <v>View</v>
      </c>
      <c r="P2283" s="7"/>
    </row>
    <row r="2284" spans="1:16">
      <c r="A2284" s="3">
        <v>44351.423541666663</v>
      </c>
      <c r="B2284" s="4" t="str">
        <f>HYPERLINK("https://twitter.com/sergio_fajardo","@sergio_fajardo")</f>
        <v>@sergio_fajardo</v>
      </c>
      <c r="C2284" s="5" t="s">
        <v>16</v>
      </c>
      <c r="D2284" s="5" t="s">
        <v>2304</v>
      </c>
      <c r="E2284" s="6" t="str">
        <f>HYPERLINK("https://twitter.com/sergio_fajardo/status/1400673644695728130","1400673644695728130")</f>
        <v>1400673644695728130</v>
      </c>
      <c r="F2284" s="7" t="s">
        <v>17</v>
      </c>
      <c r="G2284" s="7">
        <v>1588120</v>
      </c>
      <c r="H2284" s="7">
        <v>415</v>
      </c>
      <c r="I2284" s="7">
        <v>6</v>
      </c>
      <c r="J2284" s="7">
        <v>37</v>
      </c>
      <c r="K2284" s="7" t="s">
        <v>18</v>
      </c>
      <c r="L2284" s="8">
        <v>39891.213356481479</v>
      </c>
      <c r="M2284" s="9" t="s">
        <v>19</v>
      </c>
      <c r="N2284" s="9" t="s">
        <v>22</v>
      </c>
      <c r="O2284" s="6" t="str">
        <f>HYPERLINK("https://pbs.twimg.com/profile_images/988971255679324162/jrqiIYf__normal.jpg","View")</f>
        <v>View</v>
      </c>
      <c r="P2284" s="7"/>
    </row>
    <row r="2285" spans="1:16">
      <c r="A2285" s="3">
        <v>44352.109768518523</v>
      </c>
      <c r="B2285" s="4" t="str">
        <f>HYPERLINK("https://twitter.com/sergio_fajardo","@sergio_fajardo")</f>
        <v>@sergio_fajardo</v>
      </c>
      <c r="C2285" s="5" t="s">
        <v>16</v>
      </c>
      <c r="D2285" s="5" t="s">
        <v>2305</v>
      </c>
      <c r="E2285" s="6" t="str">
        <f>HYPERLINK("https://twitter.com/sergio_fajardo/status/1400922325093060612","1400922325093060612")</f>
        <v>1400922325093060612</v>
      </c>
      <c r="F2285" s="7" t="s">
        <v>23</v>
      </c>
      <c r="G2285" s="7">
        <v>1588216</v>
      </c>
      <c r="H2285" s="7">
        <v>415</v>
      </c>
      <c r="I2285" s="7">
        <v>7</v>
      </c>
      <c r="J2285" s="7">
        <v>54</v>
      </c>
      <c r="K2285" s="7" t="s">
        <v>18</v>
      </c>
      <c r="L2285" s="8">
        <v>39891.213356481479</v>
      </c>
      <c r="M2285" s="9" t="s">
        <v>19</v>
      </c>
      <c r="N2285" s="9" t="s">
        <v>22</v>
      </c>
      <c r="O2285" s="6" t="str">
        <f>HYPERLINK("https://pbs.twimg.com/profile_images/988971255679324162/jrqiIYf__normal.jpg","View")</f>
        <v>View</v>
      </c>
      <c r="P2285" s="7"/>
    </row>
    <row r="2286" spans="1:16">
      <c r="A2286" s="3">
        <v>44352.195138888885</v>
      </c>
      <c r="B2286" s="4" t="str">
        <f>HYPERLINK("https://twitter.com/sergio_fajardo","@sergio_fajardo")</f>
        <v>@sergio_fajardo</v>
      </c>
      <c r="C2286" s="5" t="s">
        <v>16</v>
      </c>
      <c r="D2286" s="5" t="s">
        <v>2306</v>
      </c>
      <c r="E2286" s="6" t="str">
        <f>HYPERLINK("https://twitter.com/sergio_fajardo/status/1400953260962463752","1400953260962463752")</f>
        <v>1400953260962463752</v>
      </c>
      <c r="F2286" s="7" t="s">
        <v>17</v>
      </c>
      <c r="G2286" s="7">
        <v>1588233</v>
      </c>
      <c r="H2286" s="7">
        <v>415</v>
      </c>
      <c r="I2286" s="7">
        <v>2</v>
      </c>
      <c r="J2286" s="7">
        <v>28</v>
      </c>
      <c r="K2286" s="7" t="s">
        <v>18</v>
      </c>
      <c r="L2286" s="8">
        <v>39891.213356481479</v>
      </c>
      <c r="M2286" s="9" t="s">
        <v>19</v>
      </c>
      <c r="N2286" s="9" t="s">
        <v>22</v>
      </c>
      <c r="O2286" s="6" t="str">
        <f>HYPERLINK("https://pbs.twimg.com/profile_images/988971255679324162/jrqiIYf__normal.jpg","View")</f>
        <v>View</v>
      </c>
      <c r="P2286" s="7"/>
    </row>
    <row r="2287" spans="1:16">
      <c r="A2287" s="3">
        <v>44352.20711805555</v>
      </c>
      <c r="B2287" s="4" t="str">
        <f>HYPERLINK("https://twitter.com/sergio_fajardo","@sergio_fajardo")</f>
        <v>@sergio_fajardo</v>
      </c>
      <c r="C2287" s="5" t="s">
        <v>16</v>
      </c>
      <c r="D2287" s="5" t="s">
        <v>2307</v>
      </c>
      <c r="E2287" s="6" t="str">
        <f>HYPERLINK("https://twitter.com/sergio_fajardo/status/1400957603107254292","1400957603107254292")</f>
        <v>1400957603107254292</v>
      </c>
      <c r="F2287" s="7" t="s">
        <v>20</v>
      </c>
      <c r="G2287" s="7">
        <v>1588233</v>
      </c>
      <c r="H2287" s="7">
        <v>415</v>
      </c>
      <c r="I2287" s="7">
        <v>4</v>
      </c>
      <c r="J2287" s="7">
        <v>9</v>
      </c>
      <c r="K2287" s="7" t="s">
        <v>18</v>
      </c>
      <c r="L2287" s="8">
        <v>39891.213356481479</v>
      </c>
      <c r="M2287" s="9" t="s">
        <v>19</v>
      </c>
      <c r="N2287" s="9" t="s">
        <v>22</v>
      </c>
      <c r="O2287" s="6" t="str">
        <f>HYPERLINK("https://pbs.twimg.com/profile_images/988971255679324162/jrqiIYf__normal.jpg","View")</f>
        <v>View</v>
      </c>
      <c r="P2287" s="7"/>
    </row>
    <row r="2288" spans="1:16">
      <c r="A2288" s="3">
        <v>44352.851168981477</v>
      </c>
      <c r="B2288" s="4" t="str">
        <f>HYPERLINK("https://twitter.com/sergio_fajardo","@sergio_fajardo")</f>
        <v>@sergio_fajardo</v>
      </c>
      <c r="C2288" s="5" t="s">
        <v>16</v>
      </c>
      <c r="D2288" s="5" t="s">
        <v>2308</v>
      </c>
      <c r="E2288" s="6" t="str">
        <f>HYPERLINK("https://twitter.com/sergio_fajardo/status/1401190998936539138","1401190998936539138")</f>
        <v>1401190998936539138</v>
      </c>
      <c r="F2288" s="7" t="s">
        <v>17</v>
      </c>
      <c r="G2288" s="7">
        <v>1588284</v>
      </c>
      <c r="H2288" s="7">
        <v>416</v>
      </c>
      <c r="I2288" s="7">
        <v>5</v>
      </c>
      <c r="J2288" s="7">
        <v>14</v>
      </c>
      <c r="K2288" s="7" t="s">
        <v>18</v>
      </c>
      <c r="L2288" s="8">
        <v>39891.213356481479</v>
      </c>
      <c r="M2288" s="9" t="s">
        <v>19</v>
      </c>
      <c r="N2288" s="9" t="s">
        <v>22</v>
      </c>
      <c r="O2288" s="6" t="str">
        <f>HYPERLINK("https://pbs.twimg.com/profile_images/988971255679324162/jrqiIYf__normal.jpg","View")</f>
        <v>View</v>
      </c>
      <c r="P2288" s="7"/>
    </row>
    <row r="2289" spans="1:16">
      <c r="A2289" s="3">
        <v>44353.055289351847</v>
      </c>
      <c r="B2289" s="4" t="str">
        <f>HYPERLINK("https://twitter.com/sergio_fajardo","@sergio_fajardo")</f>
        <v>@sergio_fajardo</v>
      </c>
      <c r="C2289" s="5" t="s">
        <v>16</v>
      </c>
      <c r="D2289" s="5" t="s">
        <v>2309</v>
      </c>
      <c r="E2289" s="6" t="str">
        <f>HYPERLINK("https://twitter.com/sergio_fajardo/status/1401264968574586883","1401264968574586883")</f>
        <v>1401264968574586883</v>
      </c>
      <c r="F2289" s="7" t="s">
        <v>20</v>
      </c>
      <c r="G2289" s="7">
        <v>1588318</v>
      </c>
      <c r="H2289" s="7">
        <v>416</v>
      </c>
      <c r="I2289" s="7">
        <v>12</v>
      </c>
      <c r="J2289" s="7">
        <v>57</v>
      </c>
      <c r="K2289" s="7" t="s">
        <v>18</v>
      </c>
      <c r="L2289" s="8">
        <v>39891.213356481479</v>
      </c>
      <c r="M2289" s="9" t="s">
        <v>19</v>
      </c>
      <c r="N2289" s="9" t="s">
        <v>22</v>
      </c>
      <c r="O2289" s="6" t="str">
        <f>HYPERLINK("https://pbs.twimg.com/profile_images/988971255679324162/jrqiIYf__normal.jpg","View")</f>
        <v>View</v>
      </c>
      <c r="P2289" s="7"/>
    </row>
    <row r="2290" spans="1:16">
      <c r="A2290" s="3">
        <v>44353.113449074073</v>
      </c>
      <c r="B2290" s="4" t="str">
        <f>HYPERLINK("https://twitter.com/sergio_fajardo","@sergio_fajardo")</f>
        <v>@sergio_fajardo</v>
      </c>
      <c r="C2290" s="5" t="s">
        <v>16</v>
      </c>
      <c r="D2290" s="5" t="s">
        <v>2310</v>
      </c>
      <c r="E2290" s="6" t="str">
        <f>HYPERLINK("https://twitter.com/sergio_fajardo/status/1401286044633468929","1401286044633468929")</f>
        <v>1401286044633468929</v>
      </c>
      <c r="F2290" s="7" t="s">
        <v>20</v>
      </c>
      <c r="G2290" s="7">
        <v>1588318</v>
      </c>
      <c r="H2290" s="7">
        <v>416</v>
      </c>
      <c r="I2290" s="7">
        <v>3</v>
      </c>
      <c r="J2290" s="7">
        <v>18</v>
      </c>
      <c r="K2290" s="7" t="s">
        <v>18</v>
      </c>
      <c r="L2290" s="8">
        <v>39891.213356481479</v>
      </c>
      <c r="M2290" s="9" t="s">
        <v>19</v>
      </c>
      <c r="N2290" s="9" t="s">
        <v>22</v>
      </c>
      <c r="O2290" s="6" t="str">
        <f>HYPERLINK("https://pbs.twimg.com/profile_images/988971255679324162/jrqiIYf__normal.jpg","View")</f>
        <v>View</v>
      </c>
      <c r="P2290" s="7"/>
    </row>
    <row r="2291" spans="1:16">
      <c r="A2291" s="3">
        <v>44353.161886574075</v>
      </c>
      <c r="B2291" s="4" t="str">
        <f>HYPERLINK("https://twitter.com/sergio_fajardo","@sergio_fajardo")</f>
        <v>@sergio_fajardo</v>
      </c>
      <c r="C2291" s="5" t="s">
        <v>16</v>
      </c>
      <c r="D2291" s="5" t="s">
        <v>2311</v>
      </c>
      <c r="E2291" s="6" t="str">
        <f>HYPERLINK("https://twitter.com/sergio_fajardo/status/1401303598634516481","1401303598634516481")</f>
        <v>1401303598634516481</v>
      </c>
      <c r="F2291" s="7" t="s">
        <v>23</v>
      </c>
      <c r="G2291" s="7">
        <v>1588323</v>
      </c>
      <c r="H2291" s="7">
        <v>416</v>
      </c>
      <c r="I2291" s="7">
        <v>13</v>
      </c>
      <c r="J2291" s="7">
        <v>128</v>
      </c>
      <c r="K2291" s="7" t="s">
        <v>18</v>
      </c>
      <c r="L2291" s="8">
        <v>39891.213356481479</v>
      </c>
      <c r="M2291" s="9" t="s">
        <v>19</v>
      </c>
      <c r="N2291" s="9" t="s">
        <v>22</v>
      </c>
      <c r="O2291" s="6" t="str">
        <f>HYPERLINK("https://pbs.twimg.com/profile_images/988971255679324162/jrqiIYf__normal.jpg","View")</f>
        <v>View</v>
      </c>
      <c r="P2291" s="7"/>
    </row>
    <row r="2292" spans="1:16">
      <c r="A2292" s="3">
        <v>44353.88826388889</v>
      </c>
      <c r="B2292" s="4" t="str">
        <f>HYPERLINK("https://twitter.com/sergio_fajardo","@sergio_fajardo")</f>
        <v>@sergio_fajardo</v>
      </c>
      <c r="C2292" s="5" t="s">
        <v>16</v>
      </c>
      <c r="D2292" s="5" t="s">
        <v>2312</v>
      </c>
      <c r="E2292" s="6" t="str">
        <f>HYPERLINK("https://twitter.com/sergio_fajardo/status/1401566826757341189","1401566826757341189")</f>
        <v>1401566826757341189</v>
      </c>
      <c r="F2292" s="7" t="s">
        <v>17</v>
      </c>
      <c r="G2292" s="7">
        <v>1588362</v>
      </c>
      <c r="H2292" s="7">
        <v>418</v>
      </c>
      <c r="I2292" s="7">
        <v>17</v>
      </c>
      <c r="J2292" s="7">
        <v>0</v>
      </c>
      <c r="K2292" s="7" t="s">
        <v>18</v>
      </c>
      <c r="L2292" s="8">
        <v>39891.213356481479</v>
      </c>
      <c r="M2292" s="9" t="s">
        <v>19</v>
      </c>
      <c r="N2292" s="9" t="s">
        <v>22</v>
      </c>
      <c r="O2292" s="6" t="str">
        <f>HYPERLINK("https://pbs.twimg.com/profile_images/988971255679324162/jrqiIYf__normal.jpg","View")</f>
        <v>View</v>
      </c>
      <c r="P2292" s="7"/>
    </row>
    <row r="2293" spans="1:16">
      <c r="A2293" s="3">
        <v>44353.898148148146</v>
      </c>
      <c r="B2293" s="4" t="str">
        <f>HYPERLINK("https://twitter.com/sergio_fajardo","@sergio_fajardo")</f>
        <v>@sergio_fajardo</v>
      </c>
      <c r="C2293" s="5" t="s">
        <v>16</v>
      </c>
      <c r="D2293" s="5" t="s">
        <v>2313</v>
      </c>
      <c r="E2293" s="6" t="str">
        <f>HYPERLINK("https://twitter.com/sergio_fajardo/status/1401570409993150466","1401570409993150466")</f>
        <v>1401570409993150466</v>
      </c>
      <c r="F2293" s="7" t="s">
        <v>17</v>
      </c>
      <c r="G2293" s="7">
        <v>1588357</v>
      </c>
      <c r="H2293" s="7">
        <v>418</v>
      </c>
      <c r="I2293" s="7">
        <v>8</v>
      </c>
      <c r="J2293" s="7">
        <v>0</v>
      </c>
      <c r="K2293" s="7" t="s">
        <v>18</v>
      </c>
      <c r="L2293" s="8">
        <v>39891.213356481479</v>
      </c>
      <c r="M2293" s="9" t="s">
        <v>19</v>
      </c>
      <c r="N2293" s="9" t="s">
        <v>22</v>
      </c>
      <c r="O2293" s="6" t="str">
        <f>HYPERLINK("https://pbs.twimg.com/profile_images/988971255679324162/jrqiIYf__normal.jpg","View")</f>
        <v>View</v>
      </c>
      <c r="P2293" s="7"/>
    </row>
    <row r="2294" spans="1:16">
      <c r="A2294" s="3">
        <v>44354.879120370373</v>
      </c>
      <c r="B2294" s="4" t="str">
        <f>HYPERLINK("https://twitter.com/sergio_fajardo","@sergio_fajardo")</f>
        <v>@sergio_fajardo</v>
      </c>
      <c r="C2294" s="5" t="s">
        <v>16</v>
      </c>
      <c r="D2294" s="5" t="s">
        <v>2314</v>
      </c>
      <c r="E2294" s="6" t="str">
        <f>HYPERLINK("https://twitter.com/sergio_fajardo/status/1401925901529534468","1401925901529534468")</f>
        <v>1401925901529534468</v>
      </c>
      <c r="F2294" s="7" t="s">
        <v>17</v>
      </c>
      <c r="G2294" s="7">
        <v>1588477</v>
      </c>
      <c r="H2294" s="7">
        <v>418</v>
      </c>
      <c r="I2294" s="7">
        <v>715</v>
      </c>
      <c r="J2294" s="7">
        <v>0</v>
      </c>
      <c r="K2294" s="7" t="s">
        <v>18</v>
      </c>
      <c r="L2294" s="8">
        <v>39891.213356481479</v>
      </c>
      <c r="M2294" s="9" t="s">
        <v>19</v>
      </c>
      <c r="N2294" s="9" t="s">
        <v>22</v>
      </c>
      <c r="O2294" s="6" t="str">
        <f>HYPERLINK("https://pbs.twimg.com/profile_images/988971255679324162/jrqiIYf__normal.jpg","View")</f>
        <v>View</v>
      </c>
      <c r="P2294" s="7"/>
    </row>
    <row r="2295" spans="1:16">
      <c r="A2295" s="3">
        <v>44355.073472222226</v>
      </c>
      <c r="B2295" s="4" t="str">
        <f>HYPERLINK("https://twitter.com/sergio_fajardo","@sergio_fajardo")</f>
        <v>@sergio_fajardo</v>
      </c>
      <c r="C2295" s="5" t="s">
        <v>16</v>
      </c>
      <c r="D2295" s="5" t="s">
        <v>2315</v>
      </c>
      <c r="E2295" s="6" t="str">
        <f>HYPERLINK("https://twitter.com/sergio_fajardo/status/1401996333683200000","1401996333683200000")</f>
        <v>1401996333683200000</v>
      </c>
      <c r="F2295" s="7" t="s">
        <v>17</v>
      </c>
      <c r="G2295" s="7">
        <v>1588518</v>
      </c>
      <c r="H2295" s="7">
        <v>418</v>
      </c>
      <c r="I2295" s="7">
        <v>19</v>
      </c>
      <c r="J2295" s="7">
        <v>0</v>
      </c>
      <c r="K2295" s="7" t="s">
        <v>18</v>
      </c>
      <c r="L2295" s="8">
        <v>39891.213356481479</v>
      </c>
      <c r="M2295" s="9" t="s">
        <v>19</v>
      </c>
      <c r="N2295" s="9" t="s">
        <v>22</v>
      </c>
      <c r="O2295" s="6" t="str">
        <f>HYPERLINK("https://pbs.twimg.com/profile_images/988971255679324162/jrqiIYf__normal.jpg","View")</f>
        <v>View</v>
      </c>
      <c r="P2295" s="7"/>
    </row>
    <row r="2296" spans="1:16">
      <c r="A2296" s="3">
        <v>44355.099895833337</v>
      </c>
      <c r="B2296" s="4" t="str">
        <f>HYPERLINK("https://twitter.com/sergio_fajardo","@sergio_fajardo")</f>
        <v>@sergio_fajardo</v>
      </c>
      <c r="C2296" s="5" t="s">
        <v>16</v>
      </c>
      <c r="D2296" s="5" t="s">
        <v>2316</v>
      </c>
      <c r="E2296" s="6" t="str">
        <f>HYPERLINK("https://twitter.com/sergio_fajardo/status/1402005909690277889","1402005909690277889")</f>
        <v>1402005909690277889</v>
      </c>
      <c r="F2296" s="7" t="s">
        <v>20</v>
      </c>
      <c r="G2296" s="7">
        <v>1588524</v>
      </c>
      <c r="H2296" s="7">
        <v>418</v>
      </c>
      <c r="I2296" s="7">
        <v>24</v>
      </c>
      <c r="J2296" s="7">
        <v>0</v>
      </c>
      <c r="K2296" s="7" t="s">
        <v>18</v>
      </c>
      <c r="L2296" s="8">
        <v>39891.213356481479</v>
      </c>
      <c r="M2296" s="9" t="s">
        <v>19</v>
      </c>
      <c r="N2296" s="9" t="s">
        <v>22</v>
      </c>
      <c r="O2296" s="6" t="str">
        <f>HYPERLINK("https://pbs.twimg.com/profile_images/988971255679324162/jrqiIYf__normal.jpg","View")</f>
        <v>View</v>
      </c>
      <c r="P2296" s="7"/>
    </row>
    <row r="2297" spans="1:16">
      <c r="A2297" s="3">
        <v>44355.166874999995</v>
      </c>
      <c r="B2297" s="4" t="str">
        <f>HYPERLINK("https://twitter.com/sergio_fajardo","@sergio_fajardo")</f>
        <v>@sergio_fajardo</v>
      </c>
      <c r="C2297" s="5" t="s">
        <v>16</v>
      </c>
      <c r="D2297" s="5" t="s">
        <v>2317</v>
      </c>
      <c r="E2297" s="6" t="str">
        <f>HYPERLINK("https://twitter.com/sergio_fajardo/status/1402030183587123205","1402030183587123205")</f>
        <v>1402030183587123205</v>
      </c>
      <c r="F2297" s="7" t="s">
        <v>17</v>
      </c>
      <c r="G2297" s="7">
        <v>1588536</v>
      </c>
      <c r="H2297" s="7">
        <v>418</v>
      </c>
      <c r="I2297" s="7">
        <v>22</v>
      </c>
      <c r="J2297" s="7">
        <v>124</v>
      </c>
      <c r="K2297" s="7" t="s">
        <v>18</v>
      </c>
      <c r="L2297" s="8">
        <v>39891.213356481479</v>
      </c>
      <c r="M2297" s="9" t="s">
        <v>19</v>
      </c>
      <c r="N2297" s="9" t="s">
        <v>22</v>
      </c>
      <c r="O2297" s="6" t="str">
        <f>HYPERLINK("https://pbs.twimg.com/profile_images/988971255679324162/jrqiIYf__normal.jpg","View")</f>
        <v>View</v>
      </c>
      <c r="P2297" s="7"/>
    </row>
    <row r="2298" spans="1:16">
      <c r="A2298" s="3">
        <v>44355.293530092589</v>
      </c>
      <c r="B2298" s="4" t="str">
        <f>HYPERLINK("https://twitter.com/sergio_fajardo","@sergio_fajardo")</f>
        <v>@sergio_fajardo</v>
      </c>
      <c r="C2298" s="5" t="s">
        <v>16</v>
      </c>
      <c r="D2298" s="5" t="s">
        <v>2318</v>
      </c>
      <c r="E2298" s="6" t="str">
        <f>HYPERLINK("https://twitter.com/sergio_fajardo/status/1402076081134444546","1402076081134444546")</f>
        <v>1402076081134444546</v>
      </c>
      <c r="F2298" s="7" t="s">
        <v>20</v>
      </c>
      <c r="G2298" s="7">
        <v>1588631</v>
      </c>
      <c r="H2298" s="7">
        <v>418</v>
      </c>
      <c r="I2298" s="7">
        <v>5</v>
      </c>
      <c r="J2298" s="7">
        <v>13</v>
      </c>
      <c r="K2298" s="7" t="s">
        <v>18</v>
      </c>
      <c r="L2298" s="8">
        <v>39891.213356481479</v>
      </c>
      <c r="M2298" s="9" t="s">
        <v>19</v>
      </c>
      <c r="N2298" s="9" t="s">
        <v>22</v>
      </c>
      <c r="O2298" s="6" t="str">
        <f>HYPERLINK("https://pbs.twimg.com/profile_images/988971255679324162/jrqiIYf__normal.jpg","View")</f>
        <v>View</v>
      </c>
      <c r="P2298" s="7"/>
    </row>
    <row r="2299" spans="1:16">
      <c r="A2299" s="3">
        <v>44356.033483796295</v>
      </c>
      <c r="B2299" s="4" t="str">
        <f>HYPERLINK("https://twitter.com/sergio_fajardo","@sergio_fajardo")</f>
        <v>@sergio_fajardo</v>
      </c>
      <c r="C2299" s="5" t="s">
        <v>16</v>
      </c>
      <c r="D2299" s="5" t="s">
        <v>2319</v>
      </c>
      <c r="E2299" s="6" t="str">
        <f>HYPERLINK("https://twitter.com/sergio_fajardo/status/1402344231616888841","1402344231616888841")</f>
        <v>1402344231616888841</v>
      </c>
      <c r="F2299" s="7" t="s">
        <v>17</v>
      </c>
      <c r="G2299" s="7">
        <v>1588767</v>
      </c>
      <c r="H2299" s="7">
        <v>418</v>
      </c>
      <c r="I2299" s="7">
        <v>696</v>
      </c>
      <c r="J2299" s="7">
        <v>0</v>
      </c>
      <c r="K2299" s="7" t="s">
        <v>18</v>
      </c>
      <c r="L2299" s="8">
        <v>39891.213356481479</v>
      </c>
      <c r="M2299" s="9" t="s">
        <v>19</v>
      </c>
      <c r="N2299" s="9" t="s">
        <v>22</v>
      </c>
      <c r="O2299" s="6" t="str">
        <f>HYPERLINK("https://pbs.twimg.com/profile_images/988971255679324162/jrqiIYf__normal.jpg","View")</f>
        <v>View</v>
      </c>
      <c r="P2299" s="7"/>
    </row>
    <row r="2300" spans="1:16">
      <c r="A2300" s="3">
        <v>44356.122673611113</v>
      </c>
      <c r="B2300" s="4" t="str">
        <f>HYPERLINK("https://twitter.com/sergio_fajardo","@sergio_fajardo")</f>
        <v>@sergio_fajardo</v>
      </c>
      <c r="C2300" s="5" t="s">
        <v>16</v>
      </c>
      <c r="D2300" s="5" t="s">
        <v>2320</v>
      </c>
      <c r="E2300" s="6" t="str">
        <f>HYPERLINK("https://twitter.com/sergio_fajardo/status/1402376550826209283","1402376550826209283")</f>
        <v>1402376550826209283</v>
      </c>
      <c r="F2300" s="7" t="s">
        <v>20</v>
      </c>
      <c r="G2300" s="7">
        <v>1588784</v>
      </c>
      <c r="H2300" s="7">
        <v>418</v>
      </c>
      <c r="I2300" s="7">
        <v>4</v>
      </c>
      <c r="J2300" s="7">
        <v>40</v>
      </c>
      <c r="K2300" s="7" t="s">
        <v>18</v>
      </c>
      <c r="L2300" s="8">
        <v>39891.213356481479</v>
      </c>
      <c r="M2300" s="9" t="s">
        <v>19</v>
      </c>
      <c r="N2300" s="9" t="s">
        <v>22</v>
      </c>
      <c r="O2300" s="6" t="str">
        <f>HYPERLINK("https://pbs.twimg.com/profile_images/988971255679324162/jrqiIYf__normal.jpg","View")</f>
        <v>View</v>
      </c>
      <c r="P2300" s="7"/>
    </row>
    <row r="2301" spans="1:16">
      <c r="A2301" s="3">
        <v>44356.33017361111</v>
      </c>
      <c r="B2301" s="4" t="str">
        <f>HYPERLINK("https://twitter.com/sergio_fajardo","@sergio_fajardo")</f>
        <v>@sergio_fajardo</v>
      </c>
      <c r="C2301" s="5" t="s">
        <v>16</v>
      </c>
      <c r="D2301" s="5" t="s">
        <v>2321</v>
      </c>
      <c r="E2301" s="6" t="str">
        <f>HYPERLINK("https://twitter.com/sergio_fajardo/status/1402451747961028616","1402451747961028616")</f>
        <v>1402451747961028616</v>
      </c>
      <c r="F2301" s="7" t="s">
        <v>17</v>
      </c>
      <c r="G2301" s="7">
        <v>1588775</v>
      </c>
      <c r="H2301" s="7">
        <v>418</v>
      </c>
      <c r="I2301" s="7">
        <v>17</v>
      </c>
      <c r="J2301" s="7">
        <v>0</v>
      </c>
      <c r="K2301" s="7" t="s">
        <v>18</v>
      </c>
      <c r="L2301" s="8">
        <v>39891.213356481479</v>
      </c>
      <c r="M2301" s="9" t="s">
        <v>19</v>
      </c>
      <c r="N2301" s="9" t="s">
        <v>22</v>
      </c>
      <c r="O2301" s="6" t="str">
        <f>HYPERLINK("https://pbs.twimg.com/profile_images/988971255679324162/jrqiIYf__normal.jpg","View")</f>
        <v>View</v>
      </c>
      <c r="P2301" s="7"/>
    </row>
    <row r="2302" spans="1:16">
      <c r="A2302" s="3">
        <v>44356.837893518517</v>
      </c>
      <c r="B2302" s="4" t="str">
        <f>HYPERLINK("https://twitter.com/sergio_fajardo","@sergio_fajardo")</f>
        <v>@sergio_fajardo</v>
      </c>
      <c r="C2302" s="5" t="s">
        <v>16</v>
      </c>
      <c r="D2302" s="5" t="s">
        <v>2322</v>
      </c>
      <c r="E2302" s="6" t="str">
        <f>HYPERLINK("https://twitter.com/sergio_fajardo/status/1402635739674943488","1402635739674943488")</f>
        <v>1402635739674943488</v>
      </c>
      <c r="F2302" s="7" t="s">
        <v>23</v>
      </c>
      <c r="G2302" s="7">
        <v>1588776</v>
      </c>
      <c r="H2302" s="7">
        <v>418</v>
      </c>
      <c r="I2302" s="7">
        <v>27</v>
      </c>
      <c r="J2302" s="7">
        <v>170</v>
      </c>
      <c r="K2302" s="7" t="s">
        <v>18</v>
      </c>
      <c r="L2302" s="8">
        <v>39891.213356481479</v>
      </c>
      <c r="M2302" s="9" t="s">
        <v>19</v>
      </c>
      <c r="N2302" s="9" t="s">
        <v>22</v>
      </c>
      <c r="O2302" s="6" t="str">
        <f>HYPERLINK("https://pbs.twimg.com/profile_images/988971255679324162/jrqiIYf__normal.jpg","View")</f>
        <v>View</v>
      </c>
      <c r="P2302" s="7"/>
    </row>
    <row r="2303" spans="1:16">
      <c r="A2303" s="3">
        <v>44356.890659722223</v>
      </c>
      <c r="B2303" s="4" t="str">
        <f>HYPERLINK("https://twitter.com/sergio_fajardo","@sergio_fajardo")</f>
        <v>@sergio_fajardo</v>
      </c>
      <c r="C2303" s="5" t="s">
        <v>16</v>
      </c>
      <c r="D2303" s="5" t="s">
        <v>2323</v>
      </c>
      <c r="E2303" s="6" t="str">
        <f>HYPERLINK("https://twitter.com/sergio_fajardo/status/1402654861095735296","1402654861095735296")</f>
        <v>1402654861095735296</v>
      </c>
      <c r="F2303" s="7" t="s">
        <v>20</v>
      </c>
      <c r="G2303" s="7">
        <v>1588759</v>
      </c>
      <c r="H2303" s="7">
        <v>418</v>
      </c>
      <c r="I2303" s="7">
        <v>14</v>
      </c>
      <c r="J2303" s="7">
        <v>57</v>
      </c>
      <c r="K2303" s="7" t="s">
        <v>18</v>
      </c>
      <c r="L2303" s="8">
        <v>39891.213356481479</v>
      </c>
      <c r="M2303" s="9" t="s">
        <v>19</v>
      </c>
      <c r="N2303" s="9" t="s">
        <v>22</v>
      </c>
      <c r="O2303" s="6" t="str">
        <f>HYPERLINK("https://pbs.twimg.com/profile_images/988971255679324162/jrqiIYf__normal.jpg","View")</f>
        <v>View</v>
      </c>
      <c r="P2303" s="7"/>
    </row>
    <row r="2304" spans="1:16">
      <c r="A2304" s="3">
        <v>44356.892314814817</v>
      </c>
      <c r="B2304" s="4" t="str">
        <f>HYPERLINK("https://twitter.com/sergio_fajardo","@sergio_fajardo")</f>
        <v>@sergio_fajardo</v>
      </c>
      <c r="C2304" s="5" t="s">
        <v>16</v>
      </c>
      <c r="D2304" s="5" t="s">
        <v>2324</v>
      </c>
      <c r="E2304" s="6" t="str">
        <f>HYPERLINK("https://twitter.com/sergio_fajardo/status/1402655459958476805","1402655459958476805")</f>
        <v>1402655459958476805</v>
      </c>
      <c r="F2304" s="7" t="s">
        <v>20</v>
      </c>
      <c r="G2304" s="7">
        <v>1588759</v>
      </c>
      <c r="H2304" s="7">
        <v>418</v>
      </c>
      <c r="I2304" s="7">
        <v>4</v>
      </c>
      <c r="J2304" s="7">
        <v>20</v>
      </c>
      <c r="K2304" s="7" t="s">
        <v>18</v>
      </c>
      <c r="L2304" s="8">
        <v>39891.213356481479</v>
      </c>
      <c r="M2304" s="9" t="s">
        <v>19</v>
      </c>
      <c r="N2304" s="9" t="s">
        <v>22</v>
      </c>
      <c r="O2304" s="6" t="str">
        <f>HYPERLINK("https://pbs.twimg.com/profile_images/988971255679324162/jrqiIYf__normal.jpg","View")</f>
        <v>View</v>
      </c>
      <c r="P2304" s="7"/>
    </row>
    <row r="2305" spans="1:16">
      <c r="A2305" s="3">
        <v>44356.967951388884</v>
      </c>
      <c r="B2305" s="4" t="str">
        <f>HYPERLINK("https://twitter.com/sergio_fajardo","@sergio_fajardo")</f>
        <v>@sergio_fajardo</v>
      </c>
      <c r="C2305" s="5" t="s">
        <v>16</v>
      </c>
      <c r="D2305" s="5" t="s">
        <v>2325</v>
      </c>
      <c r="E2305" s="6" t="str">
        <f>HYPERLINK("https://twitter.com/sergio_fajardo/status/1402682869131223049","1402682869131223049")</f>
        <v>1402682869131223049</v>
      </c>
      <c r="F2305" s="7" t="s">
        <v>20</v>
      </c>
      <c r="G2305" s="7">
        <v>1588752</v>
      </c>
      <c r="H2305" s="7">
        <v>418</v>
      </c>
      <c r="I2305" s="7">
        <v>54</v>
      </c>
      <c r="J2305" s="7">
        <v>267</v>
      </c>
      <c r="K2305" s="7" t="s">
        <v>18</v>
      </c>
      <c r="L2305" s="8">
        <v>39891.213356481479</v>
      </c>
      <c r="M2305" s="9" t="s">
        <v>19</v>
      </c>
      <c r="N2305" s="9" t="s">
        <v>22</v>
      </c>
      <c r="O2305" s="6" t="str">
        <f>HYPERLINK("https://pbs.twimg.com/profile_images/988971255679324162/jrqiIYf__normal.jpg","View")</f>
        <v>View</v>
      </c>
      <c r="P2305" s="7"/>
    </row>
    <row r="2306" spans="1:16">
      <c r="A2306" s="3">
        <v>44357.171006944445</v>
      </c>
      <c r="B2306" s="4" t="str">
        <f>HYPERLINK("https://twitter.com/sergio_fajardo","@sergio_fajardo")</f>
        <v>@sergio_fajardo</v>
      </c>
      <c r="C2306" s="5" t="s">
        <v>16</v>
      </c>
      <c r="D2306" s="5" t="s">
        <v>2326</v>
      </c>
      <c r="E2306" s="6" t="str">
        <f>HYPERLINK("https://twitter.com/sergio_fajardo/status/1402756455837675521","1402756455837675521")</f>
        <v>1402756455837675521</v>
      </c>
      <c r="F2306" s="7" t="s">
        <v>20</v>
      </c>
      <c r="G2306" s="7">
        <v>1588532</v>
      </c>
      <c r="H2306" s="7">
        <v>418</v>
      </c>
      <c r="I2306" s="7">
        <v>55</v>
      </c>
      <c r="J2306" s="7">
        <v>275</v>
      </c>
      <c r="K2306" s="7" t="s">
        <v>18</v>
      </c>
      <c r="L2306" s="8">
        <v>39891.213356481479</v>
      </c>
      <c r="M2306" s="9" t="s">
        <v>19</v>
      </c>
      <c r="N2306" s="9" t="s">
        <v>22</v>
      </c>
      <c r="O2306" s="6" t="str">
        <f>HYPERLINK("https://pbs.twimg.com/profile_images/988971255679324162/jrqiIYf__normal.jpg","View")</f>
        <v>View</v>
      </c>
      <c r="P2306" s="7"/>
    </row>
    <row r="2307" spans="1:16">
      <c r="A2307" s="3">
        <v>44357.225543981476</v>
      </c>
      <c r="B2307" s="4" t="str">
        <f>HYPERLINK("https://twitter.com/sergio_fajardo","@sergio_fajardo")</f>
        <v>@sergio_fajardo</v>
      </c>
      <c r="C2307" s="5" t="s">
        <v>16</v>
      </c>
      <c r="D2307" s="5" t="s">
        <v>2327</v>
      </c>
      <c r="E2307" s="6" t="str">
        <f>HYPERLINK("https://twitter.com/sergio_fajardo/status/1402776218273976321","1402776218273976321")</f>
        <v>1402776218273976321</v>
      </c>
      <c r="F2307" s="7" t="s">
        <v>20</v>
      </c>
      <c r="G2307" s="7">
        <v>1588539</v>
      </c>
      <c r="H2307" s="7">
        <v>418</v>
      </c>
      <c r="I2307" s="7">
        <v>12</v>
      </c>
      <c r="J2307" s="7">
        <v>30</v>
      </c>
      <c r="K2307" s="7" t="s">
        <v>18</v>
      </c>
      <c r="L2307" s="8">
        <v>39891.213356481479</v>
      </c>
      <c r="M2307" s="9" t="s">
        <v>19</v>
      </c>
      <c r="N2307" s="9" t="s">
        <v>22</v>
      </c>
      <c r="O2307" s="6" t="str">
        <f>HYPERLINK("https://pbs.twimg.com/profile_images/988971255679324162/jrqiIYf__normal.jpg","View")</f>
        <v>View</v>
      </c>
      <c r="P2307" s="7"/>
    </row>
    <row r="2308" spans="1:16">
      <c r="A2308" s="3">
        <v>44358.231562500005</v>
      </c>
      <c r="B2308" s="4" t="str">
        <f>HYPERLINK("https://twitter.com/sergio_fajardo","@sergio_fajardo")</f>
        <v>@sergio_fajardo</v>
      </c>
      <c r="C2308" s="5" t="s">
        <v>16</v>
      </c>
      <c r="D2308" s="5" t="s">
        <v>2328</v>
      </c>
      <c r="E2308" s="6" t="str">
        <f>HYPERLINK("https://twitter.com/sergio_fajardo/status/1403140786435284998","1403140786435284998")</f>
        <v>1403140786435284998</v>
      </c>
      <c r="F2308" s="7" t="s">
        <v>2329</v>
      </c>
      <c r="G2308" s="7">
        <v>1588460</v>
      </c>
      <c r="H2308" s="7">
        <v>418</v>
      </c>
      <c r="I2308" s="7">
        <v>93</v>
      </c>
      <c r="J2308" s="7">
        <v>296</v>
      </c>
      <c r="K2308" s="7" t="s">
        <v>18</v>
      </c>
      <c r="L2308" s="8">
        <v>39891.213356481479</v>
      </c>
      <c r="M2308" s="9" t="s">
        <v>19</v>
      </c>
      <c r="N2308" s="9" t="s">
        <v>22</v>
      </c>
      <c r="O2308" s="6" t="str">
        <f>HYPERLINK("https://pbs.twimg.com/profile_images/988971255679324162/jrqiIYf__normal.jpg","View")</f>
        <v>View</v>
      </c>
      <c r="P2308" s="7"/>
    </row>
    <row r="2309" spans="1:16">
      <c r="A2309" s="3">
        <v>44358.24050925926</v>
      </c>
      <c r="B2309" s="4" t="str">
        <f>HYPERLINK("https://twitter.com/sergio_fajardo","@sergio_fajardo")</f>
        <v>@sergio_fajardo</v>
      </c>
      <c r="C2309" s="5" t="s">
        <v>16</v>
      </c>
      <c r="D2309" s="5" t="s">
        <v>2330</v>
      </c>
      <c r="E2309" s="6" t="str">
        <f>HYPERLINK("https://twitter.com/sergio_fajardo/status/1403144031610212353","1403144031610212353")</f>
        <v>1403144031610212353</v>
      </c>
      <c r="F2309" s="7" t="s">
        <v>23</v>
      </c>
      <c r="G2309" s="7">
        <v>1588460</v>
      </c>
      <c r="H2309" s="7">
        <v>418</v>
      </c>
      <c r="I2309" s="7">
        <v>3</v>
      </c>
      <c r="J2309" s="7">
        <v>18</v>
      </c>
      <c r="K2309" s="7" t="s">
        <v>18</v>
      </c>
      <c r="L2309" s="8">
        <v>39891.213356481479</v>
      </c>
      <c r="M2309" s="9" t="s">
        <v>19</v>
      </c>
      <c r="N2309" s="9" t="s">
        <v>22</v>
      </c>
      <c r="O2309" s="6" t="str">
        <f>HYPERLINK("https://pbs.twimg.com/profile_images/988971255679324162/jrqiIYf__normal.jpg","View")</f>
        <v>View</v>
      </c>
      <c r="P2309" s="7"/>
    </row>
    <row r="2310" spans="1:16">
      <c r="A2310" s="3">
        <v>44358.244351851856</v>
      </c>
      <c r="B2310" s="4" t="str">
        <f>HYPERLINK("https://twitter.com/sergio_fajardo","@sergio_fajardo")</f>
        <v>@sergio_fajardo</v>
      </c>
      <c r="C2310" s="5" t="s">
        <v>16</v>
      </c>
      <c r="D2310" s="5" t="s">
        <v>2331</v>
      </c>
      <c r="E2310" s="6" t="str">
        <f>HYPERLINK("https://twitter.com/sergio_fajardo/status/1403145421996888065","1403145421996888065")</f>
        <v>1403145421996888065</v>
      </c>
      <c r="F2310" s="7" t="s">
        <v>23</v>
      </c>
      <c r="G2310" s="7">
        <v>1588460</v>
      </c>
      <c r="H2310" s="7">
        <v>418</v>
      </c>
      <c r="I2310" s="7">
        <v>1</v>
      </c>
      <c r="J2310" s="7">
        <v>13</v>
      </c>
      <c r="K2310" s="7" t="s">
        <v>18</v>
      </c>
      <c r="L2310" s="8">
        <v>39891.213356481479</v>
      </c>
      <c r="M2310" s="9" t="s">
        <v>19</v>
      </c>
      <c r="N2310" s="9" t="s">
        <v>22</v>
      </c>
      <c r="O2310" s="6" t="str">
        <f>HYPERLINK("https://pbs.twimg.com/profile_images/988971255679324162/jrqiIYf__normal.jpg","View")</f>
        <v>View</v>
      </c>
      <c r="P2310" s="7"/>
    </row>
    <row r="2311" spans="1:16">
      <c r="A2311" s="3">
        <v>44358.245428240742</v>
      </c>
      <c r="B2311" s="4" t="str">
        <f>HYPERLINK("https://twitter.com/sergio_fajardo","@sergio_fajardo")</f>
        <v>@sergio_fajardo</v>
      </c>
      <c r="C2311" s="5" t="s">
        <v>16</v>
      </c>
      <c r="D2311" s="5" t="s">
        <v>2332</v>
      </c>
      <c r="E2311" s="6" t="str">
        <f>HYPERLINK("https://twitter.com/sergio_fajardo/status/1403145813564428288","1403145813564428288")</f>
        <v>1403145813564428288</v>
      </c>
      <c r="F2311" s="7" t="s">
        <v>23</v>
      </c>
      <c r="G2311" s="7">
        <v>1588460</v>
      </c>
      <c r="H2311" s="7">
        <v>418</v>
      </c>
      <c r="I2311" s="7">
        <v>2</v>
      </c>
      <c r="J2311" s="7">
        <v>19</v>
      </c>
      <c r="K2311" s="7" t="s">
        <v>18</v>
      </c>
      <c r="L2311" s="8">
        <v>39891.213356481479</v>
      </c>
      <c r="M2311" s="9" t="s">
        <v>19</v>
      </c>
      <c r="N2311" s="9" t="s">
        <v>22</v>
      </c>
      <c r="O2311" s="6" t="str">
        <f>HYPERLINK("https://pbs.twimg.com/profile_images/988971255679324162/jrqiIYf__normal.jpg","View")</f>
        <v>View</v>
      </c>
      <c r="P2311" s="7"/>
    </row>
    <row r="2312" spans="1:16">
      <c r="A2312" s="3">
        <v>44358.246527777781</v>
      </c>
      <c r="B2312" s="4" t="str">
        <f>HYPERLINK("https://twitter.com/sergio_fajardo","@sergio_fajardo")</f>
        <v>@sergio_fajardo</v>
      </c>
      <c r="C2312" s="5" t="s">
        <v>16</v>
      </c>
      <c r="D2312" s="5" t="s">
        <v>2333</v>
      </c>
      <c r="E2312" s="6" t="str">
        <f>HYPERLINK("https://twitter.com/sergio_fajardo/status/1403146209863389189","1403146209863389189")</f>
        <v>1403146209863389189</v>
      </c>
      <c r="F2312" s="7" t="s">
        <v>23</v>
      </c>
      <c r="G2312" s="7">
        <v>1588460</v>
      </c>
      <c r="H2312" s="7">
        <v>418</v>
      </c>
      <c r="I2312" s="7">
        <v>1</v>
      </c>
      <c r="J2312" s="7">
        <v>16</v>
      </c>
      <c r="K2312" s="7" t="s">
        <v>18</v>
      </c>
      <c r="L2312" s="8">
        <v>39891.213356481479</v>
      </c>
      <c r="M2312" s="9" t="s">
        <v>19</v>
      </c>
      <c r="N2312" s="9" t="s">
        <v>22</v>
      </c>
      <c r="O2312" s="6" t="str">
        <f>HYPERLINK("https://pbs.twimg.com/profile_images/988971255679324162/jrqiIYf__normal.jpg","View")</f>
        <v>View</v>
      </c>
      <c r="P2312" s="7"/>
    </row>
    <row r="2313" spans="1:16">
      <c r="A2313" s="3">
        <v>44358.249664351853</v>
      </c>
      <c r="B2313" s="4" t="str">
        <f>HYPERLINK("https://twitter.com/sergio_fajardo","@sergio_fajardo")</f>
        <v>@sergio_fajardo</v>
      </c>
      <c r="C2313" s="5" t="s">
        <v>16</v>
      </c>
      <c r="D2313" s="5" t="s">
        <v>2334</v>
      </c>
      <c r="E2313" s="6" t="str">
        <f>HYPERLINK("https://twitter.com/sergio_fajardo/status/1403147346028998656","1403147346028998656")</f>
        <v>1403147346028998656</v>
      </c>
      <c r="F2313" s="7" t="s">
        <v>23</v>
      </c>
      <c r="G2313" s="7">
        <v>1588460</v>
      </c>
      <c r="H2313" s="7">
        <v>418</v>
      </c>
      <c r="I2313" s="7">
        <v>1</v>
      </c>
      <c r="J2313" s="7">
        <v>30</v>
      </c>
      <c r="K2313" s="7" t="s">
        <v>18</v>
      </c>
      <c r="L2313" s="8">
        <v>39891.213356481479</v>
      </c>
      <c r="M2313" s="9" t="s">
        <v>19</v>
      </c>
      <c r="N2313" s="9" t="s">
        <v>22</v>
      </c>
      <c r="O2313" s="6" t="str">
        <f>HYPERLINK("https://pbs.twimg.com/profile_images/988971255679324162/jrqiIYf__normal.jpg","View")</f>
        <v>View</v>
      </c>
      <c r="P2313" s="7"/>
    </row>
    <row r="2314" spans="1:16">
      <c r="A2314" s="3">
        <v>44358.25099537037</v>
      </c>
      <c r="B2314" s="4" t="str">
        <f>HYPERLINK("https://twitter.com/sergio_fajardo","@sergio_fajardo")</f>
        <v>@sergio_fajardo</v>
      </c>
      <c r="C2314" s="5" t="s">
        <v>16</v>
      </c>
      <c r="D2314" s="5" t="s">
        <v>2335</v>
      </c>
      <c r="E2314" s="6" t="str">
        <f>HYPERLINK("https://twitter.com/sergio_fajardo/status/1403147829925879809","1403147829925879809")</f>
        <v>1403147829925879809</v>
      </c>
      <c r="F2314" s="7" t="s">
        <v>23</v>
      </c>
      <c r="G2314" s="7">
        <v>1588460</v>
      </c>
      <c r="H2314" s="7">
        <v>418</v>
      </c>
      <c r="I2314" s="7">
        <v>1</v>
      </c>
      <c r="J2314" s="7">
        <v>9</v>
      </c>
      <c r="K2314" s="7" t="s">
        <v>18</v>
      </c>
      <c r="L2314" s="8">
        <v>39891.213356481479</v>
      </c>
      <c r="M2314" s="9" t="s">
        <v>19</v>
      </c>
      <c r="N2314" s="9" t="s">
        <v>22</v>
      </c>
      <c r="O2314" s="6" t="str">
        <f>HYPERLINK("https://pbs.twimg.com/profile_images/988971255679324162/jrqiIYf__normal.jpg","View")</f>
        <v>View</v>
      </c>
      <c r="P2314" s="7"/>
    </row>
    <row r="2315" spans="1:16">
      <c r="A2315" s="3">
        <v>44358.25304398148</v>
      </c>
      <c r="B2315" s="4" t="str">
        <f>HYPERLINK("https://twitter.com/sergio_fajardo","@sergio_fajardo")</f>
        <v>@sergio_fajardo</v>
      </c>
      <c r="C2315" s="5" t="s">
        <v>16</v>
      </c>
      <c r="D2315" s="5" t="s">
        <v>2336</v>
      </c>
      <c r="E2315" s="6" t="str">
        <f>HYPERLINK("https://twitter.com/sergio_fajardo/status/1403148570807652358","1403148570807652358")</f>
        <v>1403148570807652358</v>
      </c>
      <c r="F2315" s="7" t="s">
        <v>23</v>
      </c>
      <c r="G2315" s="7">
        <v>1588460</v>
      </c>
      <c r="H2315" s="7">
        <v>419</v>
      </c>
      <c r="I2315" s="7">
        <v>0</v>
      </c>
      <c r="J2315" s="7">
        <v>1</v>
      </c>
      <c r="K2315" s="7" t="s">
        <v>18</v>
      </c>
      <c r="L2315" s="8">
        <v>39891.213356481479</v>
      </c>
      <c r="M2315" s="9" t="s">
        <v>19</v>
      </c>
      <c r="N2315" s="9" t="s">
        <v>22</v>
      </c>
      <c r="O2315" s="6" t="str">
        <f>HYPERLINK("https://pbs.twimg.com/profile_images/988971255679324162/jrqiIYf__normal.jpg","View")</f>
        <v>View</v>
      </c>
      <c r="P2315" s="7"/>
    </row>
    <row r="2316" spans="1:16">
      <c r="A2316" s="3">
        <v>44358.253495370373</v>
      </c>
      <c r="B2316" s="4" t="str">
        <f>HYPERLINK("https://twitter.com/sergio_fajardo","@sergio_fajardo")</f>
        <v>@sergio_fajardo</v>
      </c>
      <c r="C2316" s="5" t="s">
        <v>16</v>
      </c>
      <c r="D2316" s="5" t="s">
        <v>2337</v>
      </c>
      <c r="E2316" s="6" t="str">
        <f>HYPERLINK("https://twitter.com/sergio_fajardo/status/1403148737577472000","1403148737577472000")</f>
        <v>1403148737577472000</v>
      </c>
      <c r="F2316" s="7" t="s">
        <v>23</v>
      </c>
      <c r="G2316" s="7">
        <v>1588460</v>
      </c>
      <c r="H2316" s="7">
        <v>419</v>
      </c>
      <c r="I2316" s="7">
        <v>3</v>
      </c>
      <c r="J2316" s="7">
        <v>0</v>
      </c>
      <c r="K2316" s="7" t="s">
        <v>18</v>
      </c>
      <c r="L2316" s="8">
        <v>39891.213356481479</v>
      </c>
      <c r="M2316" s="9" t="s">
        <v>19</v>
      </c>
      <c r="N2316" s="9" t="s">
        <v>22</v>
      </c>
      <c r="O2316" s="6" t="str">
        <f>HYPERLINK("https://pbs.twimg.com/profile_images/988971255679324162/jrqiIYf__normal.jpg","View")</f>
        <v>View</v>
      </c>
      <c r="P2316" s="7"/>
    </row>
    <row r="2317" spans="1:16">
      <c r="A2317" s="3">
        <v>44358.254282407404</v>
      </c>
      <c r="B2317" s="4" t="str">
        <f>HYPERLINK("https://twitter.com/sergio_fajardo","@sergio_fajardo")</f>
        <v>@sergio_fajardo</v>
      </c>
      <c r="C2317" s="5" t="s">
        <v>16</v>
      </c>
      <c r="D2317" s="5" t="s">
        <v>2338</v>
      </c>
      <c r="E2317" s="6" t="str">
        <f>HYPERLINK("https://twitter.com/sergio_fajardo/status/1403149021913522177","1403149021913522177")</f>
        <v>1403149021913522177</v>
      </c>
      <c r="F2317" s="7" t="s">
        <v>23</v>
      </c>
      <c r="G2317" s="7">
        <v>1588460</v>
      </c>
      <c r="H2317" s="7">
        <v>419</v>
      </c>
      <c r="I2317" s="7">
        <v>1</v>
      </c>
      <c r="J2317" s="7">
        <v>3</v>
      </c>
      <c r="K2317" s="7" t="s">
        <v>18</v>
      </c>
      <c r="L2317" s="8">
        <v>39891.213356481479</v>
      </c>
      <c r="M2317" s="9" t="s">
        <v>19</v>
      </c>
      <c r="N2317" s="9" t="s">
        <v>22</v>
      </c>
      <c r="O2317" s="6" t="str">
        <f>HYPERLINK("https://pbs.twimg.com/profile_images/988971255679324162/jrqiIYf__normal.jpg","View")</f>
        <v>View</v>
      </c>
      <c r="P2317" s="7"/>
    </row>
    <row r="2318" spans="1:16">
      <c r="A2318" s="3">
        <v>44358.257569444446</v>
      </c>
      <c r="B2318" s="4" t="str">
        <f>HYPERLINK("https://twitter.com/sergio_fajardo","@sergio_fajardo")</f>
        <v>@sergio_fajardo</v>
      </c>
      <c r="C2318" s="5" t="s">
        <v>16</v>
      </c>
      <c r="D2318" s="5" t="s">
        <v>2339</v>
      </c>
      <c r="E2318" s="6" t="str">
        <f>HYPERLINK("https://twitter.com/sergio_fajardo/status/1403150211720024065","1403150211720024065")</f>
        <v>1403150211720024065</v>
      </c>
      <c r="F2318" s="7" t="s">
        <v>23</v>
      </c>
      <c r="G2318" s="7">
        <v>1588460</v>
      </c>
      <c r="H2318" s="7">
        <v>419</v>
      </c>
      <c r="I2318" s="7">
        <v>6</v>
      </c>
      <c r="J2318" s="7">
        <v>101</v>
      </c>
      <c r="K2318" s="7" t="s">
        <v>18</v>
      </c>
      <c r="L2318" s="8">
        <v>39891.213356481479</v>
      </c>
      <c r="M2318" s="9" t="s">
        <v>19</v>
      </c>
      <c r="N2318" s="9" t="s">
        <v>22</v>
      </c>
      <c r="O2318" s="6" t="str">
        <f>HYPERLINK("https://pbs.twimg.com/profile_images/988971255679324162/jrqiIYf__normal.jpg","View")</f>
        <v>View</v>
      </c>
      <c r="P2318" s="7"/>
    </row>
    <row r="2319" spans="1:16">
      <c r="A2319" s="3">
        <v>44358.258032407408</v>
      </c>
      <c r="B2319" s="4" t="str">
        <f>HYPERLINK("https://twitter.com/sergio_fajardo","@sergio_fajardo")</f>
        <v>@sergio_fajardo</v>
      </c>
      <c r="C2319" s="5" t="s">
        <v>16</v>
      </c>
      <c r="D2319" s="5" t="s">
        <v>2340</v>
      </c>
      <c r="E2319" s="6" t="str">
        <f>HYPERLINK("https://twitter.com/sergio_fajardo/status/1403150378414247937","1403150378414247937")</f>
        <v>1403150378414247937</v>
      </c>
      <c r="F2319" s="7" t="s">
        <v>23</v>
      </c>
      <c r="G2319" s="7">
        <v>1588460</v>
      </c>
      <c r="H2319" s="7">
        <v>419</v>
      </c>
      <c r="I2319" s="7">
        <v>3</v>
      </c>
      <c r="J2319" s="7">
        <v>0</v>
      </c>
      <c r="K2319" s="7" t="s">
        <v>18</v>
      </c>
      <c r="L2319" s="8">
        <v>39891.213356481479</v>
      </c>
      <c r="M2319" s="9" t="s">
        <v>19</v>
      </c>
      <c r="N2319" s="9" t="s">
        <v>22</v>
      </c>
      <c r="O2319" s="6" t="str">
        <f>HYPERLINK("https://pbs.twimg.com/profile_images/988971255679324162/jrqiIYf__normal.jpg","View")</f>
        <v>View</v>
      </c>
      <c r="P2319" s="7"/>
    </row>
    <row r="2320" spans="1:16">
      <c r="A2320" s="3">
        <v>44358.259826388894</v>
      </c>
      <c r="B2320" s="4" t="str">
        <f>HYPERLINK("https://twitter.com/sergio_fajardo","@sergio_fajardo")</f>
        <v>@sergio_fajardo</v>
      </c>
      <c r="C2320" s="5" t="s">
        <v>16</v>
      </c>
      <c r="D2320" s="5" t="s">
        <v>2341</v>
      </c>
      <c r="E2320" s="6" t="str">
        <f>HYPERLINK("https://twitter.com/sergio_fajardo/status/1403151028745388033","1403151028745388033")</f>
        <v>1403151028745388033</v>
      </c>
      <c r="F2320" s="7" t="s">
        <v>23</v>
      </c>
      <c r="G2320" s="7">
        <v>1588460</v>
      </c>
      <c r="H2320" s="7">
        <v>419</v>
      </c>
      <c r="I2320" s="7">
        <v>0</v>
      </c>
      <c r="J2320" s="7">
        <v>1</v>
      </c>
      <c r="K2320" s="7" t="s">
        <v>18</v>
      </c>
      <c r="L2320" s="8">
        <v>39891.213356481479</v>
      </c>
      <c r="M2320" s="9" t="s">
        <v>19</v>
      </c>
      <c r="N2320" s="9" t="s">
        <v>22</v>
      </c>
      <c r="O2320" s="6" t="str">
        <f>HYPERLINK("https://pbs.twimg.com/profile_images/988971255679324162/jrqiIYf__normal.jpg","View")</f>
        <v>View</v>
      </c>
      <c r="P2320" s="7"/>
    </row>
    <row r="2321" spans="1:16">
      <c r="A2321" s="3">
        <v>44358.263819444444</v>
      </c>
      <c r="B2321" s="4" t="str">
        <f>HYPERLINK("https://twitter.com/sergio_fajardo","@sergio_fajardo")</f>
        <v>@sergio_fajardo</v>
      </c>
      <c r="C2321" s="5" t="s">
        <v>16</v>
      </c>
      <c r="D2321" s="5" t="s">
        <v>2342</v>
      </c>
      <c r="E2321" s="6" t="str">
        <f>HYPERLINK("https://twitter.com/sergio_fajardo/status/1403152476061188102","1403152476061188102")</f>
        <v>1403152476061188102</v>
      </c>
      <c r="F2321" s="7" t="s">
        <v>23</v>
      </c>
      <c r="G2321" s="7">
        <v>1588460</v>
      </c>
      <c r="H2321" s="7">
        <v>419</v>
      </c>
      <c r="I2321" s="7">
        <v>6</v>
      </c>
      <c r="J2321" s="7">
        <v>33</v>
      </c>
      <c r="K2321" s="7" t="s">
        <v>18</v>
      </c>
      <c r="L2321" s="8">
        <v>39891.213356481479</v>
      </c>
      <c r="M2321" s="9" t="s">
        <v>19</v>
      </c>
      <c r="N2321" s="9" t="s">
        <v>22</v>
      </c>
      <c r="O2321" s="6" t="str">
        <f>HYPERLINK("https://pbs.twimg.com/profile_images/988971255679324162/jrqiIYf__normal.jpg","View")</f>
        <v>View</v>
      </c>
      <c r="P2321" s="7"/>
    </row>
    <row r="2322" spans="1:16">
      <c r="A2322" s="3">
        <v>44358.264016203699</v>
      </c>
      <c r="B2322" s="4" t="str">
        <f>HYPERLINK("https://twitter.com/sergio_fajardo","@sergio_fajardo")</f>
        <v>@sergio_fajardo</v>
      </c>
      <c r="C2322" s="5" t="s">
        <v>16</v>
      </c>
      <c r="D2322" s="5" t="s">
        <v>2343</v>
      </c>
      <c r="E2322" s="6" t="str">
        <f>HYPERLINK("https://twitter.com/sergio_fajardo/status/1403152549461561344","1403152549461561344")</f>
        <v>1403152549461561344</v>
      </c>
      <c r="F2322" s="7" t="s">
        <v>23</v>
      </c>
      <c r="G2322" s="7">
        <v>1588460</v>
      </c>
      <c r="H2322" s="7">
        <v>419</v>
      </c>
      <c r="I2322" s="7">
        <v>4</v>
      </c>
      <c r="J2322" s="7">
        <v>0</v>
      </c>
      <c r="K2322" s="7" t="s">
        <v>18</v>
      </c>
      <c r="L2322" s="8">
        <v>39891.213356481479</v>
      </c>
      <c r="M2322" s="9" t="s">
        <v>19</v>
      </c>
      <c r="N2322" s="9" t="s">
        <v>22</v>
      </c>
      <c r="O2322" s="6" t="str">
        <f>HYPERLINK("https://pbs.twimg.com/profile_images/988971255679324162/jrqiIYf__normal.jpg","View")</f>
        <v>View</v>
      </c>
      <c r="P2322" s="7"/>
    </row>
    <row r="2323" spans="1:16">
      <c r="A2323" s="3">
        <v>44358.264525462961</v>
      </c>
      <c r="B2323" s="4" t="str">
        <f>HYPERLINK("https://twitter.com/sergio_fajardo","@sergio_fajardo")</f>
        <v>@sergio_fajardo</v>
      </c>
      <c r="C2323" s="5" t="s">
        <v>16</v>
      </c>
      <c r="D2323" s="5" t="s">
        <v>2344</v>
      </c>
      <c r="E2323" s="6" t="str">
        <f>HYPERLINK("https://twitter.com/sergio_fajardo/status/1403152732987572224","1403152732987572224")</f>
        <v>1403152732987572224</v>
      </c>
      <c r="F2323" s="7" t="s">
        <v>23</v>
      </c>
      <c r="G2323" s="7">
        <v>1588460</v>
      </c>
      <c r="H2323" s="7">
        <v>419</v>
      </c>
      <c r="I2323" s="7">
        <v>0</v>
      </c>
      <c r="J2323" s="7">
        <v>4</v>
      </c>
      <c r="K2323" s="7" t="s">
        <v>18</v>
      </c>
      <c r="L2323" s="8">
        <v>39891.213356481479</v>
      </c>
      <c r="M2323" s="9" t="s">
        <v>19</v>
      </c>
      <c r="N2323" s="9" t="s">
        <v>22</v>
      </c>
      <c r="O2323" s="6" t="str">
        <f>HYPERLINK("https://pbs.twimg.com/profile_images/988971255679324162/jrqiIYf__normal.jpg","View")</f>
        <v>View</v>
      </c>
      <c r="P2323" s="7"/>
    </row>
    <row r="2324" spans="1:16">
      <c r="A2324" s="3">
        <v>44358.265625</v>
      </c>
      <c r="B2324" s="4" t="str">
        <f>HYPERLINK("https://twitter.com/sergio_fajardo","@sergio_fajardo")</f>
        <v>@sergio_fajardo</v>
      </c>
      <c r="C2324" s="5" t="s">
        <v>16</v>
      </c>
      <c r="D2324" s="5" t="s">
        <v>2345</v>
      </c>
      <c r="E2324" s="6" t="str">
        <f>HYPERLINK("https://twitter.com/sergio_fajardo/status/1403153133040291842","1403153133040291842")</f>
        <v>1403153133040291842</v>
      </c>
      <c r="F2324" s="7" t="s">
        <v>23</v>
      </c>
      <c r="G2324" s="7">
        <v>1588460</v>
      </c>
      <c r="H2324" s="7">
        <v>419</v>
      </c>
      <c r="I2324" s="7">
        <v>0</v>
      </c>
      <c r="J2324" s="7">
        <v>0</v>
      </c>
      <c r="K2324" s="7" t="s">
        <v>18</v>
      </c>
      <c r="L2324" s="8">
        <v>39891.213356481479</v>
      </c>
      <c r="M2324" s="9" t="s">
        <v>19</v>
      </c>
      <c r="N2324" s="9" t="s">
        <v>22</v>
      </c>
      <c r="O2324" s="6" t="str">
        <f>HYPERLINK("https://pbs.twimg.com/profile_images/988971255679324162/jrqiIYf__normal.jpg","View")</f>
        <v>View</v>
      </c>
      <c r="P2324" s="7"/>
    </row>
    <row r="2325" spans="1:16">
      <c r="A2325" s="3">
        <v>44358.267129629632</v>
      </c>
      <c r="B2325" s="4" t="str">
        <f>HYPERLINK("https://twitter.com/sergio_fajardo","@sergio_fajardo")</f>
        <v>@sergio_fajardo</v>
      </c>
      <c r="C2325" s="5" t="s">
        <v>16</v>
      </c>
      <c r="D2325" s="5" t="s">
        <v>2346</v>
      </c>
      <c r="E2325" s="6" t="str">
        <f>HYPERLINK("https://twitter.com/sergio_fajardo/status/1403153678350098432","1403153678350098432")</f>
        <v>1403153678350098432</v>
      </c>
      <c r="F2325" s="7" t="s">
        <v>23</v>
      </c>
      <c r="G2325" s="7">
        <v>1588460</v>
      </c>
      <c r="H2325" s="7">
        <v>419</v>
      </c>
      <c r="I2325" s="7">
        <v>2</v>
      </c>
      <c r="J2325" s="7">
        <v>29</v>
      </c>
      <c r="K2325" s="7" t="s">
        <v>18</v>
      </c>
      <c r="L2325" s="8">
        <v>39891.213356481479</v>
      </c>
      <c r="M2325" s="9" t="s">
        <v>19</v>
      </c>
      <c r="N2325" s="9" t="s">
        <v>22</v>
      </c>
      <c r="O2325" s="6" t="str">
        <f>HYPERLINK("https://pbs.twimg.com/profile_images/988971255679324162/jrqiIYf__normal.jpg","View")</f>
        <v>View</v>
      </c>
      <c r="P2325" s="7"/>
    </row>
    <row r="2326" spans="1:16">
      <c r="A2326" s="3">
        <v>44358.27039351852</v>
      </c>
      <c r="B2326" s="4" t="str">
        <f>HYPERLINK("https://twitter.com/sergio_fajardo","@sergio_fajardo")</f>
        <v>@sergio_fajardo</v>
      </c>
      <c r="C2326" s="5" t="s">
        <v>16</v>
      </c>
      <c r="D2326" s="5" t="s">
        <v>2347</v>
      </c>
      <c r="E2326" s="6" t="str">
        <f>HYPERLINK("https://twitter.com/sergio_fajardo/status/1403154857389854720","1403154857389854720")</f>
        <v>1403154857389854720</v>
      </c>
      <c r="F2326" s="7" t="s">
        <v>23</v>
      </c>
      <c r="G2326" s="7">
        <v>1588460</v>
      </c>
      <c r="H2326" s="7">
        <v>419</v>
      </c>
      <c r="I2326" s="7">
        <v>0</v>
      </c>
      <c r="J2326" s="7">
        <v>1</v>
      </c>
      <c r="K2326" s="7" t="s">
        <v>18</v>
      </c>
      <c r="L2326" s="8">
        <v>39891.213356481479</v>
      </c>
      <c r="M2326" s="9" t="s">
        <v>19</v>
      </c>
      <c r="N2326" s="9" t="s">
        <v>22</v>
      </c>
      <c r="O2326" s="6" t="str">
        <f>HYPERLINK("https://pbs.twimg.com/profile_images/988971255679324162/jrqiIYf__normal.jpg","View")</f>
        <v>View</v>
      </c>
      <c r="P2326" s="7"/>
    </row>
    <row r="2327" spans="1:16">
      <c r="A2327" s="3">
        <v>44358.271516203706</v>
      </c>
      <c r="B2327" s="4" t="str">
        <f>HYPERLINK("https://twitter.com/sergio_fajardo","@sergio_fajardo")</f>
        <v>@sergio_fajardo</v>
      </c>
      <c r="C2327" s="5" t="s">
        <v>16</v>
      </c>
      <c r="D2327" s="5" t="s">
        <v>2348</v>
      </c>
      <c r="E2327" s="6" t="str">
        <f>HYPERLINK("https://twitter.com/sergio_fajardo/status/1403155267815153665","1403155267815153665")</f>
        <v>1403155267815153665</v>
      </c>
      <c r="F2327" s="7" t="s">
        <v>23</v>
      </c>
      <c r="G2327" s="7">
        <v>1588460</v>
      </c>
      <c r="H2327" s="7">
        <v>419</v>
      </c>
      <c r="I2327" s="7">
        <v>0</v>
      </c>
      <c r="J2327" s="7">
        <v>0</v>
      </c>
      <c r="K2327" s="7" t="s">
        <v>18</v>
      </c>
      <c r="L2327" s="8">
        <v>39891.213356481479</v>
      </c>
      <c r="M2327" s="9" t="s">
        <v>19</v>
      </c>
      <c r="N2327" s="9" t="s">
        <v>22</v>
      </c>
      <c r="O2327" s="6" t="str">
        <f>HYPERLINK("https://pbs.twimg.com/profile_images/988971255679324162/jrqiIYf__normal.jpg","View")</f>
        <v>View</v>
      </c>
      <c r="P2327" s="7"/>
    </row>
    <row r="2328" spans="1:16">
      <c r="A2328" s="3">
        <v>44358.273969907408</v>
      </c>
      <c r="B2328" s="4" t="str">
        <f>HYPERLINK("https://twitter.com/sergio_fajardo","@sergio_fajardo")</f>
        <v>@sergio_fajardo</v>
      </c>
      <c r="C2328" s="5" t="s">
        <v>16</v>
      </c>
      <c r="D2328" s="5" t="s">
        <v>2349</v>
      </c>
      <c r="E2328" s="6" t="str">
        <f>HYPERLINK("https://twitter.com/sergio_fajardo/status/1403156157498376193","1403156157498376193")</f>
        <v>1403156157498376193</v>
      </c>
      <c r="F2328" s="7" t="s">
        <v>23</v>
      </c>
      <c r="G2328" s="7">
        <v>1588458</v>
      </c>
      <c r="H2328" s="7">
        <v>420</v>
      </c>
      <c r="I2328" s="7">
        <v>2</v>
      </c>
      <c r="J2328" s="7">
        <v>80</v>
      </c>
      <c r="K2328" s="7" t="s">
        <v>18</v>
      </c>
      <c r="L2328" s="8">
        <v>39891.213356481479</v>
      </c>
      <c r="M2328" s="9" t="s">
        <v>19</v>
      </c>
      <c r="N2328" s="9" t="s">
        <v>22</v>
      </c>
      <c r="O2328" s="6" t="str">
        <f>HYPERLINK("https://pbs.twimg.com/profile_images/988971255679324162/jrqiIYf__normal.jpg","View")</f>
        <v>View</v>
      </c>
      <c r="P2328" s="7"/>
    </row>
    <row r="2329" spans="1:16">
      <c r="A2329" s="3">
        <v>44358.274351851855</v>
      </c>
      <c r="B2329" s="4" t="str">
        <f>HYPERLINK("https://twitter.com/sergio_fajardo","@sergio_fajardo")</f>
        <v>@sergio_fajardo</v>
      </c>
      <c r="C2329" s="5" t="s">
        <v>16</v>
      </c>
      <c r="D2329" s="5" t="s">
        <v>2350</v>
      </c>
      <c r="E2329" s="6" t="str">
        <f>HYPERLINK("https://twitter.com/sergio_fajardo/status/1403156294131933186","1403156294131933186")</f>
        <v>1403156294131933186</v>
      </c>
      <c r="F2329" s="7" t="s">
        <v>23</v>
      </c>
      <c r="G2329" s="7">
        <v>1588458</v>
      </c>
      <c r="H2329" s="7">
        <v>420</v>
      </c>
      <c r="I2329" s="7">
        <v>4</v>
      </c>
      <c r="J2329" s="7">
        <v>0</v>
      </c>
      <c r="K2329" s="7" t="s">
        <v>18</v>
      </c>
      <c r="L2329" s="8">
        <v>39891.213356481479</v>
      </c>
      <c r="M2329" s="9" t="s">
        <v>19</v>
      </c>
      <c r="N2329" s="9" t="s">
        <v>22</v>
      </c>
      <c r="O2329" s="6" t="str">
        <f>HYPERLINK("https://pbs.twimg.com/profile_images/988971255679324162/jrqiIYf__normal.jpg","View")</f>
        <v>View</v>
      </c>
      <c r="P2329" s="7"/>
    </row>
    <row r="2330" spans="1:16">
      <c r="A2330" s="3">
        <v>44358.275590277779</v>
      </c>
      <c r="B2330" s="4" t="str">
        <f>HYPERLINK("https://twitter.com/sergio_fajardo","@sergio_fajardo")</f>
        <v>@sergio_fajardo</v>
      </c>
      <c r="C2330" s="5" t="s">
        <v>16</v>
      </c>
      <c r="D2330" s="5" t="s">
        <v>2351</v>
      </c>
      <c r="E2330" s="6" t="str">
        <f>HYPERLINK("https://twitter.com/sergio_fajardo/status/1403156744646410247","1403156744646410247")</f>
        <v>1403156744646410247</v>
      </c>
      <c r="F2330" s="7" t="s">
        <v>23</v>
      </c>
      <c r="G2330" s="7">
        <v>1588458</v>
      </c>
      <c r="H2330" s="7">
        <v>420</v>
      </c>
      <c r="I2330" s="7">
        <v>0</v>
      </c>
      <c r="J2330" s="7">
        <v>4</v>
      </c>
      <c r="K2330" s="7" t="s">
        <v>18</v>
      </c>
      <c r="L2330" s="8">
        <v>39891.213356481479</v>
      </c>
      <c r="M2330" s="9" t="s">
        <v>19</v>
      </c>
      <c r="N2330" s="9" t="s">
        <v>22</v>
      </c>
      <c r="O2330" s="6" t="str">
        <f>HYPERLINK("https://pbs.twimg.com/profile_images/988971255679324162/jrqiIYf__normal.jpg","View")</f>
        <v>View</v>
      </c>
      <c r="P2330" s="7"/>
    </row>
    <row r="2331" spans="1:16">
      <c r="A2331" s="3">
        <v>44358.276898148149</v>
      </c>
      <c r="B2331" s="4" t="str">
        <f>HYPERLINK("https://twitter.com/sergio_fajardo","@sergio_fajardo")</f>
        <v>@sergio_fajardo</v>
      </c>
      <c r="C2331" s="5" t="s">
        <v>16</v>
      </c>
      <c r="D2331" s="5" t="s">
        <v>2352</v>
      </c>
      <c r="E2331" s="6" t="str">
        <f>HYPERLINK("https://twitter.com/sergio_fajardo/status/1403157215477964800","1403157215477964800")</f>
        <v>1403157215477964800</v>
      </c>
      <c r="F2331" s="7" t="s">
        <v>23</v>
      </c>
      <c r="G2331" s="7">
        <v>1588458</v>
      </c>
      <c r="H2331" s="7">
        <v>420</v>
      </c>
      <c r="I2331" s="7">
        <v>10</v>
      </c>
      <c r="J2331" s="7">
        <v>62</v>
      </c>
      <c r="K2331" s="7" t="s">
        <v>18</v>
      </c>
      <c r="L2331" s="8">
        <v>39891.213356481479</v>
      </c>
      <c r="M2331" s="9" t="s">
        <v>19</v>
      </c>
      <c r="N2331" s="9" t="s">
        <v>22</v>
      </c>
      <c r="O2331" s="6" t="str">
        <f>HYPERLINK("https://pbs.twimg.com/profile_images/988971255679324162/jrqiIYf__normal.jpg","View")</f>
        <v>View</v>
      </c>
      <c r="P2331" s="7"/>
    </row>
    <row r="2332" spans="1:16">
      <c r="A2332" s="3">
        <v>44358.277291666665</v>
      </c>
      <c r="B2332" s="4" t="str">
        <f>HYPERLINK("https://twitter.com/sergio_fajardo","@sergio_fajardo")</f>
        <v>@sergio_fajardo</v>
      </c>
      <c r="C2332" s="5" t="s">
        <v>16</v>
      </c>
      <c r="D2332" s="5" t="s">
        <v>2353</v>
      </c>
      <c r="E2332" s="6" t="str">
        <f>HYPERLINK("https://twitter.com/sergio_fajardo/status/1403157358239535112","1403157358239535112")</f>
        <v>1403157358239535112</v>
      </c>
      <c r="F2332" s="7" t="s">
        <v>23</v>
      </c>
      <c r="G2332" s="7">
        <v>1588458</v>
      </c>
      <c r="H2332" s="7">
        <v>420</v>
      </c>
      <c r="I2332" s="7">
        <v>2</v>
      </c>
      <c r="J2332" s="7">
        <v>2</v>
      </c>
      <c r="K2332" s="7" t="s">
        <v>18</v>
      </c>
      <c r="L2332" s="8">
        <v>39891.213356481479</v>
      </c>
      <c r="M2332" s="9" t="s">
        <v>19</v>
      </c>
      <c r="N2332" s="9" t="s">
        <v>22</v>
      </c>
      <c r="O2332" s="6" t="str">
        <f>HYPERLINK("https://pbs.twimg.com/profile_images/988971255679324162/jrqiIYf__normal.jpg","View")</f>
        <v>View</v>
      </c>
      <c r="P2332" s="7"/>
    </row>
    <row r="2333" spans="1:16">
      <c r="A2333" s="3">
        <v>44358.279918981483</v>
      </c>
      <c r="B2333" s="4" t="str">
        <f>HYPERLINK("https://twitter.com/sergio_fajardo","@sergio_fajardo")</f>
        <v>@sergio_fajardo</v>
      </c>
      <c r="C2333" s="5" t="s">
        <v>16</v>
      </c>
      <c r="D2333" s="5" t="s">
        <v>2354</v>
      </c>
      <c r="E2333" s="6" t="str">
        <f>HYPERLINK("https://twitter.com/sergio_fajardo/status/1403158311353061381","1403158311353061381")</f>
        <v>1403158311353061381</v>
      </c>
      <c r="F2333" s="7" t="s">
        <v>23</v>
      </c>
      <c r="G2333" s="7">
        <v>1588458</v>
      </c>
      <c r="H2333" s="7">
        <v>420</v>
      </c>
      <c r="I2333" s="7">
        <v>4</v>
      </c>
      <c r="J2333" s="7">
        <v>94</v>
      </c>
      <c r="K2333" s="7" t="s">
        <v>18</v>
      </c>
      <c r="L2333" s="8">
        <v>39891.213356481479</v>
      </c>
      <c r="M2333" s="9" t="s">
        <v>19</v>
      </c>
      <c r="N2333" s="9" t="s">
        <v>22</v>
      </c>
      <c r="O2333" s="6" t="str">
        <f>HYPERLINK("https://pbs.twimg.com/profile_images/988971255679324162/jrqiIYf__normal.jpg","View")</f>
        <v>View</v>
      </c>
      <c r="P2333" s="7"/>
    </row>
    <row r="2334" spans="1:16">
      <c r="A2334" s="3">
        <v>44358.282291666663</v>
      </c>
      <c r="B2334" s="4" t="str">
        <f>HYPERLINK("https://twitter.com/sergio_fajardo","@sergio_fajardo")</f>
        <v>@sergio_fajardo</v>
      </c>
      <c r="C2334" s="5" t="s">
        <v>16</v>
      </c>
      <c r="D2334" s="5" t="s">
        <v>2355</v>
      </c>
      <c r="E2334" s="6" t="str">
        <f>HYPERLINK("https://twitter.com/sergio_fajardo/status/1403159172888334337","1403159172888334337")</f>
        <v>1403159172888334337</v>
      </c>
      <c r="F2334" s="7" t="s">
        <v>23</v>
      </c>
      <c r="G2334" s="7">
        <v>1588458</v>
      </c>
      <c r="H2334" s="7">
        <v>420</v>
      </c>
      <c r="I2334" s="7">
        <v>8</v>
      </c>
      <c r="J2334" s="7">
        <v>0</v>
      </c>
      <c r="K2334" s="7" t="s">
        <v>18</v>
      </c>
      <c r="L2334" s="8">
        <v>39891.213356481479</v>
      </c>
      <c r="M2334" s="9" t="s">
        <v>19</v>
      </c>
      <c r="N2334" s="9" t="s">
        <v>22</v>
      </c>
      <c r="O2334" s="6" t="str">
        <f>HYPERLINK("https://pbs.twimg.com/profile_images/988971255679324162/jrqiIYf__normal.jpg","View")</f>
        <v>View</v>
      </c>
      <c r="P2334" s="7"/>
    </row>
    <row r="2335" spans="1:16">
      <c r="A2335" s="3">
        <v>44358.28329861111</v>
      </c>
      <c r="B2335" s="4" t="str">
        <f>HYPERLINK("https://twitter.com/sergio_fajardo","@sergio_fajardo")</f>
        <v>@sergio_fajardo</v>
      </c>
      <c r="C2335" s="5" t="s">
        <v>16</v>
      </c>
      <c r="D2335" s="5" t="s">
        <v>2356</v>
      </c>
      <c r="E2335" s="6" t="str">
        <f>HYPERLINK("https://twitter.com/sergio_fajardo/status/1403159535733424130","1403159535733424130")</f>
        <v>1403159535733424130</v>
      </c>
      <c r="F2335" s="7" t="s">
        <v>23</v>
      </c>
      <c r="G2335" s="7">
        <v>1588458</v>
      </c>
      <c r="H2335" s="7">
        <v>420</v>
      </c>
      <c r="I2335" s="7">
        <v>3</v>
      </c>
      <c r="J2335" s="7">
        <v>0</v>
      </c>
      <c r="K2335" s="7" t="s">
        <v>18</v>
      </c>
      <c r="L2335" s="8">
        <v>39891.213356481479</v>
      </c>
      <c r="M2335" s="9" t="s">
        <v>19</v>
      </c>
      <c r="N2335" s="9" t="s">
        <v>22</v>
      </c>
      <c r="O2335" s="6" t="str">
        <f>HYPERLINK("https://pbs.twimg.com/profile_images/988971255679324162/jrqiIYf__normal.jpg","View")</f>
        <v>View</v>
      </c>
      <c r="P2335" s="7"/>
    </row>
    <row r="2336" spans="1:16">
      <c r="A2336" s="3">
        <v>44358.284872685181</v>
      </c>
      <c r="B2336" s="4" t="str">
        <f>HYPERLINK("https://twitter.com/sergio_fajardo","@sergio_fajardo")</f>
        <v>@sergio_fajardo</v>
      </c>
      <c r="C2336" s="5" t="s">
        <v>16</v>
      </c>
      <c r="D2336" s="5" t="s">
        <v>2357</v>
      </c>
      <c r="E2336" s="6" t="str">
        <f>HYPERLINK("https://twitter.com/sergio_fajardo/status/1403160106930511872","1403160106930511872")</f>
        <v>1403160106930511872</v>
      </c>
      <c r="F2336" s="7" t="s">
        <v>23</v>
      </c>
      <c r="G2336" s="7">
        <v>1588458</v>
      </c>
      <c r="H2336" s="7">
        <v>420</v>
      </c>
      <c r="I2336" s="7">
        <v>10</v>
      </c>
      <c r="J2336" s="7">
        <v>108</v>
      </c>
      <c r="K2336" s="7" t="s">
        <v>18</v>
      </c>
      <c r="L2336" s="8">
        <v>39891.213356481479</v>
      </c>
      <c r="M2336" s="9" t="s">
        <v>19</v>
      </c>
      <c r="N2336" s="9" t="s">
        <v>22</v>
      </c>
      <c r="O2336" s="6" t="str">
        <f>HYPERLINK("https://pbs.twimg.com/profile_images/988971255679324162/jrqiIYf__normal.jpg","View")</f>
        <v>View</v>
      </c>
      <c r="P2336" s="7"/>
    </row>
    <row r="2337" spans="1:16">
      <c r="A2337" s="3">
        <v>44358.286469907413</v>
      </c>
      <c r="B2337" s="4" t="str">
        <f>HYPERLINK("https://twitter.com/sergio_fajardo","@sergio_fajardo")</f>
        <v>@sergio_fajardo</v>
      </c>
      <c r="C2337" s="5" t="s">
        <v>16</v>
      </c>
      <c r="D2337" s="5" t="s">
        <v>2358</v>
      </c>
      <c r="E2337" s="6" t="str">
        <f>HYPERLINK("https://twitter.com/sergio_fajardo/status/1403160686222512131","1403160686222512131")</f>
        <v>1403160686222512131</v>
      </c>
      <c r="F2337" s="7" t="s">
        <v>23</v>
      </c>
      <c r="G2337" s="7">
        <v>1588458</v>
      </c>
      <c r="H2337" s="7">
        <v>420</v>
      </c>
      <c r="I2337" s="7">
        <v>0</v>
      </c>
      <c r="J2337" s="7">
        <v>1</v>
      </c>
      <c r="K2337" s="7" t="s">
        <v>18</v>
      </c>
      <c r="L2337" s="8">
        <v>39891.213356481479</v>
      </c>
      <c r="M2337" s="9" t="s">
        <v>19</v>
      </c>
      <c r="N2337" s="9" t="s">
        <v>22</v>
      </c>
      <c r="O2337" s="6" t="str">
        <f>HYPERLINK("https://pbs.twimg.com/profile_images/988971255679324162/jrqiIYf__normal.jpg","View")</f>
        <v>View</v>
      </c>
      <c r="P2337" s="7"/>
    </row>
    <row r="2338" spans="1:16">
      <c r="A2338" s="3">
        <v>44358.287650462968</v>
      </c>
      <c r="B2338" s="4" t="str">
        <f>HYPERLINK("https://twitter.com/sergio_fajardo","@sergio_fajardo")</f>
        <v>@sergio_fajardo</v>
      </c>
      <c r="C2338" s="5" t="s">
        <v>16</v>
      </c>
      <c r="D2338" s="5" t="s">
        <v>2359</v>
      </c>
      <c r="E2338" s="6" t="str">
        <f>HYPERLINK("https://twitter.com/sergio_fajardo/status/1403161115148816385","1403161115148816385")</f>
        <v>1403161115148816385</v>
      </c>
      <c r="F2338" s="7" t="s">
        <v>23</v>
      </c>
      <c r="G2338" s="7">
        <v>1588458</v>
      </c>
      <c r="H2338" s="7">
        <v>420</v>
      </c>
      <c r="I2338" s="7">
        <v>6</v>
      </c>
      <c r="J2338" s="7">
        <v>61</v>
      </c>
      <c r="K2338" s="7" t="s">
        <v>18</v>
      </c>
      <c r="L2338" s="8">
        <v>39891.213356481479</v>
      </c>
      <c r="M2338" s="9" t="s">
        <v>19</v>
      </c>
      <c r="N2338" s="9" t="s">
        <v>22</v>
      </c>
      <c r="O2338" s="6" t="str">
        <f>HYPERLINK("https://pbs.twimg.com/profile_images/988971255679324162/jrqiIYf__normal.jpg","View")</f>
        <v>View</v>
      </c>
      <c r="P2338" s="7"/>
    </row>
    <row r="2339" spans="1:16">
      <c r="A2339" s="3">
        <v>44358.288819444446</v>
      </c>
      <c r="B2339" s="4" t="str">
        <f>HYPERLINK("https://twitter.com/sergio_fajardo","@sergio_fajardo")</f>
        <v>@sergio_fajardo</v>
      </c>
      <c r="C2339" s="5" t="s">
        <v>16</v>
      </c>
      <c r="D2339" s="5" t="s">
        <v>2360</v>
      </c>
      <c r="E2339" s="6" t="str">
        <f>HYPERLINK("https://twitter.com/sergio_fajardo/status/1403161537381027843","1403161537381027843")</f>
        <v>1403161537381027843</v>
      </c>
      <c r="F2339" s="7" t="s">
        <v>23</v>
      </c>
      <c r="G2339" s="7">
        <v>1588458</v>
      </c>
      <c r="H2339" s="7">
        <v>420</v>
      </c>
      <c r="I2339" s="7">
        <v>0</v>
      </c>
      <c r="J2339" s="7">
        <v>0</v>
      </c>
      <c r="K2339" s="7" t="s">
        <v>18</v>
      </c>
      <c r="L2339" s="8">
        <v>39891.213356481479</v>
      </c>
      <c r="M2339" s="9" t="s">
        <v>19</v>
      </c>
      <c r="N2339" s="9" t="s">
        <v>22</v>
      </c>
      <c r="O2339" s="6" t="str">
        <f>HYPERLINK("https://pbs.twimg.com/profile_images/988971255679324162/jrqiIYf__normal.jpg","View")</f>
        <v>View</v>
      </c>
      <c r="P2339" s="7"/>
    </row>
    <row r="2340" spans="1:16">
      <c r="A2340" s="3">
        <v>44358.289664351847</v>
      </c>
      <c r="B2340" s="4" t="str">
        <f>HYPERLINK("https://twitter.com/sergio_fajardo","@sergio_fajardo")</f>
        <v>@sergio_fajardo</v>
      </c>
      <c r="C2340" s="5" t="s">
        <v>16</v>
      </c>
      <c r="D2340" s="5" t="s">
        <v>2361</v>
      </c>
      <c r="E2340" s="6" t="str">
        <f>HYPERLINK("https://twitter.com/sergio_fajardo/status/1403161841623351297","1403161841623351297")</f>
        <v>1403161841623351297</v>
      </c>
      <c r="F2340" s="7" t="s">
        <v>23</v>
      </c>
      <c r="G2340" s="7">
        <v>1588458</v>
      </c>
      <c r="H2340" s="7">
        <v>420</v>
      </c>
      <c r="I2340" s="7">
        <v>0</v>
      </c>
      <c r="J2340" s="7">
        <v>3</v>
      </c>
      <c r="K2340" s="7" t="s">
        <v>18</v>
      </c>
      <c r="L2340" s="8">
        <v>39891.213356481479</v>
      </c>
      <c r="M2340" s="9" t="s">
        <v>19</v>
      </c>
      <c r="N2340" s="9" t="s">
        <v>22</v>
      </c>
      <c r="O2340" s="6" t="str">
        <f>HYPERLINK("https://pbs.twimg.com/profile_images/988971255679324162/jrqiIYf__normal.jpg","View")</f>
        <v>View</v>
      </c>
      <c r="P2340" s="7"/>
    </row>
    <row r="2341" spans="1:16">
      <c r="A2341" s="3">
        <v>44358.29179398148</v>
      </c>
      <c r="B2341" s="4" t="str">
        <f>HYPERLINK("https://twitter.com/sergio_fajardo","@sergio_fajardo")</f>
        <v>@sergio_fajardo</v>
      </c>
      <c r="C2341" s="5" t="s">
        <v>16</v>
      </c>
      <c r="D2341" s="5" t="s">
        <v>2362</v>
      </c>
      <c r="E2341" s="6" t="str">
        <f>HYPERLINK("https://twitter.com/sergio_fajardo/status/1403162613278773248","1403162613278773248")</f>
        <v>1403162613278773248</v>
      </c>
      <c r="F2341" s="7" t="s">
        <v>23</v>
      </c>
      <c r="G2341" s="7">
        <v>1588458</v>
      </c>
      <c r="H2341" s="7">
        <v>420</v>
      </c>
      <c r="I2341" s="7">
        <v>0</v>
      </c>
      <c r="J2341" s="7">
        <v>0</v>
      </c>
      <c r="K2341" s="7" t="s">
        <v>18</v>
      </c>
      <c r="L2341" s="8">
        <v>39891.213356481479</v>
      </c>
      <c r="M2341" s="9" t="s">
        <v>19</v>
      </c>
      <c r="N2341" s="9" t="s">
        <v>22</v>
      </c>
      <c r="O2341" s="6" t="str">
        <f>HYPERLINK("https://pbs.twimg.com/profile_images/988971255679324162/jrqiIYf__normal.jpg","View")</f>
        <v>View</v>
      </c>
      <c r="P2341" s="7"/>
    </row>
    <row r="2342" spans="1:16">
      <c r="A2342" s="3">
        <v>44358.292488425926</v>
      </c>
      <c r="B2342" s="4" t="str">
        <f>HYPERLINK("https://twitter.com/sergio_fajardo","@sergio_fajardo")</f>
        <v>@sergio_fajardo</v>
      </c>
      <c r="C2342" s="5" t="s">
        <v>16</v>
      </c>
      <c r="D2342" s="5" t="s">
        <v>2363</v>
      </c>
      <c r="E2342" s="6" t="str">
        <f>HYPERLINK("https://twitter.com/sergio_fajardo/status/1403162865452916736","1403162865452916736")</f>
        <v>1403162865452916736</v>
      </c>
      <c r="F2342" s="7" t="s">
        <v>23</v>
      </c>
      <c r="G2342" s="7">
        <v>1588458</v>
      </c>
      <c r="H2342" s="7">
        <v>420</v>
      </c>
      <c r="I2342" s="7">
        <v>5</v>
      </c>
      <c r="J2342" s="7">
        <v>0</v>
      </c>
      <c r="K2342" s="7" t="s">
        <v>18</v>
      </c>
      <c r="L2342" s="8">
        <v>39891.213356481479</v>
      </c>
      <c r="M2342" s="9" t="s">
        <v>19</v>
      </c>
      <c r="N2342" s="9" t="s">
        <v>22</v>
      </c>
      <c r="O2342" s="6" t="str">
        <f>HYPERLINK("https://pbs.twimg.com/profile_images/988971255679324162/jrqiIYf__normal.jpg","View")</f>
        <v>View</v>
      </c>
      <c r="P2342" s="7"/>
    </row>
    <row r="2343" spans="1:16">
      <c r="A2343" s="3">
        <v>44358.29487268519</v>
      </c>
      <c r="B2343" s="4" t="str">
        <f>HYPERLINK("https://twitter.com/sergio_fajardo","@sergio_fajardo")</f>
        <v>@sergio_fajardo</v>
      </c>
      <c r="C2343" s="5" t="s">
        <v>16</v>
      </c>
      <c r="D2343" s="5" t="s">
        <v>2364</v>
      </c>
      <c r="E2343" s="6" t="str">
        <f>HYPERLINK("https://twitter.com/sergio_fajardo/status/1403163732348440576","1403163732348440576")</f>
        <v>1403163732348440576</v>
      </c>
      <c r="F2343" s="7" t="s">
        <v>23</v>
      </c>
      <c r="G2343" s="7">
        <v>1588458</v>
      </c>
      <c r="H2343" s="7">
        <v>420</v>
      </c>
      <c r="I2343" s="7">
        <v>4</v>
      </c>
      <c r="J2343" s="7">
        <v>45</v>
      </c>
      <c r="K2343" s="7" t="s">
        <v>18</v>
      </c>
      <c r="L2343" s="8">
        <v>39891.213356481479</v>
      </c>
      <c r="M2343" s="9" t="s">
        <v>19</v>
      </c>
      <c r="N2343" s="9" t="s">
        <v>22</v>
      </c>
      <c r="O2343" s="6" t="str">
        <f>HYPERLINK("https://pbs.twimg.com/profile_images/988971255679324162/jrqiIYf__normal.jpg","View")</f>
        <v>View</v>
      </c>
      <c r="P2343" s="7"/>
    </row>
    <row r="2344" spans="1:16">
      <c r="A2344" s="3">
        <v>44358.299004629633</v>
      </c>
      <c r="B2344" s="4" t="str">
        <f>HYPERLINK("https://twitter.com/sergio_fajardo","@sergio_fajardo")</f>
        <v>@sergio_fajardo</v>
      </c>
      <c r="C2344" s="5" t="s">
        <v>16</v>
      </c>
      <c r="D2344" s="5" t="s">
        <v>2365</v>
      </c>
      <c r="E2344" s="6" t="str">
        <f>HYPERLINK("https://twitter.com/sergio_fajardo/status/1403165226917314562","1403165226917314562")</f>
        <v>1403165226917314562</v>
      </c>
      <c r="F2344" s="7" t="s">
        <v>23</v>
      </c>
      <c r="G2344" s="7">
        <v>1588458</v>
      </c>
      <c r="H2344" s="7">
        <v>420</v>
      </c>
      <c r="I2344" s="7">
        <v>10</v>
      </c>
      <c r="J2344" s="7">
        <v>133</v>
      </c>
      <c r="K2344" s="7" t="s">
        <v>18</v>
      </c>
      <c r="L2344" s="8">
        <v>39891.213356481479</v>
      </c>
      <c r="M2344" s="9" t="s">
        <v>19</v>
      </c>
      <c r="N2344" s="9" t="s">
        <v>22</v>
      </c>
      <c r="O2344" s="6" t="str">
        <f>HYPERLINK("https://pbs.twimg.com/profile_images/988971255679324162/jrqiIYf__normal.jpg","View")</f>
        <v>View</v>
      </c>
      <c r="P2344" s="7"/>
    </row>
    <row r="2345" spans="1:16">
      <c r="A2345" s="3">
        <v>44358.300509259258</v>
      </c>
      <c r="B2345" s="4" t="str">
        <f>HYPERLINK("https://twitter.com/sergio_fajardo","@sergio_fajardo")</f>
        <v>@sergio_fajardo</v>
      </c>
      <c r="C2345" s="5" t="s">
        <v>16</v>
      </c>
      <c r="D2345" s="5" t="s">
        <v>2366</v>
      </c>
      <c r="E2345" s="6" t="str">
        <f>HYPERLINK("https://twitter.com/sergio_fajardo/status/1403165771807825921","1403165771807825921")</f>
        <v>1403165771807825921</v>
      </c>
      <c r="F2345" s="7" t="s">
        <v>23</v>
      </c>
      <c r="G2345" s="7">
        <v>1588458</v>
      </c>
      <c r="H2345" s="7">
        <v>420</v>
      </c>
      <c r="I2345" s="7">
        <v>5</v>
      </c>
      <c r="J2345" s="7">
        <v>0</v>
      </c>
      <c r="K2345" s="7" t="s">
        <v>18</v>
      </c>
      <c r="L2345" s="8">
        <v>39891.213356481479</v>
      </c>
      <c r="M2345" s="9" t="s">
        <v>19</v>
      </c>
      <c r="N2345" s="9" t="s">
        <v>22</v>
      </c>
      <c r="O2345" s="6" t="str">
        <f>HYPERLINK("https://pbs.twimg.com/profile_images/988971255679324162/jrqiIYf__normal.jpg","View")</f>
        <v>View</v>
      </c>
      <c r="P2345" s="7"/>
    </row>
    <row r="2346" spans="1:16">
      <c r="A2346" s="3">
        <v>44358.301944444444</v>
      </c>
      <c r="B2346" s="4" t="str">
        <f>HYPERLINK("https://twitter.com/sergio_fajardo","@sergio_fajardo")</f>
        <v>@sergio_fajardo</v>
      </c>
      <c r="C2346" s="5" t="s">
        <v>16</v>
      </c>
      <c r="D2346" s="5" t="s">
        <v>2367</v>
      </c>
      <c r="E2346" s="6" t="str">
        <f>HYPERLINK("https://twitter.com/sergio_fajardo/status/1403166292773855232","1403166292773855232")</f>
        <v>1403166292773855232</v>
      </c>
      <c r="F2346" s="7" t="s">
        <v>23</v>
      </c>
      <c r="G2346" s="7">
        <v>1588458</v>
      </c>
      <c r="H2346" s="7">
        <v>420</v>
      </c>
      <c r="I2346" s="7">
        <v>3</v>
      </c>
      <c r="J2346" s="7">
        <v>83</v>
      </c>
      <c r="K2346" s="7" t="s">
        <v>18</v>
      </c>
      <c r="L2346" s="8">
        <v>39891.213356481479</v>
      </c>
      <c r="M2346" s="9" t="s">
        <v>19</v>
      </c>
      <c r="N2346" s="9" t="s">
        <v>22</v>
      </c>
      <c r="O2346" s="6" t="str">
        <f>HYPERLINK("https://pbs.twimg.com/profile_images/988971255679324162/jrqiIYf__normal.jpg","View")</f>
        <v>View</v>
      </c>
      <c r="P2346" s="7"/>
    </row>
    <row r="2347" spans="1:16">
      <c r="A2347" s="3">
        <v>44358.302395833336</v>
      </c>
      <c r="B2347" s="4" t="str">
        <f>HYPERLINK("https://twitter.com/sergio_fajardo","@sergio_fajardo")</f>
        <v>@sergio_fajardo</v>
      </c>
      <c r="C2347" s="5" t="s">
        <v>16</v>
      </c>
      <c r="D2347" s="5" t="s">
        <v>2368</v>
      </c>
      <c r="E2347" s="6" t="str">
        <f>HYPERLINK("https://twitter.com/sergio_fajardo/status/1403166457358389251","1403166457358389251")</f>
        <v>1403166457358389251</v>
      </c>
      <c r="F2347" s="7" t="s">
        <v>23</v>
      </c>
      <c r="G2347" s="7">
        <v>1588458</v>
      </c>
      <c r="H2347" s="7">
        <v>420</v>
      </c>
      <c r="I2347" s="7">
        <v>3</v>
      </c>
      <c r="J2347" s="7">
        <v>0</v>
      </c>
      <c r="K2347" s="7" t="s">
        <v>18</v>
      </c>
      <c r="L2347" s="8">
        <v>39891.213356481479</v>
      </c>
      <c r="M2347" s="9" t="s">
        <v>19</v>
      </c>
      <c r="N2347" s="9" t="s">
        <v>22</v>
      </c>
      <c r="O2347" s="6" t="str">
        <f>HYPERLINK("https://pbs.twimg.com/profile_images/988971255679324162/jrqiIYf__normal.jpg","View")</f>
        <v>View</v>
      </c>
      <c r="P2347" s="7"/>
    </row>
    <row r="2348" spans="1:16">
      <c r="A2348" s="3">
        <v>44358.302615740744</v>
      </c>
      <c r="B2348" s="4" t="str">
        <f>HYPERLINK("https://twitter.com/sergio_fajardo","@sergio_fajardo")</f>
        <v>@sergio_fajardo</v>
      </c>
      <c r="C2348" s="5" t="s">
        <v>16</v>
      </c>
      <c r="D2348" s="5" t="s">
        <v>2369</v>
      </c>
      <c r="E2348" s="6" t="str">
        <f>HYPERLINK("https://twitter.com/sergio_fajardo/status/1403166536194564105","1403166536194564105")</f>
        <v>1403166536194564105</v>
      </c>
      <c r="F2348" s="7" t="s">
        <v>23</v>
      </c>
      <c r="G2348" s="7">
        <v>1588458</v>
      </c>
      <c r="H2348" s="7">
        <v>420</v>
      </c>
      <c r="I2348" s="7">
        <v>4</v>
      </c>
      <c r="J2348" s="7">
        <v>0</v>
      </c>
      <c r="K2348" s="7" t="s">
        <v>18</v>
      </c>
      <c r="L2348" s="8">
        <v>39891.213356481479</v>
      </c>
      <c r="M2348" s="9" t="s">
        <v>19</v>
      </c>
      <c r="N2348" s="9" t="s">
        <v>22</v>
      </c>
      <c r="O2348" s="6" t="str">
        <f>HYPERLINK("https://pbs.twimg.com/profile_images/988971255679324162/jrqiIYf__normal.jpg","View")</f>
        <v>View</v>
      </c>
      <c r="P2348" s="7"/>
    </row>
    <row r="2349" spans="1:16">
      <c r="A2349" s="3">
        <v>44358.304548611108</v>
      </c>
      <c r="B2349" s="4" t="str">
        <f>HYPERLINK("https://twitter.com/sergio_fajardo","@sergio_fajardo")</f>
        <v>@sergio_fajardo</v>
      </c>
      <c r="C2349" s="5" t="s">
        <v>16</v>
      </c>
      <c r="D2349" s="5" t="s">
        <v>2370</v>
      </c>
      <c r="E2349" s="6" t="str">
        <f>HYPERLINK("https://twitter.com/sergio_fajardo/status/1403167238413246472","1403167238413246472")</f>
        <v>1403167238413246472</v>
      </c>
      <c r="F2349" s="7" t="s">
        <v>23</v>
      </c>
      <c r="G2349" s="7">
        <v>1588458</v>
      </c>
      <c r="H2349" s="7">
        <v>420</v>
      </c>
      <c r="I2349" s="7">
        <v>3</v>
      </c>
      <c r="J2349" s="7">
        <v>0</v>
      </c>
      <c r="K2349" s="7" t="s">
        <v>18</v>
      </c>
      <c r="L2349" s="8">
        <v>39891.213356481479</v>
      </c>
      <c r="M2349" s="9" t="s">
        <v>19</v>
      </c>
      <c r="N2349" s="9" t="s">
        <v>22</v>
      </c>
      <c r="O2349" s="6" t="str">
        <f>HYPERLINK("https://pbs.twimg.com/profile_images/988971255679324162/jrqiIYf__normal.jpg","View")</f>
        <v>View</v>
      </c>
      <c r="P2349" s="7"/>
    </row>
    <row r="2350" spans="1:16">
      <c r="A2350" s="3">
        <v>44358.305636574078</v>
      </c>
      <c r="B2350" s="4" t="str">
        <f>HYPERLINK("https://twitter.com/sergio_fajardo","@sergio_fajardo")</f>
        <v>@sergio_fajardo</v>
      </c>
      <c r="C2350" s="5" t="s">
        <v>16</v>
      </c>
      <c r="D2350" s="5" t="s">
        <v>2371</v>
      </c>
      <c r="E2350" s="6" t="str">
        <f>HYPERLINK("https://twitter.com/sergio_fajardo/status/1403167631251738624","1403167631251738624")</f>
        <v>1403167631251738624</v>
      </c>
      <c r="F2350" s="7" t="s">
        <v>23</v>
      </c>
      <c r="G2350" s="7">
        <v>1588458</v>
      </c>
      <c r="H2350" s="7">
        <v>420</v>
      </c>
      <c r="I2350" s="7">
        <v>0</v>
      </c>
      <c r="J2350" s="7">
        <v>43</v>
      </c>
      <c r="K2350" s="7" t="s">
        <v>18</v>
      </c>
      <c r="L2350" s="8">
        <v>39891.213356481479</v>
      </c>
      <c r="M2350" s="9" t="s">
        <v>19</v>
      </c>
      <c r="N2350" s="9" t="s">
        <v>22</v>
      </c>
      <c r="O2350" s="6" t="str">
        <f>HYPERLINK("https://pbs.twimg.com/profile_images/988971255679324162/jrqiIYf__normal.jpg","View")</f>
        <v>View</v>
      </c>
      <c r="P2350" s="7"/>
    </row>
    <row r="2351" spans="1:16">
      <c r="A2351" s="3">
        <v>44358.306817129633</v>
      </c>
      <c r="B2351" s="4" t="str">
        <f>HYPERLINK("https://twitter.com/sergio_fajardo","@sergio_fajardo")</f>
        <v>@sergio_fajardo</v>
      </c>
      <c r="C2351" s="5" t="s">
        <v>16</v>
      </c>
      <c r="D2351" s="5" t="s">
        <v>2372</v>
      </c>
      <c r="E2351" s="6" t="str">
        <f>HYPERLINK("https://twitter.com/sergio_fajardo/status/1403168057615392771","1403168057615392771")</f>
        <v>1403168057615392771</v>
      </c>
      <c r="F2351" s="7" t="s">
        <v>23</v>
      </c>
      <c r="G2351" s="7">
        <v>1588458</v>
      </c>
      <c r="H2351" s="7">
        <v>420</v>
      </c>
      <c r="I2351" s="7">
        <v>2</v>
      </c>
      <c r="J2351" s="7">
        <v>35</v>
      </c>
      <c r="K2351" s="7" t="s">
        <v>18</v>
      </c>
      <c r="L2351" s="8">
        <v>39891.213356481479</v>
      </c>
      <c r="M2351" s="9" t="s">
        <v>19</v>
      </c>
      <c r="N2351" s="9" t="s">
        <v>22</v>
      </c>
      <c r="O2351" s="6" t="str">
        <f>HYPERLINK("https://pbs.twimg.com/profile_images/988971255679324162/jrqiIYf__normal.jpg","View")</f>
        <v>View</v>
      </c>
      <c r="P2351" s="7"/>
    </row>
    <row r="2352" spans="1:16">
      <c r="A2352" s="3">
        <v>44358.306990740741</v>
      </c>
      <c r="B2352" s="4" t="str">
        <f>HYPERLINK("https://twitter.com/sergio_fajardo","@sergio_fajardo")</f>
        <v>@sergio_fajardo</v>
      </c>
      <c r="C2352" s="5" t="s">
        <v>16</v>
      </c>
      <c r="D2352" s="5" t="s">
        <v>2373</v>
      </c>
      <c r="E2352" s="6" t="str">
        <f>HYPERLINK("https://twitter.com/sergio_fajardo/status/1403168121448538112","1403168121448538112")</f>
        <v>1403168121448538112</v>
      </c>
      <c r="F2352" s="7" t="s">
        <v>23</v>
      </c>
      <c r="G2352" s="7">
        <v>1588458</v>
      </c>
      <c r="H2352" s="7">
        <v>420</v>
      </c>
      <c r="I2352" s="7">
        <v>5</v>
      </c>
      <c r="J2352" s="7">
        <v>0</v>
      </c>
      <c r="K2352" s="7" t="s">
        <v>18</v>
      </c>
      <c r="L2352" s="8">
        <v>39891.213356481479</v>
      </c>
      <c r="M2352" s="9" t="s">
        <v>19</v>
      </c>
      <c r="N2352" s="9" t="s">
        <v>22</v>
      </c>
      <c r="O2352" s="6" t="str">
        <f>HYPERLINK("https://pbs.twimg.com/profile_images/988971255679324162/jrqiIYf__normal.jpg","View")</f>
        <v>View</v>
      </c>
      <c r="P2352" s="7"/>
    </row>
    <row r="2353" spans="1:16">
      <c r="A2353" s="3">
        <v>44358.30850694445</v>
      </c>
      <c r="B2353" s="4" t="str">
        <f>HYPERLINK("https://twitter.com/sergio_fajardo","@sergio_fajardo")</f>
        <v>@sergio_fajardo</v>
      </c>
      <c r="C2353" s="5" t="s">
        <v>16</v>
      </c>
      <c r="D2353" s="5" t="s">
        <v>2374</v>
      </c>
      <c r="E2353" s="6" t="str">
        <f>HYPERLINK("https://twitter.com/sergio_fajardo/status/1403168670273187846","1403168670273187846")</f>
        <v>1403168670273187846</v>
      </c>
      <c r="F2353" s="7" t="s">
        <v>23</v>
      </c>
      <c r="G2353" s="7">
        <v>1588458</v>
      </c>
      <c r="H2353" s="7">
        <v>420</v>
      </c>
      <c r="I2353" s="7">
        <v>0</v>
      </c>
      <c r="J2353" s="7">
        <v>21</v>
      </c>
      <c r="K2353" s="7" t="s">
        <v>18</v>
      </c>
      <c r="L2353" s="8">
        <v>39891.213356481479</v>
      </c>
      <c r="M2353" s="9" t="s">
        <v>19</v>
      </c>
      <c r="N2353" s="9" t="s">
        <v>22</v>
      </c>
      <c r="O2353" s="6" t="str">
        <f>HYPERLINK("https://pbs.twimg.com/profile_images/988971255679324162/jrqiIYf__normal.jpg","View")</f>
        <v>View</v>
      </c>
      <c r="P2353" s="7"/>
    </row>
    <row r="2354" spans="1:16">
      <c r="A2354" s="3">
        <v>44358.30940972222</v>
      </c>
      <c r="B2354" s="4" t="str">
        <f>HYPERLINK("https://twitter.com/sergio_fajardo","@sergio_fajardo")</f>
        <v>@sergio_fajardo</v>
      </c>
      <c r="C2354" s="5" t="s">
        <v>16</v>
      </c>
      <c r="D2354" s="5" t="s">
        <v>2375</v>
      </c>
      <c r="E2354" s="6" t="str">
        <f>HYPERLINK("https://twitter.com/sergio_fajardo/status/1403168997315592196","1403168997315592196")</f>
        <v>1403168997315592196</v>
      </c>
      <c r="F2354" s="7" t="s">
        <v>23</v>
      </c>
      <c r="G2354" s="7">
        <v>1588458</v>
      </c>
      <c r="H2354" s="7">
        <v>420</v>
      </c>
      <c r="I2354" s="7">
        <v>3</v>
      </c>
      <c r="J2354" s="7">
        <v>22</v>
      </c>
      <c r="K2354" s="7" t="s">
        <v>18</v>
      </c>
      <c r="L2354" s="8">
        <v>39891.213356481479</v>
      </c>
      <c r="M2354" s="9" t="s">
        <v>19</v>
      </c>
      <c r="N2354" s="9" t="s">
        <v>22</v>
      </c>
      <c r="O2354" s="6" t="str">
        <f>HYPERLINK("https://pbs.twimg.com/profile_images/988971255679324162/jrqiIYf__normal.jpg","View")</f>
        <v>View</v>
      </c>
      <c r="P2354" s="7"/>
    </row>
    <row r="2355" spans="1:16">
      <c r="A2355" s="3">
        <v>44358.310717592598</v>
      </c>
      <c r="B2355" s="4" t="str">
        <f>HYPERLINK("https://twitter.com/sergio_fajardo","@sergio_fajardo")</f>
        <v>@sergio_fajardo</v>
      </c>
      <c r="C2355" s="5" t="s">
        <v>16</v>
      </c>
      <c r="D2355" s="5" t="s">
        <v>2376</v>
      </c>
      <c r="E2355" s="6" t="str">
        <f>HYPERLINK("https://twitter.com/sergio_fajardo/status/1403169474363199494","1403169474363199494")</f>
        <v>1403169474363199494</v>
      </c>
      <c r="F2355" s="7" t="s">
        <v>23</v>
      </c>
      <c r="G2355" s="7">
        <v>1588458</v>
      </c>
      <c r="H2355" s="7">
        <v>420</v>
      </c>
      <c r="I2355" s="7">
        <v>6</v>
      </c>
      <c r="J2355" s="7">
        <v>0</v>
      </c>
      <c r="K2355" s="7" t="s">
        <v>18</v>
      </c>
      <c r="L2355" s="8">
        <v>39891.213356481479</v>
      </c>
      <c r="M2355" s="9" t="s">
        <v>19</v>
      </c>
      <c r="N2355" s="9" t="s">
        <v>22</v>
      </c>
      <c r="O2355" s="6" t="str">
        <f>HYPERLINK("https://pbs.twimg.com/profile_images/988971255679324162/jrqiIYf__normal.jpg","View")</f>
        <v>View</v>
      </c>
      <c r="P2355" s="7"/>
    </row>
    <row r="2356" spans="1:16">
      <c r="A2356" s="3">
        <v>44358.311782407407</v>
      </c>
      <c r="B2356" s="4" t="str">
        <f>HYPERLINK("https://twitter.com/sergio_fajardo","@sergio_fajardo")</f>
        <v>@sergio_fajardo</v>
      </c>
      <c r="C2356" s="5" t="s">
        <v>16</v>
      </c>
      <c r="D2356" s="5" t="s">
        <v>2377</v>
      </c>
      <c r="E2356" s="6" t="str">
        <f>HYPERLINK("https://twitter.com/sergio_fajardo/status/1403169857877782528","1403169857877782528")</f>
        <v>1403169857877782528</v>
      </c>
      <c r="F2356" s="7" t="s">
        <v>23</v>
      </c>
      <c r="G2356" s="7">
        <v>1588458</v>
      </c>
      <c r="H2356" s="7">
        <v>420</v>
      </c>
      <c r="I2356" s="7">
        <v>4</v>
      </c>
      <c r="J2356" s="7">
        <v>0</v>
      </c>
      <c r="K2356" s="7" t="s">
        <v>18</v>
      </c>
      <c r="L2356" s="8">
        <v>39891.213356481479</v>
      </c>
      <c r="M2356" s="9" t="s">
        <v>19</v>
      </c>
      <c r="N2356" s="9" t="s">
        <v>22</v>
      </c>
      <c r="O2356" s="6" t="str">
        <f>HYPERLINK("https://pbs.twimg.com/profile_images/988971255679324162/jrqiIYf__normal.jpg","View")</f>
        <v>View</v>
      </c>
      <c r="P2356" s="7"/>
    </row>
    <row r="2357" spans="1:16">
      <c r="A2357" s="3">
        <v>44358.315092592587</v>
      </c>
      <c r="B2357" s="4" t="str">
        <f>HYPERLINK("https://twitter.com/sergio_fajardo","@sergio_fajardo")</f>
        <v>@sergio_fajardo</v>
      </c>
      <c r="C2357" s="5" t="s">
        <v>16</v>
      </c>
      <c r="D2357" s="5" t="s">
        <v>2378</v>
      </c>
      <c r="E2357" s="6" t="str">
        <f>HYPERLINK("https://twitter.com/sergio_fajardo/status/1403171059910819848","1403171059910819848")</f>
        <v>1403171059910819848</v>
      </c>
      <c r="F2357" s="7" t="s">
        <v>23</v>
      </c>
      <c r="G2357" s="7">
        <v>1588454</v>
      </c>
      <c r="H2357" s="7">
        <v>420</v>
      </c>
      <c r="I2357" s="7">
        <v>22</v>
      </c>
      <c r="J2357" s="7">
        <v>168</v>
      </c>
      <c r="K2357" s="7" t="s">
        <v>18</v>
      </c>
      <c r="L2357" s="8">
        <v>39891.213356481479</v>
      </c>
      <c r="M2357" s="9" t="s">
        <v>19</v>
      </c>
      <c r="N2357" s="9" t="s">
        <v>22</v>
      </c>
      <c r="O2357" s="6" t="str">
        <f>HYPERLINK("https://pbs.twimg.com/profile_images/988971255679324162/jrqiIYf__normal.jpg","View")</f>
        <v>View</v>
      </c>
      <c r="P2357" s="7"/>
    </row>
    <row r="2358" spans="1:16">
      <c r="A2358" s="3">
        <v>44358.916168981479</v>
      </c>
      <c r="B2358" s="4" t="str">
        <f>HYPERLINK("https://twitter.com/sergio_fajardo","@sergio_fajardo")</f>
        <v>@sergio_fajardo</v>
      </c>
      <c r="C2358" s="5" t="s">
        <v>16</v>
      </c>
      <c r="D2358" s="5" t="s">
        <v>2379</v>
      </c>
      <c r="E2358" s="6" t="str">
        <f>HYPERLINK("https://twitter.com/sergio_fajardo/status/1403388880183758852","1403388880183758852")</f>
        <v>1403388880183758852</v>
      </c>
      <c r="F2358" s="7" t="s">
        <v>17</v>
      </c>
      <c r="G2358" s="7">
        <v>1588435</v>
      </c>
      <c r="H2358" s="7">
        <v>420</v>
      </c>
      <c r="I2358" s="7">
        <v>10</v>
      </c>
      <c r="J2358" s="7">
        <v>0</v>
      </c>
      <c r="K2358" s="7" t="s">
        <v>18</v>
      </c>
      <c r="L2358" s="8">
        <v>39891.213356481479</v>
      </c>
      <c r="M2358" s="9" t="s">
        <v>19</v>
      </c>
      <c r="N2358" s="9" t="s">
        <v>22</v>
      </c>
      <c r="O2358" s="6" t="str">
        <f>HYPERLINK("https://pbs.twimg.com/profile_images/988971255679324162/jrqiIYf__normal.jpg","View")</f>
        <v>View</v>
      </c>
      <c r="P2358" s="7"/>
    </row>
    <row r="2359" spans="1:16">
      <c r="A2359" s="3">
        <v>44358.920127314814</v>
      </c>
      <c r="B2359" s="4" t="str">
        <f>HYPERLINK("https://twitter.com/sergio_fajardo","@sergio_fajardo")</f>
        <v>@sergio_fajardo</v>
      </c>
      <c r="C2359" s="5" t="s">
        <v>16</v>
      </c>
      <c r="D2359" s="5" t="s">
        <v>2380</v>
      </c>
      <c r="E2359" s="6" t="str">
        <f>HYPERLINK("https://twitter.com/sergio_fajardo/status/1403390314983854082","1403390314983854082")</f>
        <v>1403390314983854082</v>
      </c>
      <c r="F2359" s="7" t="s">
        <v>23</v>
      </c>
      <c r="G2359" s="7">
        <v>1588439</v>
      </c>
      <c r="H2359" s="7">
        <v>420</v>
      </c>
      <c r="I2359" s="7">
        <v>39</v>
      </c>
      <c r="J2359" s="7">
        <v>386</v>
      </c>
      <c r="K2359" s="7" t="s">
        <v>18</v>
      </c>
      <c r="L2359" s="8">
        <v>39891.213356481479</v>
      </c>
      <c r="M2359" s="9" t="s">
        <v>19</v>
      </c>
      <c r="N2359" s="9" t="s">
        <v>22</v>
      </c>
      <c r="O2359" s="6" t="str">
        <f>HYPERLINK("https://pbs.twimg.com/profile_images/988971255679324162/jrqiIYf__normal.jpg","View")</f>
        <v>View</v>
      </c>
      <c r="P2359" s="7"/>
    </row>
    <row r="2360" spans="1:16">
      <c r="A2360" s="3">
        <v>44358.961284722223</v>
      </c>
      <c r="B2360" s="4" t="str">
        <f>HYPERLINK("https://twitter.com/sergio_fajardo","@sergio_fajardo")</f>
        <v>@sergio_fajardo</v>
      </c>
      <c r="C2360" s="5" t="s">
        <v>16</v>
      </c>
      <c r="D2360" s="5" t="s">
        <v>2381</v>
      </c>
      <c r="E2360" s="6" t="str">
        <f>HYPERLINK("https://twitter.com/sergio_fajardo/status/1403405231417876481","1403405231417876481")</f>
        <v>1403405231417876481</v>
      </c>
      <c r="F2360" s="7" t="s">
        <v>17</v>
      </c>
      <c r="G2360" s="7">
        <v>1588457</v>
      </c>
      <c r="H2360" s="7">
        <v>420</v>
      </c>
      <c r="I2360" s="7">
        <v>11</v>
      </c>
      <c r="J2360" s="7">
        <v>55</v>
      </c>
      <c r="K2360" s="7" t="s">
        <v>18</v>
      </c>
      <c r="L2360" s="8">
        <v>39891.213356481479</v>
      </c>
      <c r="M2360" s="9" t="s">
        <v>19</v>
      </c>
      <c r="N2360" s="9" t="s">
        <v>22</v>
      </c>
      <c r="O2360" s="6" t="str">
        <f>HYPERLINK("https://pbs.twimg.com/profile_images/988971255679324162/jrqiIYf__normal.jpg","View")</f>
        <v>View</v>
      </c>
      <c r="P2360" s="7"/>
    </row>
    <row r="2361" spans="1:16">
      <c r="A2361" s="3">
        <v>44359.06287037037</v>
      </c>
      <c r="B2361" s="4" t="str">
        <f>HYPERLINK("https://twitter.com/sergio_fajardo","@sergio_fajardo")</f>
        <v>@sergio_fajardo</v>
      </c>
      <c r="C2361" s="5" t="s">
        <v>16</v>
      </c>
      <c r="D2361" s="5" t="s">
        <v>2382</v>
      </c>
      <c r="E2361" s="6" t="str">
        <f>HYPERLINK("https://twitter.com/sergio_fajardo/status/1403442042634653697","1403442042634653697")</f>
        <v>1403442042634653697</v>
      </c>
      <c r="F2361" s="7" t="s">
        <v>17</v>
      </c>
      <c r="G2361" s="7">
        <v>1588464</v>
      </c>
      <c r="H2361" s="7">
        <v>420</v>
      </c>
      <c r="I2361" s="7">
        <v>16</v>
      </c>
      <c r="J2361" s="7">
        <v>0</v>
      </c>
      <c r="K2361" s="7" t="s">
        <v>18</v>
      </c>
      <c r="L2361" s="8">
        <v>39891.213356481479</v>
      </c>
      <c r="M2361" s="9" t="s">
        <v>19</v>
      </c>
      <c r="N2361" s="9" t="s">
        <v>22</v>
      </c>
      <c r="O2361" s="6" t="str">
        <f>HYPERLINK("https://pbs.twimg.com/profile_images/988971255679324162/jrqiIYf__normal.jpg","View")</f>
        <v>View</v>
      </c>
      <c r="P2361" s="7"/>
    </row>
    <row r="2362" spans="1:16">
      <c r="A2362" s="3">
        <v>44359.120995370366</v>
      </c>
      <c r="B2362" s="4" t="str">
        <f>HYPERLINK("https://twitter.com/sergio_fajardo","@sergio_fajardo")</f>
        <v>@sergio_fajardo</v>
      </c>
      <c r="C2362" s="5" t="s">
        <v>16</v>
      </c>
      <c r="D2362" s="5" t="s">
        <v>2383</v>
      </c>
      <c r="E2362" s="6" t="str">
        <f>HYPERLINK("https://twitter.com/sergio_fajardo/status/1403463106584616962","1403463106584616962")</f>
        <v>1403463106584616962</v>
      </c>
      <c r="F2362" s="7" t="s">
        <v>17</v>
      </c>
      <c r="G2362" s="7">
        <v>1588478</v>
      </c>
      <c r="H2362" s="7">
        <v>420</v>
      </c>
      <c r="I2362" s="7">
        <v>10</v>
      </c>
      <c r="J2362" s="7">
        <v>0</v>
      </c>
      <c r="K2362" s="7" t="s">
        <v>18</v>
      </c>
      <c r="L2362" s="8">
        <v>39891.213356481479</v>
      </c>
      <c r="M2362" s="9" t="s">
        <v>19</v>
      </c>
      <c r="N2362" s="9" t="s">
        <v>22</v>
      </c>
      <c r="O2362" s="6" t="str">
        <f>HYPERLINK("https://pbs.twimg.com/profile_images/988971255679324162/jrqiIYf__normal.jpg","View")</f>
        <v>View</v>
      </c>
      <c r="P2362" s="7"/>
    </row>
    <row r="2363" spans="1:16">
      <c r="A2363" s="3">
        <v>44359.746365740742</v>
      </c>
      <c r="B2363" s="4" t="str">
        <f>HYPERLINK("https://twitter.com/sergio_fajardo","@sergio_fajardo")</f>
        <v>@sergio_fajardo</v>
      </c>
      <c r="C2363" s="5" t="s">
        <v>16</v>
      </c>
      <c r="D2363" s="5" t="s">
        <v>2384</v>
      </c>
      <c r="E2363" s="6" t="str">
        <f>HYPERLINK("https://twitter.com/sergio_fajardo/status/1403689732308180996","1403689732308180996")</f>
        <v>1403689732308180996</v>
      </c>
      <c r="F2363" s="7" t="s">
        <v>17</v>
      </c>
      <c r="G2363" s="7">
        <v>1588532</v>
      </c>
      <c r="H2363" s="7">
        <v>420</v>
      </c>
      <c r="I2363" s="7">
        <v>9</v>
      </c>
      <c r="J2363" s="7">
        <v>0</v>
      </c>
      <c r="K2363" s="7" t="s">
        <v>18</v>
      </c>
      <c r="L2363" s="8">
        <v>39891.213356481479</v>
      </c>
      <c r="M2363" s="9" t="s">
        <v>19</v>
      </c>
      <c r="N2363" s="9" t="s">
        <v>22</v>
      </c>
      <c r="O2363" s="6" t="str">
        <f>HYPERLINK("https://pbs.twimg.com/profile_images/988971255679324162/jrqiIYf__normal.jpg","View")</f>
        <v>View</v>
      </c>
      <c r="P2363" s="7"/>
    </row>
    <row r="2364" spans="1:16">
      <c r="A2364" s="3">
        <v>44359.965046296296</v>
      </c>
      <c r="B2364" s="4" t="str">
        <f>HYPERLINK("https://twitter.com/sergio_fajardo","@sergio_fajardo")</f>
        <v>@sergio_fajardo</v>
      </c>
      <c r="C2364" s="5" t="s">
        <v>16</v>
      </c>
      <c r="D2364" s="5" t="s">
        <v>2385</v>
      </c>
      <c r="E2364" s="6" t="str">
        <f>HYPERLINK("https://twitter.com/sergio_fajardo/status/1403768983019458560","1403768983019458560")</f>
        <v>1403768983019458560</v>
      </c>
      <c r="F2364" s="7" t="s">
        <v>20</v>
      </c>
      <c r="G2364" s="7">
        <v>1588560</v>
      </c>
      <c r="H2364" s="7">
        <v>420</v>
      </c>
      <c r="I2364" s="7">
        <v>10</v>
      </c>
      <c r="J2364" s="7">
        <v>56</v>
      </c>
      <c r="K2364" s="7" t="s">
        <v>18</v>
      </c>
      <c r="L2364" s="8">
        <v>39891.213356481479</v>
      </c>
      <c r="M2364" s="9" t="s">
        <v>19</v>
      </c>
      <c r="N2364" s="9" t="s">
        <v>22</v>
      </c>
      <c r="O2364" s="6" t="str">
        <f>HYPERLINK("https://pbs.twimg.com/profile_images/988971255679324162/jrqiIYf__normal.jpg","View")</f>
        <v>View</v>
      </c>
      <c r="P2364" s="7"/>
    </row>
    <row r="2365" spans="1:16">
      <c r="A2365" s="3">
        <v>44360.187002314815</v>
      </c>
      <c r="B2365" s="4" t="str">
        <f>HYPERLINK("https://twitter.com/sergio_fajardo","@sergio_fajardo")</f>
        <v>@sergio_fajardo</v>
      </c>
      <c r="C2365" s="5" t="s">
        <v>16</v>
      </c>
      <c r="D2365" s="5" t="s">
        <v>2386</v>
      </c>
      <c r="E2365" s="6" t="str">
        <f>HYPERLINK("https://twitter.com/sergio_fajardo/status/1403849414591062017","1403849414591062017")</f>
        <v>1403849414591062017</v>
      </c>
      <c r="F2365" s="7" t="s">
        <v>17</v>
      </c>
      <c r="G2365" s="7">
        <v>1588584</v>
      </c>
      <c r="H2365" s="7">
        <v>420</v>
      </c>
      <c r="I2365" s="7">
        <v>10</v>
      </c>
      <c r="J2365" s="7">
        <v>0</v>
      </c>
      <c r="K2365" s="7" t="s">
        <v>18</v>
      </c>
      <c r="L2365" s="8">
        <v>39891.213356481479</v>
      </c>
      <c r="M2365" s="9" t="s">
        <v>19</v>
      </c>
      <c r="N2365" s="9" t="s">
        <v>22</v>
      </c>
      <c r="O2365" s="6" t="str">
        <f>HYPERLINK("https://pbs.twimg.com/profile_images/988971255679324162/jrqiIYf__normal.jpg","View")</f>
        <v>View</v>
      </c>
      <c r="P2365" s="7"/>
    </row>
    <row r="2366" spans="1:16">
      <c r="A2366" s="3">
        <v>44360.716249999998</v>
      </c>
      <c r="B2366" s="4" t="str">
        <f>HYPERLINK("https://twitter.com/sergio_fajardo","@sergio_fajardo")</f>
        <v>@sergio_fajardo</v>
      </c>
      <c r="C2366" s="5" t="s">
        <v>16</v>
      </c>
      <c r="D2366" s="4" t="s">
        <v>2387</v>
      </c>
      <c r="E2366" s="6" t="str">
        <f>HYPERLINK("https://twitter.com/sergio_fajardo/status/1404041208574455811","1404041208574455811")</f>
        <v>1404041208574455811</v>
      </c>
      <c r="F2366" s="7" t="s">
        <v>17</v>
      </c>
      <c r="G2366" s="7">
        <v>1588617</v>
      </c>
      <c r="H2366" s="7">
        <v>420</v>
      </c>
      <c r="I2366" s="7">
        <v>1</v>
      </c>
      <c r="J2366" s="7">
        <v>8</v>
      </c>
      <c r="K2366" s="7" t="s">
        <v>18</v>
      </c>
      <c r="L2366" s="8">
        <v>39891.213356481479</v>
      </c>
      <c r="M2366" s="9" t="s">
        <v>19</v>
      </c>
      <c r="N2366" s="9" t="s">
        <v>22</v>
      </c>
      <c r="O2366" s="6" t="str">
        <f>HYPERLINK("https://pbs.twimg.com/profile_images/988971255679324162/jrqiIYf__normal.jpg","View")</f>
        <v>View</v>
      </c>
      <c r="P2366" s="7"/>
    </row>
    <row r="2367" spans="1:16">
      <c r="A2367" s="3">
        <v>44360.729247685187</v>
      </c>
      <c r="B2367" s="4" t="str">
        <f>HYPERLINK("https://twitter.com/sergio_fajardo","@sergio_fajardo")</f>
        <v>@sergio_fajardo</v>
      </c>
      <c r="C2367" s="5" t="s">
        <v>16</v>
      </c>
      <c r="D2367" s="5" t="s">
        <v>2388</v>
      </c>
      <c r="E2367" s="6" t="str">
        <f>HYPERLINK("https://twitter.com/sergio_fajardo/status/1404045920287744001","1404045920287744001")</f>
        <v>1404045920287744001</v>
      </c>
      <c r="F2367" s="7" t="s">
        <v>17</v>
      </c>
      <c r="G2367" s="7">
        <v>1588617</v>
      </c>
      <c r="H2367" s="7">
        <v>420</v>
      </c>
      <c r="I2367" s="7">
        <v>9</v>
      </c>
      <c r="J2367" s="7">
        <v>0</v>
      </c>
      <c r="K2367" s="7" t="s">
        <v>18</v>
      </c>
      <c r="L2367" s="8">
        <v>39891.213356481479</v>
      </c>
      <c r="M2367" s="9" t="s">
        <v>19</v>
      </c>
      <c r="N2367" s="9" t="s">
        <v>22</v>
      </c>
      <c r="O2367" s="6" t="str">
        <f>HYPERLINK("https://pbs.twimg.com/profile_images/988971255679324162/jrqiIYf__normal.jpg","View")</f>
        <v>View</v>
      </c>
      <c r="P2367" s="7"/>
    </row>
    <row r="2368" spans="1:16">
      <c r="A2368" s="3">
        <v>44361.19731481481</v>
      </c>
      <c r="B2368" s="4" t="str">
        <f>HYPERLINK("https://twitter.com/sergio_fajardo","@sergio_fajardo")</f>
        <v>@sergio_fajardo</v>
      </c>
      <c r="C2368" s="5" t="s">
        <v>16</v>
      </c>
      <c r="D2368" s="5" t="s">
        <v>2389</v>
      </c>
      <c r="E2368" s="6" t="str">
        <f>HYPERLINK("https://twitter.com/sergio_fajardo/status/1404215541544464387","1404215541544464387")</f>
        <v>1404215541544464387</v>
      </c>
      <c r="F2368" s="7" t="s">
        <v>17</v>
      </c>
      <c r="G2368" s="7">
        <v>1588679</v>
      </c>
      <c r="H2368" s="7">
        <v>420</v>
      </c>
      <c r="I2368" s="7">
        <v>4</v>
      </c>
      <c r="J2368" s="7">
        <v>0</v>
      </c>
      <c r="K2368" s="7" t="s">
        <v>18</v>
      </c>
      <c r="L2368" s="8">
        <v>39891.213356481479</v>
      </c>
      <c r="M2368" s="9" t="s">
        <v>19</v>
      </c>
      <c r="N2368" s="9" t="s">
        <v>22</v>
      </c>
      <c r="O2368" s="6" t="str">
        <f>HYPERLINK("https://pbs.twimg.com/profile_images/988971255679324162/jrqiIYf__normal.jpg","View")</f>
        <v>View</v>
      </c>
      <c r="P2368" s="7"/>
    </row>
    <row r="2369" spans="1:16">
      <c r="A2369" s="3">
        <v>44361.884340277778</v>
      </c>
      <c r="B2369" s="4" t="str">
        <f>HYPERLINK("https://twitter.com/sergio_fajardo","@sergio_fajardo")</f>
        <v>@sergio_fajardo</v>
      </c>
      <c r="C2369" s="5" t="s">
        <v>16</v>
      </c>
      <c r="D2369" s="5" t="s">
        <v>2390</v>
      </c>
      <c r="E2369" s="6" t="str">
        <f>HYPERLINK("https://twitter.com/sergio_fajardo/status/1404464510241550337","1404464510241550337")</f>
        <v>1404464510241550337</v>
      </c>
      <c r="F2369" s="7" t="s">
        <v>17</v>
      </c>
      <c r="G2369" s="7">
        <v>1588714</v>
      </c>
      <c r="H2369" s="7">
        <v>420</v>
      </c>
      <c r="I2369" s="7">
        <v>14</v>
      </c>
      <c r="J2369" s="7">
        <v>85</v>
      </c>
      <c r="K2369" s="7" t="s">
        <v>18</v>
      </c>
      <c r="L2369" s="8">
        <v>39891.213356481479</v>
      </c>
      <c r="M2369" s="9" t="s">
        <v>19</v>
      </c>
      <c r="N2369" s="9" t="s">
        <v>22</v>
      </c>
      <c r="O2369" s="6" t="str">
        <f>HYPERLINK("https://pbs.twimg.com/profile_images/988971255679324162/jrqiIYf__normal.jpg","View")</f>
        <v>View</v>
      </c>
      <c r="P2369" s="7"/>
    </row>
    <row r="2370" spans="1:16">
      <c r="A2370" s="3">
        <v>44363.157488425924</v>
      </c>
      <c r="B2370" s="4" t="str">
        <f>HYPERLINK("https://twitter.com/sergio_fajardo","@sergio_fajardo")</f>
        <v>@sergio_fajardo</v>
      </c>
      <c r="C2370" s="5" t="s">
        <v>16</v>
      </c>
      <c r="D2370" s="5" t="s">
        <v>2391</v>
      </c>
      <c r="E2370" s="6" t="str">
        <f>HYPERLINK("https://twitter.com/sergio_fajardo/status/1404925882523918343","1404925882523918343")</f>
        <v>1404925882523918343</v>
      </c>
      <c r="F2370" s="7" t="s">
        <v>17</v>
      </c>
      <c r="G2370" s="7">
        <v>1588867</v>
      </c>
      <c r="H2370" s="7">
        <v>420</v>
      </c>
      <c r="I2370" s="7">
        <v>7</v>
      </c>
      <c r="J2370" s="7">
        <v>62</v>
      </c>
      <c r="K2370" s="7" t="s">
        <v>18</v>
      </c>
      <c r="L2370" s="8">
        <v>39891.213356481479</v>
      </c>
      <c r="M2370" s="9" t="s">
        <v>19</v>
      </c>
      <c r="N2370" s="9" t="s">
        <v>22</v>
      </c>
      <c r="O2370" s="6" t="str">
        <f>HYPERLINK("https://pbs.twimg.com/profile_images/988971255679324162/jrqiIYf__normal.jpg","View")</f>
        <v>View</v>
      </c>
      <c r="P2370" s="7"/>
    </row>
    <row r="2371" spans="1:16">
      <c r="A2371" s="3">
        <v>44363.223807870367</v>
      </c>
      <c r="B2371" s="4" t="str">
        <f>HYPERLINK("https://twitter.com/sergio_fajardo","@sergio_fajardo")</f>
        <v>@sergio_fajardo</v>
      </c>
      <c r="C2371" s="5" t="s">
        <v>16</v>
      </c>
      <c r="D2371" s="5" t="s">
        <v>2392</v>
      </c>
      <c r="E2371" s="6" t="str">
        <f>HYPERLINK("https://twitter.com/sergio_fajardo/status/1404949918213672960","1404949918213672960")</f>
        <v>1404949918213672960</v>
      </c>
      <c r="F2371" s="7" t="s">
        <v>17</v>
      </c>
      <c r="G2371" s="7">
        <v>1588877</v>
      </c>
      <c r="H2371" s="7">
        <v>420</v>
      </c>
      <c r="I2371" s="7">
        <v>16</v>
      </c>
      <c r="J2371" s="7">
        <v>89</v>
      </c>
      <c r="K2371" s="7" t="s">
        <v>18</v>
      </c>
      <c r="L2371" s="8">
        <v>39891.213356481479</v>
      </c>
      <c r="M2371" s="9" t="s">
        <v>19</v>
      </c>
      <c r="N2371" s="9" t="s">
        <v>22</v>
      </c>
      <c r="O2371" s="6" t="str">
        <f>HYPERLINK("https://pbs.twimg.com/profile_images/988971255679324162/jrqiIYf__normal.jpg","View")</f>
        <v>View</v>
      </c>
      <c r="P2371" s="7"/>
    </row>
    <row r="2372" spans="1:16">
      <c r="A2372" s="3">
        <v>44363.240694444445</v>
      </c>
      <c r="B2372" s="4" t="str">
        <f>HYPERLINK("https://twitter.com/sergio_fajardo","@sergio_fajardo")</f>
        <v>@sergio_fajardo</v>
      </c>
      <c r="C2372" s="5" t="s">
        <v>16</v>
      </c>
      <c r="D2372" s="5" t="s">
        <v>2393</v>
      </c>
      <c r="E2372" s="6" t="str">
        <f>HYPERLINK("https://twitter.com/sergio_fajardo/status/1404956034804879362","1404956034804879362")</f>
        <v>1404956034804879362</v>
      </c>
      <c r="F2372" s="7" t="s">
        <v>23</v>
      </c>
      <c r="G2372" s="7">
        <v>1588878</v>
      </c>
      <c r="H2372" s="7">
        <v>420</v>
      </c>
      <c r="I2372" s="7">
        <v>15</v>
      </c>
      <c r="J2372" s="7">
        <v>47</v>
      </c>
      <c r="K2372" s="7" t="s">
        <v>18</v>
      </c>
      <c r="L2372" s="8">
        <v>39891.213356481479</v>
      </c>
      <c r="M2372" s="9" t="s">
        <v>19</v>
      </c>
      <c r="N2372" s="9" t="s">
        <v>22</v>
      </c>
      <c r="O2372" s="6" t="str">
        <f>HYPERLINK("https://pbs.twimg.com/profile_images/988971255679324162/jrqiIYf__normal.jpg","View")</f>
        <v>View</v>
      </c>
      <c r="P2372" s="7"/>
    </row>
    <row r="2373" spans="1:16">
      <c r="A2373" s="3">
        <v>44363.287615740745</v>
      </c>
      <c r="B2373" s="4" t="str">
        <f>HYPERLINK("https://twitter.com/sergio_fajardo","@sergio_fajardo")</f>
        <v>@sergio_fajardo</v>
      </c>
      <c r="C2373" s="5" t="s">
        <v>16</v>
      </c>
      <c r="D2373" s="5" t="s">
        <v>2394</v>
      </c>
      <c r="E2373" s="6" t="str">
        <f>HYPERLINK("https://twitter.com/sergio_fajardo/status/1404973041189376000","1404973041189376000")</f>
        <v>1404973041189376000</v>
      </c>
      <c r="F2373" s="7" t="s">
        <v>23</v>
      </c>
      <c r="G2373" s="7">
        <v>1588893</v>
      </c>
      <c r="H2373" s="7">
        <v>420</v>
      </c>
      <c r="I2373" s="7">
        <v>1</v>
      </c>
      <c r="J2373" s="7">
        <v>12</v>
      </c>
      <c r="K2373" s="7" t="s">
        <v>18</v>
      </c>
      <c r="L2373" s="8">
        <v>39891.213356481479</v>
      </c>
      <c r="M2373" s="9" t="s">
        <v>19</v>
      </c>
      <c r="N2373" s="9" t="s">
        <v>22</v>
      </c>
      <c r="O2373" s="6" t="str">
        <f>HYPERLINK("https://pbs.twimg.com/profile_images/988971255679324162/jrqiIYf__normal.jpg","View")</f>
        <v>View</v>
      </c>
      <c r="P2373" s="7"/>
    </row>
    <row r="2374" spans="1:16">
      <c r="A2374" s="3">
        <v>44363.29069444444</v>
      </c>
      <c r="B2374" s="4" t="str">
        <f>HYPERLINK("https://twitter.com/sergio_fajardo","@sergio_fajardo")</f>
        <v>@sergio_fajardo</v>
      </c>
      <c r="C2374" s="5" t="s">
        <v>16</v>
      </c>
      <c r="D2374" s="5" t="s">
        <v>2395</v>
      </c>
      <c r="E2374" s="6" t="str">
        <f>HYPERLINK("https://twitter.com/sergio_fajardo/status/1404974155343319044","1404974155343319044")</f>
        <v>1404974155343319044</v>
      </c>
      <c r="F2374" s="7" t="s">
        <v>17</v>
      </c>
      <c r="G2374" s="7">
        <v>1588893</v>
      </c>
      <c r="H2374" s="7">
        <v>420</v>
      </c>
      <c r="I2374" s="7">
        <v>0</v>
      </c>
      <c r="J2374" s="7">
        <v>1</v>
      </c>
      <c r="K2374" s="7" t="s">
        <v>18</v>
      </c>
      <c r="L2374" s="8">
        <v>39891.213356481479</v>
      </c>
      <c r="M2374" s="9" t="s">
        <v>19</v>
      </c>
      <c r="N2374" s="9" t="s">
        <v>22</v>
      </c>
      <c r="O2374" s="6" t="str">
        <f>HYPERLINK("https://pbs.twimg.com/profile_images/988971255679324162/jrqiIYf__normal.jpg","View")</f>
        <v>View</v>
      </c>
      <c r="P2374" s="7"/>
    </row>
    <row r="2375" spans="1:16">
      <c r="A2375" s="3">
        <v>44363.290972222225</v>
      </c>
      <c r="B2375" s="4" t="str">
        <f>HYPERLINK("https://twitter.com/sergio_fajardo","@sergio_fajardo")</f>
        <v>@sergio_fajardo</v>
      </c>
      <c r="C2375" s="5" t="s">
        <v>16</v>
      </c>
      <c r="D2375" s="5" t="s">
        <v>2396</v>
      </c>
      <c r="E2375" s="6" t="str">
        <f>HYPERLINK("https://twitter.com/sergio_fajardo/status/1404974257172529156","1404974257172529156")</f>
        <v>1404974257172529156</v>
      </c>
      <c r="F2375" s="7" t="s">
        <v>17</v>
      </c>
      <c r="G2375" s="7">
        <v>1588893</v>
      </c>
      <c r="H2375" s="7">
        <v>420</v>
      </c>
      <c r="I2375" s="7">
        <v>0</v>
      </c>
      <c r="J2375" s="7">
        <v>0</v>
      </c>
      <c r="K2375" s="7" t="s">
        <v>18</v>
      </c>
      <c r="L2375" s="8">
        <v>39891.213356481479</v>
      </c>
      <c r="M2375" s="9" t="s">
        <v>19</v>
      </c>
      <c r="N2375" s="9" t="s">
        <v>22</v>
      </c>
      <c r="O2375" s="6" t="str">
        <f>HYPERLINK("https://pbs.twimg.com/profile_images/988971255679324162/jrqiIYf__normal.jpg","View")</f>
        <v>View</v>
      </c>
      <c r="P2375" s="7"/>
    </row>
    <row r="2376" spans="1:16">
      <c r="A2376" s="3">
        <v>44363.301111111112</v>
      </c>
      <c r="B2376" s="4" t="str">
        <f>HYPERLINK("https://twitter.com/sergio_fajardo","@sergio_fajardo")</f>
        <v>@sergio_fajardo</v>
      </c>
      <c r="C2376" s="5" t="s">
        <v>16</v>
      </c>
      <c r="D2376" s="5" t="s">
        <v>2397</v>
      </c>
      <c r="E2376" s="6" t="str">
        <f>HYPERLINK("https://twitter.com/sergio_fajardo/status/1404977928371412994","1404977928371412994")</f>
        <v>1404977928371412994</v>
      </c>
      <c r="F2376" s="7" t="s">
        <v>17</v>
      </c>
      <c r="G2376" s="7">
        <v>1588894</v>
      </c>
      <c r="H2376" s="7">
        <v>420</v>
      </c>
      <c r="I2376" s="7">
        <v>5</v>
      </c>
      <c r="J2376" s="7">
        <v>19</v>
      </c>
      <c r="K2376" s="7" t="s">
        <v>18</v>
      </c>
      <c r="L2376" s="8">
        <v>39891.213356481479</v>
      </c>
      <c r="M2376" s="9" t="s">
        <v>19</v>
      </c>
      <c r="N2376" s="9" t="s">
        <v>22</v>
      </c>
      <c r="O2376" s="6" t="str">
        <f>HYPERLINK("https://pbs.twimg.com/profile_images/988971255679324162/jrqiIYf__normal.jpg","View")</f>
        <v>View</v>
      </c>
      <c r="P2376" s="7"/>
    </row>
    <row r="2377" spans="1:16">
      <c r="A2377" s="3">
        <v>44363.302071759259</v>
      </c>
      <c r="B2377" s="4" t="str">
        <f>HYPERLINK("https://twitter.com/sergio_fajardo","@sergio_fajardo")</f>
        <v>@sergio_fajardo</v>
      </c>
      <c r="C2377" s="5" t="s">
        <v>16</v>
      </c>
      <c r="D2377" s="5" t="s">
        <v>2398</v>
      </c>
      <c r="E2377" s="6" t="str">
        <f>HYPERLINK("https://twitter.com/sergio_fajardo/status/1404978279430377475","1404978279430377475")</f>
        <v>1404978279430377475</v>
      </c>
      <c r="F2377" s="7" t="s">
        <v>17</v>
      </c>
      <c r="G2377" s="7">
        <v>1588894</v>
      </c>
      <c r="H2377" s="7">
        <v>420</v>
      </c>
      <c r="I2377" s="7">
        <v>3</v>
      </c>
      <c r="J2377" s="7">
        <v>17</v>
      </c>
      <c r="K2377" s="7" t="s">
        <v>18</v>
      </c>
      <c r="L2377" s="8">
        <v>39891.213356481479</v>
      </c>
      <c r="M2377" s="9" t="s">
        <v>19</v>
      </c>
      <c r="N2377" s="9" t="s">
        <v>22</v>
      </c>
      <c r="O2377" s="6" t="str">
        <f>HYPERLINK("https://pbs.twimg.com/profile_images/988971255679324162/jrqiIYf__normal.jpg","View")</f>
        <v>View</v>
      </c>
      <c r="P2377" s="7"/>
    </row>
    <row r="2378" spans="1:16">
      <c r="A2378" s="3">
        <v>44363.30259259259</v>
      </c>
      <c r="B2378" s="4" t="str">
        <f>HYPERLINK("https://twitter.com/sergio_fajardo","@sergio_fajardo")</f>
        <v>@sergio_fajardo</v>
      </c>
      <c r="C2378" s="5" t="s">
        <v>16</v>
      </c>
      <c r="D2378" s="5" t="s">
        <v>2399</v>
      </c>
      <c r="E2378" s="6" t="str">
        <f>HYPERLINK("https://twitter.com/sergio_fajardo/status/1404978468597731331","1404978468597731331")</f>
        <v>1404978468597731331</v>
      </c>
      <c r="F2378" s="7" t="s">
        <v>17</v>
      </c>
      <c r="G2378" s="7">
        <v>1588894</v>
      </c>
      <c r="H2378" s="7">
        <v>420</v>
      </c>
      <c r="I2378" s="7">
        <v>1</v>
      </c>
      <c r="J2378" s="7">
        <v>27</v>
      </c>
      <c r="K2378" s="7" t="s">
        <v>18</v>
      </c>
      <c r="L2378" s="8">
        <v>39891.213356481479</v>
      </c>
      <c r="M2378" s="9" t="s">
        <v>19</v>
      </c>
      <c r="N2378" s="9" t="s">
        <v>22</v>
      </c>
      <c r="O2378" s="6" t="str">
        <f>HYPERLINK("https://pbs.twimg.com/profile_images/988971255679324162/jrqiIYf__normal.jpg","View")</f>
        <v>View</v>
      </c>
      <c r="P2378" s="7"/>
    </row>
    <row r="2379" spans="1:16">
      <c r="A2379" s="3">
        <v>44363.303240740745</v>
      </c>
      <c r="B2379" s="4" t="str">
        <f>HYPERLINK("https://twitter.com/sergio_fajardo","@sergio_fajardo")</f>
        <v>@sergio_fajardo</v>
      </c>
      <c r="C2379" s="5" t="s">
        <v>16</v>
      </c>
      <c r="D2379" s="5" t="s">
        <v>2400</v>
      </c>
      <c r="E2379" s="6" t="str">
        <f>HYPERLINK("https://twitter.com/sergio_fajardo/status/1404978701318688770","1404978701318688770")</f>
        <v>1404978701318688770</v>
      </c>
      <c r="F2379" s="7" t="s">
        <v>17</v>
      </c>
      <c r="G2379" s="7">
        <v>1588894</v>
      </c>
      <c r="H2379" s="7">
        <v>420</v>
      </c>
      <c r="I2379" s="7">
        <v>3</v>
      </c>
      <c r="J2379" s="7">
        <v>0</v>
      </c>
      <c r="K2379" s="7" t="s">
        <v>18</v>
      </c>
      <c r="L2379" s="8">
        <v>39891.213356481479</v>
      </c>
      <c r="M2379" s="9" t="s">
        <v>19</v>
      </c>
      <c r="N2379" s="9" t="s">
        <v>22</v>
      </c>
      <c r="O2379" s="6" t="str">
        <f>HYPERLINK("https://pbs.twimg.com/profile_images/988971255679324162/jrqiIYf__normal.jpg","View")</f>
        <v>View</v>
      </c>
      <c r="P2379" s="7"/>
    </row>
    <row r="2380" spans="1:16">
      <c r="A2380" s="3">
        <v>44363.304236111115</v>
      </c>
      <c r="B2380" s="4" t="str">
        <f>HYPERLINK("https://twitter.com/sergio_fajardo","@sergio_fajardo")</f>
        <v>@sergio_fajardo</v>
      </c>
      <c r="C2380" s="5" t="s">
        <v>16</v>
      </c>
      <c r="D2380" s="5" t="s">
        <v>2401</v>
      </c>
      <c r="E2380" s="6" t="str">
        <f>HYPERLINK("https://twitter.com/sergio_fajardo/status/1404979062947340291","1404979062947340291")</f>
        <v>1404979062947340291</v>
      </c>
      <c r="F2380" s="7" t="s">
        <v>17</v>
      </c>
      <c r="G2380" s="7">
        <v>1588894</v>
      </c>
      <c r="H2380" s="7">
        <v>420</v>
      </c>
      <c r="I2380" s="7">
        <v>6</v>
      </c>
      <c r="J2380" s="7">
        <v>44</v>
      </c>
      <c r="K2380" s="7" t="s">
        <v>18</v>
      </c>
      <c r="L2380" s="8">
        <v>39891.213356481479</v>
      </c>
      <c r="M2380" s="9" t="s">
        <v>19</v>
      </c>
      <c r="N2380" s="9" t="s">
        <v>22</v>
      </c>
      <c r="O2380" s="6" t="str">
        <f>HYPERLINK("https://pbs.twimg.com/profile_images/988971255679324162/jrqiIYf__normal.jpg","View")</f>
        <v>View</v>
      </c>
      <c r="P2380" s="7"/>
    </row>
    <row r="2381" spans="1:16">
      <c r="A2381" s="3">
        <v>44363.310393518521</v>
      </c>
      <c r="B2381" s="4" t="str">
        <f>HYPERLINK("https://twitter.com/sergio_fajardo","@sergio_fajardo")</f>
        <v>@sergio_fajardo</v>
      </c>
      <c r="C2381" s="5" t="s">
        <v>16</v>
      </c>
      <c r="D2381" s="5" t="s">
        <v>2402</v>
      </c>
      <c r="E2381" s="6" t="str">
        <f>HYPERLINK("https://twitter.com/sergio_fajardo/status/1404981293868277761","1404981293868277761")</f>
        <v>1404981293868277761</v>
      </c>
      <c r="F2381" s="7" t="s">
        <v>17</v>
      </c>
      <c r="G2381" s="7">
        <v>1588894</v>
      </c>
      <c r="H2381" s="7">
        <v>420</v>
      </c>
      <c r="I2381" s="7">
        <v>0</v>
      </c>
      <c r="J2381" s="7">
        <v>9</v>
      </c>
      <c r="K2381" s="7" t="s">
        <v>18</v>
      </c>
      <c r="L2381" s="8">
        <v>39891.213356481479</v>
      </c>
      <c r="M2381" s="9" t="s">
        <v>19</v>
      </c>
      <c r="N2381" s="9" t="s">
        <v>22</v>
      </c>
      <c r="O2381" s="6" t="str">
        <f>HYPERLINK("https://pbs.twimg.com/profile_images/988971255679324162/jrqiIYf__normal.jpg","View")</f>
        <v>View</v>
      </c>
      <c r="P2381" s="7"/>
    </row>
    <row r="2382" spans="1:16">
      <c r="A2382" s="3">
        <v>44363.310879629629</v>
      </c>
      <c r="B2382" s="4" t="str">
        <f>HYPERLINK("https://twitter.com/sergio_fajardo","@sergio_fajardo")</f>
        <v>@sergio_fajardo</v>
      </c>
      <c r="C2382" s="5" t="s">
        <v>16</v>
      </c>
      <c r="D2382" s="5" t="s">
        <v>2403</v>
      </c>
      <c r="E2382" s="6" t="str">
        <f>HYPERLINK("https://twitter.com/sergio_fajardo/status/1404981469597122564","1404981469597122564")</f>
        <v>1404981469597122564</v>
      </c>
      <c r="F2382" s="7" t="s">
        <v>17</v>
      </c>
      <c r="G2382" s="7">
        <v>1588894</v>
      </c>
      <c r="H2382" s="7">
        <v>420</v>
      </c>
      <c r="I2382" s="7">
        <v>1</v>
      </c>
      <c r="J2382" s="7">
        <v>11</v>
      </c>
      <c r="K2382" s="7" t="s">
        <v>18</v>
      </c>
      <c r="L2382" s="8">
        <v>39891.213356481479</v>
      </c>
      <c r="M2382" s="9" t="s">
        <v>19</v>
      </c>
      <c r="N2382" s="9" t="s">
        <v>22</v>
      </c>
      <c r="O2382" s="6" t="str">
        <f>HYPERLINK("https://pbs.twimg.com/profile_images/988971255679324162/jrqiIYf__normal.jpg","View")</f>
        <v>View</v>
      </c>
      <c r="P2382" s="7"/>
    </row>
    <row r="2383" spans="1:16">
      <c r="A2383" s="3">
        <v>44363.311423611114</v>
      </c>
      <c r="B2383" s="4" t="str">
        <f>HYPERLINK("https://twitter.com/sergio_fajardo","@sergio_fajardo")</f>
        <v>@sergio_fajardo</v>
      </c>
      <c r="C2383" s="5" t="s">
        <v>16</v>
      </c>
      <c r="D2383" s="5" t="s">
        <v>2404</v>
      </c>
      <c r="E2383" s="6" t="str">
        <f>HYPERLINK("https://twitter.com/sergio_fajardo/status/1404981666779701248","1404981666779701248")</f>
        <v>1404981666779701248</v>
      </c>
      <c r="F2383" s="7" t="s">
        <v>17</v>
      </c>
      <c r="G2383" s="7">
        <v>1588894</v>
      </c>
      <c r="H2383" s="7">
        <v>420</v>
      </c>
      <c r="I2383" s="7">
        <v>2</v>
      </c>
      <c r="J2383" s="7">
        <v>13</v>
      </c>
      <c r="K2383" s="7" t="s">
        <v>18</v>
      </c>
      <c r="L2383" s="8">
        <v>39891.213356481479</v>
      </c>
      <c r="M2383" s="9" t="s">
        <v>19</v>
      </c>
      <c r="N2383" s="9" t="s">
        <v>22</v>
      </c>
      <c r="O2383" s="6" t="str">
        <f>HYPERLINK("https://pbs.twimg.com/profile_images/988971255679324162/jrqiIYf__normal.jpg","View")</f>
        <v>View</v>
      </c>
      <c r="P2383" s="7"/>
    </row>
    <row r="2384" spans="1:16">
      <c r="A2384" s="3">
        <v>44363.311851851853</v>
      </c>
      <c r="B2384" s="4" t="str">
        <f>HYPERLINK("https://twitter.com/sergio_fajardo","@sergio_fajardo")</f>
        <v>@sergio_fajardo</v>
      </c>
      <c r="C2384" s="5" t="s">
        <v>16</v>
      </c>
      <c r="D2384" s="5" t="s">
        <v>2405</v>
      </c>
      <c r="E2384" s="6" t="str">
        <f>HYPERLINK("https://twitter.com/sergio_fajardo/status/1404981823235674113","1404981823235674113")</f>
        <v>1404981823235674113</v>
      </c>
      <c r="F2384" s="7" t="s">
        <v>17</v>
      </c>
      <c r="G2384" s="7">
        <v>1588894</v>
      </c>
      <c r="H2384" s="7">
        <v>420</v>
      </c>
      <c r="I2384" s="7">
        <v>0</v>
      </c>
      <c r="J2384" s="7">
        <v>2</v>
      </c>
      <c r="K2384" s="7" t="s">
        <v>18</v>
      </c>
      <c r="L2384" s="8">
        <v>39891.213356481479</v>
      </c>
      <c r="M2384" s="9" t="s">
        <v>19</v>
      </c>
      <c r="N2384" s="9" t="s">
        <v>22</v>
      </c>
      <c r="O2384" s="6" t="str">
        <f>HYPERLINK("https://pbs.twimg.com/profile_images/988971255679324162/jrqiIYf__normal.jpg","View")</f>
        <v>View</v>
      </c>
      <c r="P2384" s="7"/>
    </row>
    <row r="2385" spans="1:16">
      <c r="A2385" s="3">
        <v>44363.312326388885</v>
      </c>
      <c r="B2385" s="4" t="str">
        <f>HYPERLINK("https://twitter.com/sergio_fajardo","@sergio_fajardo")</f>
        <v>@sergio_fajardo</v>
      </c>
      <c r="C2385" s="5" t="s">
        <v>16</v>
      </c>
      <c r="D2385" s="5" t="s">
        <v>2406</v>
      </c>
      <c r="E2385" s="6" t="str">
        <f>HYPERLINK("https://twitter.com/sergio_fajardo/status/1404981994237403140","1404981994237403140")</f>
        <v>1404981994237403140</v>
      </c>
      <c r="F2385" s="7" t="s">
        <v>17</v>
      </c>
      <c r="G2385" s="7">
        <v>1588894</v>
      </c>
      <c r="H2385" s="7">
        <v>420</v>
      </c>
      <c r="I2385" s="7">
        <v>1</v>
      </c>
      <c r="J2385" s="7">
        <v>9</v>
      </c>
      <c r="K2385" s="7" t="s">
        <v>18</v>
      </c>
      <c r="L2385" s="8">
        <v>39891.213356481479</v>
      </c>
      <c r="M2385" s="9" t="s">
        <v>19</v>
      </c>
      <c r="N2385" s="9" t="s">
        <v>22</v>
      </c>
      <c r="O2385" s="6" t="str">
        <f>HYPERLINK("https://pbs.twimg.com/profile_images/988971255679324162/jrqiIYf__normal.jpg","View")</f>
        <v>View</v>
      </c>
      <c r="P2385" s="7"/>
    </row>
    <row r="2386" spans="1:16">
      <c r="A2386" s="3">
        <v>44363.32136574074</v>
      </c>
      <c r="B2386" s="4" t="str">
        <f>HYPERLINK("https://twitter.com/sergio_fajardo","@sergio_fajardo")</f>
        <v>@sergio_fajardo</v>
      </c>
      <c r="C2386" s="5" t="s">
        <v>16</v>
      </c>
      <c r="D2386" s="5" t="s">
        <v>2407</v>
      </c>
      <c r="E2386" s="6" t="str">
        <f>HYPERLINK("https://twitter.com/sergio_fajardo/status/1404985269246480384","1404985269246480384")</f>
        <v>1404985269246480384</v>
      </c>
      <c r="F2386" s="7" t="s">
        <v>17</v>
      </c>
      <c r="G2386" s="7">
        <v>1588879</v>
      </c>
      <c r="H2386" s="7">
        <v>420</v>
      </c>
      <c r="I2386" s="7">
        <v>5</v>
      </c>
      <c r="J2386" s="7">
        <v>0</v>
      </c>
      <c r="K2386" s="7" t="s">
        <v>18</v>
      </c>
      <c r="L2386" s="8">
        <v>39891.213356481479</v>
      </c>
      <c r="M2386" s="9" t="s">
        <v>19</v>
      </c>
      <c r="N2386" s="9" t="s">
        <v>22</v>
      </c>
      <c r="O2386" s="6" t="str">
        <f>HYPERLINK("https://pbs.twimg.com/profile_images/988971255679324162/jrqiIYf__normal.jpg","View")</f>
        <v>View</v>
      </c>
      <c r="P2386" s="7"/>
    </row>
    <row r="2387" spans="1:16">
      <c r="A2387" s="3">
        <v>44363.321597222224</v>
      </c>
      <c r="B2387" s="4" t="str">
        <f>HYPERLINK("https://twitter.com/sergio_fajardo","@sergio_fajardo")</f>
        <v>@sergio_fajardo</v>
      </c>
      <c r="C2387" s="5" t="s">
        <v>16</v>
      </c>
      <c r="D2387" s="5" t="s">
        <v>2408</v>
      </c>
      <c r="E2387" s="6" t="str">
        <f>HYPERLINK("https://twitter.com/sergio_fajardo/status/1404985354076266497","1404985354076266497")</f>
        <v>1404985354076266497</v>
      </c>
      <c r="F2387" s="7" t="s">
        <v>17</v>
      </c>
      <c r="G2387" s="7">
        <v>1588879</v>
      </c>
      <c r="H2387" s="7">
        <v>420</v>
      </c>
      <c r="I2387" s="7">
        <v>3</v>
      </c>
      <c r="J2387" s="7">
        <v>0</v>
      </c>
      <c r="K2387" s="7" t="s">
        <v>18</v>
      </c>
      <c r="L2387" s="8">
        <v>39891.213356481479</v>
      </c>
      <c r="M2387" s="9" t="s">
        <v>19</v>
      </c>
      <c r="N2387" s="9" t="s">
        <v>22</v>
      </c>
      <c r="O2387" s="6" t="str">
        <f>HYPERLINK("https://pbs.twimg.com/profile_images/988971255679324162/jrqiIYf__normal.jpg","View")</f>
        <v>View</v>
      </c>
      <c r="P2387" s="7"/>
    </row>
    <row r="2388" spans="1:16">
      <c r="A2388" s="3">
        <v>44363.322708333333</v>
      </c>
      <c r="B2388" s="4" t="str">
        <f>HYPERLINK("https://twitter.com/sergio_fajardo","@sergio_fajardo")</f>
        <v>@sergio_fajardo</v>
      </c>
      <c r="C2388" s="5" t="s">
        <v>16</v>
      </c>
      <c r="D2388" s="5" t="s">
        <v>2409</v>
      </c>
      <c r="E2388" s="6" t="str">
        <f>HYPERLINK("https://twitter.com/sergio_fajardo/status/1404985756477702145","1404985756477702145")</f>
        <v>1404985756477702145</v>
      </c>
      <c r="F2388" s="7" t="s">
        <v>17</v>
      </c>
      <c r="G2388" s="7">
        <v>1588879</v>
      </c>
      <c r="H2388" s="7">
        <v>420</v>
      </c>
      <c r="I2388" s="7">
        <v>1</v>
      </c>
      <c r="J2388" s="7">
        <v>14</v>
      </c>
      <c r="K2388" s="7" t="s">
        <v>18</v>
      </c>
      <c r="L2388" s="8">
        <v>39891.213356481479</v>
      </c>
      <c r="M2388" s="9" t="s">
        <v>19</v>
      </c>
      <c r="N2388" s="9" t="s">
        <v>22</v>
      </c>
      <c r="O2388" s="6" t="str">
        <f>HYPERLINK("https://pbs.twimg.com/profile_images/988971255679324162/jrqiIYf__normal.jpg","View")</f>
        <v>View</v>
      </c>
      <c r="P2388" s="7"/>
    </row>
    <row r="2389" spans="1:16">
      <c r="A2389" s="3">
        <v>44363.323263888888</v>
      </c>
      <c r="B2389" s="4" t="str">
        <f>HYPERLINK("https://twitter.com/sergio_fajardo","@sergio_fajardo")</f>
        <v>@sergio_fajardo</v>
      </c>
      <c r="C2389" s="5" t="s">
        <v>16</v>
      </c>
      <c r="D2389" s="5" t="s">
        <v>2410</v>
      </c>
      <c r="E2389" s="6" t="str">
        <f>HYPERLINK("https://twitter.com/sergio_fajardo/status/1404985958110568449","1404985958110568449")</f>
        <v>1404985958110568449</v>
      </c>
      <c r="F2389" s="7" t="s">
        <v>17</v>
      </c>
      <c r="G2389" s="7">
        <v>1588879</v>
      </c>
      <c r="H2389" s="7">
        <v>420</v>
      </c>
      <c r="I2389" s="7">
        <v>1</v>
      </c>
      <c r="J2389" s="7">
        <v>5</v>
      </c>
      <c r="K2389" s="7" t="s">
        <v>18</v>
      </c>
      <c r="L2389" s="8">
        <v>39891.213356481479</v>
      </c>
      <c r="M2389" s="9" t="s">
        <v>19</v>
      </c>
      <c r="N2389" s="9" t="s">
        <v>22</v>
      </c>
      <c r="O2389" s="6" t="str">
        <f>HYPERLINK("https://pbs.twimg.com/profile_images/988971255679324162/jrqiIYf__normal.jpg","View")</f>
        <v>View</v>
      </c>
      <c r="P2389" s="7"/>
    </row>
    <row r="2390" spans="1:16">
      <c r="A2390" s="3">
        <v>44363.324097222227</v>
      </c>
      <c r="B2390" s="4" t="str">
        <f>HYPERLINK("https://twitter.com/sergio_fajardo","@sergio_fajardo")</f>
        <v>@sergio_fajardo</v>
      </c>
      <c r="C2390" s="5" t="s">
        <v>16</v>
      </c>
      <c r="D2390" s="5" t="s">
        <v>2411</v>
      </c>
      <c r="E2390" s="6" t="str">
        <f>HYPERLINK("https://twitter.com/sergio_fajardo/status/1404986259957768193","1404986259957768193")</f>
        <v>1404986259957768193</v>
      </c>
      <c r="F2390" s="7" t="s">
        <v>17</v>
      </c>
      <c r="G2390" s="7">
        <v>1588879</v>
      </c>
      <c r="H2390" s="7">
        <v>420</v>
      </c>
      <c r="I2390" s="7">
        <v>2</v>
      </c>
      <c r="J2390" s="7">
        <v>0</v>
      </c>
      <c r="K2390" s="7" t="s">
        <v>18</v>
      </c>
      <c r="L2390" s="8">
        <v>39891.213356481479</v>
      </c>
      <c r="M2390" s="9" t="s">
        <v>19</v>
      </c>
      <c r="N2390" s="9" t="s">
        <v>22</v>
      </c>
      <c r="O2390" s="6" t="str">
        <f>HYPERLINK("https://pbs.twimg.com/profile_images/988971255679324162/jrqiIYf__normal.jpg","View")</f>
        <v>View</v>
      </c>
      <c r="P2390" s="7"/>
    </row>
    <row r="2391" spans="1:16">
      <c r="A2391" s="3">
        <v>44363.336215277777</v>
      </c>
      <c r="B2391" s="4" t="str">
        <f>HYPERLINK("https://twitter.com/sergio_fajardo","@sergio_fajardo")</f>
        <v>@sergio_fajardo</v>
      </c>
      <c r="C2391" s="5" t="s">
        <v>16</v>
      </c>
      <c r="D2391" s="5" t="s">
        <v>2412</v>
      </c>
      <c r="E2391" s="6" t="str">
        <f>HYPERLINK("https://twitter.com/sergio_fajardo/status/1404990652564361222","1404990652564361222")</f>
        <v>1404990652564361222</v>
      </c>
      <c r="F2391" s="7" t="s">
        <v>17</v>
      </c>
      <c r="G2391" s="7">
        <v>1588870</v>
      </c>
      <c r="H2391" s="7">
        <v>420</v>
      </c>
      <c r="I2391" s="7">
        <v>1</v>
      </c>
      <c r="J2391" s="7">
        <v>12</v>
      </c>
      <c r="K2391" s="7" t="s">
        <v>18</v>
      </c>
      <c r="L2391" s="8">
        <v>39891.213356481479</v>
      </c>
      <c r="M2391" s="9" t="s">
        <v>19</v>
      </c>
      <c r="N2391" s="9" t="s">
        <v>22</v>
      </c>
      <c r="O2391" s="6" t="str">
        <f>HYPERLINK("https://pbs.twimg.com/profile_images/988971255679324162/jrqiIYf__normal.jpg","View")</f>
        <v>View</v>
      </c>
      <c r="P2391" s="7"/>
    </row>
    <row r="2392" spans="1:16">
      <c r="A2392" s="3">
        <v>44363.337465277778</v>
      </c>
      <c r="B2392" s="4" t="str">
        <f>HYPERLINK("https://twitter.com/sergio_fajardo","@sergio_fajardo")</f>
        <v>@sergio_fajardo</v>
      </c>
      <c r="C2392" s="5" t="s">
        <v>16</v>
      </c>
      <c r="D2392" s="5" t="s">
        <v>2413</v>
      </c>
      <c r="E2392" s="6" t="str">
        <f>HYPERLINK("https://twitter.com/sergio_fajardo/status/1404991105821708289","1404991105821708289")</f>
        <v>1404991105821708289</v>
      </c>
      <c r="F2392" s="7" t="s">
        <v>17</v>
      </c>
      <c r="G2392" s="7">
        <v>1588870</v>
      </c>
      <c r="H2392" s="7">
        <v>420</v>
      </c>
      <c r="I2392" s="7">
        <v>2</v>
      </c>
      <c r="J2392" s="7">
        <v>10</v>
      </c>
      <c r="K2392" s="7" t="s">
        <v>18</v>
      </c>
      <c r="L2392" s="8">
        <v>39891.213356481479</v>
      </c>
      <c r="M2392" s="9" t="s">
        <v>19</v>
      </c>
      <c r="N2392" s="9" t="s">
        <v>22</v>
      </c>
      <c r="O2392" s="6" t="str">
        <f>HYPERLINK("https://pbs.twimg.com/profile_images/988971255679324162/jrqiIYf__normal.jpg","View")</f>
        <v>View</v>
      </c>
      <c r="P2392" s="7"/>
    </row>
    <row r="2393" spans="1:16">
      <c r="A2393" s="3">
        <v>44363.337708333333</v>
      </c>
      <c r="B2393" s="4" t="str">
        <f>HYPERLINK("https://twitter.com/sergio_fajardo","@sergio_fajardo")</f>
        <v>@sergio_fajardo</v>
      </c>
      <c r="C2393" s="5" t="s">
        <v>16</v>
      </c>
      <c r="D2393" s="5" t="s">
        <v>2414</v>
      </c>
      <c r="E2393" s="6" t="str">
        <f>HYPERLINK("https://twitter.com/sergio_fajardo/status/1404991192262184965","1404991192262184965")</f>
        <v>1404991192262184965</v>
      </c>
      <c r="F2393" s="7" t="s">
        <v>17</v>
      </c>
      <c r="G2393" s="7">
        <v>1588870</v>
      </c>
      <c r="H2393" s="7">
        <v>420</v>
      </c>
      <c r="I2393" s="7">
        <v>4</v>
      </c>
      <c r="J2393" s="7">
        <v>18</v>
      </c>
      <c r="K2393" s="7" t="s">
        <v>18</v>
      </c>
      <c r="L2393" s="8">
        <v>39891.213356481479</v>
      </c>
      <c r="M2393" s="9" t="s">
        <v>19</v>
      </c>
      <c r="N2393" s="9" t="s">
        <v>22</v>
      </c>
      <c r="O2393" s="6" t="str">
        <f>HYPERLINK("https://pbs.twimg.com/profile_images/988971255679324162/jrqiIYf__normal.jpg","View")</f>
        <v>View</v>
      </c>
      <c r="P2393" s="7"/>
    </row>
    <row r="2394" spans="1:16">
      <c r="A2394" s="3">
        <v>44363.338969907403</v>
      </c>
      <c r="B2394" s="4" t="str">
        <f>HYPERLINK("https://twitter.com/sergio_fajardo","@sergio_fajardo")</f>
        <v>@sergio_fajardo</v>
      </c>
      <c r="C2394" s="5" t="s">
        <v>16</v>
      </c>
      <c r="D2394" s="5" t="s">
        <v>2415</v>
      </c>
      <c r="E2394" s="6" t="str">
        <f>HYPERLINK("https://twitter.com/sergio_fajardo/status/1404991649319723011","1404991649319723011")</f>
        <v>1404991649319723011</v>
      </c>
      <c r="F2394" s="7" t="s">
        <v>17</v>
      </c>
      <c r="G2394" s="7">
        <v>1588870</v>
      </c>
      <c r="H2394" s="7">
        <v>420</v>
      </c>
      <c r="I2394" s="7">
        <v>2</v>
      </c>
      <c r="J2394" s="7">
        <v>7</v>
      </c>
      <c r="K2394" s="7" t="s">
        <v>18</v>
      </c>
      <c r="L2394" s="8">
        <v>39891.213356481479</v>
      </c>
      <c r="M2394" s="9" t="s">
        <v>19</v>
      </c>
      <c r="N2394" s="9" t="s">
        <v>22</v>
      </c>
      <c r="O2394" s="6" t="str">
        <f>HYPERLINK("https://pbs.twimg.com/profile_images/988971255679324162/jrqiIYf__normal.jpg","View")</f>
        <v>View</v>
      </c>
      <c r="P2394" s="7"/>
    </row>
    <row r="2395" spans="1:16">
      <c r="A2395" s="3">
        <v>44363.347696759258</v>
      </c>
      <c r="B2395" s="4" t="str">
        <f>HYPERLINK("https://twitter.com/sergio_fajardo","@sergio_fajardo")</f>
        <v>@sergio_fajardo</v>
      </c>
      <c r="C2395" s="5" t="s">
        <v>16</v>
      </c>
      <c r="D2395" s="5" t="s">
        <v>2416</v>
      </c>
      <c r="E2395" s="6" t="str">
        <f>HYPERLINK("https://twitter.com/sergio_fajardo/status/1404994811837431813","1404994811837431813")</f>
        <v>1404994811837431813</v>
      </c>
      <c r="F2395" s="7" t="s">
        <v>17</v>
      </c>
      <c r="G2395" s="7">
        <v>1588870</v>
      </c>
      <c r="H2395" s="7">
        <v>420</v>
      </c>
      <c r="I2395" s="7">
        <v>5</v>
      </c>
      <c r="J2395" s="7">
        <v>18</v>
      </c>
      <c r="K2395" s="7" t="s">
        <v>18</v>
      </c>
      <c r="L2395" s="8">
        <v>39891.213356481479</v>
      </c>
      <c r="M2395" s="9" t="s">
        <v>19</v>
      </c>
      <c r="N2395" s="9" t="s">
        <v>22</v>
      </c>
      <c r="O2395" s="6" t="str">
        <f>HYPERLINK("https://pbs.twimg.com/profile_images/988971255679324162/jrqiIYf__normal.jpg","View")</f>
        <v>View</v>
      </c>
      <c r="P2395" s="7"/>
    </row>
    <row r="2396" spans="1:16">
      <c r="A2396" s="3">
        <v>44363.387557870374</v>
      </c>
      <c r="B2396" s="4" t="str">
        <f>HYPERLINK("https://twitter.com/sergio_fajardo","@sergio_fajardo")</f>
        <v>@sergio_fajardo</v>
      </c>
      <c r="C2396" s="5" t="s">
        <v>16</v>
      </c>
      <c r="D2396" s="5" t="s">
        <v>2417</v>
      </c>
      <c r="E2396" s="6" t="str">
        <f>HYPERLINK("https://twitter.com/sergio_fajardo/status/1405009256122826753","1405009256122826753")</f>
        <v>1405009256122826753</v>
      </c>
      <c r="F2396" s="7" t="s">
        <v>17</v>
      </c>
      <c r="G2396" s="7">
        <v>1588874</v>
      </c>
      <c r="H2396" s="7">
        <v>420</v>
      </c>
      <c r="I2396" s="7">
        <v>211</v>
      </c>
      <c r="J2396" s="7">
        <v>0</v>
      </c>
      <c r="K2396" s="7" t="s">
        <v>18</v>
      </c>
      <c r="L2396" s="8">
        <v>39891.213356481479</v>
      </c>
      <c r="M2396" s="9" t="s">
        <v>19</v>
      </c>
      <c r="N2396" s="9" t="s">
        <v>22</v>
      </c>
      <c r="O2396" s="6" t="str">
        <f>HYPERLINK("https://pbs.twimg.com/profile_images/988971255679324162/jrqiIYf__normal.jpg","View")</f>
        <v>View</v>
      </c>
      <c r="P2396" s="7"/>
    </row>
    <row r="2397" spans="1:16">
      <c r="A2397" s="3">
        <v>44363.688252314816</v>
      </c>
      <c r="B2397" s="4" t="str">
        <f>HYPERLINK("https://twitter.com/sergio_fajardo","@sergio_fajardo")</f>
        <v>@sergio_fajardo</v>
      </c>
      <c r="C2397" s="5" t="s">
        <v>16</v>
      </c>
      <c r="D2397" s="5" t="s">
        <v>2418</v>
      </c>
      <c r="E2397" s="6" t="str">
        <f>HYPERLINK("https://twitter.com/sergio_fajardo/status/1405118227252977667","1405118227252977667")</f>
        <v>1405118227252977667</v>
      </c>
      <c r="F2397" s="7" t="s">
        <v>17</v>
      </c>
      <c r="G2397" s="7">
        <v>1588858</v>
      </c>
      <c r="H2397" s="7">
        <v>420</v>
      </c>
      <c r="I2397" s="7">
        <v>0</v>
      </c>
      <c r="J2397" s="7">
        <v>7</v>
      </c>
      <c r="K2397" s="7" t="s">
        <v>18</v>
      </c>
      <c r="L2397" s="8">
        <v>39891.213356481479</v>
      </c>
      <c r="M2397" s="9" t="s">
        <v>19</v>
      </c>
      <c r="N2397" s="9" t="s">
        <v>22</v>
      </c>
      <c r="O2397" s="6" t="str">
        <f>HYPERLINK("https://pbs.twimg.com/profile_images/988971255679324162/jrqiIYf__normal.jpg","View")</f>
        <v>View</v>
      </c>
      <c r="P2397" s="7"/>
    </row>
    <row r="2398" spans="1:16">
      <c r="A2398" s="3">
        <v>44363.692893518513</v>
      </c>
      <c r="B2398" s="4" t="str">
        <f>HYPERLINK("https://twitter.com/sergio_fajardo","@sergio_fajardo")</f>
        <v>@sergio_fajardo</v>
      </c>
      <c r="C2398" s="5" t="s">
        <v>16</v>
      </c>
      <c r="D2398" s="5" t="s">
        <v>2419</v>
      </c>
      <c r="E2398" s="6" t="str">
        <f>HYPERLINK("https://twitter.com/sergio_fajardo/status/1405119909445652480","1405119909445652480")</f>
        <v>1405119909445652480</v>
      </c>
      <c r="F2398" s="7" t="s">
        <v>17</v>
      </c>
      <c r="G2398" s="7">
        <v>1588860</v>
      </c>
      <c r="H2398" s="7">
        <v>420</v>
      </c>
      <c r="I2398" s="7">
        <v>22</v>
      </c>
      <c r="J2398" s="7">
        <v>0</v>
      </c>
      <c r="K2398" s="7" t="s">
        <v>18</v>
      </c>
      <c r="L2398" s="8">
        <v>39891.213356481479</v>
      </c>
      <c r="M2398" s="9" t="s">
        <v>19</v>
      </c>
      <c r="N2398" s="9" t="s">
        <v>22</v>
      </c>
      <c r="O2398" s="6" t="str">
        <f>HYPERLINK("https://pbs.twimg.com/profile_images/988971255679324162/jrqiIYf__normal.jpg","View")</f>
        <v>View</v>
      </c>
      <c r="P2398" s="7"/>
    </row>
    <row r="2399" spans="1:16">
      <c r="A2399" s="3">
        <v>44363.957534722227</v>
      </c>
      <c r="B2399" s="4" t="str">
        <f>HYPERLINK("https://twitter.com/sergio_fajardo","@sergio_fajardo")</f>
        <v>@sergio_fajardo</v>
      </c>
      <c r="C2399" s="5" t="s">
        <v>16</v>
      </c>
      <c r="D2399" s="5" t="s">
        <v>2420</v>
      </c>
      <c r="E2399" s="6" t="str">
        <f>HYPERLINK("https://twitter.com/sergio_fajardo/status/1405215812152086533","1405215812152086533")</f>
        <v>1405215812152086533</v>
      </c>
      <c r="F2399" s="7" t="s">
        <v>23</v>
      </c>
      <c r="G2399" s="7">
        <v>1588875</v>
      </c>
      <c r="H2399" s="7">
        <v>421</v>
      </c>
      <c r="I2399" s="7">
        <v>2</v>
      </c>
      <c r="J2399" s="7">
        <v>6</v>
      </c>
      <c r="K2399" s="7" t="s">
        <v>18</v>
      </c>
      <c r="L2399" s="8">
        <v>39891.213356481479</v>
      </c>
      <c r="M2399" s="9" t="s">
        <v>19</v>
      </c>
      <c r="N2399" s="9" t="s">
        <v>22</v>
      </c>
      <c r="O2399" s="6" t="str">
        <f>HYPERLINK("https://pbs.twimg.com/profile_images/988971255679324162/jrqiIYf__normal.jpg","View")</f>
        <v>View</v>
      </c>
      <c r="P2399" s="7"/>
    </row>
    <row r="2400" spans="1:16">
      <c r="A2400" s="3">
        <v>44364.348182870366</v>
      </c>
      <c r="B2400" s="4" t="str">
        <f>HYPERLINK("https://twitter.com/sergio_fajardo","@sergio_fajardo")</f>
        <v>@sergio_fajardo</v>
      </c>
      <c r="C2400" s="5" t="s">
        <v>16</v>
      </c>
      <c r="D2400" s="5" t="s">
        <v>2421</v>
      </c>
      <c r="E2400" s="6" t="str">
        <f>HYPERLINK("https://twitter.com/sergio_fajardo/status/1405357375658381315","1405357375658381315")</f>
        <v>1405357375658381315</v>
      </c>
      <c r="F2400" s="7" t="s">
        <v>17</v>
      </c>
      <c r="G2400" s="7">
        <v>1588928</v>
      </c>
      <c r="H2400" s="7">
        <v>421</v>
      </c>
      <c r="I2400" s="7">
        <v>12</v>
      </c>
      <c r="J2400" s="7">
        <v>62</v>
      </c>
      <c r="K2400" s="7" t="s">
        <v>18</v>
      </c>
      <c r="L2400" s="8">
        <v>39891.213356481479</v>
      </c>
      <c r="M2400" s="9" t="s">
        <v>19</v>
      </c>
      <c r="N2400" s="9" t="s">
        <v>22</v>
      </c>
      <c r="O2400" s="6" t="str">
        <f>HYPERLINK("https://pbs.twimg.com/profile_images/988971255679324162/jrqiIYf__normal.jpg","View")</f>
        <v>View</v>
      </c>
      <c r="P2400" s="7"/>
    </row>
    <row r="2401" spans="1:16">
      <c r="A2401" s="3">
        <v>44364.753506944442</v>
      </c>
      <c r="B2401" s="4" t="str">
        <f>HYPERLINK("https://twitter.com/sergio_fajardo","@sergio_fajardo")</f>
        <v>@sergio_fajardo</v>
      </c>
      <c r="C2401" s="5" t="s">
        <v>16</v>
      </c>
      <c r="D2401" s="5" t="s">
        <v>2422</v>
      </c>
      <c r="E2401" s="6" t="str">
        <f>HYPERLINK("https://twitter.com/sergio_fajardo/status/1405504260574416898","1405504260574416898")</f>
        <v>1405504260574416898</v>
      </c>
      <c r="F2401" s="7" t="s">
        <v>20</v>
      </c>
      <c r="G2401" s="7">
        <v>1588949</v>
      </c>
      <c r="H2401" s="7">
        <v>421</v>
      </c>
      <c r="I2401" s="7">
        <v>7</v>
      </c>
      <c r="J2401" s="7">
        <v>21</v>
      </c>
      <c r="K2401" s="7" t="s">
        <v>18</v>
      </c>
      <c r="L2401" s="8">
        <v>39891.213356481479</v>
      </c>
      <c r="M2401" s="9" t="s">
        <v>19</v>
      </c>
      <c r="N2401" s="9" t="s">
        <v>22</v>
      </c>
      <c r="O2401" s="6" t="str">
        <f>HYPERLINK("https://pbs.twimg.com/profile_images/988971255679324162/jrqiIYf__normal.jpg","View")</f>
        <v>View</v>
      </c>
      <c r="P2401" s="7"/>
    </row>
    <row r="2402" spans="1:16">
      <c r="A2402" s="3">
        <v>44364.79887731481</v>
      </c>
      <c r="B2402" s="4" t="str">
        <f>HYPERLINK("https://twitter.com/sergio_fajardo","@sergio_fajardo")</f>
        <v>@sergio_fajardo</v>
      </c>
      <c r="C2402" s="5" t="s">
        <v>16</v>
      </c>
      <c r="D2402" s="5" t="s">
        <v>2423</v>
      </c>
      <c r="E2402" s="6" t="str">
        <f>HYPERLINK("https://twitter.com/sergio_fajardo/status/1405520703013543937","1405520703013543937")</f>
        <v>1405520703013543937</v>
      </c>
      <c r="F2402" s="7" t="s">
        <v>2329</v>
      </c>
      <c r="G2402" s="7">
        <v>1588870</v>
      </c>
      <c r="H2402" s="7">
        <v>421</v>
      </c>
      <c r="I2402" s="7">
        <v>5</v>
      </c>
      <c r="J2402" s="7">
        <v>35</v>
      </c>
      <c r="K2402" s="7" t="s">
        <v>18</v>
      </c>
      <c r="L2402" s="8">
        <v>39891.213356481479</v>
      </c>
      <c r="M2402" s="9" t="s">
        <v>19</v>
      </c>
      <c r="N2402" s="9" t="s">
        <v>22</v>
      </c>
      <c r="O2402" s="6" t="str">
        <f>HYPERLINK("https://pbs.twimg.com/profile_images/988971255679324162/jrqiIYf__normal.jpg","View")</f>
        <v>View</v>
      </c>
      <c r="P2402" s="7"/>
    </row>
    <row r="2403" spans="1:16">
      <c r="A2403" s="3">
        <v>44364.969467592593</v>
      </c>
      <c r="B2403" s="4" t="str">
        <f>HYPERLINK("https://twitter.com/sergio_fajardo","@sergio_fajardo")</f>
        <v>@sergio_fajardo</v>
      </c>
      <c r="C2403" s="5" t="s">
        <v>16</v>
      </c>
      <c r="D2403" s="5" t="s">
        <v>2424</v>
      </c>
      <c r="E2403" s="6" t="str">
        <f>HYPERLINK("https://twitter.com/sergio_fajardo/status/1405582523543982087","1405582523543982087")</f>
        <v>1405582523543982087</v>
      </c>
      <c r="F2403" s="7" t="s">
        <v>23</v>
      </c>
      <c r="G2403" s="7">
        <v>1588985</v>
      </c>
      <c r="H2403" s="7">
        <v>421</v>
      </c>
      <c r="I2403" s="7">
        <v>6</v>
      </c>
      <c r="J2403" s="7">
        <v>45</v>
      </c>
      <c r="K2403" s="7" t="s">
        <v>18</v>
      </c>
      <c r="L2403" s="8">
        <v>39891.213356481479</v>
      </c>
      <c r="M2403" s="9" t="s">
        <v>19</v>
      </c>
      <c r="N2403" s="9" t="s">
        <v>22</v>
      </c>
      <c r="O2403" s="6" t="str">
        <f>HYPERLINK("https://pbs.twimg.com/profile_images/988971255679324162/jrqiIYf__normal.jpg","View")</f>
        <v>View</v>
      </c>
      <c r="P2403" s="7"/>
    </row>
    <row r="2404" spans="1:16">
      <c r="A2404" s="3">
        <v>44364.998738425929</v>
      </c>
      <c r="B2404" s="4" t="str">
        <f>HYPERLINK("https://twitter.com/sergio_fajardo","@sergio_fajardo")</f>
        <v>@sergio_fajardo</v>
      </c>
      <c r="C2404" s="5" t="s">
        <v>16</v>
      </c>
      <c r="D2404" s="5" t="s">
        <v>2425</v>
      </c>
      <c r="E2404" s="6" t="str">
        <f>HYPERLINK("https://twitter.com/sergio_fajardo/status/1405593131681210374","1405593131681210374")</f>
        <v>1405593131681210374</v>
      </c>
      <c r="F2404" s="7" t="s">
        <v>20</v>
      </c>
      <c r="G2404" s="7">
        <v>1588994</v>
      </c>
      <c r="H2404" s="7">
        <v>421</v>
      </c>
      <c r="I2404" s="7">
        <v>10</v>
      </c>
      <c r="J2404" s="7">
        <v>0</v>
      </c>
      <c r="K2404" s="7" t="s">
        <v>18</v>
      </c>
      <c r="L2404" s="8">
        <v>39891.213356481479</v>
      </c>
      <c r="M2404" s="9" t="s">
        <v>19</v>
      </c>
      <c r="N2404" s="9" t="s">
        <v>22</v>
      </c>
      <c r="O2404" s="6" t="str">
        <f>HYPERLINK("https://pbs.twimg.com/profile_images/988971255679324162/jrqiIYf__normal.jpg","View")</f>
        <v>View</v>
      </c>
      <c r="P2404" s="7"/>
    </row>
    <row r="2405" spans="1:16">
      <c r="A2405" s="3">
        <v>44365.020902777775</v>
      </c>
      <c r="B2405" s="4" t="str">
        <f>HYPERLINK("https://twitter.com/sergio_fajardo","@sergio_fajardo")</f>
        <v>@sergio_fajardo</v>
      </c>
      <c r="C2405" s="5" t="s">
        <v>16</v>
      </c>
      <c r="D2405" s="5" t="s">
        <v>2426</v>
      </c>
      <c r="E2405" s="6" t="str">
        <f>HYPERLINK("https://twitter.com/sergio_fajardo/status/1405601161588219908","1405601161588219908")</f>
        <v>1405601161588219908</v>
      </c>
      <c r="F2405" s="7" t="s">
        <v>23</v>
      </c>
      <c r="G2405" s="7">
        <v>1589000</v>
      </c>
      <c r="H2405" s="7">
        <v>421</v>
      </c>
      <c r="I2405" s="7">
        <v>3</v>
      </c>
      <c r="J2405" s="7">
        <v>9</v>
      </c>
      <c r="K2405" s="7" t="s">
        <v>18</v>
      </c>
      <c r="L2405" s="8">
        <v>39891.213356481479</v>
      </c>
      <c r="M2405" s="9" t="s">
        <v>19</v>
      </c>
      <c r="N2405" s="9" t="s">
        <v>22</v>
      </c>
      <c r="O2405" s="6" t="str">
        <f>HYPERLINK("https://pbs.twimg.com/profile_images/988971255679324162/jrqiIYf__normal.jpg","View")</f>
        <v>View</v>
      </c>
      <c r="P2405" s="7"/>
    </row>
    <row r="2406" spans="1:16">
      <c r="A2406" s="3">
        <v>44365.184745370367</v>
      </c>
      <c r="B2406" s="4" t="str">
        <f>HYPERLINK("https://twitter.com/sergio_fajardo","@sergio_fajardo")</f>
        <v>@sergio_fajardo</v>
      </c>
      <c r="C2406" s="5" t="s">
        <v>16</v>
      </c>
      <c r="D2406" s="5" t="s">
        <v>2427</v>
      </c>
      <c r="E2406" s="6" t="str">
        <f>HYPERLINK("https://twitter.com/sergio_fajardo/status/1405660537564844038","1405660537564844038")</f>
        <v>1405660537564844038</v>
      </c>
      <c r="F2406" s="7" t="s">
        <v>17</v>
      </c>
      <c r="G2406" s="7">
        <v>1589007</v>
      </c>
      <c r="H2406" s="7">
        <v>421</v>
      </c>
      <c r="I2406" s="7">
        <v>11</v>
      </c>
      <c r="J2406" s="7">
        <v>0</v>
      </c>
      <c r="K2406" s="7" t="s">
        <v>18</v>
      </c>
      <c r="L2406" s="8">
        <v>39891.213356481479</v>
      </c>
      <c r="M2406" s="9" t="s">
        <v>19</v>
      </c>
      <c r="N2406" s="9" t="s">
        <v>22</v>
      </c>
      <c r="O2406" s="6" t="str">
        <f>HYPERLINK("https://pbs.twimg.com/profile_images/988971255679324162/jrqiIYf__normal.jpg","View")</f>
        <v>View</v>
      </c>
      <c r="P2406" s="7"/>
    </row>
    <row r="2407" spans="1:16">
      <c r="A2407" s="3">
        <v>44365.84774305555</v>
      </c>
      <c r="B2407" s="4" t="str">
        <f>HYPERLINK("https://twitter.com/sergio_fajardo","@sergio_fajardo")</f>
        <v>@sergio_fajardo</v>
      </c>
      <c r="C2407" s="5" t="s">
        <v>16</v>
      </c>
      <c r="D2407" s="5" t="s">
        <v>2428</v>
      </c>
      <c r="E2407" s="6" t="str">
        <f>HYPERLINK("https://twitter.com/sergio_fajardo/status/1405900799310508037","1405900799310508037")</f>
        <v>1405900799310508037</v>
      </c>
      <c r="F2407" s="7" t="s">
        <v>17</v>
      </c>
      <c r="G2407" s="7">
        <v>1589019</v>
      </c>
      <c r="H2407" s="7">
        <v>421</v>
      </c>
      <c r="I2407" s="7">
        <v>4</v>
      </c>
      <c r="J2407" s="7">
        <v>12</v>
      </c>
      <c r="K2407" s="7" t="s">
        <v>18</v>
      </c>
      <c r="L2407" s="8">
        <v>39891.213356481479</v>
      </c>
      <c r="M2407" s="9" t="s">
        <v>19</v>
      </c>
      <c r="N2407" s="9" t="s">
        <v>22</v>
      </c>
      <c r="O2407" s="6" t="str">
        <f>HYPERLINK("https://pbs.twimg.com/profile_images/988971255679324162/jrqiIYf__normal.jpg","View")</f>
        <v>View</v>
      </c>
      <c r="P2407" s="7"/>
    </row>
    <row r="2408" spans="1:16">
      <c r="A2408" s="3">
        <v>44366.126886574071</v>
      </c>
      <c r="B2408" s="4" t="str">
        <f>HYPERLINK("https://twitter.com/sergio_fajardo","@sergio_fajardo")</f>
        <v>@sergio_fajardo</v>
      </c>
      <c r="C2408" s="5" t="s">
        <v>16</v>
      </c>
      <c r="D2408" s="5" t="s">
        <v>2429</v>
      </c>
      <c r="E2408" s="6" t="str">
        <f>HYPERLINK("https://twitter.com/sergio_fajardo/status/1406001958956240899","1406001958956240899")</f>
        <v>1406001958956240899</v>
      </c>
      <c r="F2408" s="7" t="s">
        <v>17</v>
      </c>
      <c r="G2408" s="7">
        <v>1589047</v>
      </c>
      <c r="H2408" s="7">
        <v>421</v>
      </c>
      <c r="I2408" s="7">
        <v>0</v>
      </c>
      <c r="J2408" s="7">
        <v>0</v>
      </c>
      <c r="K2408" s="7" t="s">
        <v>18</v>
      </c>
      <c r="L2408" s="8">
        <v>39891.213356481479</v>
      </c>
      <c r="M2408" s="9" t="s">
        <v>19</v>
      </c>
      <c r="N2408" s="9" t="s">
        <v>22</v>
      </c>
      <c r="O2408" s="6" t="str">
        <f>HYPERLINK("https://pbs.twimg.com/profile_images/988971255679324162/jrqiIYf__normal.jpg","View")</f>
        <v>View</v>
      </c>
      <c r="P2408" s="7"/>
    </row>
    <row r="2409" spans="1:16">
      <c r="A2409" s="3">
        <v>44366.126898148148</v>
      </c>
      <c r="B2409" s="4" t="str">
        <f>HYPERLINK("https://twitter.com/sergio_fajardo","@sergio_fajardo")</f>
        <v>@sergio_fajardo</v>
      </c>
      <c r="C2409" s="5" t="s">
        <v>16</v>
      </c>
      <c r="D2409" s="5" t="s">
        <v>2430</v>
      </c>
      <c r="E2409" s="6" t="str">
        <f>HYPERLINK("https://twitter.com/sergio_fajardo/status/1406001960319397889","1406001960319397889")</f>
        <v>1406001960319397889</v>
      </c>
      <c r="F2409" s="7" t="s">
        <v>17</v>
      </c>
      <c r="G2409" s="7">
        <v>1589047</v>
      </c>
      <c r="H2409" s="7">
        <v>421</v>
      </c>
      <c r="I2409" s="7">
        <v>0</v>
      </c>
      <c r="J2409" s="7">
        <v>0</v>
      </c>
      <c r="K2409" s="7" t="s">
        <v>18</v>
      </c>
      <c r="L2409" s="8">
        <v>39891.213356481479</v>
      </c>
      <c r="M2409" s="9" t="s">
        <v>19</v>
      </c>
      <c r="N2409" s="9" t="s">
        <v>22</v>
      </c>
      <c r="O2409" s="6" t="str">
        <f>HYPERLINK("https://pbs.twimg.com/profile_images/988971255679324162/jrqiIYf__normal.jpg","View")</f>
        <v>View</v>
      </c>
      <c r="P2409" s="7"/>
    </row>
    <row r="2410" spans="1:16">
      <c r="A2410" s="3">
        <v>44366.927789351852</v>
      </c>
      <c r="B2410" s="4" t="str">
        <f>HYPERLINK("https://twitter.com/sergio_fajardo","@sergio_fajardo")</f>
        <v>@sergio_fajardo</v>
      </c>
      <c r="C2410" s="5" t="s">
        <v>16</v>
      </c>
      <c r="D2410" s="5" t="s">
        <v>2431</v>
      </c>
      <c r="E2410" s="6" t="str">
        <f>HYPERLINK("https://twitter.com/sergio_fajardo/status/1406292192667357189","1406292192667357189")</f>
        <v>1406292192667357189</v>
      </c>
      <c r="F2410" s="7" t="s">
        <v>17</v>
      </c>
      <c r="G2410" s="7">
        <v>1589082</v>
      </c>
      <c r="H2410" s="7">
        <v>421</v>
      </c>
      <c r="I2410" s="7">
        <v>17</v>
      </c>
      <c r="J2410" s="7">
        <v>0</v>
      </c>
      <c r="K2410" s="7" t="s">
        <v>18</v>
      </c>
      <c r="L2410" s="8">
        <v>39891.213356481479</v>
      </c>
      <c r="M2410" s="9" t="s">
        <v>19</v>
      </c>
      <c r="N2410" s="9" t="s">
        <v>22</v>
      </c>
      <c r="O2410" s="6" t="str">
        <f>HYPERLINK("https://pbs.twimg.com/profile_images/988971255679324162/jrqiIYf__normal.jpg","View")</f>
        <v>View</v>
      </c>
      <c r="P2410" s="7"/>
    </row>
    <row r="2411" spans="1:16">
      <c r="A2411" s="3">
        <v>44366.986157407402</v>
      </c>
      <c r="B2411" s="4" t="str">
        <f>HYPERLINK("https://twitter.com/sergio_fajardo","@sergio_fajardo")</f>
        <v>@sergio_fajardo</v>
      </c>
      <c r="C2411" s="5" t="s">
        <v>16</v>
      </c>
      <c r="D2411" s="5" t="s">
        <v>2432</v>
      </c>
      <c r="E2411" s="6" t="str">
        <f>HYPERLINK("https://twitter.com/sergio_fajardo/status/1406313346069106692","1406313346069106692")</f>
        <v>1406313346069106692</v>
      </c>
      <c r="F2411" s="7" t="s">
        <v>17</v>
      </c>
      <c r="G2411" s="7">
        <v>1589077</v>
      </c>
      <c r="H2411" s="7">
        <v>421</v>
      </c>
      <c r="I2411" s="7">
        <v>44</v>
      </c>
      <c r="J2411" s="7">
        <v>160</v>
      </c>
      <c r="K2411" s="7" t="s">
        <v>18</v>
      </c>
      <c r="L2411" s="8">
        <v>39891.213356481479</v>
      </c>
      <c r="M2411" s="9" t="s">
        <v>19</v>
      </c>
      <c r="N2411" s="9" t="s">
        <v>22</v>
      </c>
      <c r="O2411" s="6" t="str">
        <f>HYPERLINK("https://pbs.twimg.com/profile_images/988971255679324162/jrqiIYf__normal.jpg","View")</f>
        <v>View</v>
      </c>
      <c r="P2411" s="7"/>
    </row>
    <row r="2412" spans="1:16">
      <c r="A2412" s="3">
        <v>44368.229594907403</v>
      </c>
      <c r="B2412" s="4" t="str">
        <f>HYPERLINK("https://twitter.com/sergio_fajardo","@sergio_fajardo")</f>
        <v>@sergio_fajardo</v>
      </c>
      <c r="C2412" s="5" t="s">
        <v>16</v>
      </c>
      <c r="D2412" s="5" t="s">
        <v>2433</v>
      </c>
      <c r="E2412" s="6" t="str">
        <f>HYPERLINK("https://twitter.com/sergio_fajardo/status/1406763952550432768","1406763952550432768")</f>
        <v>1406763952550432768</v>
      </c>
      <c r="F2412" s="7" t="s">
        <v>17</v>
      </c>
      <c r="G2412" s="7">
        <v>1589142</v>
      </c>
      <c r="H2412" s="7">
        <v>421</v>
      </c>
      <c r="I2412" s="7">
        <v>2</v>
      </c>
      <c r="J2412" s="7">
        <v>8</v>
      </c>
      <c r="K2412" s="7" t="s">
        <v>18</v>
      </c>
      <c r="L2412" s="8">
        <v>39891.213356481479</v>
      </c>
      <c r="M2412" s="9" t="s">
        <v>19</v>
      </c>
      <c r="N2412" s="9" t="s">
        <v>22</v>
      </c>
      <c r="O2412" s="6" t="str">
        <f>HYPERLINK("https://pbs.twimg.com/profile_images/988971255679324162/jrqiIYf__normal.jpg","View")</f>
        <v>View</v>
      </c>
      <c r="P2412" s="7"/>
    </row>
    <row r="2413" spans="1:16">
      <c r="A2413" s="3">
        <v>44368.99391203704</v>
      </c>
      <c r="B2413" s="4" t="str">
        <f>HYPERLINK("https://twitter.com/sergio_fajardo","@sergio_fajardo")</f>
        <v>@sergio_fajardo</v>
      </c>
      <c r="C2413" s="5" t="s">
        <v>16</v>
      </c>
      <c r="D2413" s="5" t="s">
        <v>2434</v>
      </c>
      <c r="E2413" s="6" t="str">
        <f>HYPERLINK("https://twitter.com/sergio_fajardo/status/1407040933451948034","1407040933451948034")</f>
        <v>1407040933451948034</v>
      </c>
      <c r="F2413" s="7" t="s">
        <v>23</v>
      </c>
      <c r="G2413" s="7">
        <v>1589184</v>
      </c>
      <c r="H2413" s="7">
        <v>421</v>
      </c>
      <c r="I2413" s="7">
        <v>35</v>
      </c>
      <c r="J2413" s="7">
        <v>126</v>
      </c>
      <c r="K2413" s="7" t="s">
        <v>18</v>
      </c>
      <c r="L2413" s="8">
        <v>39891.213356481479</v>
      </c>
      <c r="M2413" s="9" t="s">
        <v>19</v>
      </c>
      <c r="N2413" s="9" t="s">
        <v>22</v>
      </c>
      <c r="O2413" s="6" t="str">
        <f>HYPERLINK("https://pbs.twimg.com/profile_images/988971255679324162/jrqiIYf__normal.jpg","View")</f>
        <v>View</v>
      </c>
      <c r="P2413" s="7"/>
    </row>
    <row r="2414" spans="1:16">
      <c r="A2414" s="3">
        <v>44369.247754629629</v>
      </c>
      <c r="B2414" s="4" t="str">
        <f>HYPERLINK("https://twitter.com/sergio_fajardo","@sergio_fajardo")</f>
        <v>@sergio_fajardo</v>
      </c>
      <c r="C2414" s="5" t="s">
        <v>16</v>
      </c>
      <c r="D2414" s="5" t="s">
        <v>2435</v>
      </c>
      <c r="E2414" s="6" t="str">
        <f>HYPERLINK("https://twitter.com/sergio_fajardo/status/1407132922914672640","1407132922914672640")</f>
        <v>1407132922914672640</v>
      </c>
      <c r="F2414" s="7" t="s">
        <v>23</v>
      </c>
      <c r="G2414" s="7">
        <v>1589210</v>
      </c>
      <c r="H2414" s="7">
        <v>421</v>
      </c>
      <c r="I2414" s="7">
        <v>5</v>
      </c>
      <c r="J2414" s="7">
        <v>20</v>
      </c>
      <c r="K2414" s="7" t="s">
        <v>18</v>
      </c>
      <c r="L2414" s="8">
        <v>39891.213356481479</v>
      </c>
      <c r="M2414" s="9" t="s">
        <v>19</v>
      </c>
      <c r="N2414" s="9" t="s">
        <v>22</v>
      </c>
      <c r="O2414" s="6" t="str">
        <f>HYPERLINK("https://pbs.twimg.com/profile_images/988971255679324162/jrqiIYf__normal.jpg","View")</f>
        <v>View</v>
      </c>
      <c r="P2414" s="7"/>
    </row>
    <row r="2415" spans="1:16">
      <c r="A2415" s="3">
        <v>44370.00880787037</v>
      </c>
      <c r="B2415" s="4" t="str">
        <f>HYPERLINK("https://twitter.com/sergio_fajardo","@sergio_fajardo")</f>
        <v>@sergio_fajardo</v>
      </c>
      <c r="C2415" s="5" t="s">
        <v>16</v>
      </c>
      <c r="D2415" s="5" t="s">
        <v>2436</v>
      </c>
      <c r="E2415" s="6" t="str">
        <f>HYPERLINK("https://twitter.com/sergio_fajardo/status/1407408718464094219","1407408718464094219")</f>
        <v>1407408718464094219</v>
      </c>
      <c r="F2415" s="7" t="s">
        <v>23</v>
      </c>
      <c r="G2415" s="7">
        <v>1589246</v>
      </c>
      <c r="H2415" s="7">
        <v>422</v>
      </c>
      <c r="I2415" s="7">
        <v>4</v>
      </c>
      <c r="J2415" s="7">
        <v>57</v>
      </c>
      <c r="K2415" s="7" t="s">
        <v>18</v>
      </c>
      <c r="L2415" s="8">
        <v>39891.213356481479</v>
      </c>
      <c r="M2415" s="9" t="s">
        <v>19</v>
      </c>
      <c r="N2415" s="9" t="s">
        <v>22</v>
      </c>
      <c r="O2415" s="6" t="str">
        <f>HYPERLINK("https://pbs.twimg.com/profile_images/988971255679324162/jrqiIYf__normal.jpg","View")</f>
        <v>View</v>
      </c>
      <c r="P2415" s="7"/>
    </row>
    <row r="2416" spans="1:16">
      <c r="A2416" s="3">
        <v>44370.091666666667</v>
      </c>
      <c r="B2416" s="4" t="str">
        <f>HYPERLINK("https://twitter.com/sergio_fajardo","@sergio_fajardo")</f>
        <v>@sergio_fajardo</v>
      </c>
      <c r="C2416" s="5" t="s">
        <v>16</v>
      </c>
      <c r="D2416" s="5" t="s">
        <v>2437</v>
      </c>
      <c r="E2416" s="6" t="str">
        <f>HYPERLINK("https://twitter.com/sergio_fajardo/status/1407438744332943361","1407438744332943361")</f>
        <v>1407438744332943361</v>
      </c>
      <c r="F2416" s="7" t="s">
        <v>23</v>
      </c>
      <c r="G2416" s="7">
        <v>1589252</v>
      </c>
      <c r="H2416" s="7">
        <v>422</v>
      </c>
      <c r="I2416" s="7">
        <v>20</v>
      </c>
      <c r="J2416" s="7">
        <v>61</v>
      </c>
      <c r="K2416" s="7" t="s">
        <v>18</v>
      </c>
      <c r="L2416" s="8">
        <v>39891.213356481479</v>
      </c>
      <c r="M2416" s="9" t="s">
        <v>19</v>
      </c>
      <c r="N2416" s="9" t="s">
        <v>22</v>
      </c>
      <c r="O2416" s="6" t="str">
        <f>HYPERLINK("https://pbs.twimg.com/profile_images/988971255679324162/jrqiIYf__normal.jpg","View")</f>
        <v>View</v>
      </c>
      <c r="P2416" s="7"/>
    </row>
    <row r="2417" spans="1:16">
      <c r="A2417" s="3">
        <v>44370.254432870366</v>
      </c>
      <c r="B2417" s="4" t="str">
        <f>HYPERLINK("https://twitter.com/sergio_fajardo","@sergio_fajardo")</f>
        <v>@sergio_fajardo</v>
      </c>
      <c r="C2417" s="5" t="s">
        <v>16</v>
      </c>
      <c r="D2417" s="5" t="s">
        <v>2438</v>
      </c>
      <c r="E2417" s="6" t="str">
        <f>HYPERLINK("https://twitter.com/sergio_fajardo/status/1407497731757772803","1407497731757772803")</f>
        <v>1407497731757772803</v>
      </c>
      <c r="F2417" s="7" t="s">
        <v>17</v>
      </c>
      <c r="G2417" s="7">
        <v>1589285</v>
      </c>
      <c r="H2417" s="7">
        <v>422</v>
      </c>
      <c r="I2417" s="7">
        <v>9</v>
      </c>
      <c r="J2417" s="7">
        <v>68</v>
      </c>
      <c r="K2417" s="7" t="s">
        <v>18</v>
      </c>
      <c r="L2417" s="8">
        <v>39891.213356481479</v>
      </c>
      <c r="M2417" s="9" t="s">
        <v>19</v>
      </c>
      <c r="N2417" s="9" t="s">
        <v>22</v>
      </c>
      <c r="O2417" s="6" t="str">
        <f>HYPERLINK("https://pbs.twimg.com/profile_images/988971255679324162/jrqiIYf__normal.jpg","View")</f>
        <v>View</v>
      </c>
      <c r="P2417" s="7"/>
    </row>
    <row r="2418" spans="1:16">
      <c r="A2418" s="3">
        <v>44370.297442129631</v>
      </c>
      <c r="B2418" s="4" t="str">
        <f>HYPERLINK("https://twitter.com/sergio_fajardo","@sergio_fajardo")</f>
        <v>@sergio_fajardo</v>
      </c>
      <c r="C2418" s="5" t="s">
        <v>16</v>
      </c>
      <c r="D2418" s="5" t="s">
        <v>2439</v>
      </c>
      <c r="E2418" s="6" t="str">
        <f>HYPERLINK("https://twitter.com/sergio_fajardo/status/1407513314620542979","1407513314620542979")</f>
        <v>1407513314620542979</v>
      </c>
      <c r="F2418" s="7" t="s">
        <v>17</v>
      </c>
      <c r="G2418" s="7">
        <v>1589289</v>
      </c>
      <c r="H2418" s="7">
        <v>422</v>
      </c>
      <c r="I2418" s="7">
        <v>17</v>
      </c>
      <c r="J2418" s="7">
        <v>149</v>
      </c>
      <c r="K2418" s="7" t="s">
        <v>18</v>
      </c>
      <c r="L2418" s="8">
        <v>39891.213356481479</v>
      </c>
      <c r="M2418" s="9" t="s">
        <v>19</v>
      </c>
      <c r="N2418" s="9" t="s">
        <v>22</v>
      </c>
      <c r="O2418" s="6" t="str">
        <f>HYPERLINK("https://pbs.twimg.com/profile_images/988971255679324162/jrqiIYf__normal.jpg","View")</f>
        <v>View</v>
      </c>
      <c r="P2418" s="7"/>
    </row>
    <row r="2419" spans="1:16">
      <c r="A2419" s="3">
        <v>44370.992731481485</v>
      </c>
      <c r="B2419" s="4" t="str">
        <f>HYPERLINK("https://twitter.com/sergio_fajardo","@sergio_fajardo")</f>
        <v>@sergio_fajardo</v>
      </c>
      <c r="C2419" s="5" t="s">
        <v>16</v>
      </c>
      <c r="D2419" s="5" t="s">
        <v>2440</v>
      </c>
      <c r="E2419" s="6" t="str">
        <f>HYPERLINK("https://twitter.com/sergio_fajardo/status/1407765281947144194","1407765281947144194")</f>
        <v>1407765281947144194</v>
      </c>
      <c r="F2419" s="7" t="s">
        <v>17</v>
      </c>
      <c r="G2419" s="7">
        <v>1589355</v>
      </c>
      <c r="H2419" s="7">
        <v>422</v>
      </c>
      <c r="I2419" s="7">
        <v>17</v>
      </c>
      <c r="J2419" s="7">
        <v>74</v>
      </c>
      <c r="K2419" s="7" t="s">
        <v>18</v>
      </c>
      <c r="L2419" s="8">
        <v>39891.213356481479</v>
      </c>
      <c r="M2419" s="9" t="s">
        <v>19</v>
      </c>
      <c r="N2419" s="9" t="s">
        <v>22</v>
      </c>
      <c r="O2419" s="6" t="str">
        <f>HYPERLINK("https://pbs.twimg.com/profile_images/988971255679324162/jrqiIYf__normal.jpg","View")</f>
        <v>View</v>
      </c>
      <c r="P2419" s="7"/>
    </row>
    <row r="2420" spans="1:16">
      <c r="A2420" s="3">
        <v>44371.096400462964</v>
      </c>
      <c r="B2420" s="4" t="str">
        <f>HYPERLINK("https://twitter.com/sergio_fajardo","@sergio_fajardo")</f>
        <v>@sergio_fajardo</v>
      </c>
      <c r="C2420" s="5" t="s">
        <v>16</v>
      </c>
      <c r="D2420" s="5" t="s">
        <v>2441</v>
      </c>
      <c r="E2420" s="6" t="str">
        <f>HYPERLINK("https://twitter.com/sergio_fajardo/status/1407802849413767173","1407802849413767173")</f>
        <v>1407802849413767173</v>
      </c>
      <c r="F2420" s="7" t="s">
        <v>17</v>
      </c>
      <c r="G2420" s="7">
        <v>1589367</v>
      </c>
      <c r="H2420" s="7">
        <v>422</v>
      </c>
      <c r="I2420" s="7">
        <v>72</v>
      </c>
      <c r="J2420" s="7">
        <v>0</v>
      </c>
      <c r="K2420" s="7" t="s">
        <v>18</v>
      </c>
      <c r="L2420" s="8">
        <v>39891.213356481479</v>
      </c>
      <c r="M2420" s="9" t="s">
        <v>19</v>
      </c>
      <c r="N2420" s="9" t="s">
        <v>22</v>
      </c>
      <c r="O2420" s="6" t="str">
        <f>HYPERLINK("https://pbs.twimg.com/profile_images/988971255679324162/jrqiIYf__normal.jpg","View")</f>
        <v>View</v>
      </c>
      <c r="P2420" s="7"/>
    </row>
    <row r="2421" spans="1:16">
      <c r="A2421" s="3">
        <v>44371.650555555556</v>
      </c>
      <c r="B2421" s="4" t="str">
        <f>HYPERLINK("https://twitter.com/sergio_fajardo","@sergio_fajardo")</f>
        <v>@sergio_fajardo</v>
      </c>
      <c r="C2421" s="5" t="s">
        <v>16</v>
      </c>
      <c r="D2421" s="5" t="s">
        <v>2442</v>
      </c>
      <c r="E2421" s="6" t="str">
        <f>HYPERLINK("https://twitter.com/sergio_fajardo/status/1408003666284584960","1408003666284584960")</f>
        <v>1408003666284584960</v>
      </c>
      <c r="F2421" s="7" t="s">
        <v>17</v>
      </c>
      <c r="G2421" s="7">
        <v>1589423</v>
      </c>
      <c r="H2421" s="7">
        <v>422</v>
      </c>
      <c r="I2421" s="7">
        <v>12</v>
      </c>
      <c r="J2421" s="7">
        <v>0</v>
      </c>
      <c r="K2421" s="7" t="s">
        <v>18</v>
      </c>
      <c r="L2421" s="8">
        <v>39891.213356481479</v>
      </c>
      <c r="M2421" s="9" t="s">
        <v>19</v>
      </c>
      <c r="N2421" s="9" t="s">
        <v>22</v>
      </c>
      <c r="O2421" s="6" t="str">
        <f>HYPERLINK("https://pbs.twimg.com/profile_images/988971255679324162/jrqiIYf__normal.jpg","View")</f>
        <v>View</v>
      </c>
      <c r="P2421" s="7"/>
    </row>
    <row r="2422" spans="1:16">
      <c r="A2422" s="3">
        <v>44371.779178240744</v>
      </c>
      <c r="B2422" s="4" t="str">
        <f>HYPERLINK("https://twitter.com/sergio_fajardo","@sergio_fajardo")</f>
        <v>@sergio_fajardo</v>
      </c>
      <c r="C2422" s="5" t="s">
        <v>16</v>
      </c>
      <c r="D2422" s="5" t="s">
        <v>2443</v>
      </c>
      <c r="E2422" s="6" t="str">
        <f>HYPERLINK("https://twitter.com/sergio_fajardo/status/1408050277635215360","1408050277635215360")</f>
        <v>1408050277635215360</v>
      </c>
      <c r="F2422" s="7" t="s">
        <v>20</v>
      </c>
      <c r="G2422" s="7">
        <v>1589440</v>
      </c>
      <c r="H2422" s="7">
        <v>422</v>
      </c>
      <c r="I2422" s="7">
        <v>22</v>
      </c>
      <c r="J2422" s="7">
        <v>119</v>
      </c>
      <c r="K2422" s="7" t="s">
        <v>18</v>
      </c>
      <c r="L2422" s="8">
        <v>39891.213356481479</v>
      </c>
      <c r="M2422" s="9" t="s">
        <v>19</v>
      </c>
      <c r="N2422" s="9" t="s">
        <v>22</v>
      </c>
      <c r="O2422" s="6" t="str">
        <f>HYPERLINK("https://pbs.twimg.com/profile_images/988971255679324162/jrqiIYf__normal.jpg","View")</f>
        <v>View</v>
      </c>
      <c r="P2422" s="7"/>
    </row>
    <row r="2423" spans="1:16">
      <c r="A2423" s="3">
        <v>44371.790208333332</v>
      </c>
      <c r="B2423" s="4" t="str">
        <f>HYPERLINK("https://twitter.com/sergio_fajardo","@sergio_fajardo")</f>
        <v>@sergio_fajardo</v>
      </c>
      <c r="C2423" s="5" t="s">
        <v>16</v>
      </c>
      <c r="D2423" s="5" t="s">
        <v>2444</v>
      </c>
      <c r="E2423" s="6" t="str">
        <f>HYPERLINK("https://twitter.com/sergio_fajardo/status/1408054277931737091","1408054277931737091")</f>
        <v>1408054277931737091</v>
      </c>
      <c r="F2423" s="7" t="s">
        <v>17</v>
      </c>
      <c r="G2423" s="7">
        <v>1589440</v>
      </c>
      <c r="H2423" s="7">
        <v>422</v>
      </c>
      <c r="I2423" s="7">
        <v>5</v>
      </c>
      <c r="J2423" s="7">
        <v>0</v>
      </c>
      <c r="K2423" s="7" t="s">
        <v>18</v>
      </c>
      <c r="L2423" s="8">
        <v>39891.213356481479</v>
      </c>
      <c r="M2423" s="9" t="s">
        <v>19</v>
      </c>
      <c r="N2423" s="9" t="s">
        <v>22</v>
      </c>
      <c r="O2423" s="6" t="str">
        <f>HYPERLINK("https://pbs.twimg.com/profile_images/988971255679324162/jrqiIYf__normal.jpg","View")</f>
        <v>View</v>
      </c>
      <c r="P2423" s="7"/>
    </row>
    <row r="2424" spans="1:16">
      <c r="A2424" s="3">
        <v>44371.832997685182</v>
      </c>
      <c r="B2424" s="4" t="str">
        <f>HYPERLINK("https://twitter.com/sergio_fajardo","@sergio_fajardo")</f>
        <v>@sergio_fajardo</v>
      </c>
      <c r="C2424" s="5" t="s">
        <v>16</v>
      </c>
      <c r="D2424" s="5" t="s">
        <v>2445</v>
      </c>
      <c r="E2424" s="6" t="str">
        <f>HYPERLINK("https://twitter.com/sergio_fajardo/status/1408069781790478337","1408069781790478337")</f>
        <v>1408069781790478337</v>
      </c>
      <c r="F2424" s="7" t="s">
        <v>23</v>
      </c>
      <c r="G2424" s="7">
        <v>1589437</v>
      </c>
      <c r="H2424" s="7">
        <v>422</v>
      </c>
      <c r="I2424" s="7">
        <v>9</v>
      </c>
      <c r="J2424" s="7">
        <v>20</v>
      </c>
      <c r="K2424" s="7" t="s">
        <v>18</v>
      </c>
      <c r="L2424" s="8">
        <v>39891.213356481479</v>
      </c>
      <c r="M2424" s="9" t="s">
        <v>19</v>
      </c>
      <c r="N2424" s="9" t="s">
        <v>22</v>
      </c>
      <c r="O2424" s="6" t="str">
        <f>HYPERLINK("https://pbs.twimg.com/profile_images/988971255679324162/jrqiIYf__normal.jpg","View")</f>
        <v>View</v>
      </c>
      <c r="P2424" s="7"/>
    </row>
    <row r="2425" spans="1:16">
      <c r="A2425" s="3">
        <v>44371.833020833335</v>
      </c>
      <c r="B2425" s="4" t="str">
        <f>HYPERLINK("https://twitter.com/sergio_fajardo","@sergio_fajardo")</f>
        <v>@sergio_fajardo</v>
      </c>
      <c r="C2425" s="5" t="s">
        <v>16</v>
      </c>
      <c r="D2425" s="5" t="s">
        <v>2446</v>
      </c>
      <c r="E2425" s="6" t="str">
        <f>HYPERLINK("https://twitter.com/sergio_fajardo/status/1408069789117943821","1408069789117943821")</f>
        <v>1408069789117943821</v>
      </c>
      <c r="F2425" s="7" t="s">
        <v>23</v>
      </c>
      <c r="G2425" s="7">
        <v>1589437</v>
      </c>
      <c r="H2425" s="7">
        <v>422</v>
      </c>
      <c r="I2425" s="7">
        <v>5</v>
      </c>
      <c r="J2425" s="7">
        <v>14</v>
      </c>
      <c r="K2425" s="7" t="s">
        <v>18</v>
      </c>
      <c r="L2425" s="8">
        <v>39891.213356481479</v>
      </c>
      <c r="M2425" s="9" t="s">
        <v>19</v>
      </c>
      <c r="N2425" s="9" t="s">
        <v>22</v>
      </c>
      <c r="O2425" s="6" t="str">
        <f>HYPERLINK("https://pbs.twimg.com/profile_images/988971255679324162/jrqiIYf__normal.jpg","View")</f>
        <v>View</v>
      </c>
      <c r="P2425" s="7"/>
    </row>
    <row r="2426" spans="1:16">
      <c r="A2426" s="3">
        <v>44371.886458333334</v>
      </c>
      <c r="B2426" s="4" t="str">
        <f>HYPERLINK("https://twitter.com/sergio_fajardo","@sergio_fajardo")</f>
        <v>@sergio_fajardo</v>
      </c>
      <c r="C2426" s="5" t="s">
        <v>16</v>
      </c>
      <c r="D2426" s="5" t="s">
        <v>2447</v>
      </c>
      <c r="E2426" s="6" t="str">
        <f>HYPERLINK("https://twitter.com/sergio_fajardo/status/1408089156094418944","1408089156094418944")</f>
        <v>1408089156094418944</v>
      </c>
      <c r="F2426" s="7" t="s">
        <v>17</v>
      </c>
      <c r="G2426" s="7">
        <v>1589438</v>
      </c>
      <c r="H2426" s="7">
        <v>422</v>
      </c>
      <c r="I2426" s="7">
        <v>12</v>
      </c>
      <c r="J2426" s="7">
        <v>41</v>
      </c>
      <c r="K2426" s="7" t="s">
        <v>18</v>
      </c>
      <c r="L2426" s="8">
        <v>39891.213356481479</v>
      </c>
      <c r="M2426" s="9" t="s">
        <v>19</v>
      </c>
      <c r="N2426" s="9" t="s">
        <v>22</v>
      </c>
      <c r="O2426" s="6" t="str">
        <f>HYPERLINK("https://pbs.twimg.com/profile_images/988971255679324162/jrqiIYf__normal.jpg","View")</f>
        <v>View</v>
      </c>
      <c r="P2426" s="7"/>
    </row>
    <row r="2427" spans="1:16">
      <c r="A2427" s="3">
        <v>44371.960972222223</v>
      </c>
      <c r="B2427" s="4" t="str">
        <f>HYPERLINK("https://twitter.com/sergio_fajardo","@sergio_fajardo")</f>
        <v>@sergio_fajardo</v>
      </c>
      <c r="C2427" s="5" t="s">
        <v>16</v>
      </c>
      <c r="D2427" s="5" t="s">
        <v>2448</v>
      </c>
      <c r="E2427" s="6" t="str">
        <f>HYPERLINK("https://twitter.com/sergio_fajardo/status/1408116160831311875","1408116160831311875")</f>
        <v>1408116160831311875</v>
      </c>
      <c r="F2427" s="7" t="s">
        <v>20</v>
      </c>
      <c r="G2427" s="7">
        <v>1589445</v>
      </c>
      <c r="H2427" s="7">
        <v>422</v>
      </c>
      <c r="I2427" s="7">
        <v>16</v>
      </c>
      <c r="J2427" s="7">
        <v>0</v>
      </c>
      <c r="K2427" s="7" t="s">
        <v>18</v>
      </c>
      <c r="L2427" s="8">
        <v>39891.213356481479</v>
      </c>
      <c r="M2427" s="9" t="s">
        <v>19</v>
      </c>
      <c r="N2427" s="9" t="s">
        <v>22</v>
      </c>
      <c r="O2427" s="6" t="str">
        <f>HYPERLINK("https://pbs.twimg.com/profile_images/988971255679324162/jrqiIYf__normal.jpg","View")</f>
        <v>View</v>
      </c>
      <c r="P2427" s="7"/>
    </row>
    <row r="2428" spans="1:16">
      <c r="A2428" s="3">
        <v>44372.0941087963</v>
      </c>
      <c r="B2428" s="4" t="str">
        <f>HYPERLINK("https://twitter.com/sergio_fajardo","@sergio_fajardo")</f>
        <v>@sergio_fajardo</v>
      </c>
      <c r="C2428" s="5" t="s">
        <v>16</v>
      </c>
      <c r="D2428" s="5" t="s">
        <v>2449</v>
      </c>
      <c r="E2428" s="6" t="str">
        <f>HYPERLINK("https://twitter.com/sergio_fajardo/status/1408164405066485762","1408164405066485762")</f>
        <v>1408164405066485762</v>
      </c>
      <c r="F2428" s="7" t="s">
        <v>17</v>
      </c>
      <c r="G2428" s="7">
        <v>1589453</v>
      </c>
      <c r="H2428" s="7">
        <v>422</v>
      </c>
      <c r="I2428" s="7">
        <v>15</v>
      </c>
      <c r="J2428" s="7">
        <v>47</v>
      </c>
      <c r="K2428" s="7" t="s">
        <v>18</v>
      </c>
      <c r="L2428" s="8">
        <v>39891.213356481479</v>
      </c>
      <c r="M2428" s="9" t="s">
        <v>19</v>
      </c>
      <c r="N2428" s="9" t="s">
        <v>22</v>
      </c>
      <c r="O2428" s="6" t="str">
        <f>HYPERLINK("https://pbs.twimg.com/profile_images/988971255679324162/jrqiIYf__normal.jpg","View")</f>
        <v>View</v>
      </c>
      <c r="P2428" s="7"/>
    </row>
    <row r="2429" spans="1:16">
      <c r="A2429" s="3">
        <v>44372.192974537036</v>
      </c>
      <c r="B2429" s="4" t="str">
        <f>HYPERLINK("https://twitter.com/sergio_fajardo","@sergio_fajardo")</f>
        <v>@sergio_fajardo</v>
      </c>
      <c r="C2429" s="5" t="s">
        <v>16</v>
      </c>
      <c r="D2429" s="5" t="s">
        <v>2450</v>
      </c>
      <c r="E2429" s="6" t="str">
        <f>HYPERLINK("https://twitter.com/sergio_fajardo/status/1408200233465548804","1408200233465548804")</f>
        <v>1408200233465548804</v>
      </c>
      <c r="F2429" s="7" t="s">
        <v>23</v>
      </c>
      <c r="G2429" s="7">
        <v>1589454</v>
      </c>
      <c r="H2429" s="7">
        <v>422</v>
      </c>
      <c r="I2429" s="7">
        <v>10</v>
      </c>
      <c r="J2429" s="7">
        <v>37</v>
      </c>
      <c r="K2429" s="7" t="s">
        <v>18</v>
      </c>
      <c r="L2429" s="8">
        <v>39891.213356481479</v>
      </c>
      <c r="M2429" s="9" t="s">
        <v>19</v>
      </c>
      <c r="N2429" s="9" t="s">
        <v>22</v>
      </c>
      <c r="O2429" s="6" t="str">
        <f>HYPERLINK("https://pbs.twimg.com/profile_images/988971255679324162/jrqiIYf__normal.jpg","View")</f>
        <v>View</v>
      </c>
      <c r="P2429" s="7"/>
    </row>
    <row r="2430" spans="1:16">
      <c r="A2430" s="3">
        <v>44372.193831018521</v>
      </c>
      <c r="B2430" s="4" t="str">
        <f>HYPERLINK("https://twitter.com/sergio_fajardo","@sergio_fajardo")</f>
        <v>@sergio_fajardo</v>
      </c>
      <c r="C2430" s="5" t="s">
        <v>16</v>
      </c>
      <c r="D2430" s="5" t="s">
        <v>2451</v>
      </c>
      <c r="E2430" s="6" t="str">
        <f>HYPERLINK("https://twitter.com/sergio_fajardo/status/1408200542954926091","1408200542954926091")</f>
        <v>1408200542954926091</v>
      </c>
      <c r="F2430" s="7" t="s">
        <v>17</v>
      </c>
      <c r="G2430" s="7">
        <v>1589454</v>
      </c>
      <c r="H2430" s="7">
        <v>422</v>
      </c>
      <c r="I2430" s="7">
        <v>5</v>
      </c>
      <c r="J2430" s="7">
        <v>70</v>
      </c>
      <c r="K2430" s="7" t="s">
        <v>18</v>
      </c>
      <c r="L2430" s="8">
        <v>39891.213356481479</v>
      </c>
      <c r="M2430" s="9" t="s">
        <v>19</v>
      </c>
      <c r="N2430" s="9" t="s">
        <v>22</v>
      </c>
      <c r="O2430" s="6" t="str">
        <f>HYPERLINK("https://pbs.twimg.com/profile_images/988971255679324162/jrqiIYf__normal.jpg","View")</f>
        <v>View</v>
      </c>
      <c r="P2430" s="7"/>
    </row>
    <row r="2431" spans="1:16">
      <c r="A2431" s="3">
        <v>44372.332442129627</v>
      </c>
      <c r="B2431" s="4" t="str">
        <f>HYPERLINK("https://twitter.com/sergio_fajardo","@sergio_fajardo")</f>
        <v>@sergio_fajardo</v>
      </c>
      <c r="C2431" s="5" t="s">
        <v>16</v>
      </c>
      <c r="D2431" s="5" t="s">
        <v>2452</v>
      </c>
      <c r="E2431" s="6" t="str">
        <f>HYPERLINK("https://twitter.com/sergio_fajardo/status/1408250775298625539","1408250775298625539")</f>
        <v>1408250775298625539</v>
      </c>
      <c r="F2431" s="7" t="s">
        <v>17</v>
      </c>
      <c r="G2431" s="7">
        <v>1589456</v>
      </c>
      <c r="H2431" s="7">
        <v>423</v>
      </c>
      <c r="I2431" s="7">
        <v>3</v>
      </c>
      <c r="J2431" s="7">
        <v>19</v>
      </c>
      <c r="K2431" s="7" t="s">
        <v>18</v>
      </c>
      <c r="L2431" s="8">
        <v>39891.213356481479</v>
      </c>
      <c r="M2431" s="9" t="s">
        <v>19</v>
      </c>
      <c r="N2431" s="9" t="s">
        <v>22</v>
      </c>
      <c r="O2431" s="6" t="str">
        <f>HYPERLINK("https://pbs.twimg.com/profile_images/988971255679324162/jrqiIYf__normal.jpg","View")</f>
        <v>View</v>
      </c>
      <c r="P2431" s="7"/>
    </row>
    <row r="2432" spans="1:16">
      <c r="A2432" s="3">
        <v>44372.95884259259</v>
      </c>
      <c r="B2432" s="4" t="str">
        <f>HYPERLINK("https://twitter.com/sergio_fajardo","@sergio_fajardo")</f>
        <v>@sergio_fajardo</v>
      </c>
      <c r="C2432" s="5" t="s">
        <v>16</v>
      </c>
      <c r="D2432" s="5" t="s">
        <v>2453</v>
      </c>
      <c r="E2432" s="6" t="str">
        <f>HYPERLINK("https://twitter.com/sergio_fajardo/status/1408477776164888579","1408477776164888579")</f>
        <v>1408477776164888579</v>
      </c>
      <c r="F2432" s="7" t="s">
        <v>20</v>
      </c>
      <c r="G2432" s="7">
        <v>1589512</v>
      </c>
      <c r="H2432" s="7">
        <v>423</v>
      </c>
      <c r="I2432" s="7">
        <v>2</v>
      </c>
      <c r="J2432" s="7">
        <v>9</v>
      </c>
      <c r="K2432" s="7" t="s">
        <v>18</v>
      </c>
      <c r="L2432" s="8">
        <v>39891.213356481479</v>
      </c>
      <c r="M2432" s="9" t="s">
        <v>19</v>
      </c>
      <c r="N2432" s="9" t="s">
        <v>22</v>
      </c>
      <c r="O2432" s="6" t="str">
        <f>HYPERLINK("https://pbs.twimg.com/profile_images/988971255679324162/jrqiIYf__normal.jpg","View")</f>
        <v>View</v>
      </c>
      <c r="P2432" s="7"/>
    </row>
    <row r="2433" spans="1:16">
      <c r="A2433" s="3">
        <v>44373.22855324074</v>
      </c>
      <c r="B2433" s="4" t="str">
        <f>HYPERLINK("https://twitter.com/sergio_fajardo","@sergio_fajardo")</f>
        <v>@sergio_fajardo</v>
      </c>
      <c r="C2433" s="5" t="s">
        <v>16</v>
      </c>
      <c r="D2433" s="5" t="s">
        <v>2454</v>
      </c>
      <c r="E2433" s="6" t="str">
        <f>HYPERLINK("https://twitter.com/sergio_fajardo/status/1408575515909296132","1408575515909296132")</f>
        <v>1408575515909296132</v>
      </c>
      <c r="F2433" s="7" t="s">
        <v>17</v>
      </c>
      <c r="G2433" s="7">
        <v>1589525</v>
      </c>
      <c r="H2433" s="7">
        <v>423</v>
      </c>
      <c r="I2433" s="7">
        <v>13</v>
      </c>
      <c r="J2433" s="7">
        <v>65</v>
      </c>
      <c r="K2433" s="7" t="s">
        <v>18</v>
      </c>
      <c r="L2433" s="8">
        <v>39891.213356481479</v>
      </c>
      <c r="M2433" s="9" t="s">
        <v>19</v>
      </c>
      <c r="N2433" s="9" t="s">
        <v>22</v>
      </c>
      <c r="O2433" s="6" t="str">
        <f>HYPERLINK("https://pbs.twimg.com/profile_images/988971255679324162/jrqiIYf__normal.jpg","View")</f>
        <v>View</v>
      </c>
      <c r="P2433" s="7"/>
    </row>
    <row r="2434" spans="1:16">
      <c r="A2434" s="3">
        <v>44373.854305555556</v>
      </c>
      <c r="B2434" s="4" t="str">
        <f>HYPERLINK("https://twitter.com/sergio_fajardo","@sergio_fajardo")</f>
        <v>@sergio_fajardo</v>
      </c>
      <c r="C2434" s="5" t="s">
        <v>16</v>
      </c>
      <c r="D2434" s="5" t="s">
        <v>2455</v>
      </c>
      <c r="E2434" s="6" t="str">
        <f>HYPERLINK("https://twitter.com/sergio_fajardo/status/1408802278283386880","1408802278283386880")</f>
        <v>1408802278283386880</v>
      </c>
      <c r="F2434" s="7" t="s">
        <v>23</v>
      </c>
      <c r="G2434" s="7">
        <v>1589556</v>
      </c>
      <c r="H2434" s="7">
        <v>423</v>
      </c>
      <c r="I2434" s="7">
        <v>2</v>
      </c>
      <c r="J2434" s="7">
        <v>12</v>
      </c>
      <c r="K2434" s="7" t="s">
        <v>18</v>
      </c>
      <c r="L2434" s="8">
        <v>39891.213356481479</v>
      </c>
      <c r="M2434" s="9" t="s">
        <v>19</v>
      </c>
      <c r="N2434" s="9" t="s">
        <v>22</v>
      </c>
      <c r="O2434" s="6" t="str">
        <f>HYPERLINK("https://pbs.twimg.com/profile_images/988971255679324162/jrqiIYf__normal.jpg","View")</f>
        <v>View</v>
      </c>
      <c r="P2434" s="7"/>
    </row>
    <row r="2435" spans="1:16">
      <c r="A2435" s="3">
        <v>44375.124178240745</v>
      </c>
      <c r="B2435" s="4" t="str">
        <f>HYPERLINK("https://twitter.com/sergio_fajardo","@sergio_fajardo")</f>
        <v>@sergio_fajardo</v>
      </c>
      <c r="C2435" s="5" t="s">
        <v>16</v>
      </c>
      <c r="D2435" s="5" t="s">
        <v>2456</v>
      </c>
      <c r="E2435" s="6" t="str">
        <f>HYPERLINK("https://twitter.com/sergio_fajardo/status/1409262467889471488","1409262467889471488")</f>
        <v>1409262467889471488</v>
      </c>
      <c r="F2435" s="7" t="s">
        <v>17</v>
      </c>
      <c r="G2435" s="7">
        <v>1589634</v>
      </c>
      <c r="H2435" s="7">
        <v>423</v>
      </c>
      <c r="I2435" s="7">
        <v>40</v>
      </c>
      <c r="J2435" s="7">
        <v>181</v>
      </c>
      <c r="K2435" s="7" t="s">
        <v>18</v>
      </c>
      <c r="L2435" s="8">
        <v>39891.213356481479</v>
      </c>
      <c r="M2435" s="9" t="s">
        <v>19</v>
      </c>
      <c r="N2435" s="9" t="s">
        <v>22</v>
      </c>
      <c r="O2435" s="6" t="str">
        <f>HYPERLINK("https://pbs.twimg.com/profile_images/988971255679324162/jrqiIYf__normal.jpg","View")</f>
        <v>View</v>
      </c>
      <c r="P2435" s="7"/>
    </row>
    <row r="2436" spans="1:16">
      <c r="A2436" s="3">
        <v>44375.133333333331</v>
      </c>
      <c r="B2436" s="4" t="str">
        <f>HYPERLINK("https://twitter.com/sergio_fajardo","@sergio_fajardo")</f>
        <v>@sergio_fajardo</v>
      </c>
      <c r="C2436" s="5" t="s">
        <v>16</v>
      </c>
      <c r="D2436" s="5" t="s">
        <v>2457</v>
      </c>
      <c r="E2436" s="6" t="str">
        <f>HYPERLINK("https://twitter.com/sergio_fajardo/status/1409265785915297796","1409265785915297796")</f>
        <v>1409265785915297796</v>
      </c>
      <c r="F2436" s="7" t="s">
        <v>17</v>
      </c>
      <c r="G2436" s="7">
        <v>1589637</v>
      </c>
      <c r="H2436" s="7">
        <v>423</v>
      </c>
      <c r="I2436" s="7">
        <v>187</v>
      </c>
      <c r="J2436" s="7">
        <v>912</v>
      </c>
      <c r="K2436" s="7" t="s">
        <v>18</v>
      </c>
      <c r="L2436" s="8">
        <v>39891.213356481479</v>
      </c>
      <c r="M2436" s="9" t="s">
        <v>19</v>
      </c>
      <c r="N2436" s="9" t="s">
        <v>22</v>
      </c>
      <c r="O2436" s="6" t="str">
        <f>HYPERLINK("https://pbs.twimg.com/profile_images/988971255679324162/jrqiIYf__normal.jpg","View")</f>
        <v>View</v>
      </c>
      <c r="P2436" s="7"/>
    </row>
    <row r="2437" spans="1:16">
      <c r="A2437" s="3">
        <v>44375.756793981476</v>
      </c>
      <c r="B2437" s="4" t="str">
        <f>HYPERLINK("https://twitter.com/sergio_fajardo","@sergio_fajardo")</f>
        <v>@sergio_fajardo</v>
      </c>
      <c r="C2437" s="5" t="s">
        <v>16</v>
      </c>
      <c r="D2437" s="5" t="s">
        <v>2458</v>
      </c>
      <c r="E2437" s="6" t="str">
        <f>HYPERLINK("https://twitter.com/sergio_fajardo/status/1409491718467166215","1409491718467166215")</f>
        <v>1409491718467166215</v>
      </c>
      <c r="F2437" s="7" t="s">
        <v>17</v>
      </c>
      <c r="G2437" s="7">
        <v>1589718</v>
      </c>
      <c r="H2437" s="7">
        <v>423</v>
      </c>
      <c r="I2437" s="7">
        <v>39</v>
      </c>
      <c r="J2437" s="7">
        <v>276</v>
      </c>
      <c r="K2437" s="7" t="s">
        <v>18</v>
      </c>
      <c r="L2437" s="8">
        <v>39891.213356481479</v>
      </c>
      <c r="M2437" s="9" t="s">
        <v>19</v>
      </c>
      <c r="N2437" s="9" t="s">
        <v>22</v>
      </c>
      <c r="O2437" s="6" t="str">
        <f>HYPERLINK("https://pbs.twimg.com/profile_images/988971255679324162/jrqiIYf__normal.jpg","View")</f>
        <v>View</v>
      </c>
      <c r="P2437" s="7"/>
    </row>
    <row r="2438" spans="1:16">
      <c r="A2438" s="3">
        <v>44375.783472222218</v>
      </c>
      <c r="B2438" s="4" t="str">
        <f>HYPERLINK("https://twitter.com/sergio_fajardo","@sergio_fajardo")</f>
        <v>@sergio_fajardo</v>
      </c>
      <c r="C2438" s="5" t="s">
        <v>16</v>
      </c>
      <c r="D2438" s="5" t="s">
        <v>2459</v>
      </c>
      <c r="E2438" s="6" t="str">
        <f>HYPERLINK("https://twitter.com/sergio_fajardo/status/1409501385331183618","1409501385331183618")</f>
        <v>1409501385331183618</v>
      </c>
      <c r="F2438" s="7" t="s">
        <v>17</v>
      </c>
      <c r="G2438" s="7">
        <v>1589716</v>
      </c>
      <c r="H2438" s="7">
        <v>423</v>
      </c>
      <c r="I2438" s="7">
        <v>52</v>
      </c>
      <c r="J2438" s="7">
        <v>280</v>
      </c>
      <c r="K2438" s="7" t="s">
        <v>18</v>
      </c>
      <c r="L2438" s="8">
        <v>39891.213356481479</v>
      </c>
      <c r="M2438" s="9" t="s">
        <v>19</v>
      </c>
      <c r="N2438" s="9" t="s">
        <v>22</v>
      </c>
      <c r="O2438" s="6" t="str">
        <f>HYPERLINK("https://pbs.twimg.com/profile_images/988971255679324162/jrqiIYf__normal.jpg","View")</f>
        <v>View</v>
      </c>
      <c r="P2438" s="7"/>
    </row>
    <row r="2439" spans="1:16">
      <c r="A2439" s="3">
        <v>44376.105173611111</v>
      </c>
      <c r="B2439" s="4" t="str">
        <f>HYPERLINK("https://twitter.com/sergio_fajardo","@sergio_fajardo")</f>
        <v>@sergio_fajardo</v>
      </c>
      <c r="C2439" s="5" t="s">
        <v>16</v>
      </c>
      <c r="D2439" s="5" t="s">
        <v>2460</v>
      </c>
      <c r="E2439" s="6" t="str">
        <f>HYPERLINK("https://twitter.com/sergio_fajardo/status/1409617965952258049","1409617965952258049")</f>
        <v>1409617965952258049</v>
      </c>
      <c r="F2439" s="7" t="s">
        <v>23</v>
      </c>
      <c r="G2439" s="7">
        <v>1589689</v>
      </c>
      <c r="H2439" s="7">
        <v>423</v>
      </c>
      <c r="I2439" s="7">
        <v>3</v>
      </c>
      <c r="J2439" s="7">
        <v>6</v>
      </c>
      <c r="K2439" s="7" t="s">
        <v>18</v>
      </c>
      <c r="L2439" s="8">
        <v>39891.213356481479</v>
      </c>
      <c r="M2439" s="9" t="s">
        <v>19</v>
      </c>
      <c r="N2439" s="9" t="s">
        <v>22</v>
      </c>
      <c r="O2439" s="6" t="str">
        <f>HYPERLINK("https://pbs.twimg.com/profile_images/988971255679324162/jrqiIYf__normal.jpg","View")</f>
        <v>View</v>
      </c>
      <c r="P2439" s="7"/>
    </row>
    <row r="2440" spans="1:16">
      <c r="A2440" s="3">
        <v>44376.188101851847</v>
      </c>
      <c r="B2440" s="4" t="str">
        <f>HYPERLINK("https://twitter.com/sergio_fajardo","@sergio_fajardo")</f>
        <v>@sergio_fajardo</v>
      </c>
      <c r="C2440" s="5" t="s">
        <v>16</v>
      </c>
      <c r="D2440" s="5" t="s">
        <v>2461</v>
      </c>
      <c r="E2440" s="6" t="str">
        <f>HYPERLINK("https://twitter.com/sergio_fajardo/status/1409648018958127111","1409648018958127111")</f>
        <v>1409648018958127111</v>
      </c>
      <c r="F2440" s="7" t="s">
        <v>17</v>
      </c>
      <c r="G2440" s="7">
        <v>1589701</v>
      </c>
      <c r="H2440" s="7">
        <v>423</v>
      </c>
      <c r="I2440" s="7">
        <v>5</v>
      </c>
      <c r="J2440" s="7">
        <v>21</v>
      </c>
      <c r="K2440" s="7" t="s">
        <v>18</v>
      </c>
      <c r="L2440" s="8">
        <v>39891.213356481479</v>
      </c>
      <c r="M2440" s="9" t="s">
        <v>19</v>
      </c>
      <c r="N2440" s="9" t="s">
        <v>22</v>
      </c>
      <c r="O2440" s="6" t="str">
        <f>HYPERLINK("https://pbs.twimg.com/profile_images/988971255679324162/jrqiIYf__normal.jpg","View")</f>
        <v>View</v>
      </c>
      <c r="P2440" s="7"/>
    </row>
    <row r="2441" spans="1:16">
      <c r="A2441" s="3">
        <v>44376.292708333334</v>
      </c>
      <c r="B2441" s="4" t="str">
        <f>HYPERLINK("https://twitter.com/sergio_fajardo","@sergio_fajardo")</f>
        <v>@sergio_fajardo</v>
      </c>
      <c r="C2441" s="5" t="s">
        <v>16</v>
      </c>
      <c r="D2441" s="5" t="s">
        <v>2462</v>
      </c>
      <c r="E2441" s="6" t="str">
        <f>HYPERLINK("https://twitter.com/sergio_fajardo/status/1409685927044161542","1409685927044161542")</f>
        <v>1409685927044161542</v>
      </c>
      <c r="F2441" s="7" t="s">
        <v>17</v>
      </c>
      <c r="G2441" s="7">
        <v>1589780</v>
      </c>
      <c r="H2441" s="7">
        <v>423</v>
      </c>
      <c r="I2441" s="7">
        <v>1</v>
      </c>
      <c r="J2441" s="7">
        <v>9</v>
      </c>
      <c r="K2441" s="7" t="s">
        <v>18</v>
      </c>
      <c r="L2441" s="8">
        <v>39891.213356481479</v>
      </c>
      <c r="M2441" s="9" t="s">
        <v>19</v>
      </c>
      <c r="N2441" s="9" t="s">
        <v>22</v>
      </c>
      <c r="O2441" s="6" t="str">
        <f>HYPERLINK("https://pbs.twimg.com/profile_images/988971255679324162/jrqiIYf__normal.jpg","View")</f>
        <v>View</v>
      </c>
      <c r="P2441" s="7"/>
    </row>
    <row r="2442" spans="1:16">
      <c r="A2442" s="3">
        <v>44376.324884259258</v>
      </c>
      <c r="B2442" s="4" t="str">
        <f>HYPERLINK("https://twitter.com/sergio_fajardo","@sergio_fajardo")</f>
        <v>@sergio_fajardo</v>
      </c>
      <c r="C2442" s="5" t="s">
        <v>16</v>
      </c>
      <c r="D2442" s="4" t="s">
        <v>2463</v>
      </c>
      <c r="E2442" s="6" t="str">
        <f>HYPERLINK("https://twitter.com/sergio_fajardo/status/1409697588429737989","1409697588429737989")</f>
        <v>1409697588429737989</v>
      </c>
      <c r="F2442" s="7" t="s">
        <v>17</v>
      </c>
      <c r="G2442" s="7">
        <v>1589779</v>
      </c>
      <c r="H2442" s="7">
        <v>423</v>
      </c>
      <c r="I2442" s="7">
        <v>4</v>
      </c>
      <c r="J2442" s="7">
        <v>51</v>
      </c>
      <c r="K2442" s="7" t="s">
        <v>18</v>
      </c>
      <c r="L2442" s="8">
        <v>39891.213356481479</v>
      </c>
      <c r="M2442" s="9" t="s">
        <v>19</v>
      </c>
      <c r="N2442" s="9" t="s">
        <v>22</v>
      </c>
      <c r="O2442" s="6" t="str">
        <f>HYPERLINK("https://pbs.twimg.com/profile_images/988971255679324162/jrqiIYf__normal.jpg","View")</f>
        <v>View</v>
      </c>
      <c r="P2442" s="7"/>
    </row>
    <row r="2443" spans="1:16">
      <c r="A2443" s="3">
        <v>44377.229085648149</v>
      </c>
      <c r="B2443" s="4" t="str">
        <f>HYPERLINK("https://twitter.com/sergio_fajardo","@sergio_fajardo")</f>
        <v>@sergio_fajardo</v>
      </c>
      <c r="C2443" s="5" t="s">
        <v>16</v>
      </c>
      <c r="D2443" s="5" t="s">
        <v>2464</v>
      </c>
      <c r="E2443" s="6" t="str">
        <f>HYPERLINK("https://twitter.com/sergio_fajardo/status/1410025258309062658","1410025258309062658")</f>
        <v>1410025258309062658</v>
      </c>
      <c r="F2443" s="7" t="s">
        <v>17</v>
      </c>
      <c r="G2443" s="7">
        <v>1589863</v>
      </c>
      <c r="H2443" s="7">
        <v>423</v>
      </c>
      <c r="I2443" s="7">
        <v>3</v>
      </c>
      <c r="J2443" s="7">
        <v>8</v>
      </c>
      <c r="K2443" s="7" t="s">
        <v>18</v>
      </c>
      <c r="L2443" s="8">
        <v>39891.213356481479</v>
      </c>
      <c r="M2443" s="9" t="s">
        <v>19</v>
      </c>
      <c r="N2443" s="9" t="s">
        <v>22</v>
      </c>
      <c r="O2443" s="6" t="str">
        <f>HYPERLINK("https://pbs.twimg.com/profile_images/988971255679324162/jrqiIYf__normal.jpg","View")</f>
        <v>View</v>
      </c>
      <c r="P2443" s="7"/>
    </row>
    <row r="2444" spans="1:16">
      <c r="A2444" s="3">
        <v>44377.270902777775</v>
      </c>
      <c r="B2444" s="4" t="str">
        <f>HYPERLINK("https://twitter.com/sergio_fajardo","@sergio_fajardo")</f>
        <v>@sergio_fajardo</v>
      </c>
      <c r="C2444" s="5" t="s">
        <v>16</v>
      </c>
      <c r="D2444" s="5" t="s">
        <v>2465</v>
      </c>
      <c r="E2444" s="6" t="str">
        <f>HYPERLINK("https://twitter.com/sergio_fajardo/status/1410040413755523073","1410040413755523073")</f>
        <v>1410040413755523073</v>
      </c>
      <c r="F2444" s="7" t="s">
        <v>20</v>
      </c>
      <c r="G2444" s="7">
        <v>1589878</v>
      </c>
      <c r="H2444" s="7">
        <v>423</v>
      </c>
      <c r="I2444" s="7">
        <v>5</v>
      </c>
      <c r="J2444" s="7">
        <v>31</v>
      </c>
      <c r="K2444" s="7" t="s">
        <v>18</v>
      </c>
      <c r="L2444" s="8">
        <v>39891.213356481479</v>
      </c>
      <c r="M2444" s="9" t="s">
        <v>19</v>
      </c>
      <c r="N2444" s="9" t="s">
        <v>22</v>
      </c>
      <c r="O2444" s="6" t="str">
        <f>HYPERLINK("https://pbs.twimg.com/profile_images/988971255679324162/jrqiIYf__normal.jpg","View")</f>
        <v>View</v>
      </c>
      <c r="P2444" s="7"/>
    </row>
    <row r="2445" spans="1:16">
      <c r="A2445" s="3">
        <v>44377.282152777778</v>
      </c>
      <c r="B2445" s="4" t="str">
        <f>HYPERLINK("https://twitter.com/sergio_fajardo","@sergio_fajardo")</f>
        <v>@sergio_fajardo</v>
      </c>
      <c r="C2445" s="5" t="s">
        <v>16</v>
      </c>
      <c r="D2445" s="5" t="s">
        <v>2466</v>
      </c>
      <c r="E2445" s="6" t="str">
        <f>HYPERLINK("https://twitter.com/sergio_fajardo/status/1410044491415818241","1410044491415818241")</f>
        <v>1410044491415818241</v>
      </c>
      <c r="F2445" s="7" t="s">
        <v>20</v>
      </c>
      <c r="G2445" s="7">
        <v>1589882</v>
      </c>
      <c r="H2445" s="7">
        <v>423</v>
      </c>
      <c r="I2445" s="7">
        <v>12</v>
      </c>
      <c r="J2445" s="7">
        <v>63</v>
      </c>
      <c r="K2445" s="7" t="s">
        <v>18</v>
      </c>
      <c r="L2445" s="8">
        <v>39891.213356481479</v>
      </c>
      <c r="M2445" s="9" t="s">
        <v>19</v>
      </c>
      <c r="N2445" s="9" t="s">
        <v>22</v>
      </c>
      <c r="O2445" s="6" t="str">
        <f>HYPERLINK("https://pbs.twimg.com/profile_images/988971255679324162/jrqiIYf__normal.jpg","View")</f>
        <v>View</v>
      </c>
      <c r="P2445" s="7"/>
    </row>
    <row r="2446" spans="1:16">
      <c r="A2446" s="3">
        <v>44378.025648148148</v>
      </c>
      <c r="B2446" s="4" t="str">
        <f>HYPERLINK("https://twitter.com/sergio_fajardo","@sergio_fajardo")</f>
        <v>@sergio_fajardo</v>
      </c>
      <c r="C2446" s="5" t="s">
        <v>16</v>
      </c>
      <c r="D2446" s="5" t="s">
        <v>2467</v>
      </c>
      <c r="E2446" s="6" t="str">
        <f>HYPERLINK("https://twitter.com/sergio_fajardo/status/1410313921999802372","1410313921999802372")</f>
        <v>1410313921999802372</v>
      </c>
      <c r="F2446" s="7" t="s">
        <v>20</v>
      </c>
      <c r="G2446" s="7">
        <v>1589962</v>
      </c>
      <c r="H2446" s="7">
        <v>423</v>
      </c>
      <c r="I2446" s="7">
        <v>5</v>
      </c>
      <c r="J2446" s="7">
        <v>32</v>
      </c>
      <c r="K2446" s="7" t="s">
        <v>18</v>
      </c>
      <c r="L2446" s="8">
        <v>39891.213356481479</v>
      </c>
      <c r="M2446" s="9" t="s">
        <v>19</v>
      </c>
      <c r="N2446" s="9" t="s">
        <v>22</v>
      </c>
      <c r="O2446" s="6" t="str">
        <f>HYPERLINK("https://pbs.twimg.com/profile_images/988971255679324162/jrqiIYf__normal.jpg","View")</f>
        <v>View</v>
      </c>
      <c r="P2446" s="7"/>
    </row>
    <row r="2447" spans="1:16">
      <c r="A2447" s="3">
        <v>44378.190868055557</v>
      </c>
      <c r="B2447" s="4" t="str">
        <f>HYPERLINK("https://twitter.com/sergio_fajardo","@sergio_fajardo")</f>
        <v>@sergio_fajardo</v>
      </c>
      <c r="C2447" s="5" t="s">
        <v>16</v>
      </c>
      <c r="D2447" s="5" t="s">
        <v>2468</v>
      </c>
      <c r="E2447" s="6" t="str">
        <f>HYPERLINK("https://twitter.com/sergio_fajardo/status/1410373796020854788","1410373796020854788")</f>
        <v>1410373796020854788</v>
      </c>
      <c r="F2447" s="7" t="s">
        <v>20</v>
      </c>
      <c r="G2447" s="7">
        <v>1589968</v>
      </c>
      <c r="H2447" s="7">
        <v>423</v>
      </c>
      <c r="I2447" s="7">
        <v>12</v>
      </c>
      <c r="J2447" s="7">
        <v>39</v>
      </c>
      <c r="K2447" s="7" t="s">
        <v>18</v>
      </c>
      <c r="L2447" s="8">
        <v>39891.213356481479</v>
      </c>
      <c r="M2447" s="9" t="s">
        <v>19</v>
      </c>
      <c r="N2447" s="9" t="s">
        <v>22</v>
      </c>
      <c r="O2447" s="6" t="str">
        <f>HYPERLINK("https://pbs.twimg.com/profile_images/988971255679324162/jrqiIYf__normal.jpg","View")</f>
        <v>View</v>
      </c>
      <c r="P2447" s="7"/>
    </row>
    <row r="2448" spans="1:16">
      <c r="A2448" s="3">
        <v>44378.761180555557</v>
      </c>
      <c r="B2448" s="4" t="str">
        <f>HYPERLINK("https://twitter.com/sergio_fajardo","@sergio_fajardo")</f>
        <v>@sergio_fajardo</v>
      </c>
      <c r="C2448" s="5" t="s">
        <v>16</v>
      </c>
      <c r="D2448" s="5" t="s">
        <v>2469</v>
      </c>
      <c r="E2448" s="6" t="str">
        <f>HYPERLINK("https://twitter.com/sergio_fajardo/status/1410580470606307331","1410580470606307331")</f>
        <v>1410580470606307331</v>
      </c>
      <c r="F2448" s="7" t="s">
        <v>17</v>
      </c>
      <c r="G2448" s="7">
        <v>1590029</v>
      </c>
      <c r="H2448" s="7">
        <v>423</v>
      </c>
      <c r="I2448" s="7">
        <v>6</v>
      </c>
      <c r="J2448" s="7">
        <v>27</v>
      </c>
      <c r="K2448" s="7" t="s">
        <v>18</v>
      </c>
      <c r="L2448" s="8">
        <v>39891.213356481479</v>
      </c>
      <c r="M2448" s="9" t="s">
        <v>19</v>
      </c>
      <c r="N2448" s="9" t="s">
        <v>22</v>
      </c>
      <c r="O2448" s="6" t="str">
        <f>HYPERLINK("https://pbs.twimg.com/profile_images/988971255679324162/jrqiIYf__normal.jpg","View")</f>
        <v>View</v>
      </c>
      <c r="P2448" s="7"/>
    </row>
    <row r="2449" spans="1:16">
      <c r="A2449" s="3">
        <v>44378.805729166663</v>
      </c>
      <c r="B2449" s="4" t="str">
        <f>HYPERLINK("https://twitter.com/sergio_fajardo","@sergio_fajardo")</f>
        <v>@sergio_fajardo</v>
      </c>
      <c r="C2449" s="5" t="s">
        <v>16</v>
      </c>
      <c r="D2449" s="5" t="s">
        <v>2470</v>
      </c>
      <c r="E2449" s="6" t="str">
        <f>HYPERLINK("https://twitter.com/sergio_fajardo/status/1410596617300987904","1410596617300987904")</f>
        <v>1410596617300987904</v>
      </c>
      <c r="F2449" s="7" t="s">
        <v>23</v>
      </c>
      <c r="G2449" s="7">
        <v>1589951</v>
      </c>
      <c r="H2449" s="7">
        <v>423</v>
      </c>
      <c r="I2449" s="7">
        <v>31</v>
      </c>
      <c r="J2449" s="7">
        <v>174</v>
      </c>
      <c r="K2449" s="7" t="s">
        <v>18</v>
      </c>
      <c r="L2449" s="8">
        <v>39891.213356481479</v>
      </c>
      <c r="M2449" s="9" t="s">
        <v>19</v>
      </c>
      <c r="N2449" s="9" t="s">
        <v>22</v>
      </c>
      <c r="O2449" s="6" t="str">
        <f>HYPERLINK("https://pbs.twimg.com/profile_images/988971255679324162/jrqiIYf__normal.jpg","View")</f>
        <v>View</v>
      </c>
      <c r="P2449" s="7"/>
    </row>
    <row r="2450" spans="1:16">
      <c r="A2450" s="3">
        <v>44379.04822916667</v>
      </c>
      <c r="B2450" s="4" t="str">
        <f>HYPERLINK("https://twitter.com/sergio_fajardo","@sergio_fajardo")</f>
        <v>@sergio_fajardo</v>
      </c>
      <c r="C2450" s="5" t="s">
        <v>16</v>
      </c>
      <c r="D2450" s="5" t="s">
        <v>2471</v>
      </c>
      <c r="E2450" s="6" t="str">
        <f>HYPERLINK("https://twitter.com/sergio_fajardo/status/1410684495108378624","1410684495108378624")</f>
        <v>1410684495108378624</v>
      </c>
      <c r="F2450" s="7" t="s">
        <v>17</v>
      </c>
      <c r="G2450" s="7">
        <v>1590036</v>
      </c>
      <c r="H2450" s="7">
        <v>425</v>
      </c>
      <c r="I2450" s="7">
        <v>14</v>
      </c>
      <c r="J2450" s="7">
        <v>50</v>
      </c>
      <c r="K2450" s="7" t="s">
        <v>18</v>
      </c>
      <c r="L2450" s="8">
        <v>39891.213356481479</v>
      </c>
      <c r="M2450" s="9" t="s">
        <v>19</v>
      </c>
      <c r="N2450" s="9" t="s">
        <v>22</v>
      </c>
      <c r="O2450" s="6" t="str">
        <f>HYPERLINK("https://pbs.twimg.com/profile_images/988971255679324162/jrqiIYf__normal.jpg","View")</f>
        <v>View</v>
      </c>
      <c r="P2450" s="7"/>
    </row>
    <row r="2451" spans="1:16">
      <c r="A2451" s="3">
        <v>44379.074444444443</v>
      </c>
      <c r="B2451" s="4" t="str">
        <f>HYPERLINK("https://twitter.com/sergio_fajardo","@sergio_fajardo")</f>
        <v>@sergio_fajardo</v>
      </c>
      <c r="C2451" s="5" t="s">
        <v>16</v>
      </c>
      <c r="D2451" s="5" t="s">
        <v>2472</v>
      </c>
      <c r="E2451" s="6" t="str">
        <f>HYPERLINK("https://twitter.com/sergio_fajardo/status/1410693997039800320","1410693997039800320")</f>
        <v>1410693997039800320</v>
      </c>
      <c r="F2451" s="7" t="s">
        <v>17</v>
      </c>
      <c r="G2451" s="7">
        <v>1590038</v>
      </c>
      <c r="H2451" s="7">
        <v>425</v>
      </c>
      <c r="I2451" s="7">
        <v>4</v>
      </c>
      <c r="J2451" s="7">
        <v>31</v>
      </c>
      <c r="K2451" s="7" t="s">
        <v>18</v>
      </c>
      <c r="L2451" s="8">
        <v>39891.213356481479</v>
      </c>
      <c r="M2451" s="9" t="s">
        <v>19</v>
      </c>
      <c r="N2451" s="9" t="s">
        <v>22</v>
      </c>
      <c r="O2451" s="6" t="str">
        <f>HYPERLINK("https://pbs.twimg.com/profile_images/988971255679324162/jrqiIYf__normal.jpg","View")</f>
        <v>View</v>
      </c>
      <c r="P2451" s="7"/>
    </row>
    <row r="2452" spans="1:16">
      <c r="A2452" s="3">
        <v>44379.138969907406</v>
      </c>
      <c r="B2452" s="4" t="str">
        <f>HYPERLINK("https://twitter.com/sergio_fajardo","@sergio_fajardo")</f>
        <v>@sergio_fajardo</v>
      </c>
      <c r="C2452" s="5" t="s">
        <v>16</v>
      </c>
      <c r="D2452" s="5" t="s">
        <v>2473</v>
      </c>
      <c r="E2452" s="6" t="str">
        <f>HYPERLINK("https://twitter.com/sergio_fajardo/status/1410717379462578180","1410717379462578180")</f>
        <v>1410717379462578180</v>
      </c>
      <c r="F2452" s="7" t="s">
        <v>23</v>
      </c>
      <c r="G2452" s="7">
        <v>1589960</v>
      </c>
      <c r="H2452" s="7">
        <v>425</v>
      </c>
      <c r="I2452" s="7">
        <v>7</v>
      </c>
      <c r="J2452" s="7">
        <v>24</v>
      </c>
      <c r="K2452" s="7" t="s">
        <v>18</v>
      </c>
      <c r="L2452" s="8">
        <v>39891.213356481479</v>
      </c>
      <c r="M2452" s="9" t="s">
        <v>19</v>
      </c>
      <c r="N2452" s="9" t="s">
        <v>22</v>
      </c>
      <c r="O2452" s="6" t="str">
        <f>HYPERLINK("https://pbs.twimg.com/profile_images/988971255679324162/jrqiIYf__normal.jpg","View")</f>
        <v>View</v>
      </c>
      <c r="P2452" s="7"/>
    </row>
    <row r="2453" spans="1:16">
      <c r="A2453" s="3">
        <v>44379.143240740741</v>
      </c>
      <c r="B2453" s="4" t="str">
        <f>HYPERLINK("https://twitter.com/sergio_fajardo","@sergio_fajardo")</f>
        <v>@sergio_fajardo</v>
      </c>
      <c r="C2453" s="5" t="s">
        <v>16</v>
      </c>
      <c r="D2453" s="5" t="s">
        <v>2474</v>
      </c>
      <c r="E2453" s="6" t="str">
        <f>HYPERLINK("https://twitter.com/sergio_fajardo/status/1410718926254886918","1410718926254886918")</f>
        <v>1410718926254886918</v>
      </c>
      <c r="F2453" s="7" t="s">
        <v>23</v>
      </c>
      <c r="G2453" s="7">
        <v>1589960</v>
      </c>
      <c r="H2453" s="7">
        <v>425</v>
      </c>
      <c r="I2453" s="7">
        <v>7</v>
      </c>
      <c r="J2453" s="7">
        <v>49</v>
      </c>
      <c r="K2453" s="7" t="s">
        <v>18</v>
      </c>
      <c r="L2453" s="8">
        <v>39891.213356481479</v>
      </c>
      <c r="M2453" s="9" t="s">
        <v>19</v>
      </c>
      <c r="N2453" s="9" t="s">
        <v>22</v>
      </c>
      <c r="O2453" s="6" t="str">
        <f>HYPERLINK("https://pbs.twimg.com/profile_images/988971255679324162/jrqiIYf__normal.jpg","View")</f>
        <v>View</v>
      </c>
      <c r="P2453" s="7"/>
    </row>
    <row r="2454" spans="1:16">
      <c r="A2454" s="3">
        <v>44379.66269675926</v>
      </c>
      <c r="B2454" s="4" t="str">
        <f>HYPERLINK("https://twitter.com/sergio_fajardo","@sergio_fajardo")</f>
        <v>@sergio_fajardo</v>
      </c>
      <c r="C2454" s="5" t="s">
        <v>16</v>
      </c>
      <c r="D2454" s="5" t="s">
        <v>2475</v>
      </c>
      <c r="E2454" s="6" t="str">
        <f>HYPERLINK("https://twitter.com/sergio_fajardo/status/1410907171030716417","1410907171030716417")</f>
        <v>1410907171030716417</v>
      </c>
      <c r="F2454" s="7" t="s">
        <v>20</v>
      </c>
      <c r="G2454" s="7">
        <v>1590063</v>
      </c>
      <c r="H2454" s="7">
        <v>425</v>
      </c>
      <c r="I2454" s="7">
        <v>37</v>
      </c>
      <c r="J2454" s="7">
        <v>0</v>
      </c>
      <c r="K2454" s="7" t="s">
        <v>18</v>
      </c>
      <c r="L2454" s="8">
        <v>39891.213356481479</v>
      </c>
      <c r="M2454" s="9" t="s">
        <v>19</v>
      </c>
      <c r="N2454" s="9" t="s">
        <v>22</v>
      </c>
      <c r="O2454" s="6" t="str">
        <f>HYPERLINK("https://pbs.twimg.com/profile_images/988971255679324162/jrqiIYf__normal.jpg","View")</f>
        <v>View</v>
      </c>
      <c r="P2454" s="7"/>
    </row>
    <row r="2455" spans="1:16">
      <c r="A2455" s="3">
        <v>44379.754143518519</v>
      </c>
      <c r="B2455" s="4" t="str">
        <f>HYPERLINK("https://twitter.com/sergio_fajardo","@sergio_fajardo")</f>
        <v>@sergio_fajardo</v>
      </c>
      <c r="C2455" s="5" t="s">
        <v>16</v>
      </c>
      <c r="D2455" s="5" t="s">
        <v>2476</v>
      </c>
      <c r="E2455" s="6" t="str">
        <f>HYPERLINK("https://twitter.com/sergio_fajardo/status/1410940311531044870","1410940311531044870")</f>
        <v>1410940311531044870</v>
      </c>
      <c r="F2455" s="7" t="s">
        <v>20</v>
      </c>
      <c r="G2455" s="7">
        <v>1590069</v>
      </c>
      <c r="H2455" s="7">
        <v>425</v>
      </c>
      <c r="I2455" s="7">
        <v>3</v>
      </c>
      <c r="J2455" s="7">
        <v>0</v>
      </c>
      <c r="K2455" s="7" t="s">
        <v>18</v>
      </c>
      <c r="L2455" s="8">
        <v>39891.213356481479</v>
      </c>
      <c r="M2455" s="9" t="s">
        <v>19</v>
      </c>
      <c r="N2455" s="9" t="s">
        <v>22</v>
      </c>
      <c r="O2455" s="6" t="str">
        <f>HYPERLINK("https://pbs.twimg.com/profile_images/988971255679324162/jrqiIYf__normal.jpg","View")</f>
        <v>View</v>
      </c>
      <c r="P2455" s="7"/>
    </row>
    <row r="2456" spans="1:16">
      <c r="A2456" s="3">
        <v>44380.236134259263</v>
      </c>
      <c r="B2456" s="4" t="str">
        <f>HYPERLINK("https://twitter.com/sergio_fajardo","@sergio_fajardo")</f>
        <v>@sergio_fajardo</v>
      </c>
      <c r="C2456" s="5" t="s">
        <v>16</v>
      </c>
      <c r="D2456" s="5" t="s">
        <v>2477</v>
      </c>
      <c r="E2456" s="6" t="str">
        <f>HYPERLINK("https://twitter.com/sergio_fajardo/status/1411114976815767556","1411114976815767556")</f>
        <v>1411114976815767556</v>
      </c>
      <c r="F2456" s="7" t="s">
        <v>17</v>
      </c>
      <c r="G2456" s="7">
        <v>1590029</v>
      </c>
      <c r="H2456" s="7">
        <v>425</v>
      </c>
      <c r="I2456" s="7">
        <v>12</v>
      </c>
      <c r="J2456" s="7">
        <v>100</v>
      </c>
      <c r="K2456" s="7" t="s">
        <v>18</v>
      </c>
      <c r="L2456" s="8">
        <v>39891.213356481479</v>
      </c>
      <c r="M2456" s="9" t="s">
        <v>19</v>
      </c>
      <c r="N2456" s="9" t="s">
        <v>22</v>
      </c>
      <c r="O2456" s="6" t="str">
        <f>HYPERLINK("https://pbs.twimg.com/profile_images/988971255679324162/jrqiIYf__normal.jpg","View")</f>
        <v>View</v>
      </c>
      <c r="P2456" s="7"/>
    </row>
    <row r="2457" spans="1:16">
      <c r="A2457" s="3">
        <v>44380.687083333338</v>
      </c>
      <c r="B2457" s="4" t="str">
        <f>HYPERLINK("https://twitter.com/sergio_fajardo","@sergio_fajardo")</f>
        <v>@sergio_fajardo</v>
      </c>
      <c r="C2457" s="5" t="s">
        <v>16</v>
      </c>
      <c r="D2457" s="5" t="s">
        <v>2478</v>
      </c>
      <c r="E2457" s="6" t="str">
        <f>HYPERLINK("https://twitter.com/sergio_fajardo/status/1411278397590867970","1411278397590867970")</f>
        <v>1411278397590867970</v>
      </c>
      <c r="F2457" s="7" t="s">
        <v>17</v>
      </c>
      <c r="G2457" s="7">
        <v>1590107</v>
      </c>
      <c r="H2457" s="7">
        <v>425</v>
      </c>
      <c r="I2457" s="7">
        <v>1</v>
      </c>
      <c r="J2457" s="7">
        <v>4</v>
      </c>
      <c r="K2457" s="7" t="s">
        <v>18</v>
      </c>
      <c r="L2457" s="8">
        <v>39891.213356481479</v>
      </c>
      <c r="M2457" s="9" t="s">
        <v>19</v>
      </c>
      <c r="N2457" s="9" t="s">
        <v>22</v>
      </c>
      <c r="O2457" s="6" t="str">
        <f>HYPERLINK("https://pbs.twimg.com/profile_images/988971255679324162/jrqiIYf__normal.jpg","View")</f>
        <v>View</v>
      </c>
      <c r="P2457" s="7"/>
    </row>
    <row r="2458" spans="1:16">
      <c r="A2458" s="3">
        <v>44380.880613425921</v>
      </c>
      <c r="B2458" s="4" t="str">
        <f>HYPERLINK("https://twitter.com/sergio_fajardo","@sergio_fajardo")</f>
        <v>@sergio_fajardo</v>
      </c>
      <c r="C2458" s="5" t="s">
        <v>16</v>
      </c>
      <c r="D2458" s="5" t="s">
        <v>2479</v>
      </c>
      <c r="E2458" s="6" t="str">
        <f>HYPERLINK("https://twitter.com/sergio_fajardo/status/1411348529625305099","1411348529625305099")</f>
        <v>1411348529625305099</v>
      </c>
      <c r="F2458" s="7" t="s">
        <v>17</v>
      </c>
      <c r="G2458" s="7">
        <v>1590110</v>
      </c>
      <c r="H2458" s="7">
        <v>426</v>
      </c>
      <c r="I2458" s="7">
        <v>7</v>
      </c>
      <c r="J2458" s="7">
        <v>31</v>
      </c>
      <c r="K2458" s="7" t="s">
        <v>18</v>
      </c>
      <c r="L2458" s="8">
        <v>39891.213356481479</v>
      </c>
      <c r="M2458" s="9" t="s">
        <v>19</v>
      </c>
      <c r="N2458" s="9" t="s">
        <v>22</v>
      </c>
      <c r="O2458" s="6" t="str">
        <f>HYPERLINK("https://pbs.twimg.com/profile_images/988971255679324162/jrqiIYf__normal.jpg","View")</f>
        <v>View</v>
      </c>
      <c r="P2458" s="7"/>
    </row>
    <row r="2459" spans="1:16">
      <c r="A2459" s="3">
        <v>44380.88349537037</v>
      </c>
      <c r="B2459" s="4" t="str">
        <f>HYPERLINK("https://twitter.com/sergio_fajardo","@sergio_fajardo")</f>
        <v>@sergio_fajardo</v>
      </c>
      <c r="C2459" s="5" t="s">
        <v>16</v>
      </c>
      <c r="D2459" s="5" t="s">
        <v>2480</v>
      </c>
      <c r="E2459" s="6" t="str">
        <f>HYPERLINK("https://twitter.com/sergio_fajardo/status/1411349571234582529","1411349571234582529")</f>
        <v>1411349571234582529</v>
      </c>
      <c r="F2459" s="7" t="s">
        <v>17</v>
      </c>
      <c r="G2459" s="7">
        <v>1590110</v>
      </c>
      <c r="H2459" s="7">
        <v>426</v>
      </c>
      <c r="I2459" s="7">
        <v>2</v>
      </c>
      <c r="J2459" s="7">
        <v>15</v>
      </c>
      <c r="K2459" s="7" t="s">
        <v>18</v>
      </c>
      <c r="L2459" s="8">
        <v>39891.213356481479</v>
      </c>
      <c r="M2459" s="9" t="s">
        <v>19</v>
      </c>
      <c r="N2459" s="9" t="s">
        <v>22</v>
      </c>
      <c r="O2459" s="6" t="str">
        <f>HYPERLINK("https://pbs.twimg.com/profile_images/988971255679324162/jrqiIYf__normal.jpg","View")</f>
        <v>View</v>
      </c>
      <c r="P2459" s="7"/>
    </row>
    <row r="2460" spans="1:16">
      <c r="A2460" s="3">
        <v>44380.885520833333</v>
      </c>
      <c r="B2460" s="4" t="str">
        <f>HYPERLINK("https://twitter.com/sergio_fajardo","@sergio_fajardo")</f>
        <v>@sergio_fajardo</v>
      </c>
      <c r="C2460" s="5" t="s">
        <v>16</v>
      </c>
      <c r="D2460" s="5" t="s">
        <v>2481</v>
      </c>
      <c r="E2460" s="6" t="str">
        <f>HYPERLINK("https://twitter.com/sergio_fajardo/status/1411350307460767748","1411350307460767748")</f>
        <v>1411350307460767748</v>
      </c>
      <c r="F2460" s="7" t="s">
        <v>17</v>
      </c>
      <c r="G2460" s="7">
        <v>1590110</v>
      </c>
      <c r="H2460" s="7">
        <v>426</v>
      </c>
      <c r="I2460" s="7">
        <v>1</v>
      </c>
      <c r="J2460" s="7">
        <v>11</v>
      </c>
      <c r="K2460" s="7" t="s">
        <v>18</v>
      </c>
      <c r="L2460" s="8">
        <v>39891.213356481479</v>
      </c>
      <c r="M2460" s="9" t="s">
        <v>19</v>
      </c>
      <c r="N2460" s="9" t="s">
        <v>22</v>
      </c>
      <c r="O2460" s="6" t="str">
        <f>HYPERLINK("https://pbs.twimg.com/profile_images/988971255679324162/jrqiIYf__normal.jpg","View")</f>
        <v>View</v>
      </c>
      <c r="P2460" s="7"/>
    </row>
    <row r="2461" spans="1:16">
      <c r="A2461" s="3">
        <v>44382.232812499999</v>
      </c>
      <c r="B2461" s="4" t="str">
        <f>HYPERLINK("https://twitter.com/sergio_fajardo","@sergio_fajardo")</f>
        <v>@sergio_fajardo</v>
      </c>
      <c r="C2461" s="5" t="s">
        <v>16</v>
      </c>
      <c r="D2461" s="5" t="s">
        <v>2482</v>
      </c>
      <c r="E2461" s="6" t="str">
        <f>HYPERLINK("https://twitter.com/sergio_fajardo/status/1411838549440221184","1411838549440221184")</f>
        <v>1411838549440221184</v>
      </c>
      <c r="F2461" s="7" t="s">
        <v>17</v>
      </c>
      <c r="G2461" s="7">
        <v>1590165</v>
      </c>
      <c r="H2461" s="7">
        <v>426</v>
      </c>
      <c r="I2461" s="7">
        <v>28</v>
      </c>
      <c r="J2461" s="7">
        <v>0</v>
      </c>
      <c r="K2461" s="7" t="s">
        <v>18</v>
      </c>
      <c r="L2461" s="8">
        <v>39891.213356481479</v>
      </c>
      <c r="M2461" s="9" t="s">
        <v>19</v>
      </c>
      <c r="N2461" s="9" t="s">
        <v>22</v>
      </c>
      <c r="O2461" s="6" t="str">
        <f>HYPERLINK("https://pbs.twimg.com/profile_images/988971255679324162/jrqiIYf__normal.jpg","View")</f>
        <v>View</v>
      </c>
      <c r="P2461" s="7"/>
    </row>
    <row r="2462" spans="1:16">
      <c r="A2462" s="3">
        <v>44382.966956018514</v>
      </c>
      <c r="B2462" s="4" t="str">
        <f>HYPERLINK("https://twitter.com/sergio_fajardo","@sergio_fajardo")</f>
        <v>@sergio_fajardo</v>
      </c>
      <c r="C2462" s="5" t="s">
        <v>16</v>
      </c>
      <c r="D2462" s="5" t="s">
        <v>2483</v>
      </c>
      <c r="E2462" s="6" t="str">
        <f>HYPERLINK("https://twitter.com/sergio_fajardo/status/1412104592167428102","1412104592167428102")</f>
        <v>1412104592167428102</v>
      </c>
      <c r="F2462" s="7" t="s">
        <v>17</v>
      </c>
      <c r="G2462" s="7">
        <v>1590208</v>
      </c>
      <c r="H2462" s="7">
        <v>426</v>
      </c>
      <c r="I2462" s="7">
        <v>18</v>
      </c>
      <c r="J2462" s="7">
        <v>0</v>
      </c>
      <c r="K2462" s="7" t="s">
        <v>18</v>
      </c>
      <c r="L2462" s="8">
        <v>39891.213356481479</v>
      </c>
      <c r="M2462" s="9" t="s">
        <v>19</v>
      </c>
      <c r="N2462" s="9" t="s">
        <v>22</v>
      </c>
      <c r="O2462" s="6" t="str">
        <f>HYPERLINK("https://pbs.twimg.com/profile_images/988971255679324162/jrqiIYf__normal.jpg","View")</f>
        <v>View</v>
      </c>
      <c r="P2462" s="7"/>
    </row>
    <row r="2463" spans="1:16">
      <c r="A2463" s="3">
        <v>44383.177557870367</v>
      </c>
      <c r="B2463" s="4" t="str">
        <f>HYPERLINK("https://twitter.com/sergio_fajardo","@sergio_fajardo")</f>
        <v>@sergio_fajardo</v>
      </c>
      <c r="C2463" s="5" t="s">
        <v>16</v>
      </c>
      <c r="D2463" s="5" t="s">
        <v>2484</v>
      </c>
      <c r="E2463" s="6" t="str">
        <f>HYPERLINK("https://twitter.com/sergio_fajardo/status/1412180914528993280","1412180914528993280")</f>
        <v>1412180914528993280</v>
      </c>
      <c r="F2463" s="7" t="s">
        <v>17</v>
      </c>
      <c r="G2463" s="7">
        <v>1590199</v>
      </c>
      <c r="H2463" s="7">
        <v>426</v>
      </c>
      <c r="I2463" s="7">
        <v>7</v>
      </c>
      <c r="J2463" s="7">
        <v>46</v>
      </c>
      <c r="K2463" s="7" t="s">
        <v>18</v>
      </c>
      <c r="L2463" s="8">
        <v>39891.213356481479</v>
      </c>
      <c r="M2463" s="9" t="s">
        <v>19</v>
      </c>
      <c r="N2463" s="9" t="s">
        <v>22</v>
      </c>
      <c r="O2463" s="6" t="str">
        <f>HYPERLINK("https://pbs.twimg.com/profile_images/988971255679324162/jrqiIYf__normal.jpg","View")</f>
        <v>View</v>
      </c>
      <c r="P2463" s="7"/>
    </row>
    <row r="2464" spans="1:16">
      <c r="A2464" s="3">
        <v>44383.204826388886</v>
      </c>
      <c r="B2464" s="4" t="str">
        <f>HYPERLINK("https://twitter.com/sergio_fajardo","@sergio_fajardo")</f>
        <v>@sergio_fajardo</v>
      </c>
      <c r="C2464" s="5" t="s">
        <v>16</v>
      </c>
      <c r="D2464" s="5" t="s">
        <v>2485</v>
      </c>
      <c r="E2464" s="6" t="str">
        <f>HYPERLINK("https://twitter.com/sergio_fajardo/status/1412190797152374789","1412190797152374789")</f>
        <v>1412190797152374789</v>
      </c>
      <c r="F2464" s="7" t="s">
        <v>17</v>
      </c>
      <c r="G2464" s="7">
        <v>1590201</v>
      </c>
      <c r="H2464" s="7">
        <v>426</v>
      </c>
      <c r="I2464" s="7">
        <v>3</v>
      </c>
      <c r="J2464" s="7">
        <v>25</v>
      </c>
      <c r="K2464" s="7" t="s">
        <v>18</v>
      </c>
      <c r="L2464" s="8">
        <v>39891.213356481479</v>
      </c>
      <c r="M2464" s="9" t="s">
        <v>19</v>
      </c>
      <c r="N2464" s="9" t="s">
        <v>22</v>
      </c>
      <c r="O2464" s="6" t="str">
        <f>HYPERLINK("https://pbs.twimg.com/profile_images/988971255679324162/jrqiIYf__normal.jpg","View")</f>
        <v>View</v>
      </c>
      <c r="P2464" s="7"/>
    </row>
    <row r="2465" spans="1:16">
      <c r="A2465" s="3">
        <v>44383.256701388891</v>
      </c>
      <c r="B2465" s="4" t="str">
        <f>HYPERLINK("https://twitter.com/sergio_fajardo","@sergio_fajardo")</f>
        <v>@sergio_fajardo</v>
      </c>
      <c r="C2465" s="5" t="s">
        <v>16</v>
      </c>
      <c r="D2465" s="5" t="s">
        <v>2486</v>
      </c>
      <c r="E2465" s="6" t="str">
        <f>HYPERLINK("https://twitter.com/sergio_fajardo/status/1412209594848485377","1412209594848485377")</f>
        <v>1412209594848485377</v>
      </c>
      <c r="F2465" s="7" t="s">
        <v>17</v>
      </c>
      <c r="G2465" s="7">
        <v>1590206</v>
      </c>
      <c r="H2465" s="7">
        <v>426</v>
      </c>
      <c r="I2465" s="7">
        <v>7</v>
      </c>
      <c r="J2465" s="7">
        <v>28</v>
      </c>
      <c r="K2465" s="7" t="s">
        <v>18</v>
      </c>
      <c r="L2465" s="8">
        <v>39891.213356481479</v>
      </c>
      <c r="M2465" s="9" t="s">
        <v>19</v>
      </c>
      <c r="N2465" s="9" t="s">
        <v>22</v>
      </c>
      <c r="O2465" s="6" t="str">
        <f>HYPERLINK("https://pbs.twimg.com/profile_images/988971255679324162/jrqiIYf__normal.jpg","View")</f>
        <v>View</v>
      </c>
      <c r="P2465" s="7"/>
    </row>
    <row r="2466" spans="1:16">
      <c r="A2466" s="3">
        <v>44383.812673611115</v>
      </c>
      <c r="B2466" s="4" t="str">
        <f>HYPERLINK("https://twitter.com/sergio_fajardo","@sergio_fajardo")</f>
        <v>@sergio_fajardo</v>
      </c>
      <c r="C2466" s="5" t="s">
        <v>16</v>
      </c>
      <c r="D2466" s="5" t="s">
        <v>2487</v>
      </c>
      <c r="E2466" s="6" t="str">
        <f>HYPERLINK("https://twitter.com/sergio_fajardo/status/1412411071227478042","1412411071227478042")</f>
        <v>1412411071227478042</v>
      </c>
      <c r="F2466" s="7" t="s">
        <v>2329</v>
      </c>
      <c r="G2466" s="7">
        <v>1590215</v>
      </c>
      <c r="H2466" s="7">
        <v>426</v>
      </c>
      <c r="I2466" s="7">
        <v>6</v>
      </c>
      <c r="J2466" s="7">
        <v>12</v>
      </c>
      <c r="K2466" s="7" t="s">
        <v>18</v>
      </c>
      <c r="L2466" s="8">
        <v>39891.213356481479</v>
      </c>
      <c r="M2466" s="9" t="s">
        <v>19</v>
      </c>
      <c r="N2466" s="9" t="s">
        <v>22</v>
      </c>
      <c r="O2466" s="6" t="str">
        <f>HYPERLINK("https://pbs.twimg.com/profile_images/988971255679324162/jrqiIYf__normal.jpg","View")</f>
        <v>View</v>
      </c>
      <c r="P2466" s="7"/>
    </row>
    <row r="2467" spans="1:16">
      <c r="A2467" s="3">
        <v>44384.145972222221</v>
      </c>
      <c r="B2467" s="4" t="str">
        <f>HYPERLINK("https://twitter.com/sergio_fajardo","@sergio_fajardo")</f>
        <v>@sergio_fajardo</v>
      </c>
      <c r="C2467" s="5" t="s">
        <v>16</v>
      </c>
      <c r="D2467" s="5" t="s">
        <v>2488</v>
      </c>
      <c r="E2467" s="6" t="str">
        <f>HYPERLINK("https://twitter.com/sergio_fajardo/status/1412531856046702593","1412531856046702593")</f>
        <v>1412531856046702593</v>
      </c>
      <c r="F2467" s="7" t="s">
        <v>23</v>
      </c>
      <c r="G2467" s="7">
        <v>1590219</v>
      </c>
      <c r="H2467" s="7">
        <v>426</v>
      </c>
      <c r="I2467" s="7">
        <v>3</v>
      </c>
      <c r="J2467" s="7">
        <v>21</v>
      </c>
      <c r="K2467" s="7" t="s">
        <v>18</v>
      </c>
      <c r="L2467" s="8">
        <v>39891.213356481479</v>
      </c>
      <c r="M2467" s="9" t="s">
        <v>19</v>
      </c>
      <c r="N2467" s="9" t="s">
        <v>22</v>
      </c>
      <c r="O2467" s="6" t="str">
        <f>HYPERLINK("https://pbs.twimg.com/profile_images/988971255679324162/jrqiIYf__normal.jpg","View")</f>
        <v>View</v>
      </c>
      <c r="P2467" s="7"/>
    </row>
    <row r="2468" spans="1:16">
      <c r="A2468" s="3">
        <v>44384.187731481477</v>
      </c>
      <c r="B2468" s="4" t="str">
        <f>HYPERLINK("https://twitter.com/sergio_fajardo","@sergio_fajardo")</f>
        <v>@sergio_fajardo</v>
      </c>
      <c r="C2468" s="5" t="s">
        <v>16</v>
      </c>
      <c r="D2468" s="5" t="s">
        <v>2489</v>
      </c>
      <c r="E2468" s="6" t="str">
        <f>HYPERLINK("https://twitter.com/sergio_fajardo/status/1412546989347196932","1412546989347196932")</f>
        <v>1412546989347196932</v>
      </c>
      <c r="F2468" s="7" t="s">
        <v>2329</v>
      </c>
      <c r="G2468" s="7">
        <v>1590217</v>
      </c>
      <c r="H2468" s="7">
        <v>426</v>
      </c>
      <c r="I2468" s="7">
        <v>2</v>
      </c>
      <c r="J2468" s="7">
        <v>11</v>
      </c>
      <c r="K2468" s="7" t="s">
        <v>18</v>
      </c>
      <c r="L2468" s="8">
        <v>39891.213356481479</v>
      </c>
      <c r="M2468" s="9" t="s">
        <v>19</v>
      </c>
      <c r="N2468" s="9" t="s">
        <v>22</v>
      </c>
      <c r="O2468" s="6" t="str">
        <f>HYPERLINK("https://pbs.twimg.com/profile_images/988971255679324162/jrqiIYf__normal.jpg","View")</f>
        <v>View</v>
      </c>
      <c r="P2468" s="7"/>
    </row>
    <row r="2469" spans="1:16">
      <c r="A2469" s="3">
        <v>44384.188159722224</v>
      </c>
      <c r="B2469" s="4" t="str">
        <f>HYPERLINK("https://twitter.com/sergio_fajardo","@sergio_fajardo")</f>
        <v>@sergio_fajardo</v>
      </c>
      <c r="C2469" s="5" t="s">
        <v>16</v>
      </c>
      <c r="D2469" s="5" t="s">
        <v>2490</v>
      </c>
      <c r="E2469" s="6" t="str">
        <f>HYPERLINK("https://twitter.com/sergio_fajardo/status/1412547144230359041","1412547144230359041")</f>
        <v>1412547144230359041</v>
      </c>
      <c r="F2469" s="7" t="s">
        <v>23</v>
      </c>
      <c r="G2469" s="7">
        <v>1590217</v>
      </c>
      <c r="H2469" s="7">
        <v>426</v>
      </c>
      <c r="I2469" s="7">
        <v>2</v>
      </c>
      <c r="J2469" s="7">
        <v>3</v>
      </c>
      <c r="K2469" s="7" t="s">
        <v>18</v>
      </c>
      <c r="L2469" s="8">
        <v>39891.213356481479</v>
      </c>
      <c r="M2469" s="9" t="s">
        <v>19</v>
      </c>
      <c r="N2469" s="9" t="s">
        <v>22</v>
      </c>
      <c r="O2469" s="6" t="str">
        <f>HYPERLINK("https://pbs.twimg.com/profile_images/988971255679324162/jrqiIYf__normal.jpg","View")</f>
        <v>View</v>
      </c>
      <c r="P2469" s="7"/>
    </row>
    <row r="2470" spans="1:16">
      <c r="A2470" s="3">
        <v>44384.199988425928</v>
      </c>
      <c r="B2470" s="4" t="str">
        <f>HYPERLINK("https://twitter.com/sergio_fajardo","@sergio_fajardo")</f>
        <v>@sergio_fajardo</v>
      </c>
      <c r="C2470" s="5" t="s">
        <v>16</v>
      </c>
      <c r="D2470" s="5" t="s">
        <v>2491</v>
      </c>
      <c r="E2470" s="6" t="str">
        <f>HYPERLINK("https://twitter.com/sergio_fajardo/status/1412551428128874500","1412551428128874500")</f>
        <v>1412551428128874500</v>
      </c>
      <c r="F2470" s="7" t="s">
        <v>23</v>
      </c>
      <c r="G2470" s="7">
        <v>1590217</v>
      </c>
      <c r="H2470" s="7">
        <v>426</v>
      </c>
      <c r="I2470" s="7">
        <v>4</v>
      </c>
      <c r="J2470" s="7">
        <v>43</v>
      </c>
      <c r="K2470" s="7" t="s">
        <v>18</v>
      </c>
      <c r="L2470" s="8">
        <v>39891.213356481479</v>
      </c>
      <c r="M2470" s="9" t="s">
        <v>19</v>
      </c>
      <c r="N2470" s="9" t="s">
        <v>22</v>
      </c>
      <c r="O2470" s="6" t="str">
        <f>HYPERLINK("https://pbs.twimg.com/profile_images/988971255679324162/jrqiIYf__normal.jpg","View")</f>
        <v>View</v>
      </c>
      <c r="P2470" s="7"/>
    </row>
    <row r="2471" spans="1:16">
      <c r="A2471" s="3">
        <v>44384.20648148148</v>
      </c>
      <c r="B2471" s="4" t="str">
        <f>HYPERLINK("https://twitter.com/sergio_fajardo","@sergio_fajardo")</f>
        <v>@sergio_fajardo</v>
      </c>
      <c r="C2471" s="5" t="s">
        <v>16</v>
      </c>
      <c r="D2471" s="5" t="s">
        <v>2492</v>
      </c>
      <c r="E2471" s="6" t="str">
        <f>HYPERLINK("https://twitter.com/sergio_fajardo/status/1412553785071788039","1412553785071788039")</f>
        <v>1412553785071788039</v>
      </c>
      <c r="F2471" s="7" t="s">
        <v>23</v>
      </c>
      <c r="G2471" s="7">
        <v>1590217</v>
      </c>
      <c r="H2471" s="7">
        <v>426</v>
      </c>
      <c r="I2471" s="7">
        <v>2</v>
      </c>
      <c r="J2471" s="7">
        <v>15</v>
      </c>
      <c r="K2471" s="7" t="s">
        <v>18</v>
      </c>
      <c r="L2471" s="8">
        <v>39891.213356481479</v>
      </c>
      <c r="M2471" s="9" t="s">
        <v>19</v>
      </c>
      <c r="N2471" s="9" t="s">
        <v>22</v>
      </c>
      <c r="O2471" s="6" t="str">
        <f>HYPERLINK("https://pbs.twimg.com/profile_images/988971255679324162/jrqiIYf__normal.jpg","View")</f>
        <v>View</v>
      </c>
      <c r="P2471" s="7"/>
    </row>
    <row r="2472" spans="1:16">
      <c r="A2472" s="3">
        <v>44384.209791666668</v>
      </c>
      <c r="B2472" s="4" t="str">
        <f>HYPERLINK("https://twitter.com/sergio_fajardo","@sergio_fajardo")</f>
        <v>@sergio_fajardo</v>
      </c>
      <c r="C2472" s="5" t="s">
        <v>16</v>
      </c>
      <c r="D2472" s="5" t="s">
        <v>2493</v>
      </c>
      <c r="E2472" s="6" t="str">
        <f>HYPERLINK("https://twitter.com/sergio_fajardo/status/1412554980536504320","1412554980536504320")</f>
        <v>1412554980536504320</v>
      </c>
      <c r="F2472" s="7" t="s">
        <v>23</v>
      </c>
      <c r="G2472" s="7">
        <v>1590217</v>
      </c>
      <c r="H2472" s="7">
        <v>426</v>
      </c>
      <c r="I2472" s="7">
        <v>0</v>
      </c>
      <c r="J2472" s="7">
        <v>0</v>
      </c>
      <c r="K2472" s="7" t="s">
        <v>18</v>
      </c>
      <c r="L2472" s="8">
        <v>39891.213356481479</v>
      </c>
      <c r="M2472" s="9" t="s">
        <v>19</v>
      </c>
      <c r="N2472" s="9" t="s">
        <v>22</v>
      </c>
      <c r="O2472" s="6" t="str">
        <f>HYPERLINK("https://pbs.twimg.com/profile_images/988971255679324162/jrqiIYf__normal.jpg","View")</f>
        <v>View</v>
      </c>
      <c r="P2472" s="7"/>
    </row>
    <row r="2473" spans="1:16">
      <c r="A2473" s="3">
        <v>44384.220162037032</v>
      </c>
      <c r="B2473" s="4" t="str">
        <f>HYPERLINK("https://twitter.com/sergio_fajardo","@sergio_fajardo")</f>
        <v>@sergio_fajardo</v>
      </c>
      <c r="C2473" s="5" t="s">
        <v>16</v>
      </c>
      <c r="D2473" s="5" t="s">
        <v>2494</v>
      </c>
      <c r="E2473" s="6" t="str">
        <f>HYPERLINK("https://twitter.com/sergio_fajardo/status/1412558741724094466","1412558741724094466")</f>
        <v>1412558741724094466</v>
      </c>
      <c r="F2473" s="7" t="s">
        <v>23</v>
      </c>
      <c r="G2473" s="7">
        <v>1590219</v>
      </c>
      <c r="H2473" s="7">
        <v>426</v>
      </c>
      <c r="I2473" s="7">
        <v>5</v>
      </c>
      <c r="J2473" s="7">
        <v>21</v>
      </c>
      <c r="K2473" s="7" t="s">
        <v>18</v>
      </c>
      <c r="L2473" s="8">
        <v>39891.213356481479</v>
      </c>
      <c r="M2473" s="9" t="s">
        <v>19</v>
      </c>
      <c r="N2473" s="9" t="s">
        <v>22</v>
      </c>
      <c r="O2473" s="6" t="str">
        <f>HYPERLINK("https://pbs.twimg.com/profile_images/988971255679324162/jrqiIYf__normal.jpg","View")</f>
        <v>View</v>
      </c>
      <c r="P2473" s="7"/>
    </row>
    <row r="2474" spans="1:16">
      <c r="A2474" s="3">
        <v>44384.22075231481</v>
      </c>
      <c r="B2474" s="4" t="str">
        <f>HYPERLINK("https://twitter.com/sergio_fajardo","@sergio_fajardo")</f>
        <v>@sergio_fajardo</v>
      </c>
      <c r="C2474" s="5" t="s">
        <v>16</v>
      </c>
      <c r="D2474" s="5" t="s">
        <v>2495</v>
      </c>
      <c r="E2474" s="6" t="str">
        <f>HYPERLINK("https://twitter.com/sergio_fajardo/status/1412558955751092226","1412558955751092226")</f>
        <v>1412558955751092226</v>
      </c>
      <c r="F2474" s="7" t="s">
        <v>23</v>
      </c>
      <c r="G2474" s="7">
        <v>1590219</v>
      </c>
      <c r="H2474" s="7">
        <v>426</v>
      </c>
      <c r="I2474" s="7">
        <v>8</v>
      </c>
      <c r="J2474" s="7">
        <v>18</v>
      </c>
      <c r="K2474" s="7" t="s">
        <v>18</v>
      </c>
      <c r="L2474" s="8">
        <v>39891.213356481479</v>
      </c>
      <c r="M2474" s="9" t="s">
        <v>19</v>
      </c>
      <c r="N2474" s="9" t="s">
        <v>22</v>
      </c>
      <c r="O2474" s="6" t="str">
        <f>HYPERLINK("https://pbs.twimg.com/profile_images/988971255679324162/jrqiIYf__normal.jpg","View")</f>
        <v>View</v>
      </c>
      <c r="P2474" s="7"/>
    </row>
    <row r="2475" spans="1:16">
      <c r="A2475" s="3">
        <v>44384.221817129626</v>
      </c>
      <c r="B2475" s="4" t="str">
        <f>HYPERLINK("https://twitter.com/sergio_fajardo","@sergio_fajardo")</f>
        <v>@sergio_fajardo</v>
      </c>
      <c r="C2475" s="5" t="s">
        <v>16</v>
      </c>
      <c r="D2475" s="5" t="s">
        <v>2496</v>
      </c>
      <c r="E2475" s="6" t="str">
        <f>HYPERLINK("https://twitter.com/sergio_fajardo/status/1412559342235226119","1412559342235226119")</f>
        <v>1412559342235226119</v>
      </c>
      <c r="F2475" s="7" t="s">
        <v>17</v>
      </c>
      <c r="G2475" s="7">
        <v>1590219</v>
      </c>
      <c r="H2475" s="7">
        <v>426</v>
      </c>
      <c r="I2475" s="7">
        <v>10</v>
      </c>
      <c r="J2475" s="7">
        <v>25</v>
      </c>
      <c r="K2475" s="7" t="s">
        <v>18</v>
      </c>
      <c r="L2475" s="8">
        <v>39891.213356481479</v>
      </c>
      <c r="M2475" s="9" t="s">
        <v>19</v>
      </c>
      <c r="N2475" s="9" t="s">
        <v>22</v>
      </c>
      <c r="O2475" s="6" t="str">
        <f>HYPERLINK("https://pbs.twimg.com/profile_images/988971255679324162/jrqiIYf__normal.jpg","View")</f>
        <v>View</v>
      </c>
      <c r="P2475" s="7"/>
    </row>
    <row r="2476" spans="1:16">
      <c r="A2476" s="3">
        <v>44384.222013888888</v>
      </c>
      <c r="B2476" s="4" t="str">
        <f>HYPERLINK("https://twitter.com/sergio_fajardo","@sergio_fajardo")</f>
        <v>@sergio_fajardo</v>
      </c>
      <c r="C2476" s="5" t="s">
        <v>16</v>
      </c>
      <c r="D2476" s="5" t="s">
        <v>2497</v>
      </c>
      <c r="E2476" s="6" t="str">
        <f>HYPERLINK("https://twitter.com/sergio_fajardo/status/1412559412502450176","1412559412502450176")</f>
        <v>1412559412502450176</v>
      </c>
      <c r="F2476" s="7" t="s">
        <v>23</v>
      </c>
      <c r="G2476" s="7">
        <v>1590219</v>
      </c>
      <c r="H2476" s="7">
        <v>426</v>
      </c>
      <c r="I2476" s="7">
        <v>4</v>
      </c>
      <c r="J2476" s="7">
        <v>58</v>
      </c>
      <c r="K2476" s="7" t="s">
        <v>18</v>
      </c>
      <c r="L2476" s="8">
        <v>39891.213356481479</v>
      </c>
      <c r="M2476" s="9" t="s">
        <v>19</v>
      </c>
      <c r="N2476" s="9" t="s">
        <v>22</v>
      </c>
      <c r="O2476" s="6" t="str">
        <f>HYPERLINK("https://pbs.twimg.com/profile_images/988971255679324162/jrqiIYf__normal.jpg","View")</f>
        <v>View</v>
      </c>
      <c r="P2476" s="7"/>
    </row>
    <row r="2477" spans="1:16">
      <c r="A2477" s="3">
        <v>44384.22320601852</v>
      </c>
      <c r="B2477" s="4" t="str">
        <f>HYPERLINK("https://twitter.com/sergio_fajardo","@sergio_fajardo")</f>
        <v>@sergio_fajardo</v>
      </c>
      <c r="C2477" s="5" t="s">
        <v>16</v>
      </c>
      <c r="D2477" s="5" t="s">
        <v>2498</v>
      </c>
      <c r="E2477" s="6" t="str">
        <f>HYPERLINK("https://twitter.com/sergio_fajardo/status/1412559843290980355","1412559843290980355")</f>
        <v>1412559843290980355</v>
      </c>
      <c r="F2477" s="7" t="s">
        <v>23</v>
      </c>
      <c r="G2477" s="7">
        <v>1590219</v>
      </c>
      <c r="H2477" s="7">
        <v>426</v>
      </c>
      <c r="I2477" s="7">
        <v>2</v>
      </c>
      <c r="J2477" s="7">
        <v>15</v>
      </c>
      <c r="K2477" s="7" t="s">
        <v>18</v>
      </c>
      <c r="L2477" s="8">
        <v>39891.213356481479</v>
      </c>
      <c r="M2477" s="9" t="s">
        <v>19</v>
      </c>
      <c r="N2477" s="9" t="s">
        <v>22</v>
      </c>
      <c r="O2477" s="6" t="str">
        <f>HYPERLINK("https://pbs.twimg.com/profile_images/988971255679324162/jrqiIYf__normal.jpg","View")</f>
        <v>View</v>
      </c>
      <c r="P2477" s="7"/>
    </row>
    <row r="2478" spans="1:16">
      <c r="A2478" s="3">
        <v>44384.224988425922</v>
      </c>
      <c r="B2478" s="4" t="str">
        <f>HYPERLINK("https://twitter.com/sergio_fajardo","@sergio_fajardo")</f>
        <v>@sergio_fajardo</v>
      </c>
      <c r="C2478" s="5" t="s">
        <v>16</v>
      </c>
      <c r="D2478" s="5" t="s">
        <v>2499</v>
      </c>
      <c r="E2478" s="6" t="str">
        <f>HYPERLINK("https://twitter.com/sergio_fajardo/status/1412560490249789445","1412560490249789445")</f>
        <v>1412560490249789445</v>
      </c>
      <c r="F2478" s="7" t="s">
        <v>23</v>
      </c>
      <c r="G2478" s="7">
        <v>1590219</v>
      </c>
      <c r="H2478" s="7">
        <v>426</v>
      </c>
      <c r="I2478" s="7">
        <v>5</v>
      </c>
      <c r="J2478" s="7">
        <v>0</v>
      </c>
      <c r="K2478" s="7" t="s">
        <v>18</v>
      </c>
      <c r="L2478" s="8">
        <v>39891.213356481479</v>
      </c>
      <c r="M2478" s="9" t="s">
        <v>19</v>
      </c>
      <c r="N2478" s="9" t="s">
        <v>22</v>
      </c>
      <c r="O2478" s="6" t="str">
        <f>HYPERLINK("https://pbs.twimg.com/profile_images/988971255679324162/jrqiIYf__normal.jpg","View")</f>
        <v>View</v>
      </c>
      <c r="P2478" s="7"/>
    </row>
    <row r="2479" spans="1:16">
      <c r="A2479" s="3">
        <v>44384.225844907407</v>
      </c>
      <c r="B2479" s="4" t="str">
        <f>HYPERLINK("https://twitter.com/sergio_fajardo","@sergio_fajardo")</f>
        <v>@sergio_fajardo</v>
      </c>
      <c r="C2479" s="5" t="s">
        <v>16</v>
      </c>
      <c r="D2479" s="5" t="s">
        <v>2500</v>
      </c>
      <c r="E2479" s="6" t="str">
        <f>HYPERLINK("https://twitter.com/sergio_fajardo/status/1412560799508451328","1412560799508451328")</f>
        <v>1412560799508451328</v>
      </c>
      <c r="F2479" s="7" t="s">
        <v>23</v>
      </c>
      <c r="G2479" s="7">
        <v>1590219</v>
      </c>
      <c r="H2479" s="7">
        <v>426</v>
      </c>
      <c r="I2479" s="7">
        <v>3</v>
      </c>
      <c r="J2479" s="7">
        <v>26</v>
      </c>
      <c r="K2479" s="7" t="s">
        <v>18</v>
      </c>
      <c r="L2479" s="8">
        <v>39891.213356481479</v>
      </c>
      <c r="M2479" s="9" t="s">
        <v>19</v>
      </c>
      <c r="N2479" s="9" t="s">
        <v>22</v>
      </c>
      <c r="O2479" s="6" t="str">
        <f>HYPERLINK("https://pbs.twimg.com/profile_images/988971255679324162/jrqiIYf__normal.jpg","View")</f>
        <v>View</v>
      </c>
      <c r="P2479" s="7"/>
    </row>
    <row r="2480" spans="1:16">
      <c r="A2480" s="3">
        <v>44384.227233796293</v>
      </c>
      <c r="B2480" s="4" t="str">
        <f>HYPERLINK("https://twitter.com/sergio_fajardo","@sergio_fajardo")</f>
        <v>@sergio_fajardo</v>
      </c>
      <c r="C2480" s="5" t="s">
        <v>16</v>
      </c>
      <c r="D2480" s="5" t="s">
        <v>2501</v>
      </c>
      <c r="E2480" s="6" t="str">
        <f>HYPERLINK("https://twitter.com/sergio_fajardo/status/1412561304041230336","1412561304041230336")</f>
        <v>1412561304041230336</v>
      </c>
      <c r="F2480" s="7" t="s">
        <v>23</v>
      </c>
      <c r="G2480" s="7">
        <v>1590219</v>
      </c>
      <c r="H2480" s="7">
        <v>426</v>
      </c>
      <c r="I2480" s="7">
        <v>3</v>
      </c>
      <c r="J2480" s="7">
        <v>11</v>
      </c>
      <c r="K2480" s="7" t="s">
        <v>18</v>
      </c>
      <c r="L2480" s="8">
        <v>39891.213356481479</v>
      </c>
      <c r="M2480" s="9" t="s">
        <v>19</v>
      </c>
      <c r="N2480" s="9" t="s">
        <v>22</v>
      </c>
      <c r="O2480" s="6" t="str">
        <f>HYPERLINK("https://pbs.twimg.com/profile_images/988971255679324162/jrqiIYf__normal.jpg","View")</f>
        <v>View</v>
      </c>
      <c r="P2480" s="7"/>
    </row>
    <row r="2481" spans="1:16">
      <c r="A2481" s="3">
        <v>44384.228425925925</v>
      </c>
      <c r="B2481" s="4" t="str">
        <f>HYPERLINK("https://twitter.com/sergio_fajardo","@sergio_fajardo")</f>
        <v>@sergio_fajardo</v>
      </c>
      <c r="C2481" s="5" t="s">
        <v>16</v>
      </c>
      <c r="D2481" s="5" t="s">
        <v>2502</v>
      </c>
      <c r="E2481" s="6" t="str">
        <f>HYPERLINK("https://twitter.com/sergio_fajardo/status/1412561736281079810","1412561736281079810")</f>
        <v>1412561736281079810</v>
      </c>
      <c r="F2481" s="7" t="s">
        <v>23</v>
      </c>
      <c r="G2481" s="7">
        <v>1590219</v>
      </c>
      <c r="H2481" s="7">
        <v>426</v>
      </c>
      <c r="I2481" s="7">
        <v>4</v>
      </c>
      <c r="J2481" s="7">
        <v>17</v>
      </c>
      <c r="K2481" s="7" t="s">
        <v>18</v>
      </c>
      <c r="L2481" s="8">
        <v>39891.213356481479</v>
      </c>
      <c r="M2481" s="9" t="s">
        <v>19</v>
      </c>
      <c r="N2481" s="9" t="s">
        <v>22</v>
      </c>
      <c r="O2481" s="6" t="str">
        <f>HYPERLINK("https://pbs.twimg.com/profile_images/988971255679324162/jrqiIYf__normal.jpg","View")</f>
        <v>View</v>
      </c>
      <c r="P2481" s="7"/>
    </row>
    <row r="2482" spans="1:16">
      <c r="A2482" s="3">
        <v>44384.232870370368</v>
      </c>
      <c r="B2482" s="4" t="str">
        <f>HYPERLINK("https://twitter.com/sergio_fajardo","@sergio_fajardo")</f>
        <v>@sergio_fajardo</v>
      </c>
      <c r="C2482" s="5" t="s">
        <v>16</v>
      </c>
      <c r="D2482" s="5" t="s">
        <v>2503</v>
      </c>
      <c r="E2482" s="6" t="str">
        <f>HYPERLINK("https://twitter.com/sergio_fajardo/status/1412563344704344074","1412563344704344074")</f>
        <v>1412563344704344074</v>
      </c>
      <c r="F2482" s="7" t="s">
        <v>23</v>
      </c>
      <c r="G2482" s="7">
        <v>1590211</v>
      </c>
      <c r="H2482" s="7">
        <v>426</v>
      </c>
      <c r="I2482" s="7">
        <v>14</v>
      </c>
      <c r="J2482" s="7">
        <v>0</v>
      </c>
      <c r="K2482" s="7" t="s">
        <v>18</v>
      </c>
      <c r="L2482" s="8">
        <v>39891.213356481479</v>
      </c>
      <c r="M2482" s="9" t="s">
        <v>19</v>
      </c>
      <c r="N2482" s="9" t="s">
        <v>22</v>
      </c>
      <c r="O2482" s="6" t="str">
        <f>HYPERLINK("https://pbs.twimg.com/profile_images/988971255679324162/jrqiIYf__normal.jpg","View")</f>
        <v>View</v>
      </c>
      <c r="P2482" s="7"/>
    </row>
    <row r="2483" spans="1:16">
      <c r="A2483" s="3">
        <v>44384.236979166672</v>
      </c>
      <c r="B2483" s="4" t="str">
        <f>HYPERLINK("https://twitter.com/sergio_fajardo","@sergio_fajardo")</f>
        <v>@sergio_fajardo</v>
      </c>
      <c r="C2483" s="5" t="s">
        <v>16</v>
      </c>
      <c r="D2483" s="5" t="s">
        <v>2504</v>
      </c>
      <c r="E2483" s="6" t="str">
        <f>HYPERLINK("https://twitter.com/sergio_fajardo/status/1412564834386944002","1412564834386944002")</f>
        <v>1412564834386944002</v>
      </c>
      <c r="F2483" s="7" t="s">
        <v>23</v>
      </c>
      <c r="G2483" s="7">
        <v>1590211</v>
      </c>
      <c r="H2483" s="7">
        <v>426</v>
      </c>
      <c r="I2483" s="7">
        <v>4</v>
      </c>
      <c r="J2483" s="7">
        <v>75</v>
      </c>
      <c r="K2483" s="7" t="s">
        <v>18</v>
      </c>
      <c r="L2483" s="8">
        <v>39891.213356481479</v>
      </c>
      <c r="M2483" s="9" t="s">
        <v>19</v>
      </c>
      <c r="N2483" s="9" t="s">
        <v>22</v>
      </c>
      <c r="O2483" s="6" t="str">
        <f>HYPERLINK("https://pbs.twimg.com/profile_images/988971255679324162/jrqiIYf__normal.jpg","View")</f>
        <v>View</v>
      </c>
      <c r="P2483" s="7"/>
    </row>
    <row r="2484" spans="1:16">
      <c r="A2484" s="3">
        <v>44384.242349537039</v>
      </c>
      <c r="B2484" s="4" t="str">
        <f>HYPERLINK("https://twitter.com/sergio_fajardo","@sergio_fajardo")</f>
        <v>@sergio_fajardo</v>
      </c>
      <c r="C2484" s="5" t="s">
        <v>16</v>
      </c>
      <c r="D2484" s="5" t="s">
        <v>2505</v>
      </c>
      <c r="E2484" s="6" t="str">
        <f>HYPERLINK("https://twitter.com/sergio_fajardo/status/1412566783144366080","1412566783144366080")</f>
        <v>1412566783144366080</v>
      </c>
      <c r="F2484" s="7" t="s">
        <v>23</v>
      </c>
      <c r="G2484" s="7">
        <v>1590211</v>
      </c>
      <c r="H2484" s="7">
        <v>426</v>
      </c>
      <c r="I2484" s="7">
        <v>7</v>
      </c>
      <c r="J2484" s="7">
        <v>24</v>
      </c>
      <c r="K2484" s="7" t="s">
        <v>18</v>
      </c>
      <c r="L2484" s="8">
        <v>39891.213356481479</v>
      </c>
      <c r="M2484" s="9" t="s">
        <v>19</v>
      </c>
      <c r="N2484" s="9" t="s">
        <v>22</v>
      </c>
      <c r="O2484" s="6" t="str">
        <f>HYPERLINK("https://pbs.twimg.com/profile_images/988971255679324162/jrqiIYf__normal.jpg","View")</f>
        <v>View</v>
      </c>
      <c r="P2484" s="7"/>
    </row>
    <row r="2485" spans="1:16">
      <c r="A2485" s="3">
        <v>44384.243032407408</v>
      </c>
      <c r="B2485" s="4" t="str">
        <f>HYPERLINK("https://twitter.com/sergio_fajardo","@sergio_fajardo")</f>
        <v>@sergio_fajardo</v>
      </c>
      <c r="C2485" s="5" t="s">
        <v>16</v>
      </c>
      <c r="D2485" s="5" t="s">
        <v>2506</v>
      </c>
      <c r="E2485" s="6" t="str">
        <f>HYPERLINK("https://twitter.com/sergio_fajardo/status/1412567026657288197","1412567026657288197")</f>
        <v>1412567026657288197</v>
      </c>
      <c r="F2485" s="7" t="s">
        <v>23</v>
      </c>
      <c r="G2485" s="7">
        <v>1590211</v>
      </c>
      <c r="H2485" s="7">
        <v>426</v>
      </c>
      <c r="I2485" s="7">
        <v>7</v>
      </c>
      <c r="J2485" s="7">
        <v>0</v>
      </c>
      <c r="K2485" s="7" t="s">
        <v>18</v>
      </c>
      <c r="L2485" s="8">
        <v>39891.213356481479</v>
      </c>
      <c r="M2485" s="9" t="s">
        <v>19</v>
      </c>
      <c r="N2485" s="9" t="s">
        <v>22</v>
      </c>
      <c r="O2485" s="6" t="str">
        <f>HYPERLINK("https://pbs.twimg.com/profile_images/988971255679324162/jrqiIYf__normal.jpg","View")</f>
        <v>View</v>
      </c>
      <c r="P2485" s="7"/>
    </row>
    <row r="2486" spans="1:16">
      <c r="A2486" s="3">
        <v>44384.246111111112</v>
      </c>
      <c r="B2486" s="4" t="str">
        <f>HYPERLINK("https://twitter.com/sergio_fajardo","@sergio_fajardo")</f>
        <v>@sergio_fajardo</v>
      </c>
      <c r="C2486" s="5" t="s">
        <v>16</v>
      </c>
      <c r="D2486" s="5" t="s">
        <v>2507</v>
      </c>
      <c r="E2486" s="6" t="str">
        <f>HYPERLINK("https://twitter.com/sergio_fajardo/status/1412568142463836160","1412568142463836160")</f>
        <v>1412568142463836160</v>
      </c>
      <c r="F2486" s="7" t="s">
        <v>23</v>
      </c>
      <c r="G2486" s="7">
        <v>1590211</v>
      </c>
      <c r="H2486" s="7">
        <v>426</v>
      </c>
      <c r="I2486" s="7">
        <v>3</v>
      </c>
      <c r="J2486" s="7">
        <v>12</v>
      </c>
      <c r="K2486" s="7" t="s">
        <v>18</v>
      </c>
      <c r="L2486" s="8">
        <v>39891.213356481479</v>
      </c>
      <c r="M2486" s="9" t="s">
        <v>19</v>
      </c>
      <c r="N2486" s="9" t="s">
        <v>22</v>
      </c>
      <c r="O2486" s="6" t="str">
        <f>HYPERLINK("https://pbs.twimg.com/profile_images/988971255679324162/jrqiIYf__normal.jpg","View")</f>
        <v>View</v>
      </c>
      <c r="P2486" s="7"/>
    </row>
    <row r="2487" spans="1:16">
      <c r="A2487" s="3">
        <v>44384.247141203705</v>
      </c>
      <c r="B2487" s="4" t="str">
        <f>HYPERLINK("https://twitter.com/sergio_fajardo","@sergio_fajardo")</f>
        <v>@sergio_fajardo</v>
      </c>
      <c r="C2487" s="5" t="s">
        <v>16</v>
      </c>
      <c r="D2487" s="5" t="s">
        <v>2508</v>
      </c>
      <c r="E2487" s="6" t="str">
        <f>HYPERLINK("https://twitter.com/sergio_fajardo/status/1412568517338087425","1412568517338087425")</f>
        <v>1412568517338087425</v>
      </c>
      <c r="F2487" s="7" t="s">
        <v>23</v>
      </c>
      <c r="G2487" s="7">
        <v>1590211</v>
      </c>
      <c r="H2487" s="7">
        <v>426</v>
      </c>
      <c r="I2487" s="7">
        <v>8</v>
      </c>
      <c r="J2487" s="7">
        <v>0</v>
      </c>
      <c r="K2487" s="7" t="s">
        <v>18</v>
      </c>
      <c r="L2487" s="8">
        <v>39891.213356481479</v>
      </c>
      <c r="M2487" s="9" t="s">
        <v>19</v>
      </c>
      <c r="N2487" s="9" t="s">
        <v>22</v>
      </c>
      <c r="O2487" s="6" t="str">
        <f>HYPERLINK("https://pbs.twimg.com/profile_images/988971255679324162/jrqiIYf__normal.jpg","View")</f>
        <v>View</v>
      </c>
      <c r="P2487" s="7"/>
    </row>
    <row r="2488" spans="1:16">
      <c r="A2488" s="3">
        <v>44384.248530092591</v>
      </c>
      <c r="B2488" s="4" t="str">
        <f>HYPERLINK("https://twitter.com/sergio_fajardo","@sergio_fajardo")</f>
        <v>@sergio_fajardo</v>
      </c>
      <c r="C2488" s="5" t="s">
        <v>16</v>
      </c>
      <c r="D2488" s="5" t="s">
        <v>2509</v>
      </c>
      <c r="E2488" s="6" t="str">
        <f>HYPERLINK("https://twitter.com/sergio_fajardo/status/1412569020776206337","1412569020776206337")</f>
        <v>1412569020776206337</v>
      </c>
      <c r="F2488" s="7" t="s">
        <v>23</v>
      </c>
      <c r="G2488" s="7">
        <v>1590211</v>
      </c>
      <c r="H2488" s="7">
        <v>426</v>
      </c>
      <c r="I2488" s="7">
        <v>5</v>
      </c>
      <c r="J2488" s="7">
        <v>0</v>
      </c>
      <c r="K2488" s="7" t="s">
        <v>18</v>
      </c>
      <c r="L2488" s="8">
        <v>39891.213356481479</v>
      </c>
      <c r="M2488" s="9" t="s">
        <v>19</v>
      </c>
      <c r="N2488" s="9" t="s">
        <v>22</v>
      </c>
      <c r="O2488" s="6" t="str">
        <f>HYPERLINK("https://pbs.twimg.com/profile_images/988971255679324162/jrqiIYf__normal.jpg","View")</f>
        <v>View</v>
      </c>
      <c r="P2488" s="7"/>
    </row>
    <row r="2489" spans="1:16">
      <c r="A2489" s="3">
        <v>44384.254224537042</v>
      </c>
      <c r="B2489" s="4" t="str">
        <f>HYPERLINK("https://twitter.com/sergio_fajardo","@sergio_fajardo")</f>
        <v>@sergio_fajardo</v>
      </c>
      <c r="C2489" s="5" t="s">
        <v>16</v>
      </c>
      <c r="D2489" s="5" t="s">
        <v>2510</v>
      </c>
      <c r="E2489" s="6" t="str">
        <f>HYPERLINK("https://twitter.com/sergio_fajardo/status/1412571084231151619","1412571084231151619")</f>
        <v>1412571084231151619</v>
      </c>
      <c r="F2489" s="7" t="s">
        <v>23</v>
      </c>
      <c r="G2489" s="7">
        <v>1590212</v>
      </c>
      <c r="H2489" s="7">
        <v>427</v>
      </c>
      <c r="I2489" s="7">
        <v>51</v>
      </c>
      <c r="J2489" s="7">
        <v>517</v>
      </c>
      <c r="K2489" s="7" t="s">
        <v>18</v>
      </c>
      <c r="L2489" s="8">
        <v>39891.213356481479</v>
      </c>
      <c r="M2489" s="9" t="s">
        <v>19</v>
      </c>
      <c r="N2489" s="9" t="s">
        <v>22</v>
      </c>
      <c r="O2489" s="6" t="str">
        <f>HYPERLINK("https://pbs.twimg.com/profile_images/988971255679324162/jrqiIYf__normal.jpg","View")</f>
        <v>View</v>
      </c>
      <c r="P2489" s="7"/>
    </row>
    <row r="2490" spans="1:16">
      <c r="A2490" s="3">
        <v>44384.258310185185</v>
      </c>
      <c r="B2490" s="4" t="str">
        <f>HYPERLINK("https://twitter.com/sergio_fajardo","@sergio_fajardo")</f>
        <v>@sergio_fajardo</v>
      </c>
      <c r="C2490" s="5" t="s">
        <v>16</v>
      </c>
      <c r="D2490" s="5" t="s">
        <v>2511</v>
      </c>
      <c r="E2490" s="6" t="str">
        <f>HYPERLINK("https://twitter.com/sergio_fajardo/status/1412572563033800705","1412572563033800705")</f>
        <v>1412572563033800705</v>
      </c>
      <c r="F2490" s="7" t="s">
        <v>23</v>
      </c>
      <c r="G2490" s="7">
        <v>1590212</v>
      </c>
      <c r="H2490" s="7">
        <v>427</v>
      </c>
      <c r="I2490" s="7">
        <v>3</v>
      </c>
      <c r="J2490" s="7">
        <v>0</v>
      </c>
      <c r="K2490" s="7" t="s">
        <v>18</v>
      </c>
      <c r="L2490" s="8">
        <v>39891.213356481479</v>
      </c>
      <c r="M2490" s="9" t="s">
        <v>19</v>
      </c>
      <c r="N2490" s="9" t="s">
        <v>22</v>
      </c>
      <c r="O2490" s="6" t="str">
        <f>HYPERLINK("https://pbs.twimg.com/profile_images/988971255679324162/jrqiIYf__normal.jpg","View")</f>
        <v>View</v>
      </c>
      <c r="P2490" s="7"/>
    </row>
    <row r="2491" spans="1:16">
      <c r="A2491" s="3">
        <v>44384.269143518519</v>
      </c>
      <c r="B2491" s="4" t="str">
        <f>HYPERLINK("https://twitter.com/sergio_fajardo","@sergio_fajardo")</f>
        <v>@sergio_fajardo</v>
      </c>
      <c r="C2491" s="5" t="s">
        <v>16</v>
      </c>
      <c r="D2491" s="5" t="s">
        <v>2512</v>
      </c>
      <c r="E2491" s="6" t="str">
        <f>HYPERLINK("https://twitter.com/sergio_fajardo/status/1412576490479308801","1412576490479308801")</f>
        <v>1412576490479308801</v>
      </c>
      <c r="F2491" s="7" t="s">
        <v>23</v>
      </c>
      <c r="G2491" s="7">
        <v>1590212</v>
      </c>
      <c r="H2491" s="7">
        <v>427</v>
      </c>
      <c r="I2491" s="7">
        <v>6</v>
      </c>
      <c r="J2491" s="7">
        <v>26</v>
      </c>
      <c r="K2491" s="7" t="s">
        <v>18</v>
      </c>
      <c r="L2491" s="8">
        <v>39891.213356481479</v>
      </c>
      <c r="M2491" s="9" t="s">
        <v>19</v>
      </c>
      <c r="N2491" s="9" t="s">
        <v>22</v>
      </c>
      <c r="O2491" s="6" t="str">
        <f>HYPERLINK("https://pbs.twimg.com/profile_images/988971255679324162/jrqiIYf__normal.jpg","View")</f>
        <v>View</v>
      </c>
      <c r="P2491" s="7"/>
    </row>
    <row r="2492" spans="1:16">
      <c r="A2492" s="3">
        <v>44384.764525462961</v>
      </c>
      <c r="B2492" s="4" t="str">
        <f>HYPERLINK("https://twitter.com/sergio_fajardo","@sergio_fajardo")</f>
        <v>@sergio_fajardo</v>
      </c>
      <c r="C2492" s="5" t="s">
        <v>16</v>
      </c>
      <c r="D2492" s="5" t="s">
        <v>2513</v>
      </c>
      <c r="E2492" s="6" t="str">
        <f>HYPERLINK("https://twitter.com/sergio_fajardo/status/1412756013204262916","1412756013204262916")</f>
        <v>1412756013204262916</v>
      </c>
      <c r="F2492" s="7" t="s">
        <v>17</v>
      </c>
      <c r="G2492" s="7">
        <v>1590219</v>
      </c>
      <c r="H2492" s="7">
        <v>427</v>
      </c>
      <c r="I2492" s="7">
        <v>7</v>
      </c>
      <c r="J2492" s="7">
        <v>22</v>
      </c>
      <c r="K2492" s="7" t="s">
        <v>18</v>
      </c>
      <c r="L2492" s="8">
        <v>39891.213356481479</v>
      </c>
      <c r="M2492" s="9" t="s">
        <v>19</v>
      </c>
      <c r="N2492" s="9" t="s">
        <v>22</v>
      </c>
      <c r="O2492" s="6" t="str">
        <f>HYPERLINK("https://pbs.twimg.com/profile_images/988971255679324162/jrqiIYf__normal.jpg","View")</f>
        <v>View</v>
      </c>
      <c r="P2492" s="7"/>
    </row>
    <row r="2493" spans="1:16">
      <c r="A2493" s="3">
        <v>44384.774594907409</v>
      </c>
      <c r="B2493" s="4" t="str">
        <f>HYPERLINK("https://twitter.com/sergio_fajardo","@sergio_fajardo")</f>
        <v>@sergio_fajardo</v>
      </c>
      <c r="C2493" s="5" t="s">
        <v>16</v>
      </c>
      <c r="D2493" s="5" t="s">
        <v>2514</v>
      </c>
      <c r="E2493" s="6" t="str">
        <f>HYPERLINK("https://twitter.com/sergio_fajardo/status/1412759662299127810","1412759662299127810")</f>
        <v>1412759662299127810</v>
      </c>
      <c r="F2493" s="7" t="s">
        <v>20</v>
      </c>
      <c r="G2493" s="7">
        <v>1590218</v>
      </c>
      <c r="H2493" s="7">
        <v>427</v>
      </c>
      <c r="I2493" s="7">
        <v>17</v>
      </c>
      <c r="J2493" s="7">
        <v>35</v>
      </c>
      <c r="K2493" s="7" t="s">
        <v>18</v>
      </c>
      <c r="L2493" s="8">
        <v>39891.213356481479</v>
      </c>
      <c r="M2493" s="9" t="s">
        <v>19</v>
      </c>
      <c r="N2493" s="9" t="s">
        <v>22</v>
      </c>
      <c r="O2493" s="6" t="str">
        <f>HYPERLINK("https://pbs.twimg.com/profile_images/988971255679324162/jrqiIYf__normal.jpg","View")</f>
        <v>View</v>
      </c>
      <c r="P2493" s="7"/>
    </row>
    <row r="2494" spans="1:16">
      <c r="A2494" s="3">
        <v>44384.778807870374</v>
      </c>
      <c r="B2494" s="4" t="str">
        <f>HYPERLINK("https://twitter.com/sergio_fajardo","@sergio_fajardo")</f>
        <v>@sergio_fajardo</v>
      </c>
      <c r="C2494" s="5" t="s">
        <v>16</v>
      </c>
      <c r="D2494" s="5" t="s">
        <v>2515</v>
      </c>
      <c r="E2494" s="6" t="str">
        <f>HYPERLINK("https://twitter.com/sergio_fajardo/status/1412761185158676481","1412761185158676481")</f>
        <v>1412761185158676481</v>
      </c>
      <c r="F2494" s="7" t="s">
        <v>20</v>
      </c>
      <c r="G2494" s="7">
        <v>1590218</v>
      </c>
      <c r="H2494" s="7">
        <v>427</v>
      </c>
      <c r="I2494" s="7">
        <v>1</v>
      </c>
      <c r="J2494" s="7">
        <v>5</v>
      </c>
      <c r="K2494" s="7" t="s">
        <v>18</v>
      </c>
      <c r="L2494" s="8">
        <v>39891.213356481479</v>
      </c>
      <c r="M2494" s="9" t="s">
        <v>19</v>
      </c>
      <c r="N2494" s="9" t="s">
        <v>22</v>
      </c>
      <c r="O2494" s="6" t="str">
        <f>HYPERLINK("https://pbs.twimg.com/profile_images/988971255679324162/jrqiIYf__normal.jpg","View")</f>
        <v>View</v>
      </c>
      <c r="P2494" s="7"/>
    </row>
    <row r="2495" spans="1:16">
      <c r="A2495" s="3">
        <v>44384.806956018518</v>
      </c>
      <c r="B2495" s="4" t="str">
        <f>HYPERLINK("https://twitter.com/sergio_fajardo","@sergio_fajardo")</f>
        <v>@sergio_fajardo</v>
      </c>
      <c r="C2495" s="5" t="s">
        <v>16</v>
      </c>
      <c r="D2495" s="5" t="s">
        <v>2516</v>
      </c>
      <c r="E2495" s="6" t="str">
        <f>HYPERLINK("https://twitter.com/sergio_fajardo/status/1412771386326622219","1412771386326622219")</f>
        <v>1412771386326622219</v>
      </c>
      <c r="F2495" s="7" t="s">
        <v>20</v>
      </c>
      <c r="G2495" s="7">
        <v>1590223</v>
      </c>
      <c r="H2495" s="7">
        <v>427</v>
      </c>
      <c r="I2495" s="7">
        <v>13</v>
      </c>
      <c r="J2495" s="7">
        <v>0</v>
      </c>
      <c r="K2495" s="7" t="s">
        <v>18</v>
      </c>
      <c r="L2495" s="8">
        <v>39891.213356481479</v>
      </c>
      <c r="M2495" s="9" t="s">
        <v>19</v>
      </c>
      <c r="N2495" s="9" t="s">
        <v>22</v>
      </c>
      <c r="O2495" s="6" t="str">
        <f>HYPERLINK("https://pbs.twimg.com/profile_images/988971255679324162/jrqiIYf__normal.jpg","View")</f>
        <v>View</v>
      </c>
      <c r="P2495" s="7"/>
    </row>
    <row r="2496" spans="1:16">
      <c r="A2496" s="3">
        <v>44384.829201388886</v>
      </c>
      <c r="B2496" s="4" t="str">
        <f>HYPERLINK("https://twitter.com/sergio_fajardo","@sergio_fajardo")</f>
        <v>@sergio_fajardo</v>
      </c>
      <c r="C2496" s="5" t="s">
        <v>16</v>
      </c>
      <c r="D2496" s="5" t="s">
        <v>2517</v>
      </c>
      <c r="E2496" s="6" t="str">
        <f>HYPERLINK("https://twitter.com/sergio_fajardo/status/1412779447103676416","1412779447103676416")</f>
        <v>1412779447103676416</v>
      </c>
      <c r="F2496" s="7" t="s">
        <v>20</v>
      </c>
      <c r="G2496" s="7">
        <v>1590229</v>
      </c>
      <c r="H2496" s="7">
        <v>427</v>
      </c>
      <c r="I2496" s="7">
        <v>12</v>
      </c>
      <c r="J2496" s="7">
        <v>37</v>
      </c>
      <c r="K2496" s="7" t="s">
        <v>18</v>
      </c>
      <c r="L2496" s="8">
        <v>39891.213356481479</v>
      </c>
      <c r="M2496" s="9" t="s">
        <v>19</v>
      </c>
      <c r="N2496" s="9" t="s">
        <v>22</v>
      </c>
      <c r="O2496" s="6" t="str">
        <f>HYPERLINK("https://pbs.twimg.com/profile_images/988971255679324162/jrqiIYf__normal.jpg","View")</f>
        <v>View</v>
      </c>
      <c r="P2496" s="7"/>
    </row>
    <row r="2497" spans="1:16">
      <c r="A2497" s="3">
        <v>44384.832291666666</v>
      </c>
      <c r="B2497" s="4" t="str">
        <f>HYPERLINK("https://twitter.com/sergio_fajardo","@sergio_fajardo")</f>
        <v>@sergio_fajardo</v>
      </c>
      <c r="C2497" s="5" t="s">
        <v>16</v>
      </c>
      <c r="D2497" s="5" t="s">
        <v>2518</v>
      </c>
      <c r="E2497" s="6" t="str">
        <f>HYPERLINK("https://twitter.com/sergio_fajardo/status/1412780570392793088","1412780570392793088")</f>
        <v>1412780570392793088</v>
      </c>
      <c r="F2497" s="7" t="s">
        <v>20</v>
      </c>
      <c r="G2497" s="7">
        <v>1590229</v>
      </c>
      <c r="H2497" s="7">
        <v>427</v>
      </c>
      <c r="I2497" s="7">
        <v>0</v>
      </c>
      <c r="J2497" s="7">
        <v>1</v>
      </c>
      <c r="K2497" s="7" t="s">
        <v>18</v>
      </c>
      <c r="L2497" s="8">
        <v>39891.213356481479</v>
      </c>
      <c r="M2497" s="9" t="s">
        <v>19</v>
      </c>
      <c r="N2497" s="9" t="s">
        <v>22</v>
      </c>
      <c r="O2497" s="6" t="str">
        <f>HYPERLINK("https://pbs.twimg.com/profile_images/988971255679324162/jrqiIYf__normal.jpg","View")</f>
        <v>View</v>
      </c>
      <c r="P2497" s="7"/>
    </row>
    <row r="2498" spans="1:16">
      <c r="A2498" s="3">
        <v>44384.927141203705</v>
      </c>
      <c r="B2498" s="4" t="str">
        <f>HYPERLINK("https://twitter.com/sergio_fajardo","@sergio_fajardo")</f>
        <v>@sergio_fajardo</v>
      </c>
      <c r="C2498" s="5" t="s">
        <v>16</v>
      </c>
      <c r="D2498" s="5" t="s">
        <v>2519</v>
      </c>
      <c r="E2498" s="6" t="str">
        <f>HYPERLINK("https://twitter.com/sergio_fajardo/status/1412814943091634177","1412814943091634177")</f>
        <v>1412814943091634177</v>
      </c>
      <c r="F2498" s="7" t="s">
        <v>20</v>
      </c>
      <c r="G2498" s="7">
        <v>1590238</v>
      </c>
      <c r="H2498" s="7">
        <v>429</v>
      </c>
      <c r="I2498" s="7">
        <v>3</v>
      </c>
      <c r="J2498" s="7">
        <v>10</v>
      </c>
      <c r="K2498" s="7" t="s">
        <v>18</v>
      </c>
      <c r="L2498" s="8">
        <v>39891.213356481479</v>
      </c>
      <c r="M2498" s="9" t="s">
        <v>19</v>
      </c>
      <c r="N2498" s="9" t="s">
        <v>22</v>
      </c>
      <c r="O2498" s="6" t="str">
        <f>HYPERLINK("https://pbs.twimg.com/profile_images/988971255679324162/jrqiIYf__normal.jpg","View")</f>
        <v>View</v>
      </c>
      <c r="P2498" s="7"/>
    </row>
    <row r="2499" spans="1:16">
      <c r="A2499" s="3">
        <v>44384.97</v>
      </c>
      <c r="B2499" s="4" t="str">
        <f>HYPERLINK("https://twitter.com/sergio_fajardo","@sergio_fajardo")</f>
        <v>@sergio_fajardo</v>
      </c>
      <c r="C2499" s="5" t="s">
        <v>16</v>
      </c>
      <c r="D2499" s="5" t="s">
        <v>2520</v>
      </c>
      <c r="E2499" s="6" t="str">
        <f>HYPERLINK("https://twitter.com/sergio_fajardo/status/1412830472367976462","1412830472367976462")</f>
        <v>1412830472367976462</v>
      </c>
      <c r="F2499" s="7" t="s">
        <v>20</v>
      </c>
      <c r="G2499" s="7">
        <v>1590232</v>
      </c>
      <c r="H2499" s="7">
        <v>429</v>
      </c>
      <c r="I2499" s="7">
        <v>3</v>
      </c>
      <c r="J2499" s="7">
        <v>0</v>
      </c>
      <c r="K2499" s="7" t="s">
        <v>18</v>
      </c>
      <c r="L2499" s="8">
        <v>39891.213356481479</v>
      </c>
      <c r="M2499" s="9" t="s">
        <v>19</v>
      </c>
      <c r="N2499" s="9" t="s">
        <v>22</v>
      </c>
      <c r="O2499" s="6" t="str">
        <f>HYPERLINK("https://pbs.twimg.com/profile_images/988971255679324162/jrqiIYf__normal.jpg","View")</f>
        <v>View</v>
      </c>
      <c r="P2499" s="7"/>
    </row>
    <row r="2500" spans="1:16">
      <c r="A2500" s="3">
        <v>44384.98133101852</v>
      </c>
      <c r="B2500" s="4" t="str">
        <f>HYPERLINK("https://twitter.com/sergio_fajardo","@sergio_fajardo")</f>
        <v>@sergio_fajardo</v>
      </c>
      <c r="C2500" s="5" t="s">
        <v>16</v>
      </c>
      <c r="D2500" s="5" t="s">
        <v>2521</v>
      </c>
      <c r="E2500" s="6" t="str">
        <f>HYPERLINK("https://twitter.com/sergio_fajardo/status/1412834580445401095","1412834580445401095")</f>
        <v>1412834580445401095</v>
      </c>
      <c r="F2500" s="7" t="s">
        <v>17</v>
      </c>
      <c r="G2500" s="7">
        <v>1590236</v>
      </c>
      <c r="H2500" s="7">
        <v>429</v>
      </c>
      <c r="I2500" s="7">
        <v>3</v>
      </c>
      <c r="J2500" s="7">
        <v>30</v>
      </c>
      <c r="K2500" s="7" t="s">
        <v>18</v>
      </c>
      <c r="L2500" s="8">
        <v>39891.213356481479</v>
      </c>
      <c r="M2500" s="9" t="s">
        <v>19</v>
      </c>
      <c r="N2500" s="9" t="s">
        <v>22</v>
      </c>
      <c r="O2500" s="6" t="str">
        <f>HYPERLINK("https://pbs.twimg.com/profile_images/988971255679324162/jrqiIYf__normal.jpg","View")</f>
        <v>View</v>
      </c>
      <c r="P2500" s="7"/>
    </row>
    <row r="2501" spans="1:16">
      <c r="A2501" s="3">
        <v>44385.002349537041</v>
      </c>
      <c r="B2501" s="4" t="str">
        <f>HYPERLINK("https://twitter.com/sergio_fajardo","@sergio_fajardo")</f>
        <v>@sergio_fajardo</v>
      </c>
      <c r="C2501" s="5" t="s">
        <v>16</v>
      </c>
      <c r="D2501" s="5" t="s">
        <v>2522</v>
      </c>
      <c r="E2501" s="6" t="str">
        <f>HYPERLINK("https://twitter.com/sergio_fajardo/status/1412842194122293254","1412842194122293254")</f>
        <v>1412842194122293254</v>
      </c>
      <c r="F2501" s="7" t="s">
        <v>17</v>
      </c>
      <c r="G2501" s="7">
        <v>1590236</v>
      </c>
      <c r="H2501" s="7">
        <v>429</v>
      </c>
      <c r="I2501" s="7">
        <v>3</v>
      </c>
      <c r="J2501" s="7">
        <v>22</v>
      </c>
      <c r="K2501" s="7" t="s">
        <v>18</v>
      </c>
      <c r="L2501" s="8">
        <v>39891.213356481479</v>
      </c>
      <c r="M2501" s="9" t="s">
        <v>19</v>
      </c>
      <c r="N2501" s="9" t="s">
        <v>22</v>
      </c>
      <c r="O2501" s="6" t="str">
        <f>HYPERLINK("https://pbs.twimg.com/profile_images/988971255679324162/jrqiIYf__normal.jpg","View")</f>
        <v>View</v>
      </c>
      <c r="P2501" s="7"/>
    </row>
    <row r="2502" spans="1:16">
      <c r="A2502" s="3">
        <v>44385.06967592593</v>
      </c>
      <c r="B2502" s="4" t="str">
        <f>HYPERLINK("https://twitter.com/sergio_fajardo","@sergio_fajardo")</f>
        <v>@sergio_fajardo</v>
      </c>
      <c r="C2502" s="5" t="s">
        <v>16</v>
      </c>
      <c r="D2502" s="5" t="s">
        <v>2523</v>
      </c>
      <c r="E2502" s="6" t="str">
        <f>HYPERLINK("https://twitter.com/sergio_fajardo/status/1412866593554632707","1412866593554632707")</f>
        <v>1412866593554632707</v>
      </c>
      <c r="F2502" s="7" t="s">
        <v>20</v>
      </c>
      <c r="G2502" s="7">
        <v>1590246</v>
      </c>
      <c r="H2502" s="7">
        <v>429</v>
      </c>
      <c r="I2502" s="7">
        <v>21</v>
      </c>
      <c r="J2502" s="7">
        <v>59</v>
      </c>
      <c r="K2502" s="7" t="s">
        <v>18</v>
      </c>
      <c r="L2502" s="8">
        <v>39891.213356481479</v>
      </c>
      <c r="M2502" s="9" t="s">
        <v>19</v>
      </c>
      <c r="N2502" s="9" t="s">
        <v>22</v>
      </c>
      <c r="O2502" s="6" t="str">
        <f>HYPERLINK("https://pbs.twimg.com/profile_images/988971255679324162/jrqiIYf__normal.jpg","View")</f>
        <v>View</v>
      </c>
      <c r="P2502" s="7"/>
    </row>
    <row r="2503" spans="1:16">
      <c r="A2503" s="3">
        <v>44385.077303240745</v>
      </c>
      <c r="B2503" s="4" t="str">
        <f>HYPERLINK("https://twitter.com/sergio_fajardo","@sergio_fajardo")</f>
        <v>@sergio_fajardo</v>
      </c>
      <c r="C2503" s="5" t="s">
        <v>16</v>
      </c>
      <c r="D2503" s="5" t="s">
        <v>2524</v>
      </c>
      <c r="E2503" s="6" t="str">
        <f>HYPERLINK("https://twitter.com/sergio_fajardo/status/1412869356317515777","1412869356317515777")</f>
        <v>1412869356317515777</v>
      </c>
      <c r="F2503" s="7" t="s">
        <v>20</v>
      </c>
      <c r="G2503" s="7">
        <v>1590246</v>
      </c>
      <c r="H2503" s="7">
        <v>429</v>
      </c>
      <c r="I2503" s="7">
        <v>17</v>
      </c>
      <c r="J2503" s="7">
        <v>148</v>
      </c>
      <c r="K2503" s="7" t="s">
        <v>18</v>
      </c>
      <c r="L2503" s="8">
        <v>39891.213356481479</v>
      </c>
      <c r="M2503" s="9" t="s">
        <v>19</v>
      </c>
      <c r="N2503" s="9" t="s">
        <v>22</v>
      </c>
      <c r="O2503" s="6" t="str">
        <f>HYPERLINK("https://pbs.twimg.com/profile_images/988971255679324162/jrqiIYf__normal.jpg","View")</f>
        <v>View</v>
      </c>
      <c r="P2503" s="7"/>
    </row>
    <row r="2504" spans="1:16">
      <c r="A2504" s="3">
        <v>44385.132395833338</v>
      </c>
      <c r="B2504" s="4" t="str">
        <f>HYPERLINK("https://twitter.com/sergio_fajardo","@sergio_fajardo")</f>
        <v>@sergio_fajardo</v>
      </c>
      <c r="C2504" s="5" t="s">
        <v>16</v>
      </c>
      <c r="D2504" s="5" t="s">
        <v>2525</v>
      </c>
      <c r="E2504" s="6" t="str">
        <f>HYPERLINK("https://twitter.com/sergio_fajardo/status/1412889321984696325","1412889321984696325")</f>
        <v>1412889321984696325</v>
      </c>
      <c r="F2504" s="7" t="s">
        <v>20</v>
      </c>
      <c r="G2504" s="7">
        <v>1590253</v>
      </c>
      <c r="H2504" s="7">
        <v>429</v>
      </c>
      <c r="I2504" s="7">
        <v>3</v>
      </c>
      <c r="J2504" s="7">
        <v>47</v>
      </c>
      <c r="K2504" s="7" t="s">
        <v>18</v>
      </c>
      <c r="L2504" s="8">
        <v>39891.213356481479</v>
      </c>
      <c r="M2504" s="9" t="s">
        <v>19</v>
      </c>
      <c r="N2504" s="9" t="s">
        <v>22</v>
      </c>
      <c r="O2504" s="6" t="str">
        <f>HYPERLINK("https://pbs.twimg.com/profile_images/988971255679324162/jrqiIYf__normal.jpg","View")</f>
        <v>View</v>
      </c>
      <c r="P2504" s="7"/>
    </row>
    <row r="2505" spans="1:16">
      <c r="A2505" s="3">
        <v>44385.20517361111</v>
      </c>
      <c r="B2505" s="4" t="str">
        <f>HYPERLINK("https://twitter.com/sergio_fajardo","@sergio_fajardo")</f>
        <v>@sergio_fajardo</v>
      </c>
      <c r="C2505" s="5" t="s">
        <v>16</v>
      </c>
      <c r="D2505" s="5" t="s">
        <v>2526</v>
      </c>
      <c r="E2505" s="6" t="str">
        <f>HYPERLINK("https://twitter.com/sergio_fajardo/status/1412915698234499073","1412915698234499073")</f>
        <v>1412915698234499073</v>
      </c>
      <c r="F2505" s="7" t="s">
        <v>20</v>
      </c>
      <c r="G2505" s="7">
        <v>1590185</v>
      </c>
      <c r="H2505" s="7">
        <v>430</v>
      </c>
      <c r="I2505" s="7">
        <v>4</v>
      </c>
      <c r="J2505" s="7">
        <v>27</v>
      </c>
      <c r="K2505" s="7" t="s">
        <v>18</v>
      </c>
      <c r="L2505" s="8">
        <v>39891.213356481479</v>
      </c>
      <c r="M2505" s="9" t="s">
        <v>19</v>
      </c>
      <c r="N2505" s="9" t="s">
        <v>22</v>
      </c>
      <c r="O2505" s="6" t="str">
        <f>HYPERLINK("https://pbs.twimg.com/profile_images/988971255679324162/jrqiIYf__normal.jpg","View")</f>
        <v>View</v>
      </c>
      <c r="P2505" s="7"/>
    </row>
    <row r="2506" spans="1:16">
      <c r="A2506" s="3">
        <v>44385.205601851849</v>
      </c>
      <c r="B2506" s="4" t="str">
        <f>HYPERLINK("https://twitter.com/sergio_fajardo","@sergio_fajardo")</f>
        <v>@sergio_fajardo</v>
      </c>
      <c r="C2506" s="5" t="s">
        <v>16</v>
      </c>
      <c r="D2506" s="5" t="s">
        <v>2527</v>
      </c>
      <c r="E2506" s="6" t="str">
        <f>HYPERLINK("https://twitter.com/sergio_fajardo/status/1412915850378625025","1412915850378625025")</f>
        <v>1412915850378625025</v>
      </c>
      <c r="F2506" s="7" t="s">
        <v>20</v>
      </c>
      <c r="G2506" s="7">
        <v>1590185</v>
      </c>
      <c r="H2506" s="7">
        <v>430</v>
      </c>
      <c r="I2506" s="7">
        <v>1</v>
      </c>
      <c r="J2506" s="7">
        <v>17</v>
      </c>
      <c r="K2506" s="7" t="s">
        <v>18</v>
      </c>
      <c r="L2506" s="8">
        <v>39891.213356481479</v>
      </c>
      <c r="M2506" s="9" t="s">
        <v>19</v>
      </c>
      <c r="N2506" s="9" t="s">
        <v>22</v>
      </c>
      <c r="O2506" s="6" t="str">
        <f>HYPERLINK("https://pbs.twimg.com/profile_images/988971255679324162/jrqiIYf__normal.jpg","View")</f>
        <v>View</v>
      </c>
      <c r="P2506" s="7"/>
    </row>
    <row r="2507" spans="1:16">
      <c r="A2507" s="3">
        <v>44385.229733796295</v>
      </c>
      <c r="B2507" s="4" t="str">
        <f>HYPERLINK("https://twitter.com/sergio_fajardo","@sergio_fajardo")</f>
        <v>@sergio_fajardo</v>
      </c>
      <c r="C2507" s="5" t="s">
        <v>16</v>
      </c>
      <c r="D2507" s="5" t="s">
        <v>2528</v>
      </c>
      <c r="E2507" s="6" t="str">
        <f>HYPERLINK("https://twitter.com/sergio_fajardo/status/1412924596643303424","1412924596643303424")</f>
        <v>1412924596643303424</v>
      </c>
      <c r="F2507" s="7" t="s">
        <v>17</v>
      </c>
      <c r="G2507" s="7">
        <v>1590256</v>
      </c>
      <c r="H2507" s="7">
        <v>430</v>
      </c>
      <c r="I2507" s="7">
        <v>2</v>
      </c>
      <c r="J2507" s="7">
        <v>11</v>
      </c>
      <c r="K2507" s="7" t="s">
        <v>18</v>
      </c>
      <c r="L2507" s="8">
        <v>39891.213356481479</v>
      </c>
      <c r="M2507" s="9" t="s">
        <v>19</v>
      </c>
      <c r="N2507" s="9" t="s">
        <v>22</v>
      </c>
      <c r="O2507" s="6" t="str">
        <f>HYPERLINK("https://pbs.twimg.com/profile_images/988971255679324162/jrqiIYf__normal.jpg","View")</f>
        <v>View</v>
      </c>
      <c r="P2507" s="7"/>
    </row>
    <row r="2508" spans="1:16">
      <c r="A2508" s="3">
        <v>44385.242777777778</v>
      </c>
      <c r="B2508" s="4" t="str">
        <f>HYPERLINK("https://twitter.com/sergio_fajardo","@sergio_fajardo")</f>
        <v>@sergio_fajardo</v>
      </c>
      <c r="C2508" s="5" t="s">
        <v>16</v>
      </c>
      <c r="D2508" s="5" t="s">
        <v>2529</v>
      </c>
      <c r="E2508" s="6" t="str">
        <f>HYPERLINK("https://twitter.com/sergio_fajardo/status/1412929322529271812","1412929322529271812")</f>
        <v>1412929322529271812</v>
      </c>
      <c r="F2508" s="7" t="s">
        <v>17</v>
      </c>
      <c r="G2508" s="7">
        <v>1590262</v>
      </c>
      <c r="H2508" s="7">
        <v>430</v>
      </c>
      <c r="I2508" s="7">
        <v>0</v>
      </c>
      <c r="J2508" s="7">
        <v>32</v>
      </c>
      <c r="K2508" s="7" t="s">
        <v>18</v>
      </c>
      <c r="L2508" s="8">
        <v>39891.213356481479</v>
      </c>
      <c r="M2508" s="9" t="s">
        <v>19</v>
      </c>
      <c r="N2508" s="9" t="s">
        <v>22</v>
      </c>
      <c r="O2508" s="6" t="str">
        <f>HYPERLINK("https://pbs.twimg.com/profile_images/988971255679324162/jrqiIYf__normal.jpg","View")</f>
        <v>View</v>
      </c>
      <c r="P2508" s="7"/>
    </row>
    <row r="2509" spans="1:16">
      <c r="A2509" s="3">
        <v>44385.258217592593</v>
      </c>
      <c r="B2509" s="4" t="str">
        <f>HYPERLINK("https://twitter.com/sergio_fajardo","@sergio_fajardo")</f>
        <v>@sergio_fajardo</v>
      </c>
      <c r="C2509" s="5" t="s">
        <v>16</v>
      </c>
      <c r="D2509" s="5" t="s">
        <v>2530</v>
      </c>
      <c r="E2509" s="6" t="str">
        <f>HYPERLINK("https://twitter.com/sergio_fajardo/status/1412934919035269123","1412934919035269123")</f>
        <v>1412934919035269123</v>
      </c>
      <c r="F2509" s="7" t="s">
        <v>17</v>
      </c>
      <c r="G2509" s="7">
        <v>1590260</v>
      </c>
      <c r="H2509" s="7">
        <v>430</v>
      </c>
      <c r="I2509" s="7">
        <v>12</v>
      </c>
      <c r="J2509" s="7">
        <v>95</v>
      </c>
      <c r="K2509" s="7" t="s">
        <v>18</v>
      </c>
      <c r="L2509" s="8">
        <v>39891.213356481479</v>
      </c>
      <c r="M2509" s="9" t="s">
        <v>19</v>
      </c>
      <c r="N2509" s="9" t="s">
        <v>22</v>
      </c>
      <c r="O2509" s="6" t="str">
        <f>HYPERLINK("https://pbs.twimg.com/profile_images/988971255679324162/jrqiIYf__normal.jpg","View")</f>
        <v>View</v>
      </c>
      <c r="P2509" s="7"/>
    </row>
    <row r="2510" spans="1:16">
      <c r="A2510" s="3">
        <v>44385.882557870369</v>
      </c>
      <c r="B2510" s="4" t="str">
        <f>HYPERLINK("https://twitter.com/sergio_fajardo","@sergio_fajardo")</f>
        <v>@sergio_fajardo</v>
      </c>
      <c r="C2510" s="5" t="s">
        <v>16</v>
      </c>
      <c r="D2510" s="5" t="s">
        <v>2531</v>
      </c>
      <c r="E2510" s="6" t="str">
        <f>HYPERLINK("https://twitter.com/sergio_fajardo/status/1413161172862480389","1413161172862480389")</f>
        <v>1413161172862480389</v>
      </c>
      <c r="F2510" s="7" t="s">
        <v>23</v>
      </c>
      <c r="G2510" s="7">
        <v>1590277</v>
      </c>
      <c r="H2510" s="7">
        <v>434</v>
      </c>
      <c r="I2510" s="7">
        <v>9</v>
      </c>
      <c r="J2510" s="7">
        <v>0</v>
      </c>
      <c r="K2510" s="7" t="s">
        <v>18</v>
      </c>
      <c r="L2510" s="8">
        <v>39891.213356481479</v>
      </c>
      <c r="M2510" s="9" t="s">
        <v>19</v>
      </c>
      <c r="N2510" s="9" t="s">
        <v>22</v>
      </c>
      <c r="O2510" s="6" t="str">
        <f>HYPERLINK("https://pbs.twimg.com/profile_images/988971255679324162/jrqiIYf__normal.jpg","View")</f>
        <v>View</v>
      </c>
      <c r="P2510" s="7"/>
    </row>
    <row r="2511" spans="1:16">
      <c r="A2511" s="3">
        <v>44385.951608796298</v>
      </c>
      <c r="B2511" s="4" t="str">
        <f>HYPERLINK("https://twitter.com/sergio_fajardo","@sergio_fajardo")</f>
        <v>@sergio_fajardo</v>
      </c>
      <c r="C2511" s="5" t="s">
        <v>16</v>
      </c>
      <c r="D2511" s="5" t="s">
        <v>2532</v>
      </c>
      <c r="E2511" s="6" t="str">
        <f>HYPERLINK("https://twitter.com/sergio_fajardo/status/1413186196256305156","1413186196256305156")</f>
        <v>1413186196256305156</v>
      </c>
      <c r="F2511" s="7" t="s">
        <v>17</v>
      </c>
      <c r="G2511" s="7">
        <v>1590292</v>
      </c>
      <c r="H2511" s="7">
        <v>434</v>
      </c>
      <c r="I2511" s="7">
        <v>6</v>
      </c>
      <c r="J2511" s="7">
        <v>28</v>
      </c>
      <c r="K2511" s="7" t="s">
        <v>18</v>
      </c>
      <c r="L2511" s="8">
        <v>39891.213356481479</v>
      </c>
      <c r="M2511" s="9" t="s">
        <v>19</v>
      </c>
      <c r="N2511" s="9" t="s">
        <v>22</v>
      </c>
      <c r="O2511" s="6" t="str">
        <f>HYPERLINK("https://pbs.twimg.com/profile_images/988971255679324162/jrqiIYf__normal.jpg","View")</f>
        <v>View</v>
      </c>
      <c r="P2511" s="7"/>
    </row>
    <row r="2512" spans="1:16">
      <c r="A2512" s="3">
        <v>44385.961701388893</v>
      </c>
      <c r="B2512" s="4" t="str">
        <f>HYPERLINK("https://twitter.com/sergio_fajardo","@sergio_fajardo")</f>
        <v>@sergio_fajardo</v>
      </c>
      <c r="C2512" s="5" t="s">
        <v>16</v>
      </c>
      <c r="D2512" s="5" t="s">
        <v>2533</v>
      </c>
      <c r="E2512" s="6" t="str">
        <f>HYPERLINK("https://twitter.com/sergio_fajardo/status/1413189853005680642","1413189853005680642")</f>
        <v>1413189853005680642</v>
      </c>
      <c r="F2512" s="7" t="s">
        <v>17</v>
      </c>
      <c r="G2512" s="7">
        <v>1590292</v>
      </c>
      <c r="H2512" s="7">
        <v>434</v>
      </c>
      <c r="I2512" s="7">
        <v>15</v>
      </c>
      <c r="J2512" s="7">
        <v>0</v>
      </c>
      <c r="K2512" s="7" t="s">
        <v>18</v>
      </c>
      <c r="L2512" s="8">
        <v>39891.213356481479</v>
      </c>
      <c r="M2512" s="9" t="s">
        <v>19</v>
      </c>
      <c r="N2512" s="9" t="s">
        <v>22</v>
      </c>
      <c r="O2512" s="6" t="str">
        <f>HYPERLINK("https://pbs.twimg.com/profile_images/988971255679324162/jrqiIYf__normal.jpg","View")</f>
        <v>View</v>
      </c>
      <c r="P2512" s="7"/>
    </row>
    <row r="2513" spans="1:16">
      <c r="A2513" s="3">
        <v>44386.006898148145</v>
      </c>
      <c r="B2513" s="4" t="str">
        <f>HYPERLINK("https://twitter.com/sergio_fajardo","@sergio_fajardo")</f>
        <v>@sergio_fajardo</v>
      </c>
      <c r="C2513" s="5" t="s">
        <v>16</v>
      </c>
      <c r="D2513" s="5" t="s">
        <v>2534</v>
      </c>
      <c r="E2513" s="6" t="str">
        <f>HYPERLINK("https://twitter.com/sergio_fajardo/status/1413206231062355970","1413206231062355970")</f>
        <v>1413206231062355970</v>
      </c>
      <c r="F2513" s="7" t="s">
        <v>23</v>
      </c>
      <c r="G2513" s="7">
        <v>1590293</v>
      </c>
      <c r="H2513" s="7">
        <v>434</v>
      </c>
      <c r="I2513" s="7">
        <v>9</v>
      </c>
      <c r="J2513" s="7">
        <v>37</v>
      </c>
      <c r="K2513" s="7" t="s">
        <v>18</v>
      </c>
      <c r="L2513" s="8">
        <v>39891.213356481479</v>
      </c>
      <c r="M2513" s="9" t="s">
        <v>19</v>
      </c>
      <c r="N2513" s="9" t="s">
        <v>22</v>
      </c>
      <c r="O2513" s="6" t="str">
        <f>HYPERLINK("https://pbs.twimg.com/profile_images/988971255679324162/jrqiIYf__normal.jpg","View")</f>
        <v>View</v>
      </c>
      <c r="P2513" s="7"/>
    </row>
    <row r="2514" spans="1:16">
      <c r="A2514" s="3">
        <v>44386.078333333338</v>
      </c>
      <c r="B2514" s="4" t="str">
        <f>HYPERLINK("https://twitter.com/sergio_fajardo","@sergio_fajardo")</f>
        <v>@sergio_fajardo</v>
      </c>
      <c r="C2514" s="5" t="s">
        <v>16</v>
      </c>
      <c r="D2514" s="5" t="s">
        <v>2535</v>
      </c>
      <c r="E2514" s="6" t="str">
        <f>HYPERLINK("https://twitter.com/sergio_fajardo/status/1413232119510454279","1413232119510454279")</f>
        <v>1413232119510454279</v>
      </c>
      <c r="F2514" s="7" t="s">
        <v>17</v>
      </c>
      <c r="G2514" s="7">
        <v>1590297</v>
      </c>
      <c r="H2514" s="7">
        <v>434</v>
      </c>
      <c r="I2514" s="7">
        <v>1</v>
      </c>
      <c r="J2514" s="7">
        <v>44</v>
      </c>
      <c r="K2514" s="7" t="s">
        <v>18</v>
      </c>
      <c r="L2514" s="8">
        <v>39891.213356481479</v>
      </c>
      <c r="M2514" s="9" t="s">
        <v>19</v>
      </c>
      <c r="N2514" s="9" t="s">
        <v>22</v>
      </c>
      <c r="O2514" s="6" t="str">
        <f>HYPERLINK("https://pbs.twimg.com/profile_images/988971255679324162/jrqiIYf__normal.jpg","View")</f>
        <v>View</v>
      </c>
      <c r="P2514" s="7"/>
    </row>
    <row r="2515" spans="1:16">
      <c r="A2515" s="3">
        <v>44386.212604166663</v>
      </c>
      <c r="B2515" s="4" t="str">
        <f>HYPERLINK("https://twitter.com/sergio_fajardo","@sergio_fajardo")</f>
        <v>@sergio_fajardo</v>
      </c>
      <c r="C2515" s="5" t="s">
        <v>16</v>
      </c>
      <c r="D2515" s="5" t="s">
        <v>2536</v>
      </c>
      <c r="E2515" s="6" t="str">
        <f>HYPERLINK("https://twitter.com/sergio_fajardo/status/1413280778574831616","1413280778574831616")</f>
        <v>1413280778574831616</v>
      </c>
      <c r="F2515" s="7" t="s">
        <v>23</v>
      </c>
      <c r="G2515" s="7">
        <v>1590311</v>
      </c>
      <c r="H2515" s="7">
        <v>434</v>
      </c>
      <c r="I2515" s="7">
        <v>10</v>
      </c>
      <c r="J2515" s="7">
        <v>63</v>
      </c>
      <c r="K2515" s="7" t="s">
        <v>18</v>
      </c>
      <c r="L2515" s="8">
        <v>39891.213356481479</v>
      </c>
      <c r="M2515" s="9" t="s">
        <v>19</v>
      </c>
      <c r="N2515" s="9" t="s">
        <v>22</v>
      </c>
      <c r="O2515" s="6" t="str">
        <f>HYPERLINK("https://pbs.twimg.com/profile_images/988971255679324162/jrqiIYf__normal.jpg","View")</f>
        <v>View</v>
      </c>
      <c r="P2515" s="7"/>
    </row>
    <row r="2516" spans="1:16">
      <c r="A2516" s="3">
        <v>44386.905624999999</v>
      </c>
      <c r="B2516" s="4" t="str">
        <f>HYPERLINK("https://twitter.com/sergio_fajardo","@sergio_fajardo")</f>
        <v>@sergio_fajardo</v>
      </c>
      <c r="C2516" s="5" t="s">
        <v>16</v>
      </c>
      <c r="D2516" s="5" t="s">
        <v>2537</v>
      </c>
      <c r="E2516" s="6" t="str">
        <f>HYPERLINK("https://twitter.com/sergio_fajardo/status/1413531921087406080","1413531921087406080")</f>
        <v>1413531921087406080</v>
      </c>
      <c r="F2516" s="7" t="s">
        <v>23</v>
      </c>
      <c r="G2516" s="7">
        <v>1590348</v>
      </c>
      <c r="H2516" s="7">
        <v>434</v>
      </c>
      <c r="I2516" s="7">
        <v>17</v>
      </c>
      <c r="J2516" s="7">
        <v>53</v>
      </c>
      <c r="K2516" s="7" t="s">
        <v>18</v>
      </c>
      <c r="L2516" s="8">
        <v>39891.213356481479</v>
      </c>
      <c r="M2516" s="9" t="s">
        <v>19</v>
      </c>
      <c r="N2516" s="9" t="s">
        <v>22</v>
      </c>
      <c r="O2516" s="6" t="str">
        <f>HYPERLINK("https://pbs.twimg.com/profile_images/988971255679324162/jrqiIYf__normal.jpg","View")</f>
        <v>View</v>
      </c>
      <c r="P2516" s="7"/>
    </row>
    <row r="2517" spans="1:16">
      <c r="A2517" s="3">
        <v>44386.931342592594</v>
      </c>
      <c r="B2517" s="4" t="str">
        <f>HYPERLINK("https://twitter.com/sergio_fajardo","@sergio_fajardo")</f>
        <v>@sergio_fajardo</v>
      </c>
      <c r="C2517" s="5" t="s">
        <v>16</v>
      </c>
      <c r="D2517" s="5" t="s">
        <v>2538</v>
      </c>
      <c r="E2517" s="6" t="str">
        <f>HYPERLINK("https://twitter.com/sergio_fajardo/status/1413541239123763200","1413541239123763200")</f>
        <v>1413541239123763200</v>
      </c>
      <c r="F2517" s="7" t="s">
        <v>23</v>
      </c>
      <c r="G2517" s="7">
        <v>1590348</v>
      </c>
      <c r="H2517" s="7">
        <v>434</v>
      </c>
      <c r="I2517" s="7">
        <v>5</v>
      </c>
      <c r="J2517" s="7">
        <v>9</v>
      </c>
      <c r="K2517" s="7" t="s">
        <v>18</v>
      </c>
      <c r="L2517" s="8">
        <v>39891.213356481479</v>
      </c>
      <c r="M2517" s="9" t="s">
        <v>19</v>
      </c>
      <c r="N2517" s="9" t="s">
        <v>22</v>
      </c>
      <c r="O2517" s="6" t="str">
        <f>HYPERLINK("https://pbs.twimg.com/profile_images/988971255679324162/jrqiIYf__normal.jpg","View")</f>
        <v>View</v>
      </c>
      <c r="P2517" s="7"/>
    </row>
    <row r="2518" spans="1:16">
      <c r="A2518" s="3">
        <v>44386.976886574077</v>
      </c>
      <c r="B2518" s="4" t="str">
        <f>HYPERLINK("https://twitter.com/sergio_fajardo","@sergio_fajardo")</f>
        <v>@sergio_fajardo</v>
      </c>
      <c r="C2518" s="5" t="s">
        <v>16</v>
      </c>
      <c r="D2518" s="5" t="s">
        <v>2539</v>
      </c>
      <c r="E2518" s="6" t="str">
        <f>HYPERLINK("https://twitter.com/sergio_fajardo/status/1413557744829882372","1413557744829882372")</f>
        <v>1413557744829882372</v>
      </c>
      <c r="F2518" s="7" t="s">
        <v>23</v>
      </c>
      <c r="G2518" s="7">
        <v>1590349</v>
      </c>
      <c r="H2518" s="7">
        <v>434</v>
      </c>
      <c r="I2518" s="7">
        <v>1</v>
      </c>
      <c r="J2518" s="7">
        <v>2</v>
      </c>
      <c r="K2518" s="7" t="s">
        <v>18</v>
      </c>
      <c r="L2518" s="8">
        <v>39891.213356481479</v>
      </c>
      <c r="M2518" s="9" t="s">
        <v>19</v>
      </c>
      <c r="N2518" s="9" t="s">
        <v>22</v>
      </c>
      <c r="O2518" s="6" t="str">
        <f>HYPERLINK("https://pbs.twimg.com/profile_images/988971255679324162/jrqiIYf__normal.jpg","View")</f>
        <v>View</v>
      </c>
      <c r="P2518" s="7"/>
    </row>
    <row r="2519" spans="1:16">
      <c r="A2519" s="3">
        <v>44387.847812499997</v>
      </c>
      <c r="B2519" s="4" t="str">
        <f>HYPERLINK("https://twitter.com/sergio_fajardo","@sergio_fajardo")</f>
        <v>@sergio_fajardo</v>
      </c>
      <c r="C2519" s="5" t="s">
        <v>16</v>
      </c>
      <c r="D2519" s="5" t="s">
        <v>2540</v>
      </c>
      <c r="E2519" s="6" t="str">
        <f>HYPERLINK("https://twitter.com/sergio_fajardo/status/1413873356286439425","1413873356286439425")</f>
        <v>1413873356286439425</v>
      </c>
      <c r="F2519" s="7" t="s">
        <v>17</v>
      </c>
      <c r="G2519" s="7">
        <v>1590420</v>
      </c>
      <c r="H2519" s="7">
        <v>434</v>
      </c>
      <c r="I2519" s="7">
        <v>245</v>
      </c>
      <c r="J2519" s="7">
        <v>0</v>
      </c>
      <c r="K2519" s="7" t="s">
        <v>18</v>
      </c>
      <c r="L2519" s="8">
        <v>39891.213356481479</v>
      </c>
      <c r="M2519" s="9" t="s">
        <v>19</v>
      </c>
      <c r="N2519" s="9" t="s">
        <v>22</v>
      </c>
      <c r="O2519" s="6" t="str">
        <f>HYPERLINK("https://pbs.twimg.com/profile_images/988971255679324162/jrqiIYf__normal.jpg","View")</f>
        <v>View</v>
      </c>
      <c r="P2519" s="7"/>
    </row>
    <row r="2520" spans="1:16">
      <c r="A2520" s="3">
        <v>44388.024594907409</v>
      </c>
      <c r="B2520" s="4" t="str">
        <f>HYPERLINK("https://twitter.com/sergio_fajardo","@sergio_fajardo")</f>
        <v>@sergio_fajardo</v>
      </c>
      <c r="C2520" s="5" t="s">
        <v>16</v>
      </c>
      <c r="D2520" s="5" t="s">
        <v>2541</v>
      </c>
      <c r="E2520" s="6" t="str">
        <f>HYPERLINK("https://twitter.com/sergio_fajardo/status/1413937419473272841","1413937419473272841")</f>
        <v>1413937419473272841</v>
      </c>
      <c r="F2520" s="7" t="s">
        <v>17</v>
      </c>
      <c r="G2520" s="7">
        <v>1590447</v>
      </c>
      <c r="H2520" s="7">
        <v>434</v>
      </c>
      <c r="I2520" s="7">
        <v>2</v>
      </c>
      <c r="J2520" s="7">
        <v>18</v>
      </c>
      <c r="K2520" s="7" t="s">
        <v>18</v>
      </c>
      <c r="L2520" s="8">
        <v>39891.213356481479</v>
      </c>
      <c r="M2520" s="9" t="s">
        <v>19</v>
      </c>
      <c r="N2520" s="9" t="s">
        <v>22</v>
      </c>
      <c r="O2520" s="6" t="str">
        <f>HYPERLINK("https://pbs.twimg.com/profile_images/988971255679324162/jrqiIYf__normal.jpg","View")</f>
        <v>View</v>
      </c>
      <c r="P2520" s="7"/>
    </row>
    <row r="2521" spans="1:16">
      <c r="A2521" s="3">
        <v>44388.688831018517</v>
      </c>
      <c r="B2521" s="4" t="str">
        <f>HYPERLINK("https://twitter.com/sergio_fajardo","@sergio_fajardo")</f>
        <v>@sergio_fajardo</v>
      </c>
      <c r="C2521" s="5" t="s">
        <v>16</v>
      </c>
      <c r="D2521" s="5" t="s">
        <v>2542</v>
      </c>
      <c r="E2521" s="6" t="str">
        <f>HYPERLINK("https://twitter.com/sergio_fajardo/status/1414178132358225920","1414178132358225920")</f>
        <v>1414178132358225920</v>
      </c>
      <c r="F2521" s="7" t="s">
        <v>17</v>
      </c>
      <c r="G2521" s="7">
        <v>1590482</v>
      </c>
      <c r="H2521" s="7">
        <v>434</v>
      </c>
      <c r="I2521" s="7">
        <v>0</v>
      </c>
      <c r="J2521" s="7">
        <v>0</v>
      </c>
      <c r="K2521" s="7" t="s">
        <v>18</v>
      </c>
      <c r="L2521" s="8">
        <v>39891.213356481479</v>
      </c>
      <c r="M2521" s="9" t="s">
        <v>19</v>
      </c>
      <c r="N2521" s="9" t="s">
        <v>22</v>
      </c>
      <c r="O2521" s="6" t="str">
        <f>HYPERLINK("https://pbs.twimg.com/profile_images/988971255679324162/jrqiIYf__normal.jpg","View")</f>
        <v>View</v>
      </c>
      <c r="P2521" s="7"/>
    </row>
    <row r="2522" spans="1:16">
      <c r="A2522" s="3">
        <v>44388.934386574074</v>
      </c>
      <c r="B2522" s="4" t="str">
        <f>HYPERLINK("https://twitter.com/sergio_fajardo","@sergio_fajardo")</f>
        <v>@sergio_fajardo</v>
      </c>
      <c r="C2522" s="5" t="s">
        <v>16</v>
      </c>
      <c r="D2522" s="5" t="s">
        <v>2543</v>
      </c>
      <c r="E2522" s="6" t="str">
        <f>HYPERLINK("https://twitter.com/sergio_fajardo/status/1414267117998850050","1414267117998850050")</f>
        <v>1414267117998850050</v>
      </c>
      <c r="F2522" s="7" t="s">
        <v>17</v>
      </c>
      <c r="G2522" s="7">
        <v>1590495</v>
      </c>
      <c r="H2522" s="7">
        <v>434</v>
      </c>
      <c r="I2522" s="7">
        <v>13</v>
      </c>
      <c r="J2522" s="7">
        <v>0</v>
      </c>
      <c r="K2522" s="7" t="s">
        <v>18</v>
      </c>
      <c r="L2522" s="8">
        <v>39891.213356481479</v>
      </c>
      <c r="M2522" s="9" t="s">
        <v>19</v>
      </c>
      <c r="N2522" s="9" t="s">
        <v>22</v>
      </c>
      <c r="O2522" s="6" t="str">
        <f>HYPERLINK("https://pbs.twimg.com/profile_images/988971255679324162/jrqiIYf__normal.jpg","View")</f>
        <v>View</v>
      </c>
      <c r="P2522" s="7"/>
    </row>
    <row r="2523" spans="1:16">
      <c r="A2523" s="3">
        <v>44388.945370370369</v>
      </c>
      <c r="B2523" s="4" t="str">
        <f>HYPERLINK("https://twitter.com/sergio_fajardo","@sergio_fajardo")</f>
        <v>@sergio_fajardo</v>
      </c>
      <c r="C2523" s="5" t="s">
        <v>16</v>
      </c>
      <c r="D2523" s="5" t="s">
        <v>2544</v>
      </c>
      <c r="E2523" s="6" t="str">
        <f>HYPERLINK("https://twitter.com/sergio_fajardo/status/1414271100146622466","1414271100146622466")</f>
        <v>1414271100146622466</v>
      </c>
      <c r="F2523" s="7" t="s">
        <v>17</v>
      </c>
      <c r="G2523" s="7">
        <v>1590496</v>
      </c>
      <c r="H2523" s="7">
        <v>434</v>
      </c>
      <c r="I2523" s="7">
        <v>89</v>
      </c>
      <c r="J2523" s="7">
        <v>0</v>
      </c>
      <c r="K2523" s="7" t="s">
        <v>18</v>
      </c>
      <c r="L2523" s="8">
        <v>39891.213356481479</v>
      </c>
      <c r="M2523" s="9" t="s">
        <v>19</v>
      </c>
      <c r="N2523" s="9" t="s">
        <v>22</v>
      </c>
      <c r="O2523" s="6" t="str">
        <f>HYPERLINK("https://pbs.twimg.com/profile_images/988971255679324162/jrqiIYf__normal.jpg","View")</f>
        <v>View</v>
      </c>
      <c r="P2523" s="7"/>
    </row>
    <row r="2524" spans="1:16">
      <c r="A2524" s="3">
        <v>44388.972777777773</v>
      </c>
      <c r="B2524" s="4" t="str">
        <f>HYPERLINK("https://twitter.com/sergio_fajardo","@sergio_fajardo")</f>
        <v>@sergio_fajardo</v>
      </c>
      <c r="C2524" s="5" t="s">
        <v>16</v>
      </c>
      <c r="D2524" s="5" t="s">
        <v>2545</v>
      </c>
      <c r="E2524" s="6" t="str">
        <f>HYPERLINK("https://twitter.com/sergio_fajardo/status/1414281029431578631","1414281029431578631")</f>
        <v>1414281029431578631</v>
      </c>
      <c r="F2524" s="7" t="s">
        <v>17</v>
      </c>
      <c r="G2524" s="7">
        <v>1590494</v>
      </c>
      <c r="H2524" s="7">
        <v>434</v>
      </c>
      <c r="I2524" s="7">
        <v>124</v>
      </c>
      <c r="J2524" s="7">
        <v>501</v>
      </c>
      <c r="K2524" s="7" t="s">
        <v>18</v>
      </c>
      <c r="L2524" s="8">
        <v>39891.213356481479</v>
      </c>
      <c r="M2524" s="9" t="s">
        <v>19</v>
      </c>
      <c r="N2524" s="9" t="s">
        <v>22</v>
      </c>
      <c r="O2524" s="6" t="str">
        <f>HYPERLINK("https://pbs.twimg.com/profile_images/988971255679324162/jrqiIYf__normal.jpg","View")</f>
        <v>View</v>
      </c>
      <c r="P2524" s="7"/>
    </row>
    <row r="2525" spans="1:16">
      <c r="A2525" s="3">
        <v>44389.222881944443</v>
      </c>
      <c r="B2525" s="4" t="str">
        <f>HYPERLINK("https://twitter.com/sergio_fajardo","@sergio_fajardo")</f>
        <v>@sergio_fajardo</v>
      </c>
      <c r="C2525" s="5" t="s">
        <v>16</v>
      </c>
      <c r="D2525" s="5" t="s">
        <v>2546</v>
      </c>
      <c r="E2525" s="6" t="str">
        <f>HYPERLINK("https://twitter.com/sergio_fajardo/status/1414371666629648387","1414371666629648387")</f>
        <v>1414371666629648387</v>
      </c>
      <c r="F2525" s="7" t="s">
        <v>17</v>
      </c>
      <c r="G2525" s="7">
        <v>1590516</v>
      </c>
      <c r="H2525" s="7">
        <v>434</v>
      </c>
      <c r="I2525" s="7">
        <v>28</v>
      </c>
      <c r="J2525" s="7">
        <v>0</v>
      </c>
      <c r="K2525" s="7" t="s">
        <v>18</v>
      </c>
      <c r="L2525" s="8">
        <v>39891.213356481479</v>
      </c>
      <c r="M2525" s="9" t="s">
        <v>19</v>
      </c>
      <c r="N2525" s="9" t="s">
        <v>22</v>
      </c>
      <c r="O2525" s="6" t="str">
        <f>HYPERLINK("https://pbs.twimg.com/profile_images/988971255679324162/jrqiIYf__normal.jpg","View")</f>
        <v>View</v>
      </c>
      <c r="P2525" s="7"/>
    </row>
    <row r="2526" spans="1:16">
      <c r="A2526" s="3">
        <v>44389.235416666663</v>
      </c>
      <c r="B2526" s="4" t="str">
        <f>HYPERLINK("https://twitter.com/sergio_fajardo","@sergio_fajardo")</f>
        <v>@sergio_fajardo</v>
      </c>
      <c r="C2526" s="5" t="s">
        <v>16</v>
      </c>
      <c r="D2526" s="5" t="s">
        <v>2547</v>
      </c>
      <c r="E2526" s="6" t="str">
        <f>HYPERLINK("https://twitter.com/sergio_fajardo/status/1414376210059169794","1414376210059169794")</f>
        <v>1414376210059169794</v>
      </c>
      <c r="F2526" s="7" t="s">
        <v>17</v>
      </c>
      <c r="G2526" s="7">
        <v>1590518</v>
      </c>
      <c r="H2526" s="7">
        <v>434</v>
      </c>
      <c r="I2526" s="7">
        <v>5</v>
      </c>
      <c r="J2526" s="7">
        <v>46</v>
      </c>
      <c r="K2526" s="7" t="s">
        <v>18</v>
      </c>
      <c r="L2526" s="8">
        <v>39891.213356481479</v>
      </c>
      <c r="M2526" s="9" t="s">
        <v>19</v>
      </c>
      <c r="N2526" s="9" t="s">
        <v>22</v>
      </c>
      <c r="O2526" s="6" t="str">
        <f>HYPERLINK("https://pbs.twimg.com/profile_images/988971255679324162/jrqiIYf__normal.jpg","View")</f>
        <v>View</v>
      </c>
      <c r="P2526" s="7"/>
    </row>
    <row r="2527" spans="1:16">
      <c r="A2527" s="3">
        <v>44389.246215277773</v>
      </c>
      <c r="B2527" s="4" t="str">
        <f>HYPERLINK("https://twitter.com/sergio_fajardo","@sergio_fajardo")</f>
        <v>@sergio_fajardo</v>
      </c>
      <c r="C2527" s="5" t="s">
        <v>16</v>
      </c>
      <c r="D2527" s="5" t="s">
        <v>2548</v>
      </c>
      <c r="E2527" s="6" t="str">
        <f>HYPERLINK("https://twitter.com/sergio_fajardo/status/1414380120366792706","1414380120366792706")</f>
        <v>1414380120366792706</v>
      </c>
      <c r="F2527" s="7" t="s">
        <v>17</v>
      </c>
      <c r="G2527" s="7">
        <v>1590518</v>
      </c>
      <c r="H2527" s="7">
        <v>434</v>
      </c>
      <c r="I2527" s="7">
        <v>20</v>
      </c>
      <c r="J2527" s="7">
        <v>158</v>
      </c>
      <c r="K2527" s="7" t="s">
        <v>18</v>
      </c>
      <c r="L2527" s="8">
        <v>39891.213356481479</v>
      </c>
      <c r="M2527" s="9" t="s">
        <v>19</v>
      </c>
      <c r="N2527" s="9" t="s">
        <v>22</v>
      </c>
      <c r="O2527" s="6" t="str">
        <f>HYPERLINK("https://pbs.twimg.com/profile_images/988971255679324162/jrqiIYf__normal.jpg","View")</f>
        <v>View</v>
      </c>
      <c r="P2527" s="7"/>
    </row>
    <row r="2528" spans="1:16">
      <c r="A2528" s="3">
        <v>44389.265798611115</v>
      </c>
      <c r="B2528" s="4" t="str">
        <f>HYPERLINK("https://twitter.com/sergio_fajardo","@sergio_fajardo")</f>
        <v>@sergio_fajardo</v>
      </c>
      <c r="C2528" s="5" t="s">
        <v>16</v>
      </c>
      <c r="D2528" s="5" t="s">
        <v>2549</v>
      </c>
      <c r="E2528" s="6" t="str">
        <f>HYPERLINK("https://twitter.com/sergio_fajardo/status/1414387218265907202","1414387218265907202")</f>
        <v>1414387218265907202</v>
      </c>
      <c r="F2528" s="7" t="s">
        <v>17</v>
      </c>
      <c r="G2528" s="7">
        <v>1590519</v>
      </c>
      <c r="H2528" s="7">
        <v>434</v>
      </c>
      <c r="I2528" s="7">
        <v>7</v>
      </c>
      <c r="J2528" s="7">
        <v>57</v>
      </c>
      <c r="K2528" s="7" t="s">
        <v>18</v>
      </c>
      <c r="L2528" s="8">
        <v>39891.213356481479</v>
      </c>
      <c r="M2528" s="9" t="s">
        <v>19</v>
      </c>
      <c r="N2528" s="9" t="s">
        <v>22</v>
      </c>
      <c r="O2528" s="6" t="str">
        <f>HYPERLINK("https://pbs.twimg.com/profile_images/988971255679324162/jrqiIYf__normal.jpg","View")</f>
        <v>View</v>
      </c>
      <c r="P2528" s="7"/>
    </row>
    <row r="2529" spans="1:16">
      <c r="A2529" s="3">
        <v>44389.915671296301</v>
      </c>
      <c r="B2529" s="4" t="str">
        <f>HYPERLINK("https://twitter.com/sergio_fajardo","@sergio_fajardo")</f>
        <v>@sergio_fajardo</v>
      </c>
      <c r="C2529" s="5" t="s">
        <v>16</v>
      </c>
      <c r="D2529" s="5" t="s">
        <v>2550</v>
      </c>
      <c r="E2529" s="6" t="str">
        <f>HYPERLINK("https://twitter.com/sergio_fajardo/status/1414622722001408005","1414622722001408005")</f>
        <v>1414622722001408005</v>
      </c>
      <c r="F2529" s="7" t="s">
        <v>23</v>
      </c>
      <c r="G2529" s="7">
        <v>1590573</v>
      </c>
      <c r="H2529" s="7">
        <v>434</v>
      </c>
      <c r="I2529" s="7">
        <v>20</v>
      </c>
      <c r="J2529" s="7">
        <v>108</v>
      </c>
      <c r="K2529" s="7" t="s">
        <v>18</v>
      </c>
      <c r="L2529" s="8">
        <v>39891.213356481479</v>
      </c>
      <c r="M2529" s="9" t="s">
        <v>19</v>
      </c>
      <c r="N2529" s="9" t="s">
        <v>22</v>
      </c>
      <c r="O2529" s="6" t="str">
        <f>HYPERLINK("https://pbs.twimg.com/profile_images/988971255679324162/jrqiIYf__normal.jpg","View")</f>
        <v>View</v>
      </c>
      <c r="P2529" s="7"/>
    </row>
    <row r="2530" spans="1:16">
      <c r="A2530" s="3">
        <v>44389.915671296301</v>
      </c>
      <c r="B2530" s="4" t="str">
        <f>HYPERLINK("https://twitter.com/sergio_fajardo","@sergio_fajardo")</f>
        <v>@sergio_fajardo</v>
      </c>
      <c r="C2530" s="5" t="s">
        <v>16</v>
      </c>
      <c r="D2530" s="5" t="s">
        <v>2551</v>
      </c>
      <c r="E2530" s="6" t="str">
        <f>HYPERLINK("https://twitter.com/sergio_fajardo/status/1414622723578474497","1414622723578474497")</f>
        <v>1414622723578474497</v>
      </c>
      <c r="F2530" s="7" t="s">
        <v>23</v>
      </c>
      <c r="G2530" s="7">
        <v>1590573</v>
      </c>
      <c r="H2530" s="7">
        <v>434</v>
      </c>
      <c r="I2530" s="7">
        <v>2</v>
      </c>
      <c r="J2530" s="7">
        <v>23</v>
      </c>
      <c r="K2530" s="7" t="s">
        <v>18</v>
      </c>
      <c r="L2530" s="8">
        <v>39891.213356481479</v>
      </c>
      <c r="M2530" s="9" t="s">
        <v>19</v>
      </c>
      <c r="N2530" s="9" t="s">
        <v>22</v>
      </c>
      <c r="O2530" s="6" t="str">
        <f>HYPERLINK("https://pbs.twimg.com/profile_images/988971255679324162/jrqiIYf__normal.jpg","View")</f>
        <v>View</v>
      </c>
      <c r="P2530" s="7"/>
    </row>
    <row r="2531" spans="1:16">
      <c r="A2531" s="3">
        <v>44389.915671296301</v>
      </c>
      <c r="B2531" s="4" t="str">
        <f>HYPERLINK("https://twitter.com/sergio_fajardo","@sergio_fajardo")</f>
        <v>@sergio_fajardo</v>
      </c>
      <c r="C2531" s="5" t="s">
        <v>16</v>
      </c>
      <c r="D2531" s="5" t="s">
        <v>2552</v>
      </c>
      <c r="E2531" s="6" t="str">
        <f>HYPERLINK("https://twitter.com/sergio_fajardo/status/1414622724962541572","1414622724962541572")</f>
        <v>1414622724962541572</v>
      </c>
      <c r="F2531" s="7" t="s">
        <v>23</v>
      </c>
      <c r="G2531" s="7">
        <v>1590573</v>
      </c>
      <c r="H2531" s="7">
        <v>434</v>
      </c>
      <c r="I2531" s="7">
        <v>2</v>
      </c>
      <c r="J2531" s="7">
        <v>26</v>
      </c>
      <c r="K2531" s="7" t="s">
        <v>18</v>
      </c>
      <c r="L2531" s="8">
        <v>39891.213356481479</v>
      </c>
      <c r="M2531" s="9" t="s">
        <v>19</v>
      </c>
      <c r="N2531" s="9" t="s">
        <v>22</v>
      </c>
      <c r="O2531" s="6" t="str">
        <f>HYPERLINK("https://pbs.twimg.com/profile_images/988971255679324162/jrqiIYf__normal.jpg","View")</f>
        <v>View</v>
      </c>
      <c r="P2531" s="7"/>
    </row>
    <row r="2532" spans="1:16">
      <c r="A2532" s="3">
        <v>44389.915682870371</v>
      </c>
      <c r="B2532" s="4" t="str">
        <f>HYPERLINK("https://twitter.com/sergio_fajardo","@sergio_fajardo")</f>
        <v>@sergio_fajardo</v>
      </c>
      <c r="C2532" s="5" t="s">
        <v>16</v>
      </c>
      <c r="D2532" s="5" t="s">
        <v>2553</v>
      </c>
      <c r="E2532" s="6" t="str">
        <f>HYPERLINK("https://twitter.com/sergio_fajardo/status/1414622726350942210","1414622726350942210")</f>
        <v>1414622726350942210</v>
      </c>
      <c r="F2532" s="7" t="s">
        <v>23</v>
      </c>
      <c r="G2532" s="7">
        <v>1590573</v>
      </c>
      <c r="H2532" s="7">
        <v>434</v>
      </c>
      <c r="I2532" s="7">
        <v>3</v>
      </c>
      <c r="J2532" s="7">
        <v>36</v>
      </c>
      <c r="K2532" s="7" t="s">
        <v>18</v>
      </c>
      <c r="L2532" s="8">
        <v>39891.213356481479</v>
      </c>
      <c r="M2532" s="9" t="s">
        <v>19</v>
      </c>
      <c r="N2532" s="9" t="s">
        <v>22</v>
      </c>
      <c r="O2532" s="6" t="str">
        <f>HYPERLINK("https://pbs.twimg.com/profile_images/988971255679324162/jrqiIYf__normal.jpg","View")</f>
        <v>View</v>
      </c>
      <c r="P2532" s="7"/>
    </row>
    <row r="2533" spans="1:16">
      <c r="A2533" s="3">
        <v>44389.915682870371</v>
      </c>
      <c r="B2533" s="4" t="str">
        <f>HYPERLINK("https://twitter.com/sergio_fajardo","@sergio_fajardo")</f>
        <v>@sergio_fajardo</v>
      </c>
      <c r="C2533" s="5" t="s">
        <v>16</v>
      </c>
      <c r="D2533" s="5" t="s">
        <v>2554</v>
      </c>
      <c r="E2533" s="6" t="str">
        <f>HYPERLINK("https://twitter.com/sergio_fajardo/status/1414622727890096128","1414622727890096128")</f>
        <v>1414622727890096128</v>
      </c>
      <c r="F2533" s="7" t="s">
        <v>23</v>
      </c>
      <c r="G2533" s="7">
        <v>1590573</v>
      </c>
      <c r="H2533" s="7">
        <v>434</v>
      </c>
      <c r="I2533" s="7">
        <v>2</v>
      </c>
      <c r="J2533" s="7">
        <v>23</v>
      </c>
      <c r="K2533" s="7" t="s">
        <v>18</v>
      </c>
      <c r="L2533" s="8">
        <v>39891.213356481479</v>
      </c>
      <c r="M2533" s="9" t="s">
        <v>19</v>
      </c>
      <c r="N2533" s="9" t="s">
        <v>22</v>
      </c>
      <c r="O2533" s="6" t="str">
        <f>HYPERLINK("https://pbs.twimg.com/profile_images/988971255679324162/jrqiIYf__normal.jpg","View")</f>
        <v>View</v>
      </c>
      <c r="P2533" s="7"/>
    </row>
    <row r="2534" spans="1:16">
      <c r="A2534" s="3">
        <v>44389.915682870371</v>
      </c>
      <c r="B2534" s="4" t="str">
        <f>HYPERLINK("https://twitter.com/sergio_fajardo","@sergio_fajardo")</f>
        <v>@sergio_fajardo</v>
      </c>
      <c r="C2534" s="5" t="s">
        <v>16</v>
      </c>
      <c r="D2534" s="5" t="s">
        <v>2555</v>
      </c>
      <c r="E2534" s="6" t="str">
        <f>HYPERLINK("https://twitter.com/sergio_fajardo/status/1414622729307836431","1414622729307836431")</f>
        <v>1414622729307836431</v>
      </c>
      <c r="F2534" s="7" t="s">
        <v>23</v>
      </c>
      <c r="G2534" s="7">
        <v>1590573</v>
      </c>
      <c r="H2534" s="7">
        <v>434</v>
      </c>
      <c r="I2534" s="7">
        <v>6</v>
      </c>
      <c r="J2534" s="7">
        <v>44</v>
      </c>
      <c r="K2534" s="7" t="s">
        <v>18</v>
      </c>
      <c r="L2534" s="8">
        <v>39891.213356481479</v>
      </c>
      <c r="M2534" s="9" t="s">
        <v>19</v>
      </c>
      <c r="N2534" s="9" t="s">
        <v>22</v>
      </c>
      <c r="O2534" s="6" t="str">
        <f>HYPERLINK("https://pbs.twimg.com/profile_images/988971255679324162/jrqiIYf__normal.jpg","View")</f>
        <v>View</v>
      </c>
      <c r="P2534" s="7"/>
    </row>
    <row r="2535" spans="1:16">
      <c r="A2535" s="3">
        <v>44389.91569444444</v>
      </c>
      <c r="B2535" s="4" t="str">
        <f>HYPERLINK("https://twitter.com/sergio_fajardo","@sergio_fajardo")</f>
        <v>@sergio_fajardo</v>
      </c>
      <c r="C2535" s="5" t="s">
        <v>16</v>
      </c>
      <c r="D2535" s="5" t="s">
        <v>2556</v>
      </c>
      <c r="E2535" s="6" t="str">
        <f>HYPERLINK("https://twitter.com/sergio_fajardo/status/1414622730570375170","1414622730570375170")</f>
        <v>1414622730570375170</v>
      </c>
      <c r="F2535" s="7" t="s">
        <v>23</v>
      </c>
      <c r="G2535" s="7">
        <v>1590573</v>
      </c>
      <c r="H2535" s="7">
        <v>434</v>
      </c>
      <c r="I2535" s="7">
        <v>4</v>
      </c>
      <c r="J2535" s="7">
        <v>46</v>
      </c>
      <c r="K2535" s="7" t="s">
        <v>18</v>
      </c>
      <c r="L2535" s="8">
        <v>39891.213356481479</v>
      </c>
      <c r="M2535" s="9" t="s">
        <v>19</v>
      </c>
      <c r="N2535" s="9" t="s">
        <v>22</v>
      </c>
      <c r="O2535" s="6" t="str">
        <f>HYPERLINK("https://pbs.twimg.com/profile_images/988971255679324162/jrqiIYf__normal.jpg","View")</f>
        <v>View</v>
      </c>
      <c r="P2535" s="7"/>
    </row>
    <row r="2536" spans="1:16">
      <c r="A2536" s="3">
        <v>44390.13789351852</v>
      </c>
      <c r="B2536" s="4" t="str">
        <f>HYPERLINK("https://twitter.com/sergio_fajardo","@sergio_fajardo")</f>
        <v>@sergio_fajardo</v>
      </c>
      <c r="C2536" s="5" t="s">
        <v>16</v>
      </c>
      <c r="D2536" s="5" t="s">
        <v>2557</v>
      </c>
      <c r="E2536" s="6" t="str">
        <f>HYPERLINK("https://twitter.com/sergio_fajardo/status/1414703253087035394","1414703253087035394")</f>
        <v>1414703253087035394</v>
      </c>
      <c r="F2536" s="7" t="s">
        <v>17</v>
      </c>
      <c r="G2536" s="7">
        <v>1590621</v>
      </c>
      <c r="H2536" s="7">
        <v>434</v>
      </c>
      <c r="I2536" s="7">
        <v>6</v>
      </c>
      <c r="J2536" s="7">
        <v>0</v>
      </c>
      <c r="K2536" s="7" t="s">
        <v>18</v>
      </c>
      <c r="L2536" s="8">
        <v>39891.213356481479</v>
      </c>
      <c r="M2536" s="9" t="s">
        <v>19</v>
      </c>
      <c r="N2536" s="9" t="s">
        <v>22</v>
      </c>
      <c r="O2536" s="6" t="str">
        <f>HYPERLINK("https://pbs.twimg.com/profile_images/988971255679324162/jrqiIYf__normal.jpg","View")</f>
        <v>View</v>
      </c>
      <c r="P2536" s="7"/>
    </row>
    <row r="2537" spans="1:16">
      <c r="A2537" s="3">
        <v>44390.269050925926</v>
      </c>
      <c r="B2537" s="4" t="str">
        <f>HYPERLINK("https://twitter.com/sergio_fajardo","@sergio_fajardo")</f>
        <v>@sergio_fajardo</v>
      </c>
      <c r="C2537" s="5" t="s">
        <v>16</v>
      </c>
      <c r="D2537" s="5" t="s">
        <v>2558</v>
      </c>
      <c r="E2537" s="6" t="str">
        <f>HYPERLINK("https://twitter.com/sergio_fajardo/status/1414750785351692294","1414750785351692294")</f>
        <v>1414750785351692294</v>
      </c>
      <c r="F2537" s="7" t="s">
        <v>17</v>
      </c>
      <c r="G2537" s="7">
        <v>1590564</v>
      </c>
      <c r="H2537" s="7">
        <v>434</v>
      </c>
      <c r="I2537" s="7">
        <v>8</v>
      </c>
      <c r="J2537" s="7">
        <v>12</v>
      </c>
      <c r="K2537" s="7" t="s">
        <v>18</v>
      </c>
      <c r="L2537" s="8">
        <v>39891.213356481479</v>
      </c>
      <c r="M2537" s="9" t="s">
        <v>19</v>
      </c>
      <c r="N2537" s="9" t="s">
        <v>22</v>
      </c>
      <c r="O2537" s="6" t="str">
        <f>HYPERLINK("https://pbs.twimg.com/profile_images/988971255679324162/jrqiIYf__normal.jpg","View")</f>
        <v>View</v>
      </c>
      <c r="P2537" s="7"/>
    </row>
    <row r="2538" spans="1:16">
      <c r="A2538" s="3">
        <v>44390.647499999999</v>
      </c>
      <c r="B2538" s="4" t="str">
        <f>HYPERLINK("https://twitter.com/sergio_fajardo","@sergio_fajardo")</f>
        <v>@sergio_fajardo</v>
      </c>
      <c r="C2538" s="5" t="s">
        <v>16</v>
      </c>
      <c r="D2538" s="5" t="s">
        <v>2559</v>
      </c>
      <c r="E2538" s="6" t="str">
        <f>HYPERLINK("https://twitter.com/sergio_fajardo/status/1414887931093954567","1414887931093954567")</f>
        <v>1414887931093954567</v>
      </c>
      <c r="F2538" s="7" t="s">
        <v>17</v>
      </c>
      <c r="G2538" s="7">
        <v>1590664</v>
      </c>
      <c r="H2538" s="7">
        <v>434</v>
      </c>
      <c r="I2538" s="7">
        <v>4</v>
      </c>
      <c r="J2538" s="7">
        <v>33</v>
      </c>
      <c r="K2538" s="7" t="s">
        <v>18</v>
      </c>
      <c r="L2538" s="8">
        <v>39891.213356481479</v>
      </c>
      <c r="M2538" s="9" t="s">
        <v>19</v>
      </c>
      <c r="N2538" s="9" t="s">
        <v>22</v>
      </c>
      <c r="O2538" s="6" t="str">
        <f>HYPERLINK("https://pbs.twimg.com/profile_images/988971255679324162/jrqiIYf__normal.jpg","View")</f>
        <v>View</v>
      </c>
      <c r="P2538" s="7"/>
    </row>
    <row r="2539" spans="1:16">
      <c r="A2539" s="3">
        <v>44390.737002314811</v>
      </c>
      <c r="B2539" s="4" t="str">
        <f>HYPERLINK("https://twitter.com/sergio_fajardo","@sergio_fajardo")</f>
        <v>@sergio_fajardo</v>
      </c>
      <c r="C2539" s="5" t="s">
        <v>16</v>
      </c>
      <c r="D2539" s="5" t="s">
        <v>2560</v>
      </c>
      <c r="E2539" s="6" t="str">
        <f>HYPERLINK("https://twitter.com/sergio_fajardo/status/1414920365378351106","1414920365378351106")</f>
        <v>1414920365378351106</v>
      </c>
      <c r="F2539" s="7" t="s">
        <v>17</v>
      </c>
      <c r="G2539" s="7">
        <v>1590660</v>
      </c>
      <c r="H2539" s="7">
        <v>434</v>
      </c>
      <c r="I2539" s="7">
        <v>177</v>
      </c>
      <c r="J2539" s="7">
        <v>0</v>
      </c>
      <c r="K2539" s="7" t="s">
        <v>18</v>
      </c>
      <c r="L2539" s="8">
        <v>39891.213356481479</v>
      </c>
      <c r="M2539" s="9" t="s">
        <v>19</v>
      </c>
      <c r="N2539" s="9" t="s">
        <v>22</v>
      </c>
      <c r="O2539" s="6" t="str">
        <f>HYPERLINK("https://pbs.twimg.com/profile_images/988971255679324162/jrqiIYf__normal.jpg","View")</f>
        <v>View</v>
      </c>
      <c r="P2539" s="7"/>
    </row>
    <row r="2540" spans="1:16">
      <c r="A2540" s="3">
        <v>44390.937800925924</v>
      </c>
      <c r="B2540" s="4" t="str">
        <f>HYPERLINK("https://twitter.com/sergio_fajardo","@sergio_fajardo")</f>
        <v>@sergio_fajardo</v>
      </c>
      <c r="C2540" s="5" t="s">
        <v>16</v>
      </c>
      <c r="D2540" s="5" t="s">
        <v>2561</v>
      </c>
      <c r="E2540" s="6" t="str">
        <f>HYPERLINK("https://twitter.com/sergio_fajardo/status/1414993131704029184","1414993131704029184")</f>
        <v>1414993131704029184</v>
      </c>
      <c r="F2540" s="7" t="s">
        <v>17</v>
      </c>
      <c r="G2540" s="7">
        <v>1590648</v>
      </c>
      <c r="H2540" s="7">
        <v>434</v>
      </c>
      <c r="I2540" s="7">
        <v>11</v>
      </c>
      <c r="J2540" s="7">
        <v>0</v>
      </c>
      <c r="K2540" s="7" t="s">
        <v>18</v>
      </c>
      <c r="L2540" s="8">
        <v>39891.213356481479</v>
      </c>
      <c r="M2540" s="9" t="s">
        <v>19</v>
      </c>
      <c r="N2540" s="9" t="s">
        <v>22</v>
      </c>
      <c r="O2540" s="6" t="str">
        <f>HYPERLINK("https://pbs.twimg.com/profile_images/988971255679324162/jrqiIYf__normal.jpg","View")</f>
        <v>View</v>
      </c>
      <c r="P2540" s="7"/>
    </row>
    <row r="2541" spans="1:16">
      <c r="A2541" s="3">
        <v>44391.177870370375</v>
      </c>
      <c r="B2541" s="4" t="str">
        <f>HYPERLINK("https://twitter.com/sergio_fajardo","@sergio_fajardo")</f>
        <v>@sergio_fajardo</v>
      </c>
      <c r="C2541" s="5" t="s">
        <v>16</v>
      </c>
      <c r="D2541" s="5" t="s">
        <v>2562</v>
      </c>
      <c r="E2541" s="6" t="str">
        <f>HYPERLINK("https://twitter.com/sergio_fajardo/status/1415080130624507905","1415080130624507905")</f>
        <v>1415080130624507905</v>
      </c>
      <c r="F2541" s="7" t="s">
        <v>17</v>
      </c>
      <c r="G2541" s="7">
        <v>1590675</v>
      </c>
      <c r="H2541" s="7">
        <v>434</v>
      </c>
      <c r="I2541" s="7">
        <v>26</v>
      </c>
      <c r="J2541" s="7">
        <v>97</v>
      </c>
      <c r="K2541" s="7" t="s">
        <v>18</v>
      </c>
      <c r="L2541" s="8">
        <v>39891.213356481479</v>
      </c>
      <c r="M2541" s="9" t="s">
        <v>19</v>
      </c>
      <c r="N2541" s="9" t="s">
        <v>22</v>
      </c>
      <c r="O2541" s="6" t="str">
        <f>HYPERLINK("https://pbs.twimg.com/profile_images/988971255679324162/jrqiIYf__normal.jpg","View")</f>
        <v>View</v>
      </c>
      <c r="P2541" s="7"/>
    </row>
    <row r="2542" spans="1:16">
      <c r="A2542" s="3">
        <v>44391.183368055557</v>
      </c>
      <c r="B2542" s="4" t="str">
        <f>HYPERLINK("https://twitter.com/sergio_fajardo","@sergio_fajardo")</f>
        <v>@sergio_fajardo</v>
      </c>
      <c r="C2542" s="5" t="s">
        <v>16</v>
      </c>
      <c r="D2542" s="5" t="s">
        <v>2563</v>
      </c>
      <c r="E2542" s="6" t="str">
        <f>HYPERLINK("https://twitter.com/sergio_fajardo/status/1415082121698422795","1415082121698422795")</f>
        <v>1415082121698422795</v>
      </c>
      <c r="F2542" s="7" t="s">
        <v>17</v>
      </c>
      <c r="G2542" s="7">
        <v>1590675</v>
      </c>
      <c r="H2542" s="7">
        <v>434</v>
      </c>
      <c r="I2542" s="7">
        <v>5</v>
      </c>
      <c r="J2542" s="7">
        <v>36</v>
      </c>
      <c r="K2542" s="7" t="s">
        <v>18</v>
      </c>
      <c r="L2542" s="8">
        <v>39891.213356481479</v>
      </c>
      <c r="M2542" s="9" t="s">
        <v>19</v>
      </c>
      <c r="N2542" s="9" t="s">
        <v>22</v>
      </c>
      <c r="O2542" s="6" t="str">
        <f>HYPERLINK("https://pbs.twimg.com/profile_images/988971255679324162/jrqiIYf__normal.jpg","View")</f>
        <v>View</v>
      </c>
      <c r="P2542" s="7"/>
    </row>
    <row r="2543" spans="1:16">
      <c r="A2543" s="3">
        <v>44391.282141203701</v>
      </c>
      <c r="B2543" s="4" t="str">
        <f>HYPERLINK("https://twitter.com/sergio_fajardo","@sergio_fajardo")</f>
        <v>@sergio_fajardo</v>
      </c>
      <c r="C2543" s="5" t="s">
        <v>16</v>
      </c>
      <c r="D2543" s="5" t="s">
        <v>2564</v>
      </c>
      <c r="E2543" s="6" t="str">
        <f>HYPERLINK("https://twitter.com/sergio_fajardo/status/1415117915729367041","1415117915729367041")</f>
        <v>1415117915729367041</v>
      </c>
      <c r="F2543" s="7" t="s">
        <v>17</v>
      </c>
      <c r="G2543" s="7">
        <v>1590686</v>
      </c>
      <c r="H2543" s="7">
        <v>434</v>
      </c>
      <c r="I2543" s="7">
        <v>17</v>
      </c>
      <c r="J2543" s="7">
        <v>82</v>
      </c>
      <c r="K2543" s="7" t="s">
        <v>18</v>
      </c>
      <c r="L2543" s="8">
        <v>39891.213356481479</v>
      </c>
      <c r="M2543" s="9" t="s">
        <v>19</v>
      </c>
      <c r="N2543" s="9" t="s">
        <v>22</v>
      </c>
      <c r="O2543" s="6" t="str">
        <f>HYPERLINK("https://pbs.twimg.com/profile_images/988971255679324162/jrqiIYf__normal.jpg","View")</f>
        <v>View</v>
      </c>
      <c r="P2543" s="7"/>
    </row>
    <row r="2544" spans="1:16">
      <c r="A2544" s="3">
        <v>44391.745405092588</v>
      </c>
      <c r="B2544" s="4" t="str">
        <f>HYPERLINK("https://twitter.com/sergio_fajardo","@sergio_fajardo")</f>
        <v>@sergio_fajardo</v>
      </c>
      <c r="C2544" s="5" t="s">
        <v>16</v>
      </c>
      <c r="D2544" s="5" t="s">
        <v>2565</v>
      </c>
      <c r="E2544" s="6" t="str">
        <f>HYPERLINK("https://twitter.com/sergio_fajardo/status/1415285797092212747","1415285797092212747")</f>
        <v>1415285797092212747</v>
      </c>
      <c r="F2544" s="7" t="s">
        <v>17</v>
      </c>
      <c r="G2544" s="7">
        <v>1590695</v>
      </c>
      <c r="H2544" s="7">
        <v>434</v>
      </c>
      <c r="I2544" s="7">
        <v>2</v>
      </c>
      <c r="J2544" s="7">
        <v>9</v>
      </c>
      <c r="K2544" s="7" t="s">
        <v>18</v>
      </c>
      <c r="L2544" s="8">
        <v>39891.213356481479</v>
      </c>
      <c r="M2544" s="9" t="s">
        <v>19</v>
      </c>
      <c r="N2544" s="9" t="s">
        <v>22</v>
      </c>
      <c r="O2544" s="6" t="str">
        <f>HYPERLINK("https://pbs.twimg.com/profile_images/988971255679324162/jrqiIYf__normal.jpg","View")</f>
        <v>View</v>
      </c>
      <c r="P2544" s="7"/>
    </row>
    <row r="2545" spans="1:16">
      <c r="A2545" s="3">
        <v>44391.857210648144</v>
      </c>
      <c r="B2545" s="4" t="str">
        <f>HYPERLINK("https://twitter.com/sergio_fajardo","@sergio_fajardo")</f>
        <v>@sergio_fajardo</v>
      </c>
      <c r="C2545" s="5" t="s">
        <v>16</v>
      </c>
      <c r="D2545" s="5" t="s">
        <v>2566</v>
      </c>
      <c r="E2545" s="6" t="str">
        <f>HYPERLINK("https://twitter.com/sergio_fajardo/status/1415326314869968904","1415326314869968904")</f>
        <v>1415326314869968904</v>
      </c>
      <c r="F2545" s="7" t="s">
        <v>23</v>
      </c>
      <c r="G2545" s="7">
        <v>1590713</v>
      </c>
      <c r="H2545" s="7">
        <v>434</v>
      </c>
      <c r="I2545" s="7">
        <v>19</v>
      </c>
      <c r="J2545" s="7">
        <v>92</v>
      </c>
      <c r="K2545" s="7" t="s">
        <v>18</v>
      </c>
      <c r="L2545" s="8">
        <v>39891.213356481479</v>
      </c>
      <c r="M2545" s="9" t="s">
        <v>19</v>
      </c>
      <c r="N2545" s="9" t="s">
        <v>22</v>
      </c>
      <c r="O2545" s="6" t="str">
        <f>HYPERLINK("https://pbs.twimg.com/profile_images/988971255679324162/jrqiIYf__normal.jpg","View")</f>
        <v>View</v>
      </c>
      <c r="P2545" s="7"/>
    </row>
    <row r="2546" spans="1:16">
      <c r="A2546" s="3">
        <v>44392.188240740739</v>
      </c>
      <c r="B2546" s="4" t="str">
        <f>HYPERLINK("https://twitter.com/sergio_fajardo","@sergio_fajardo")</f>
        <v>@sergio_fajardo</v>
      </c>
      <c r="C2546" s="5" t="s">
        <v>16</v>
      </c>
      <c r="D2546" s="5" t="s">
        <v>2567</v>
      </c>
      <c r="E2546" s="6" t="str">
        <f>HYPERLINK("https://twitter.com/sergio_fajardo/status/1415446275089174537","1415446275089174537")</f>
        <v>1415446275089174537</v>
      </c>
      <c r="F2546" s="7" t="s">
        <v>2329</v>
      </c>
      <c r="G2546" s="7">
        <v>1590730</v>
      </c>
      <c r="H2546" s="7">
        <v>434</v>
      </c>
      <c r="I2546" s="7">
        <v>0</v>
      </c>
      <c r="J2546" s="7">
        <v>4</v>
      </c>
      <c r="K2546" s="7" t="s">
        <v>18</v>
      </c>
      <c r="L2546" s="8">
        <v>39891.213356481479</v>
      </c>
      <c r="M2546" s="9" t="s">
        <v>19</v>
      </c>
      <c r="N2546" s="9" t="s">
        <v>22</v>
      </c>
      <c r="O2546" s="6" t="str">
        <f>HYPERLINK("https://pbs.twimg.com/profile_images/988971255679324162/jrqiIYf__normal.jpg","View")</f>
        <v>View</v>
      </c>
      <c r="P2546" s="7"/>
    </row>
    <row r="2547" spans="1:16">
      <c r="A2547" s="3">
        <v>44392.766331018516</v>
      </c>
      <c r="B2547" s="4" t="str">
        <f>HYPERLINK("https://twitter.com/sergio_fajardo","@sergio_fajardo")</f>
        <v>@sergio_fajardo</v>
      </c>
      <c r="C2547" s="5" t="s">
        <v>16</v>
      </c>
      <c r="D2547" s="5" t="s">
        <v>2568</v>
      </c>
      <c r="E2547" s="6" t="str">
        <f>HYPERLINK("https://twitter.com/sergio_fajardo/status/1415655768406302722","1415655768406302722")</f>
        <v>1415655768406302722</v>
      </c>
      <c r="F2547" s="7" t="s">
        <v>17</v>
      </c>
      <c r="G2547" s="7">
        <v>1590746</v>
      </c>
      <c r="H2547" s="7">
        <v>434</v>
      </c>
      <c r="I2547" s="7">
        <v>16</v>
      </c>
      <c r="J2547" s="7">
        <v>0</v>
      </c>
      <c r="K2547" s="7" t="s">
        <v>18</v>
      </c>
      <c r="L2547" s="8">
        <v>39891.213356481479</v>
      </c>
      <c r="M2547" s="9" t="s">
        <v>19</v>
      </c>
      <c r="N2547" s="9" t="s">
        <v>22</v>
      </c>
      <c r="O2547" s="6" t="str">
        <f>HYPERLINK("https://pbs.twimg.com/profile_images/988971255679324162/jrqiIYf__normal.jpg","View")</f>
        <v>View</v>
      </c>
      <c r="P2547" s="7"/>
    </row>
    <row r="2548" spans="1:16">
      <c r="A2548" s="3">
        <v>44392.774282407408</v>
      </c>
      <c r="B2548" s="4" t="str">
        <f>HYPERLINK("https://twitter.com/sergio_fajardo","@sergio_fajardo")</f>
        <v>@sergio_fajardo</v>
      </c>
      <c r="C2548" s="5" t="s">
        <v>16</v>
      </c>
      <c r="D2548" s="5" t="s">
        <v>2569</v>
      </c>
      <c r="E2548" s="6" t="str">
        <f>HYPERLINK("https://twitter.com/sergio_fajardo/status/1415658650975285249","1415658650975285249")</f>
        <v>1415658650975285249</v>
      </c>
      <c r="F2548" s="7" t="s">
        <v>17</v>
      </c>
      <c r="G2548" s="7">
        <v>1590749</v>
      </c>
      <c r="H2548" s="7">
        <v>434</v>
      </c>
      <c r="I2548" s="7">
        <v>11</v>
      </c>
      <c r="J2548" s="7">
        <v>19</v>
      </c>
      <c r="K2548" s="7" t="s">
        <v>18</v>
      </c>
      <c r="L2548" s="8">
        <v>39891.213356481479</v>
      </c>
      <c r="M2548" s="9" t="s">
        <v>19</v>
      </c>
      <c r="N2548" s="9" t="s">
        <v>22</v>
      </c>
      <c r="O2548" s="6" t="str">
        <f>HYPERLINK("https://pbs.twimg.com/profile_images/988971255679324162/jrqiIYf__normal.jpg","View")</f>
        <v>View</v>
      </c>
      <c r="P2548" s="7"/>
    </row>
    <row r="2549" spans="1:16">
      <c r="A2549" s="3">
        <v>44392.779629629629</v>
      </c>
      <c r="B2549" s="4" t="str">
        <f>HYPERLINK("https://twitter.com/sergio_fajardo","@sergio_fajardo")</f>
        <v>@sergio_fajardo</v>
      </c>
      <c r="C2549" s="5" t="s">
        <v>16</v>
      </c>
      <c r="D2549" s="5" t="s">
        <v>2570</v>
      </c>
      <c r="E2549" s="6" t="str">
        <f>HYPERLINK("https://twitter.com/sergio_fajardo/status/1415660589893013509","1415660589893013509")</f>
        <v>1415660589893013509</v>
      </c>
      <c r="F2549" s="7" t="s">
        <v>23</v>
      </c>
      <c r="G2549" s="7">
        <v>1590749</v>
      </c>
      <c r="H2549" s="7">
        <v>434</v>
      </c>
      <c r="I2549" s="7">
        <v>18</v>
      </c>
      <c r="J2549" s="7">
        <v>58</v>
      </c>
      <c r="K2549" s="7" t="s">
        <v>18</v>
      </c>
      <c r="L2549" s="8">
        <v>39891.213356481479</v>
      </c>
      <c r="M2549" s="9" t="s">
        <v>19</v>
      </c>
      <c r="N2549" s="9" t="s">
        <v>22</v>
      </c>
      <c r="O2549" s="6" t="str">
        <f>HYPERLINK("https://pbs.twimg.com/profile_images/988971255679324162/jrqiIYf__normal.jpg","View")</f>
        <v>View</v>
      </c>
      <c r="P2549" s="7"/>
    </row>
    <row r="2550" spans="1:16">
      <c r="A2550" s="3">
        <v>44393.122094907405</v>
      </c>
      <c r="B2550" s="4" t="str">
        <f>HYPERLINK("https://twitter.com/sergio_fajardo","@sergio_fajardo")</f>
        <v>@sergio_fajardo</v>
      </c>
      <c r="C2550" s="5" t="s">
        <v>16</v>
      </c>
      <c r="D2550" s="5" t="s">
        <v>2571</v>
      </c>
      <c r="E2550" s="6" t="str">
        <f>HYPERLINK("https://twitter.com/sergio_fajardo/status/1415784692423479301","1415784692423479301")</f>
        <v>1415784692423479301</v>
      </c>
      <c r="F2550" s="7" t="s">
        <v>17</v>
      </c>
      <c r="G2550" s="7">
        <v>1590755</v>
      </c>
      <c r="H2550" s="7">
        <v>434</v>
      </c>
      <c r="I2550" s="7">
        <v>5</v>
      </c>
      <c r="J2550" s="7">
        <v>37</v>
      </c>
      <c r="K2550" s="7" t="s">
        <v>18</v>
      </c>
      <c r="L2550" s="8">
        <v>39891.213356481479</v>
      </c>
      <c r="M2550" s="9" t="s">
        <v>19</v>
      </c>
      <c r="N2550" s="9" t="s">
        <v>22</v>
      </c>
      <c r="O2550" s="6" t="str">
        <f>HYPERLINK("https://pbs.twimg.com/profile_images/988971255679324162/jrqiIYf__normal.jpg","View")</f>
        <v>View</v>
      </c>
      <c r="P2550" s="7"/>
    </row>
    <row r="2551" spans="1:16">
      <c r="A2551" s="3">
        <v>44393.26725694444</v>
      </c>
      <c r="B2551" s="4" t="str">
        <f>HYPERLINK("https://twitter.com/sergio_fajardo","@sergio_fajardo")</f>
        <v>@sergio_fajardo</v>
      </c>
      <c r="C2551" s="5" t="s">
        <v>16</v>
      </c>
      <c r="D2551" s="5" t="s">
        <v>2572</v>
      </c>
      <c r="E2551" s="6" t="str">
        <f>HYPERLINK("https://twitter.com/sergio_fajardo/status/1415837299296845828","1415837299296845828")</f>
        <v>1415837299296845828</v>
      </c>
      <c r="F2551" s="7" t="s">
        <v>17</v>
      </c>
      <c r="G2551" s="7">
        <v>1590765</v>
      </c>
      <c r="H2551" s="7">
        <v>436</v>
      </c>
      <c r="I2551" s="7">
        <v>2</v>
      </c>
      <c r="J2551" s="7">
        <v>0</v>
      </c>
      <c r="K2551" s="7" t="s">
        <v>18</v>
      </c>
      <c r="L2551" s="8">
        <v>39891.213356481479</v>
      </c>
      <c r="M2551" s="9" t="s">
        <v>19</v>
      </c>
      <c r="N2551" s="9" t="s">
        <v>22</v>
      </c>
      <c r="O2551" s="6" t="str">
        <f>HYPERLINK("https://pbs.twimg.com/profile_images/988971255679324162/jrqiIYf__normal.jpg","View")</f>
        <v>View</v>
      </c>
      <c r="P2551" s="7"/>
    </row>
    <row r="2552" spans="1:16">
      <c r="A2552" s="3">
        <v>44393.296412037038</v>
      </c>
      <c r="B2552" s="4" t="str">
        <f>HYPERLINK("https://twitter.com/sergio_fajardo","@sergio_fajardo")</f>
        <v>@sergio_fajardo</v>
      </c>
      <c r="C2552" s="5" t="s">
        <v>16</v>
      </c>
      <c r="D2552" s="5" t="s">
        <v>2573</v>
      </c>
      <c r="E2552" s="6" t="str">
        <f>HYPERLINK("https://twitter.com/sergio_fajardo/status/1415847863754665992","1415847863754665992")</f>
        <v>1415847863754665992</v>
      </c>
      <c r="F2552" s="7" t="s">
        <v>17</v>
      </c>
      <c r="G2552" s="7">
        <v>1590747</v>
      </c>
      <c r="H2552" s="7">
        <v>436</v>
      </c>
      <c r="I2552" s="7">
        <v>11</v>
      </c>
      <c r="J2552" s="7">
        <v>68</v>
      </c>
      <c r="K2552" s="7" t="s">
        <v>18</v>
      </c>
      <c r="L2552" s="8">
        <v>39891.213356481479</v>
      </c>
      <c r="M2552" s="9" t="s">
        <v>19</v>
      </c>
      <c r="N2552" s="9" t="s">
        <v>22</v>
      </c>
      <c r="O2552" s="6" t="str">
        <f>HYPERLINK("https://pbs.twimg.com/profile_images/988971255679324162/jrqiIYf__normal.jpg","View")</f>
        <v>View</v>
      </c>
      <c r="P2552" s="7"/>
    </row>
    <row r="2553" spans="1:16">
      <c r="A2553" s="3">
        <v>44393.948541666672</v>
      </c>
      <c r="B2553" s="4" t="str">
        <f>HYPERLINK("https://twitter.com/sergio_fajardo","@sergio_fajardo")</f>
        <v>@sergio_fajardo</v>
      </c>
      <c r="C2553" s="5" t="s">
        <v>16</v>
      </c>
      <c r="D2553" s="5" t="s">
        <v>2574</v>
      </c>
      <c r="E2553" s="6" t="str">
        <f>HYPERLINK("https://twitter.com/sergio_fajardo/status/1416084188458008577","1416084188458008577")</f>
        <v>1416084188458008577</v>
      </c>
      <c r="F2553" s="7" t="s">
        <v>17</v>
      </c>
      <c r="G2553" s="7">
        <v>1590780</v>
      </c>
      <c r="H2553" s="7">
        <v>436</v>
      </c>
      <c r="I2553" s="7">
        <v>10</v>
      </c>
      <c r="J2553" s="7">
        <v>75</v>
      </c>
      <c r="K2553" s="7" t="s">
        <v>18</v>
      </c>
      <c r="L2553" s="8">
        <v>39891.213356481479</v>
      </c>
      <c r="M2553" s="9" t="s">
        <v>19</v>
      </c>
      <c r="N2553" s="9" t="s">
        <v>22</v>
      </c>
      <c r="O2553" s="6" t="str">
        <f>HYPERLINK("https://pbs.twimg.com/profile_images/988971255679324162/jrqiIYf__normal.jpg","View")</f>
        <v>View</v>
      </c>
      <c r="P2553" s="7"/>
    </row>
    <row r="2554" spans="1:16">
      <c r="A2554" s="3">
        <v>44396.063680555555</v>
      </c>
      <c r="B2554" s="4" t="str">
        <f>HYPERLINK("https://twitter.com/sergio_fajardo","@sergio_fajardo")</f>
        <v>@sergio_fajardo</v>
      </c>
      <c r="C2554" s="5" t="s">
        <v>16</v>
      </c>
      <c r="D2554" s="5" t="s">
        <v>2575</v>
      </c>
      <c r="E2554" s="6" t="str">
        <f>HYPERLINK("https://twitter.com/sergio_fajardo/status/1416850687938400262","1416850687938400262")</f>
        <v>1416850687938400262</v>
      </c>
      <c r="F2554" s="7" t="s">
        <v>17</v>
      </c>
      <c r="G2554" s="7">
        <v>1590911</v>
      </c>
      <c r="H2554" s="7">
        <v>436</v>
      </c>
      <c r="I2554" s="7">
        <v>0</v>
      </c>
      <c r="J2554" s="7">
        <v>3</v>
      </c>
      <c r="K2554" s="7" t="s">
        <v>18</v>
      </c>
      <c r="L2554" s="8">
        <v>39891.213356481479</v>
      </c>
      <c r="M2554" s="9" t="s">
        <v>19</v>
      </c>
      <c r="N2554" s="9" t="s">
        <v>22</v>
      </c>
      <c r="O2554" s="6" t="str">
        <f>HYPERLINK("https://pbs.twimg.com/profile_images/988971255679324162/jrqiIYf__normal.jpg","View")</f>
        <v>View</v>
      </c>
      <c r="P2554" s="7"/>
    </row>
    <row r="2555" spans="1:16">
      <c r="A2555" s="3">
        <v>44396.183738425927</v>
      </c>
      <c r="B2555" s="4" t="str">
        <f>HYPERLINK("https://twitter.com/sergio_fajardo","@sergio_fajardo")</f>
        <v>@sergio_fajardo</v>
      </c>
      <c r="C2555" s="5" t="s">
        <v>16</v>
      </c>
      <c r="D2555" s="5" t="s">
        <v>2576</v>
      </c>
      <c r="E2555" s="6" t="str">
        <f>HYPERLINK("https://twitter.com/sergio_fajardo/status/1416894196905127939","1416894196905127939")</f>
        <v>1416894196905127939</v>
      </c>
      <c r="F2555" s="7" t="s">
        <v>17</v>
      </c>
      <c r="G2555" s="7">
        <v>1590911</v>
      </c>
      <c r="H2555" s="7">
        <v>436</v>
      </c>
      <c r="I2555" s="7">
        <v>7</v>
      </c>
      <c r="J2555" s="7">
        <v>0</v>
      </c>
      <c r="K2555" s="7" t="s">
        <v>18</v>
      </c>
      <c r="L2555" s="8">
        <v>39891.213356481479</v>
      </c>
      <c r="M2555" s="9" t="s">
        <v>19</v>
      </c>
      <c r="N2555" s="9" t="s">
        <v>22</v>
      </c>
      <c r="O2555" s="6" t="str">
        <f>HYPERLINK("https://pbs.twimg.com/profile_images/988971255679324162/jrqiIYf__normal.jpg","View")</f>
        <v>View</v>
      </c>
      <c r="P2555" s="7"/>
    </row>
    <row r="2556" spans="1:16">
      <c r="A2556" s="3">
        <v>44396.861828703702</v>
      </c>
      <c r="B2556" s="4" t="str">
        <f>HYPERLINK("https://twitter.com/sergio_fajardo","@sergio_fajardo")</f>
        <v>@sergio_fajardo</v>
      </c>
      <c r="C2556" s="5" t="s">
        <v>16</v>
      </c>
      <c r="D2556" s="5" t="s">
        <v>2577</v>
      </c>
      <c r="E2556" s="6" t="str">
        <f>HYPERLINK("https://twitter.com/sergio_fajardo/status/1417139925603037187","1417139925603037187")</f>
        <v>1417139925603037187</v>
      </c>
      <c r="F2556" s="7" t="s">
        <v>17</v>
      </c>
      <c r="G2556" s="7">
        <v>1590933</v>
      </c>
      <c r="H2556" s="7">
        <v>436</v>
      </c>
      <c r="I2556" s="7">
        <v>11</v>
      </c>
      <c r="J2556" s="7">
        <v>86</v>
      </c>
      <c r="K2556" s="7" t="s">
        <v>18</v>
      </c>
      <c r="L2556" s="8">
        <v>39891.213356481479</v>
      </c>
      <c r="M2556" s="9" t="s">
        <v>19</v>
      </c>
      <c r="N2556" s="9" t="s">
        <v>22</v>
      </c>
      <c r="O2556" s="6" t="str">
        <f>HYPERLINK("https://pbs.twimg.com/profile_images/988971255679324162/jrqiIYf__normal.jpg","View")</f>
        <v>View</v>
      </c>
      <c r="P2556" s="7"/>
    </row>
    <row r="2557" spans="1:16">
      <c r="A2557" s="3">
        <v>44397.134224537032</v>
      </c>
      <c r="B2557" s="4" t="str">
        <f>HYPERLINK("https://twitter.com/sergio_fajardo","@sergio_fajardo")</f>
        <v>@sergio_fajardo</v>
      </c>
      <c r="C2557" s="5" t="s">
        <v>16</v>
      </c>
      <c r="D2557" s="5" t="s">
        <v>2578</v>
      </c>
      <c r="E2557" s="6" t="str">
        <f>HYPERLINK("https://twitter.com/sergio_fajardo/status/1417238641303334915","1417238641303334915")</f>
        <v>1417238641303334915</v>
      </c>
      <c r="F2557" s="7" t="s">
        <v>17</v>
      </c>
      <c r="G2557" s="7">
        <v>1590959</v>
      </c>
      <c r="H2557" s="7">
        <v>436</v>
      </c>
      <c r="I2557" s="7">
        <v>6</v>
      </c>
      <c r="J2557" s="7">
        <v>0</v>
      </c>
      <c r="K2557" s="7" t="s">
        <v>18</v>
      </c>
      <c r="L2557" s="8">
        <v>39891.213356481479</v>
      </c>
      <c r="M2557" s="9" t="s">
        <v>19</v>
      </c>
      <c r="N2557" s="9" t="s">
        <v>22</v>
      </c>
      <c r="O2557" s="6" t="str">
        <f>HYPERLINK("https://pbs.twimg.com/profile_images/988971255679324162/jrqiIYf__normal.jpg","View")</f>
        <v>View</v>
      </c>
      <c r="P2557" s="7"/>
    </row>
    <row r="2558" spans="1:16">
      <c r="A2558" s="3">
        <v>44397.68950231481</v>
      </c>
      <c r="B2558" s="4" t="str">
        <f>HYPERLINK("https://twitter.com/sergio_fajardo","@sergio_fajardo")</f>
        <v>@sergio_fajardo</v>
      </c>
      <c r="C2558" s="5" t="s">
        <v>16</v>
      </c>
      <c r="D2558" s="5" t="s">
        <v>2579</v>
      </c>
      <c r="E2558" s="6" t="str">
        <f>HYPERLINK("https://twitter.com/sergio_fajardo/status/1417439866699370498","1417439866699370498")</f>
        <v>1417439866699370498</v>
      </c>
      <c r="F2558" s="7" t="s">
        <v>17</v>
      </c>
      <c r="G2558" s="7">
        <v>1590983</v>
      </c>
      <c r="H2558" s="7">
        <v>436</v>
      </c>
      <c r="I2558" s="7">
        <v>8</v>
      </c>
      <c r="J2558" s="7">
        <v>0</v>
      </c>
      <c r="K2558" s="7" t="s">
        <v>18</v>
      </c>
      <c r="L2558" s="8">
        <v>39891.213356481479</v>
      </c>
      <c r="M2558" s="9" t="s">
        <v>19</v>
      </c>
      <c r="N2558" s="9" t="s">
        <v>22</v>
      </c>
      <c r="O2558" s="6" t="str">
        <f>HYPERLINK("https://pbs.twimg.com/profile_images/988971255679324162/jrqiIYf__normal.jpg","View")</f>
        <v>View</v>
      </c>
      <c r="P2558" s="7"/>
    </row>
    <row r="2559" spans="1:16">
      <c r="A2559" s="3">
        <v>44397.821851851855</v>
      </c>
      <c r="B2559" s="4" t="str">
        <f>HYPERLINK("https://twitter.com/sergio_fajardo","@sergio_fajardo")</f>
        <v>@sergio_fajardo</v>
      </c>
      <c r="C2559" s="5" t="s">
        <v>16</v>
      </c>
      <c r="D2559" s="5" t="s">
        <v>2580</v>
      </c>
      <c r="E2559" s="6" t="str">
        <f>HYPERLINK("https://twitter.com/sergio_fajardo/status/1417487827089170440","1417487827089170440")</f>
        <v>1417487827089170440</v>
      </c>
      <c r="F2559" s="7" t="s">
        <v>17</v>
      </c>
      <c r="G2559" s="7">
        <v>1591011</v>
      </c>
      <c r="H2559" s="7">
        <v>436</v>
      </c>
      <c r="I2559" s="7">
        <v>49</v>
      </c>
      <c r="J2559" s="7">
        <v>227</v>
      </c>
      <c r="K2559" s="7" t="s">
        <v>18</v>
      </c>
      <c r="L2559" s="8">
        <v>39891.213356481479</v>
      </c>
      <c r="M2559" s="9" t="s">
        <v>19</v>
      </c>
      <c r="N2559" s="9" t="s">
        <v>22</v>
      </c>
      <c r="O2559" s="6" t="str">
        <f>HYPERLINK("https://pbs.twimg.com/profile_images/988971255679324162/jrqiIYf__normal.jpg","View")</f>
        <v>View</v>
      </c>
      <c r="P2559" s="7"/>
    </row>
    <row r="2560" spans="1:16">
      <c r="A2560" s="3">
        <v>44397.963692129633</v>
      </c>
      <c r="B2560" s="4" t="str">
        <f>HYPERLINK("https://twitter.com/sergio_fajardo","@sergio_fajardo")</f>
        <v>@sergio_fajardo</v>
      </c>
      <c r="C2560" s="5" t="s">
        <v>16</v>
      </c>
      <c r="D2560" s="5" t="s">
        <v>2581</v>
      </c>
      <c r="E2560" s="6" t="str">
        <f>HYPERLINK("https://twitter.com/sergio_fajardo/status/1417539228192460801","1417539228192460801")</f>
        <v>1417539228192460801</v>
      </c>
      <c r="F2560" s="7" t="s">
        <v>17</v>
      </c>
      <c r="G2560" s="7">
        <v>1591013</v>
      </c>
      <c r="H2560" s="7">
        <v>435</v>
      </c>
      <c r="I2560" s="7">
        <v>104</v>
      </c>
      <c r="J2560" s="7">
        <v>489</v>
      </c>
      <c r="K2560" s="7" t="s">
        <v>18</v>
      </c>
      <c r="L2560" s="8">
        <v>39891.213356481479</v>
      </c>
      <c r="M2560" s="9" t="s">
        <v>19</v>
      </c>
      <c r="N2560" s="9" t="s">
        <v>22</v>
      </c>
      <c r="O2560" s="6" t="str">
        <f>HYPERLINK("https://pbs.twimg.com/profile_images/988971255679324162/jrqiIYf__normal.jpg","View")</f>
        <v>View</v>
      </c>
      <c r="P2560" s="7"/>
    </row>
    <row r="2561" spans="1:16">
      <c r="A2561" s="3">
        <v>44398.06826388889</v>
      </c>
      <c r="B2561" s="4" t="str">
        <f>HYPERLINK("https://twitter.com/sergio_fajardo","@sergio_fajardo")</f>
        <v>@sergio_fajardo</v>
      </c>
      <c r="C2561" s="5" t="s">
        <v>16</v>
      </c>
      <c r="D2561" s="5" t="s">
        <v>2582</v>
      </c>
      <c r="E2561" s="6" t="str">
        <f>HYPERLINK("https://twitter.com/sergio_fajardo/status/1417577126790897667","1417577126790897667")</f>
        <v>1417577126790897667</v>
      </c>
      <c r="F2561" s="7" t="s">
        <v>17</v>
      </c>
      <c r="G2561" s="7">
        <v>1591022</v>
      </c>
      <c r="H2561" s="7">
        <v>435</v>
      </c>
      <c r="I2561" s="7">
        <v>13</v>
      </c>
      <c r="J2561" s="7">
        <v>180</v>
      </c>
      <c r="K2561" s="7" t="s">
        <v>18</v>
      </c>
      <c r="L2561" s="8">
        <v>39891.213356481479</v>
      </c>
      <c r="M2561" s="9" t="s">
        <v>19</v>
      </c>
      <c r="N2561" s="9" t="s">
        <v>22</v>
      </c>
      <c r="O2561" s="6" t="str">
        <f>HYPERLINK("https://pbs.twimg.com/profile_images/988971255679324162/jrqiIYf__normal.jpg","View")</f>
        <v>View</v>
      </c>
      <c r="P2561" s="7"/>
    </row>
    <row r="2562" spans="1:16">
      <c r="A2562" s="3">
        <v>44398.87090277778</v>
      </c>
      <c r="B2562" s="4" t="str">
        <f>HYPERLINK("https://twitter.com/sergio_fajardo","@sergio_fajardo")</f>
        <v>@sergio_fajardo</v>
      </c>
      <c r="C2562" s="5" t="s">
        <v>16</v>
      </c>
      <c r="D2562" s="5" t="s">
        <v>2583</v>
      </c>
      <c r="E2562" s="6" t="str">
        <f>HYPERLINK("https://twitter.com/sergio_fajardo/status/1417867991245545476","1417867991245545476")</f>
        <v>1417867991245545476</v>
      </c>
      <c r="F2562" s="7" t="s">
        <v>17</v>
      </c>
      <c r="G2562" s="7">
        <v>1591095</v>
      </c>
      <c r="H2562" s="7">
        <v>435</v>
      </c>
      <c r="I2562" s="7">
        <v>2</v>
      </c>
      <c r="J2562" s="7">
        <v>16</v>
      </c>
      <c r="K2562" s="7" t="s">
        <v>18</v>
      </c>
      <c r="L2562" s="8">
        <v>39891.213356481479</v>
      </c>
      <c r="M2562" s="9" t="s">
        <v>19</v>
      </c>
      <c r="N2562" s="9" t="s">
        <v>22</v>
      </c>
      <c r="O2562" s="6" t="str">
        <f>HYPERLINK("https://pbs.twimg.com/profile_images/988971255679324162/jrqiIYf__normal.jpg","View")</f>
        <v>View</v>
      </c>
      <c r="P2562" s="7"/>
    </row>
    <row r="2563" spans="1:16">
      <c r="A2563" s="3">
        <v>44399.16233796296</v>
      </c>
      <c r="B2563" s="4" t="str">
        <f>HYPERLINK("https://twitter.com/sergio_fajardo","@sergio_fajardo")</f>
        <v>@sergio_fajardo</v>
      </c>
      <c r="C2563" s="5" t="s">
        <v>16</v>
      </c>
      <c r="D2563" s="5" t="s">
        <v>2584</v>
      </c>
      <c r="E2563" s="6" t="str">
        <f>HYPERLINK("https://twitter.com/sergio_fajardo/status/1417973602427838464","1417973602427838464")</f>
        <v>1417973602427838464</v>
      </c>
      <c r="F2563" s="7" t="s">
        <v>17</v>
      </c>
      <c r="G2563" s="7">
        <v>1591112</v>
      </c>
      <c r="H2563" s="7">
        <v>435</v>
      </c>
      <c r="I2563" s="7">
        <v>15</v>
      </c>
      <c r="J2563" s="7">
        <v>0</v>
      </c>
      <c r="K2563" s="7" t="s">
        <v>18</v>
      </c>
      <c r="L2563" s="8">
        <v>39891.213356481479</v>
      </c>
      <c r="M2563" s="9" t="s">
        <v>19</v>
      </c>
      <c r="N2563" s="9" t="s">
        <v>22</v>
      </c>
      <c r="O2563" s="6" t="str">
        <f>HYPERLINK("https://pbs.twimg.com/profile_images/988971255679324162/jrqiIYf__normal.jpg","View")</f>
        <v>View</v>
      </c>
      <c r="P2563" s="7"/>
    </row>
    <row r="2564" spans="1:16">
      <c r="A2564" s="3">
        <v>44399.200231481482</v>
      </c>
      <c r="B2564" s="4" t="str">
        <f>HYPERLINK("https://twitter.com/sergio_fajardo","@sergio_fajardo")</f>
        <v>@sergio_fajardo</v>
      </c>
      <c r="C2564" s="5" t="s">
        <v>16</v>
      </c>
      <c r="D2564" s="5" t="s">
        <v>2585</v>
      </c>
      <c r="E2564" s="6" t="str">
        <f>HYPERLINK("https://twitter.com/sergio_fajardo/status/1417987334218391554","1417987334218391554")</f>
        <v>1417987334218391554</v>
      </c>
      <c r="F2564" s="7" t="s">
        <v>17</v>
      </c>
      <c r="G2564" s="7">
        <v>1591111</v>
      </c>
      <c r="H2564" s="7">
        <v>435</v>
      </c>
      <c r="I2564" s="7">
        <v>4</v>
      </c>
      <c r="J2564" s="7">
        <v>93</v>
      </c>
      <c r="K2564" s="7" t="s">
        <v>18</v>
      </c>
      <c r="L2564" s="8">
        <v>39891.213356481479</v>
      </c>
      <c r="M2564" s="9" t="s">
        <v>19</v>
      </c>
      <c r="N2564" s="9" t="s">
        <v>22</v>
      </c>
      <c r="O2564" s="6" t="str">
        <f>HYPERLINK("https://pbs.twimg.com/profile_images/988971255679324162/jrqiIYf__normal.jpg","View")</f>
        <v>View</v>
      </c>
      <c r="P2564" s="7"/>
    </row>
    <row r="2565" spans="1:16">
      <c r="A2565" s="3">
        <v>44399.229479166665</v>
      </c>
      <c r="B2565" s="4" t="str">
        <f>HYPERLINK("https://twitter.com/sergio_fajardo","@sergio_fajardo")</f>
        <v>@sergio_fajardo</v>
      </c>
      <c r="C2565" s="5" t="s">
        <v>16</v>
      </c>
      <c r="D2565" s="5" t="s">
        <v>2586</v>
      </c>
      <c r="E2565" s="6" t="str">
        <f>HYPERLINK("https://twitter.com/sergio_fajardo/status/1417997934789070850","1417997934789070850")</f>
        <v>1417997934789070850</v>
      </c>
      <c r="F2565" s="7" t="s">
        <v>23</v>
      </c>
      <c r="G2565" s="7">
        <v>1591114</v>
      </c>
      <c r="H2565" s="7">
        <v>435</v>
      </c>
      <c r="I2565" s="7">
        <v>1</v>
      </c>
      <c r="J2565" s="7">
        <v>8</v>
      </c>
      <c r="K2565" s="7" t="s">
        <v>18</v>
      </c>
      <c r="L2565" s="8">
        <v>39891.213356481479</v>
      </c>
      <c r="M2565" s="9" t="s">
        <v>19</v>
      </c>
      <c r="N2565" s="9" t="s">
        <v>22</v>
      </c>
      <c r="O2565" s="6" t="str">
        <f>HYPERLINK("https://pbs.twimg.com/profile_images/988971255679324162/jrqiIYf__normal.jpg","View")</f>
        <v>View</v>
      </c>
      <c r="P2565" s="7"/>
    </row>
    <row r="2566" spans="1:16">
      <c r="A2566" s="3">
        <v>44399.947199074071</v>
      </c>
      <c r="B2566" s="4" t="str">
        <f>HYPERLINK("https://twitter.com/sergio_fajardo","@sergio_fajardo")</f>
        <v>@sergio_fajardo</v>
      </c>
      <c r="C2566" s="5" t="s">
        <v>16</v>
      </c>
      <c r="D2566" s="5" t="s">
        <v>2587</v>
      </c>
      <c r="E2566" s="6" t="str">
        <f>HYPERLINK("https://twitter.com/sergio_fajardo/status/1418258029980622848","1418258029980622848")</f>
        <v>1418258029980622848</v>
      </c>
      <c r="F2566" s="7" t="s">
        <v>23</v>
      </c>
      <c r="G2566" s="7">
        <v>1591119</v>
      </c>
      <c r="H2566" s="7">
        <v>435</v>
      </c>
      <c r="I2566" s="7">
        <v>7</v>
      </c>
      <c r="J2566" s="7">
        <v>34</v>
      </c>
      <c r="K2566" s="7" t="s">
        <v>18</v>
      </c>
      <c r="L2566" s="8">
        <v>39891.213356481479</v>
      </c>
      <c r="M2566" s="9" t="s">
        <v>19</v>
      </c>
      <c r="N2566" s="9" t="s">
        <v>22</v>
      </c>
      <c r="O2566" s="6" t="str">
        <f>HYPERLINK("https://pbs.twimg.com/profile_images/988971255679324162/jrqiIYf__normal.jpg","View")</f>
        <v>View</v>
      </c>
      <c r="P2566" s="7"/>
    </row>
    <row r="2567" spans="1:16">
      <c r="A2567" s="3">
        <v>44399.947222222225</v>
      </c>
      <c r="B2567" s="4" t="str">
        <f>HYPERLINK("https://twitter.com/sergio_fajardo","@sergio_fajardo")</f>
        <v>@sergio_fajardo</v>
      </c>
      <c r="C2567" s="5" t="s">
        <v>16</v>
      </c>
      <c r="D2567" s="5" t="s">
        <v>2588</v>
      </c>
      <c r="E2567" s="6" t="str">
        <f>HYPERLINK("https://twitter.com/sergio_fajardo/status/1418258034506280962","1418258034506280962")</f>
        <v>1418258034506280962</v>
      </c>
      <c r="F2567" s="7" t="s">
        <v>23</v>
      </c>
      <c r="G2567" s="7">
        <v>1591119</v>
      </c>
      <c r="H2567" s="7">
        <v>435</v>
      </c>
      <c r="I2567" s="7">
        <v>1</v>
      </c>
      <c r="J2567" s="7">
        <v>9</v>
      </c>
      <c r="K2567" s="7" t="s">
        <v>18</v>
      </c>
      <c r="L2567" s="8">
        <v>39891.213356481479</v>
      </c>
      <c r="M2567" s="9" t="s">
        <v>19</v>
      </c>
      <c r="N2567" s="9" t="s">
        <v>22</v>
      </c>
      <c r="O2567" s="6" t="str">
        <f>HYPERLINK("https://pbs.twimg.com/profile_images/988971255679324162/jrqiIYf__normal.jpg","View")</f>
        <v>View</v>
      </c>
      <c r="P2567" s="7"/>
    </row>
    <row r="2568" spans="1:16">
      <c r="A2568" s="3">
        <v>44399.947222222225</v>
      </c>
      <c r="B2568" s="4" t="str">
        <f>HYPERLINK("https://twitter.com/sergio_fajardo","@sergio_fajardo")</f>
        <v>@sergio_fajardo</v>
      </c>
      <c r="C2568" s="5" t="s">
        <v>16</v>
      </c>
      <c r="D2568" s="5" t="s">
        <v>2589</v>
      </c>
      <c r="E2568" s="6" t="str">
        <f>HYPERLINK("https://twitter.com/sergio_fajardo/status/1418258036523687951","1418258036523687951")</f>
        <v>1418258036523687951</v>
      </c>
      <c r="F2568" s="7" t="s">
        <v>23</v>
      </c>
      <c r="G2568" s="7">
        <v>1591119</v>
      </c>
      <c r="H2568" s="7">
        <v>435</v>
      </c>
      <c r="I2568" s="7">
        <v>1</v>
      </c>
      <c r="J2568" s="7">
        <v>9</v>
      </c>
      <c r="K2568" s="7" t="s">
        <v>18</v>
      </c>
      <c r="L2568" s="8">
        <v>39891.213356481479</v>
      </c>
      <c r="M2568" s="9" t="s">
        <v>19</v>
      </c>
      <c r="N2568" s="9" t="s">
        <v>22</v>
      </c>
      <c r="O2568" s="6" t="str">
        <f>HYPERLINK("https://pbs.twimg.com/profile_images/988971255679324162/jrqiIYf__normal.jpg","View")</f>
        <v>View</v>
      </c>
      <c r="P2568" s="7"/>
    </row>
    <row r="2569" spans="1:16">
      <c r="A2569" s="3">
        <v>44399.947222222225</v>
      </c>
      <c r="B2569" s="4" t="str">
        <f>HYPERLINK("https://twitter.com/sergio_fajardo","@sergio_fajardo")</f>
        <v>@sergio_fajardo</v>
      </c>
      <c r="C2569" s="5" t="s">
        <v>16</v>
      </c>
      <c r="D2569" s="5" t="s">
        <v>2590</v>
      </c>
      <c r="E2569" s="6" t="str">
        <f>HYPERLINK("https://twitter.com/sergio_fajardo/status/1418258037924634626","1418258037924634626")</f>
        <v>1418258037924634626</v>
      </c>
      <c r="F2569" s="7" t="s">
        <v>23</v>
      </c>
      <c r="G2569" s="7">
        <v>1591119</v>
      </c>
      <c r="H2569" s="7">
        <v>435</v>
      </c>
      <c r="I2569" s="7">
        <v>1</v>
      </c>
      <c r="J2569" s="7">
        <v>8</v>
      </c>
      <c r="K2569" s="7" t="s">
        <v>18</v>
      </c>
      <c r="L2569" s="8">
        <v>39891.213356481479</v>
      </c>
      <c r="M2569" s="9" t="s">
        <v>19</v>
      </c>
      <c r="N2569" s="9" t="s">
        <v>22</v>
      </c>
      <c r="O2569" s="6" t="str">
        <f>HYPERLINK("https://pbs.twimg.com/profile_images/988971255679324162/jrqiIYf__normal.jpg","View")</f>
        <v>View</v>
      </c>
      <c r="P2569" s="7"/>
    </row>
    <row r="2570" spans="1:16">
      <c r="A2570" s="3">
        <v>44400.125497685185</v>
      </c>
      <c r="B2570" s="4" t="str">
        <f>HYPERLINK("https://twitter.com/sergio_fajardo","@sergio_fajardo")</f>
        <v>@sergio_fajardo</v>
      </c>
      <c r="C2570" s="5" t="s">
        <v>16</v>
      </c>
      <c r="D2570" s="5" t="s">
        <v>2591</v>
      </c>
      <c r="E2570" s="6" t="str">
        <f>HYPERLINK("https://twitter.com/sergio_fajardo/status/1418322641237291014","1418322641237291014")</f>
        <v>1418322641237291014</v>
      </c>
      <c r="F2570" s="7" t="s">
        <v>17</v>
      </c>
      <c r="G2570" s="7">
        <v>1591127</v>
      </c>
      <c r="H2570" s="7">
        <v>435</v>
      </c>
      <c r="I2570" s="7">
        <v>5</v>
      </c>
      <c r="J2570" s="7">
        <v>27</v>
      </c>
      <c r="K2570" s="7" t="s">
        <v>18</v>
      </c>
      <c r="L2570" s="8">
        <v>39891.213356481479</v>
      </c>
      <c r="M2570" s="9" t="s">
        <v>19</v>
      </c>
      <c r="N2570" s="9" t="s">
        <v>22</v>
      </c>
      <c r="O2570" s="6" t="str">
        <f>HYPERLINK("https://pbs.twimg.com/profile_images/988971255679324162/jrqiIYf__normal.jpg","View")</f>
        <v>View</v>
      </c>
      <c r="P2570" s="7"/>
    </row>
    <row r="2571" spans="1:16">
      <c r="A2571" s="3">
        <v>44400.188460648147</v>
      </c>
      <c r="B2571" s="4" t="str">
        <f>HYPERLINK("https://twitter.com/sergio_fajardo","@sergio_fajardo")</f>
        <v>@sergio_fajardo</v>
      </c>
      <c r="C2571" s="5" t="s">
        <v>16</v>
      </c>
      <c r="D2571" s="5" t="s">
        <v>2592</v>
      </c>
      <c r="E2571" s="6" t="str">
        <f>HYPERLINK("https://twitter.com/sergio_fajardo/status/1418345458313965568","1418345458313965568")</f>
        <v>1418345458313965568</v>
      </c>
      <c r="F2571" s="7" t="s">
        <v>2329</v>
      </c>
      <c r="G2571" s="7">
        <v>1591124</v>
      </c>
      <c r="H2571" s="7">
        <v>435</v>
      </c>
      <c r="I2571" s="7">
        <v>5</v>
      </c>
      <c r="J2571" s="7">
        <v>14</v>
      </c>
      <c r="K2571" s="7" t="s">
        <v>18</v>
      </c>
      <c r="L2571" s="8">
        <v>39891.213356481479</v>
      </c>
      <c r="M2571" s="9" t="s">
        <v>19</v>
      </c>
      <c r="N2571" s="9" t="s">
        <v>22</v>
      </c>
      <c r="O2571" s="6" t="str">
        <f>HYPERLINK("https://pbs.twimg.com/profile_images/988971255679324162/jrqiIYf__normal.jpg","View")</f>
        <v>View</v>
      </c>
      <c r="P2571" s="7"/>
    </row>
    <row r="2572" spans="1:16">
      <c r="A2572" s="3">
        <v>44400.188645833332</v>
      </c>
      <c r="B2572" s="4" t="str">
        <f>HYPERLINK("https://twitter.com/sergio_fajardo","@sergio_fajardo")</f>
        <v>@sergio_fajardo</v>
      </c>
      <c r="C2572" s="5" t="s">
        <v>16</v>
      </c>
      <c r="D2572" s="5" t="s">
        <v>2593</v>
      </c>
      <c r="E2572" s="6" t="str">
        <f>HYPERLINK("https://twitter.com/sergio_fajardo/status/1418345525733175297","1418345525733175297")</f>
        <v>1418345525733175297</v>
      </c>
      <c r="F2572" s="7" t="s">
        <v>23</v>
      </c>
      <c r="G2572" s="7">
        <v>1591124</v>
      </c>
      <c r="H2572" s="7">
        <v>435</v>
      </c>
      <c r="I2572" s="7">
        <v>2</v>
      </c>
      <c r="J2572" s="7">
        <v>7</v>
      </c>
      <c r="K2572" s="7" t="s">
        <v>18</v>
      </c>
      <c r="L2572" s="8">
        <v>39891.213356481479</v>
      </c>
      <c r="M2572" s="9" t="s">
        <v>19</v>
      </c>
      <c r="N2572" s="9" t="s">
        <v>22</v>
      </c>
      <c r="O2572" s="6" t="str">
        <f>HYPERLINK("https://pbs.twimg.com/profile_images/988971255679324162/jrqiIYf__normal.jpg","View")</f>
        <v>View</v>
      </c>
      <c r="P2572" s="7"/>
    </row>
    <row r="2573" spans="1:16">
      <c r="A2573" s="3">
        <v>44400.188773148147</v>
      </c>
      <c r="B2573" s="4" t="str">
        <f>HYPERLINK("https://twitter.com/sergio_fajardo","@sergio_fajardo")</f>
        <v>@sergio_fajardo</v>
      </c>
      <c r="C2573" s="5" t="s">
        <v>16</v>
      </c>
      <c r="D2573" s="5" t="s">
        <v>2594</v>
      </c>
      <c r="E2573" s="6" t="str">
        <f>HYPERLINK("https://twitter.com/sergio_fajardo/status/1418345571476250627","1418345571476250627")</f>
        <v>1418345571476250627</v>
      </c>
      <c r="F2573" s="7" t="s">
        <v>23</v>
      </c>
      <c r="G2573" s="7">
        <v>1591124</v>
      </c>
      <c r="H2573" s="7">
        <v>435</v>
      </c>
      <c r="I2573" s="7">
        <v>0</v>
      </c>
      <c r="J2573" s="7">
        <v>2</v>
      </c>
      <c r="K2573" s="7" t="s">
        <v>18</v>
      </c>
      <c r="L2573" s="8">
        <v>39891.213356481479</v>
      </c>
      <c r="M2573" s="9" t="s">
        <v>19</v>
      </c>
      <c r="N2573" s="9" t="s">
        <v>22</v>
      </c>
      <c r="O2573" s="6" t="str">
        <f>HYPERLINK("https://pbs.twimg.com/profile_images/988971255679324162/jrqiIYf__normal.jpg","View")</f>
        <v>View</v>
      </c>
      <c r="P2573" s="7"/>
    </row>
    <row r="2574" spans="1:16">
      <c r="A2574" s="3">
        <v>44400.198877314819</v>
      </c>
      <c r="B2574" s="4" t="str">
        <f>HYPERLINK("https://twitter.com/sergio_fajardo","@sergio_fajardo")</f>
        <v>@sergio_fajardo</v>
      </c>
      <c r="C2574" s="5" t="s">
        <v>16</v>
      </c>
      <c r="D2574" s="5" t="s">
        <v>2595</v>
      </c>
      <c r="E2574" s="6" t="str">
        <f>HYPERLINK("https://twitter.com/sergio_fajardo/status/1418349234017931265","1418349234017931265")</f>
        <v>1418349234017931265</v>
      </c>
      <c r="F2574" s="7" t="s">
        <v>17</v>
      </c>
      <c r="G2574" s="7">
        <v>1591123</v>
      </c>
      <c r="H2574" s="7">
        <v>435</v>
      </c>
      <c r="I2574" s="7">
        <v>2</v>
      </c>
      <c r="J2574" s="7">
        <v>32</v>
      </c>
      <c r="K2574" s="7" t="s">
        <v>18</v>
      </c>
      <c r="L2574" s="8">
        <v>39891.213356481479</v>
      </c>
      <c r="M2574" s="9" t="s">
        <v>19</v>
      </c>
      <c r="N2574" s="9" t="s">
        <v>22</v>
      </c>
      <c r="O2574" s="6" t="str">
        <f>HYPERLINK("https://pbs.twimg.com/profile_images/988971255679324162/jrqiIYf__normal.jpg","View")</f>
        <v>View</v>
      </c>
      <c r="P2574" s="7"/>
    </row>
    <row r="2575" spans="1:16">
      <c r="A2575" s="3">
        <v>44400.201145833329</v>
      </c>
      <c r="B2575" s="4" t="str">
        <f>HYPERLINK("https://twitter.com/sergio_fajardo","@sergio_fajardo")</f>
        <v>@sergio_fajardo</v>
      </c>
      <c r="C2575" s="5" t="s">
        <v>16</v>
      </c>
      <c r="D2575" s="5" t="s">
        <v>2596</v>
      </c>
      <c r="E2575" s="6" t="str">
        <f>HYPERLINK("https://twitter.com/sergio_fajardo/status/1418350054021206018","1418350054021206018")</f>
        <v>1418350054021206018</v>
      </c>
      <c r="F2575" s="7" t="s">
        <v>17</v>
      </c>
      <c r="G2575" s="7">
        <v>1591123</v>
      </c>
      <c r="H2575" s="7">
        <v>435</v>
      </c>
      <c r="I2575" s="7">
        <v>4</v>
      </c>
      <c r="J2575" s="7">
        <v>68</v>
      </c>
      <c r="K2575" s="7" t="s">
        <v>18</v>
      </c>
      <c r="L2575" s="8">
        <v>39891.213356481479</v>
      </c>
      <c r="M2575" s="9" t="s">
        <v>19</v>
      </c>
      <c r="N2575" s="9" t="s">
        <v>22</v>
      </c>
      <c r="O2575" s="6" t="str">
        <f>HYPERLINK("https://pbs.twimg.com/profile_images/988971255679324162/jrqiIYf__normal.jpg","View")</f>
        <v>View</v>
      </c>
      <c r="P2575" s="7"/>
    </row>
    <row r="2576" spans="1:16">
      <c r="A2576" s="3">
        <v>44400.203715277778</v>
      </c>
      <c r="B2576" s="4" t="str">
        <f>HYPERLINK("https://twitter.com/sergio_fajardo","@sergio_fajardo")</f>
        <v>@sergio_fajardo</v>
      </c>
      <c r="C2576" s="5" t="s">
        <v>16</v>
      </c>
      <c r="D2576" s="5" t="s">
        <v>2597</v>
      </c>
      <c r="E2576" s="6" t="str">
        <f>HYPERLINK("https://twitter.com/sergio_fajardo/status/1418350985123090436","1418350985123090436")</f>
        <v>1418350985123090436</v>
      </c>
      <c r="F2576" s="7" t="s">
        <v>17</v>
      </c>
      <c r="G2576" s="7">
        <v>1591123</v>
      </c>
      <c r="H2576" s="7">
        <v>435</v>
      </c>
      <c r="I2576" s="7">
        <v>0</v>
      </c>
      <c r="J2576" s="7">
        <v>10</v>
      </c>
      <c r="K2576" s="7" t="s">
        <v>18</v>
      </c>
      <c r="L2576" s="8">
        <v>39891.213356481479</v>
      </c>
      <c r="M2576" s="9" t="s">
        <v>19</v>
      </c>
      <c r="N2576" s="9" t="s">
        <v>22</v>
      </c>
      <c r="O2576" s="6" t="str">
        <f>HYPERLINK("https://pbs.twimg.com/profile_images/988971255679324162/jrqiIYf__normal.jpg","View")</f>
        <v>View</v>
      </c>
      <c r="P2576" s="7"/>
    </row>
    <row r="2577" spans="1:16">
      <c r="A2577" s="3">
        <v>44400.205682870372</v>
      </c>
      <c r="B2577" s="4" t="str">
        <f>HYPERLINK("https://twitter.com/sergio_fajardo","@sergio_fajardo")</f>
        <v>@sergio_fajardo</v>
      </c>
      <c r="C2577" s="5" t="s">
        <v>16</v>
      </c>
      <c r="D2577" s="5" t="s">
        <v>2598</v>
      </c>
      <c r="E2577" s="6" t="str">
        <f>HYPERLINK("https://twitter.com/sergio_fajardo/status/1418351700453244928","1418351700453244928")</f>
        <v>1418351700453244928</v>
      </c>
      <c r="F2577" s="7" t="s">
        <v>17</v>
      </c>
      <c r="G2577" s="7">
        <v>1591123</v>
      </c>
      <c r="H2577" s="7">
        <v>435</v>
      </c>
      <c r="I2577" s="7">
        <v>0</v>
      </c>
      <c r="J2577" s="7">
        <v>17</v>
      </c>
      <c r="K2577" s="7" t="s">
        <v>18</v>
      </c>
      <c r="L2577" s="8">
        <v>39891.213356481479</v>
      </c>
      <c r="M2577" s="9" t="s">
        <v>19</v>
      </c>
      <c r="N2577" s="9" t="s">
        <v>22</v>
      </c>
      <c r="O2577" s="6" t="str">
        <f>HYPERLINK("https://pbs.twimg.com/profile_images/988971255679324162/jrqiIYf__normal.jpg","View")</f>
        <v>View</v>
      </c>
      <c r="P2577" s="7"/>
    </row>
    <row r="2578" spans="1:16">
      <c r="A2578" s="3">
        <v>44400.209166666667</v>
      </c>
      <c r="B2578" s="4" t="str">
        <f>HYPERLINK("https://twitter.com/sergio_fajardo","@sergio_fajardo")</f>
        <v>@sergio_fajardo</v>
      </c>
      <c r="C2578" s="5" t="s">
        <v>16</v>
      </c>
      <c r="D2578" s="5" t="s">
        <v>2599</v>
      </c>
      <c r="E2578" s="6" t="str">
        <f>HYPERLINK("https://twitter.com/sergio_fajardo/status/1418352962548781057","1418352962548781057")</f>
        <v>1418352962548781057</v>
      </c>
      <c r="F2578" s="7" t="s">
        <v>17</v>
      </c>
      <c r="G2578" s="7">
        <v>1591123</v>
      </c>
      <c r="H2578" s="7">
        <v>435</v>
      </c>
      <c r="I2578" s="7">
        <v>2</v>
      </c>
      <c r="J2578" s="7">
        <v>6</v>
      </c>
      <c r="K2578" s="7" t="s">
        <v>18</v>
      </c>
      <c r="L2578" s="8">
        <v>39891.213356481479</v>
      </c>
      <c r="M2578" s="9" t="s">
        <v>19</v>
      </c>
      <c r="N2578" s="9" t="s">
        <v>22</v>
      </c>
      <c r="O2578" s="6" t="str">
        <f>HYPERLINK("https://pbs.twimg.com/profile_images/988971255679324162/jrqiIYf__normal.jpg","View")</f>
        <v>View</v>
      </c>
      <c r="P2578" s="7"/>
    </row>
    <row r="2579" spans="1:16">
      <c r="A2579" s="3">
        <v>44400.210474537038</v>
      </c>
      <c r="B2579" s="4" t="str">
        <f>HYPERLINK("https://twitter.com/sergio_fajardo","@sergio_fajardo")</f>
        <v>@sergio_fajardo</v>
      </c>
      <c r="C2579" s="5" t="s">
        <v>16</v>
      </c>
      <c r="D2579" s="5" t="s">
        <v>2600</v>
      </c>
      <c r="E2579" s="6" t="str">
        <f>HYPERLINK("https://twitter.com/sergio_fajardo/status/1418353436182122500","1418353436182122500")</f>
        <v>1418353436182122500</v>
      </c>
      <c r="F2579" s="7" t="s">
        <v>17</v>
      </c>
      <c r="G2579" s="7">
        <v>1591116</v>
      </c>
      <c r="H2579" s="7">
        <v>435</v>
      </c>
      <c r="I2579" s="7">
        <v>8</v>
      </c>
      <c r="J2579" s="7">
        <v>0</v>
      </c>
      <c r="K2579" s="7" t="s">
        <v>18</v>
      </c>
      <c r="L2579" s="8">
        <v>39891.213356481479</v>
      </c>
      <c r="M2579" s="9" t="s">
        <v>19</v>
      </c>
      <c r="N2579" s="9" t="s">
        <v>22</v>
      </c>
      <c r="O2579" s="6" t="str">
        <f>HYPERLINK("https://pbs.twimg.com/profile_images/988971255679324162/jrqiIYf__normal.jpg","View")</f>
        <v>View</v>
      </c>
      <c r="P2579" s="7"/>
    </row>
    <row r="2580" spans="1:16">
      <c r="A2580" s="3">
        <v>44400.211712962962</v>
      </c>
      <c r="B2580" s="4" t="str">
        <f>HYPERLINK("https://twitter.com/sergio_fajardo","@sergio_fajardo")</f>
        <v>@sergio_fajardo</v>
      </c>
      <c r="C2580" s="5" t="s">
        <v>16</v>
      </c>
      <c r="D2580" s="5" t="s">
        <v>2601</v>
      </c>
      <c r="E2580" s="6" t="str">
        <f>HYPERLINK("https://twitter.com/sergio_fajardo/status/1418353885442416647","1418353885442416647")</f>
        <v>1418353885442416647</v>
      </c>
      <c r="F2580" s="7" t="s">
        <v>17</v>
      </c>
      <c r="G2580" s="7">
        <v>1591116</v>
      </c>
      <c r="H2580" s="7">
        <v>435</v>
      </c>
      <c r="I2580" s="7">
        <v>6</v>
      </c>
      <c r="J2580" s="7">
        <v>0</v>
      </c>
      <c r="K2580" s="7" t="s">
        <v>18</v>
      </c>
      <c r="L2580" s="8">
        <v>39891.213356481479</v>
      </c>
      <c r="M2580" s="9" t="s">
        <v>19</v>
      </c>
      <c r="N2580" s="9" t="s">
        <v>22</v>
      </c>
      <c r="O2580" s="6" t="str">
        <f>HYPERLINK("https://pbs.twimg.com/profile_images/988971255679324162/jrqiIYf__normal.jpg","View")</f>
        <v>View</v>
      </c>
      <c r="P2580" s="7"/>
    </row>
    <row r="2581" spans="1:16">
      <c r="A2581" s="3">
        <v>44400.211759259255</v>
      </c>
      <c r="B2581" s="4" t="str">
        <f>HYPERLINK("https://twitter.com/sergio_fajardo","@sergio_fajardo")</f>
        <v>@sergio_fajardo</v>
      </c>
      <c r="C2581" s="5" t="s">
        <v>16</v>
      </c>
      <c r="D2581" s="5" t="s">
        <v>2602</v>
      </c>
      <c r="E2581" s="6" t="str">
        <f>HYPERLINK("https://twitter.com/sergio_fajardo/status/1418353902676758534","1418353902676758534")</f>
        <v>1418353902676758534</v>
      </c>
      <c r="F2581" s="7" t="s">
        <v>17</v>
      </c>
      <c r="G2581" s="7">
        <v>1591116</v>
      </c>
      <c r="H2581" s="7">
        <v>435</v>
      </c>
      <c r="I2581" s="7">
        <v>4</v>
      </c>
      <c r="J2581" s="7">
        <v>0</v>
      </c>
      <c r="K2581" s="7" t="s">
        <v>18</v>
      </c>
      <c r="L2581" s="8">
        <v>39891.213356481479</v>
      </c>
      <c r="M2581" s="9" t="s">
        <v>19</v>
      </c>
      <c r="N2581" s="9" t="s">
        <v>22</v>
      </c>
      <c r="O2581" s="6" t="str">
        <f>HYPERLINK("https://pbs.twimg.com/profile_images/988971255679324162/jrqiIYf__normal.jpg","View")</f>
        <v>View</v>
      </c>
      <c r="P2581" s="7"/>
    </row>
    <row r="2582" spans="1:16">
      <c r="A2582" s="3">
        <v>44400.211828703701</v>
      </c>
      <c r="B2582" s="4" t="str">
        <f>HYPERLINK("https://twitter.com/sergio_fajardo","@sergio_fajardo")</f>
        <v>@sergio_fajardo</v>
      </c>
      <c r="C2582" s="5" t="s">
        <v>16</v>
      </c>
      <c r="D2582" s="5" t="s">
        <v>2603</v>
      </c>
      <c r="E2582" s="6" t="str">
        <f>HYPERLINK("https://twitter.com/sergio_fajardo/status/1418353926898847747","1418353926898847747")</f>
        <v>1418353926898847747</v>
      </c>
      <c r="F2582" s="7" t="s">
        <v>20</v>
      </c>
      <c r="G2582" s="7">
        <v>1591116</v>
      </c>
      <c r="H2582" s="7">
        <v>435</v>
      </c>
      <c r="I2582" s="7">
        <v>21</v>
      </c>
      <c r="J2582" s="7">
        <v>0</v>
      </c>
      <c r="K2582" s="7" t="s">
        <v>18</v>
      </c>
      <c r="L2582" s="8">
        <v>39891.213356481479</v>
      </c>
      <c r="M2582" s="9" t="s">
        <v>19</v>
      </c>
      <c r="N2582" s="9" t="s">
        <v>22</v>
      </c>
      <c r="O2582" s="6" t="str">
        <f>HYPERLINK("https://pbs.twimg.com/profile_images/988971255679324162/jrqiIYf__normal.jpg","View")</f>
        <v>View</v>
      </c>
      <c r="P2582" s="7"/>
    </row>
    <row r="2583" spans="1:16">
      <c r="A2583" s="3">
        <v>44400.212534722217</v>
      </c>
      <c r="B2583" s="4" t="str">
        <f>HYPERLINK("https://twitter.com/sergio_fajardo","@sergio_fajardo")</f>
        <v>@sergio_fajardo</v>
      </c>
      <c r="C2583" s="5" t="s">
        <v>16</v>
      </c>
      <c r="D2583" s="5" t="s">
        <v>2604</v>
      </c>
      <c r="E2583" s="6" t="str">
        <f>HYPERLINK("https://twitter.com/sergio_fajardo/status/1418354184328470536","1418354184328470536")</f>
        <v>1418354184328470536</v>
      </c>
      <c r="F2583" s="7" t="s">
        <v>17</v>
      </c>
      <c r="G2583" s="7">
        <v>1591116</v>
      </c>
      <c r="H2583" s="7">
        <v>435</v>
      </c>
      <c r="I2583" s="7">
        <v>4</v>
      </c>
      <c r="J2583" s="7">
        <v>0</v>
      </c>
      <c r="K2583" s="7" t="s">
        <v>18</v>
      </c>
      <c r="L2583" s="8">
        <v>39891.213356481479</v>
      </c>
      <c r="M2583" s="9" t="s">
        <v>19</v>
      </c>
      <c r="N2583" s="9" t="s">
        <v>22</v>
      </c>
      <c r="O2583" s="6" t="str">
        <f>HYPERLINK("https://pbs.twimg.com/profile_images/988971255679324162/jrqiIYf__normal.jpg","View")</f>
        <v>View</v>
      </c>
      <c r="P2583" s="7"/>
    </row>
    <row r="2584" spans="1:16">
      <c r="A2584" s="3">
        <v>44400.212708333333</v>
      </c>
      <c r="B2584" s="4" t="str">
        <f>HYPERLINK("https://twitter.com/sergio_fajardo","@sergio_fajardo")</f>
        <v>@sergio_fajardo</v>
      </c>
      <c r="C2584" s="5" t="s">
        <v>16</v>
      </c>
      <c r="D2584" s="5" t="s">
        <v>2605</v>
      </c>
      <c r="E2584" s="6" t="str">
        <f>HYPERLINK("https://twitter.com/sergio_fajardo/status/1418354246567792640","1418354246567792640")</f>
        <v>1418354246567792640</v>
      </c>
      <c r="F2584" s="7" t="s">
        <v>17</v>
      </c>
      <c r="G2584" s="7">
        <v>1591116</v>
      </c>
      <c r="H2584" s="7">
        <v>435</v>
      </c>
      <c r="I2584" s="7">
        <v>6</v>
      </c>
      <c r="J2584" s="7">
        <v>0</v>
      </c>
      <c r="K2584" s="7" t="s">
        <v>18</v>
      </c>
      <c r="L2584" s="8">
        <v>39891.213356481479</v>
      </c>
      <c r="M2584" s="9" t="s">
        <v>19</v>
      </c>
      <c r="N2584" s="9" t="s">
        <v>22</v>
      </c>
      <c r="O2584" s="6" t="str">
        <f>HYPERLINK("https://pbs.twimg.com/profile_images/988971255679324162/jrqiIYf__normal.jpg","View")</f>
        <v>View</v>
      </c>
      <c r="P2584" s="7"/>
    </row>
    <row r="2585" spans="1:16">
      <c r="A2585" s="3">
        <v>44400.212847222225</v>
      </c>
      <c r="B2585" s="4" t="str">
        <f>HYPERLINK("https://twitter.com/sergio_fajardo","@sergio_fajardo")</f>
        <v>@sergio_fajardo</v>
      </c>
      <c r="C2585" s="5" t="s">
        <v>16</v>
      </c>
      <c r="D2585" s="5" t="s">
        <v>2606</v>
      </c>
      <c r="E2585" s="6" t="str">
        <f>HYPERLINK("https://twitter.com/sergio_fajardo/status/1418354296517758982","1418354296517758982")</f>
        <v>1418354296517758982</v>
      </c>
      <c r="F2585" s="7" t="s">
        <v>17</v>
      </c>
      <c r="G2585" s="7">
        <v>1591116</v>
      </c>
      <c r="H2585" s="7">
        <v>435</v>
      </c>
      <c r="I2585" s="7">
        <v>7</v>
      </c>
      <c r="J2585" s="7">
        <v>0</v>
      </c>
      <c r="K2585" s="7" t="s">
        <v>18</v>
      </c>
      <c r="L2585" s="8">
        <v>39891.213356481479</v>
      </c>
      <c r="M2585" s="9" t="s">
        <v>19</v>
      </c>
      <c r="N2585" s="9" t="s">
        <v>22</v>
      </c>
      <c r="O2585" s="6" t="str">
        <f>HYPERLINK("https://pbs.twimg.com/profile_images/988971255679324162/jrqiIYf__normal.jpg","View")</f>
        <v>View</v>
      </c>
      <c r="P2585" s="7"/>
    </row>
    <row r="2586" spans="1:16">
      <c r="A2586" s="3">
        <v>44400.212893518517</v>
      </c>
      <c r="B2586" s="4" t="str">
        <f>HYPERLINK("https://twitter.com/sergio_fajardo","@sergio_fajardo")</f>
        <v>@sergio_fajardo</v>
      </c>
      <c r="C2586" s="5" t="s">
        <v>16</v>
      </c>
      <c r="D2586" s="5" t="s">
        <v>2607</v>
      </c>
      <c r="E2586" s="6" t="str">
        <f>HYPERLINK("https://twitter.com/sergio_fajardo/status/1418354311088775168","1418354311088775168")</f>
        <v>1418354311088775168</v>
      </c>
      <c r="F2586" s="7" t="s">
        <v>17</v>
      </c>
      <c r="G2586" s="7">
        <v>1591116</v>
      </c>
      <c r="H2586" s="7">
        <v>435</v>
      </c>
      <c r="I2586" s="7">
        <v>6</v>
      </c>
      <c r="J2586" s="7">
        <v>0</v>
      </c>
      <c r="K2586" s="7" t="s">
        <v>18</v>
      </c>
      <c r="L2586" s="8">
        <v>39891.213356481479</v>
      </c>
      <c r="M2586" s="9" t="s">
        <v>19</v>
      </c>
      <c r="N2586" s="9" t="s">
        <v>22</v>
      </c>
      <c r="O2586" s="6" t="str">
        <f>HYPERLINK("https://pbs.twimg.com/profile_images/988971255679324162/jrqiIYf__normal.jpg","View")</f>
        <v>View</v>
      </c>
      <c r="P2586" s="7"/>
    </row>
    <row r="2587" spans="1:16">
      <c r="A2587" s="3">
        <v>44400.213020833333</v>
      </c>
      <c r="B2587" s="4" t="str">
        <f>HYPERLINK("https://twitter.com/sergio_fajardo","@sergio_fajardo")</f>
        <v>@sergio_fajardo</v>
      </c>
      <c r="C2587" s="5" t="s">
        <v>16</v>
      </c>
      <c r="D2587" s="5" t="s">
        <v>2608</v>
      </c>
      <c r="E2587" s="6" t="str">
        <f>HYPERLINK("https://twitter.com/sergio_fajardo/status/1418354359738449921","1418354359738449921")</f>
        <v>1418354359738449921</v>
      </c>
      <c r="F2587" s="7" t="s">
        <v>17</v>
      </c>
      <c r="G2587" s="7">
        <v>1591116</v>
      </c>
      <c r="H2587" s="7">
        <v>435</v>
      </c>
      <c r="I2587" s="7">
        <v>7</v>
      </c>
      <c r="J2587" s="7">
        <v>0</v>
      </c>
      <c r="K2587" s="7" t="s">
        <v>18</v>
      </c>
      <c r="L2587" s="8">
        <v>39891.213356481479</v>
      </c>
      <c r="M2587" s="9" t="s">
        <v>19</v>
      </c>
      <c r="N2587" s="9" t="s">
        <v>22</v>
      </c>
      <c r="O2587" s="6" t="str">
        <f>HYPERLINK("https://pbs.twimg.com/profile_images/988971255679324162/jrqiIYf__normal.jpg","View")</f>
        <v>View</v>
      </c>
      <c r="P2587" s="7"/>
    </row>
    <row r="2588" spans="1:16">
      <c r="A2588" s="3">
        <v>44400.213101851856</v>
      </c>
      <c r="B2588" s="4" t="str">
        <f>HYPERLINK("https://twitter.com/sergio_fajardo","@sergio_fajardo")</f>
        <v>@sergio_fajardo</v>
      </c>
      <c r="C2588" s="5" t="s">
        <v>16</v>
      </c>
      <c r="D2588" s="5" t="s">
        <v>2609</v>
      </c>
      <c r="E2588" s="6" t="str">
        <f>HYPERLINK("https://twitter.com/sergio_fajardo/status/1418354386275815437","1418354386275815437")</f>
        <v>1418354386275815437</v>
      </c>
      <c r="F2588" s="7" t="s">
        <v>17</v>
      </c>
      <c r="G2588" s="7">
        <v>1591116</v>
      </c>
      <c r="H2588" s="7">
        <v>435</v>
      </c>
      <c r="I2588" s="7">
        <v>7</v>
      </c>
      <c r="J2588" s="7">
        <v>0</v>
      </c>
      <c r="K2588" s="7" t="s">
        <v>18</v>
      </c>
      <c r="L2588" s="8">
        <v>39891.213356481479</v>
      </c>
      <c r="M2588" s="9" t="s">
        <v>19</v>
      </c>
      <c r="N2588" s="9" t="s">
        <v>22</v>
      </c>
      <c r="O2588" s="6" t="str">
        <f>HYPERLINK("https://pbs.twimg.com/profile_images/988971255679324162/jrqiIYf__normal.jpg","View")</f>
        <v>View</v>
      </c>
      <c r="P2588" s="7"/>
    </row>
    <row r="2589" spans="1:16">
      <c r="A2589" s="3">
        <v>44400.213240740741</v>
      </c>
      <c r="B2589" s="4" t="str">
        <f>HYPERLINK("https://twitter.com/sergio_fajardo","@sergio_fajardo")</f>
        <v>@sergio_fajardo</v>
      </c>
      <c r="C2589" s="5" t="s">
        <v>16</v>
      </c>
      <c r="D2589" s="5" t="s">
        <v>2610</v>
      </c>
      <c r="E2589" s="6" t="str">
        <f>HYPERLINK("https://twitter.com/sergio_fajardo/status/1418354436804681735","1418354436804681735")</f>
        <v>1418354436804681735</v>
      </c>
      <c r="F2589" s="7" t="s">
        <v>17</v>
      </c>
      <c r="G2589" s="7">
        <v>1591116</v>
      </c>
      <c r="H2589" s="7">
        <v>435</v>
      </c>
      <c r="I2589" s="7">
        <v>8</v>
      </c>
      <c r="J2589" s="7">
        <v>0</v>
      </c>
      <c r="K2589" s="7" t="s">
        <v>18</v>
      </c>
      <c r="L2589" s="8">
        <v>39891.213356481479</v>
      </c>
      <c r="M2589" s="9" t="s">
        <v>19</v>
      </c>
      <c r="N2589" s="9" t="s">
        <v>22</v>
      </c>
      <c r="O2589" s="6" t="str">
        <f>HYPERLINK("https://pbs.twimg.com/profile_images/988971255679324162/jrqiIYf__normal.jpg","View")</f>
        <v>View</v>
      </c>
      <c r="P2589" s="7"/>
    </row>
    <row r="2590" spans="1:16">
      <c r="A2590" s="3">
        <v>44400.215555555551</v>
      </c>
      <c r="B2590" s="4" t="str">
        <f>HYPERLINK("https://twitter.com/sergio_fajardo","@sergio_fajardo")</f>
        <v>@sergio_fajardo</v>
      </c>
      <c r="C2590" s="5" t="s">
        <v>16</v>
      </c>
      <c r="D2590" s="5" t="s">
        <v>2611</v>
      </c>
      <c r="E2590" s="6" t="str">
        <f>HYPERLINK("https://twitter.com/sergio_fajardo/status/1418355278731427845","1418355278731427845")</f>
        <v>1418355278731427845</v>
      </c>
      <c r="F2590" s="7" t="s">
        <v>17</v>
      </c>
      <c r="G2590" s="7">
        <v>1591116</v>
      </c>
      <c r="H2590" s="7">
        <v>435</v>
      </c>
      <c r="I2590" s="7">
        <v>22</v>
      </c>
      <c r="J2590" s="7">
        <v>98</v>
      </c>
      <c r="K2590" s="7" t="s">
        <v>18</v>
      </c>
      <c r="L2590" s="8">
        <v>39891.213356481479</v>
      </c>
      <c r="M2590" s="9" t="s">
        <v>19</v>
      </c>
      <c r="N2590" s="9" t="s">
        <v>22</v>
      </c>
      <c r="O2590" s="6" t="str">
        <f>HYPERLINK("https://pbs.twimg.com/profile_images/988971255679324162/jrqiIYf__normal.jpg","View")</f>
        <v>View</v>
      </c>
      <c r="P2590" s="7"/>
    </row>
    <row r="2591" spans="1:16">
      <c r="A2591" s="3">
        <v>44400.217592592591</v>
      </c>
      <c r="B2591" s="4" t="str">
        <f>HYPERLINK("https://twitter.com/sergio_fajardo","@sergio_fajardo")</f>
        <v>@sergio_fajardo</v>
      </c>
      <c r="C2591" s="5" t="s">
        <v>16</v>
      </c>
      <c r="D2591" s="5" t="s">
        <v>2612</v>
      </c>
      <c r="E2591" s="6" t="str">
        <f>HYPERLINK("https://twitter.com/sergio_fajardo/status/1418356016048132098","1418356016048132098")</f>
        <v>1418356016048132098</v>
      </c>
      <c r="F2591" s="7" t="s">
        <v>17</v>
      </c>
      <c r="G2591" s="7">
        <v>1591116</v>
      </c>
      <c r="H2591" s="7">
        <v>435</v>
      </c>
      <c r="I2591" s="7">
        <v>6</v>
      </c>
      <c r="J2591" s="7">
        <v>30</v>
      </c>
      <c r="K2591" s="7" t="s">
        <v>18</v>
      </c>
      <c r="L2591" s="8">
        <v>39891.213356481479</v>
      </c>
      <c r="M2591" s="9" t="s">
        <v>19</v>
      </c>
      <c r="N2591" s="9" t="s">
        <v>22</v>
      </c>
      <c r="O2591" s="6" t="str">
        <f>HYPERLINK("https://pbs.twimg.com/profile_images/988971255679324162/jrqiIYf__normal.jpg","View")</f>
        <v>View</v>
      </c>
      <c r="P2591" s="7"/>
    </row>
    <row r="2592" spans="1:16">
      <c r="A2592" s="3">
        <v>44400.219131944439</v>
      </c>
      <c r="B2592" s="4" t="str">
        <f>HYPERLINK("https://twitter.com/sergio_fajardo","@sergio_fajardo")</f>
        <v>@sergio_fajardo</v>
      </c>
      <c r="C2592" s="5" t="s">
        <v>16</v>
      </c>
      <c r="D2592" s="5" t="s">
        <v>2613</v>
      </c>
      <c r="E2592" s="6" t="str">
        <f>HYPERLINK("https://twitter.com/sergio_fajardo/status/1418356573546688514","1418356573546688514")</f>
        <v>1418356573546688514</v>
      </c>
      <c r="F2592" s="7" t="s">
        <v>17</v>
      </c>
      <c r="G2592" s="7">
        <v>1591116</v>
      </c>
      <c r="H2592" s="7">
        <v>435</v>
      </c>
      <c r="I2592" s="7">
        <v>2</v>
      </c>
      <c r="J2592" s="7">
        <v>30</v>
      </c>
      <c r="K2592" s="7" t="s">
        <v>18</v>
      </c>
      <c r="L2592" s="8">
        <v>39891.213356481479</v>
      </c>
      <c r="M2592" s="9" t="s">
        <v>19</v>
      </c>
      <c r="N2592" s="9" t="s">
        <v>22</v>
      </c>
      <c r="O2592" s="6" t="str">
        <f>HYPERLINK("https://pbs.twimg.com/profile_images/988971255679324162/jrqiIYf__normal.jpg","View")</f>
        <v>View</v>
      </c>
      <c r="P2592" s="7"/>
    </row>
    <row r="2593" spans="1:16">
      <c r="A2593" s="3">
        <v>44400.223125000004</v>
      </c>
      <c r="B2593" s="4" t="str">
        <f>HYPERLINK("https://twitter.com/sergio_fajardo","@sergio_fajardo")</f>
        <v>@sergio_fajardo</v>
      </c>
      <c r="C2593" s="5" t="s">
        <v>16</v>
      </c>
      <c r="D2593" s="5" t="s">
        <v>2614</v>
      </c>
      <c r="E2593" s="6" t="str">
        <f>HYPERLINK("https://twitter.com/sergio_fajardo/status/1418358020346613762","1418358020346613762")</f>
        <v>1418358020346613762</v>
      </c>
      <c r="F2593" s="7" t="s">
        <v>23</v>
      </c>
      <c r="G2593" s="7">
        <v>1591116</v>
      </c>
      <c r="H2593" s="7">
        <v>435</v>
      </c>
      <c r="I2593" s="7">
        <v>1</v>
      </c>
      <c r="J2593" s="7">
        <v>22</v>
      </c>
      <c r="K2593" s="7" t="s">
        <v>18</v>
      </c>
      <c r="L2593" s="8">
        <v>39891.213356481479</v>
      </c>
      <c r="M2593" s="9" t="s">
        <v>19</v>
      </c>
      <c r="N2593" s="9" t="s">
        <v>22</v>
      </c>
      <c r="O2593" s="6" t="str">
        <f>HYPERLINK("https://pbs.twimg.com/profile_images/988971255679324162/jrqiIYf__normal.jpg","View")</f>
        <v>View</v>
      </c>
      <c r="P2593" s="7"/>
    </row>
    <row r="2594" spans="1:16">
      <c r="A2594" s="3">
        <v>44400.226458333331</v>
      </c>
      <c r="B2594" s="4" t="str">
        <f>HYPERLINK("https://twitter.com/sergio_fajardo","@sergio_fajardo")</f>
        <v>@sergio_fajardo</v>
      </c>
      <c r="C2594" s="5" t="s">
        <v>16</v>
      </c>
      <c r="D2594" s="5" t="s">
        <v>2615</v>
      </c>
      <c r="E2594" s="6" t="str">
        <f>HYPERLINK("https://twitter.com/sergio_fajardo/status/1418359226964008962","1418359226964008962")</f>
        <v>1418359226964008962</v>
      </c>
      <c r="F2594" s="7" t="s">
        <v>17</v>
      </c>
      <c r="G2594" s="7">
        <v>1591116</v>
      </c>
      <c r="H2594" s="7">
        <v>435</v>
      </c>
      <c r="I2594" s="7">
        <v>9</v>
      </c>
      <c r="J2594" s="7">
        <v>47</v>
      </c>
      <c r="K2594" s="7" t="s">
        <v>18</v>
      </c>
      <c r="L2594" s="8">
        <v>39891.213356481479</v>
      </c>
      <c r="M2594" s="9" t="s">
        <v>19</v>
      </c>
      <c r="N2594" s="9" t="s">
        <v>22</v>
      </c>
      <c r="O2594" s="6" t="str">
        <f>HYPERLINK("https://pbs.twimg.com/profile_images/988971255679324162/jrqiIYf__normal.jpg","View")</f>
        <v>View</v>
      </c>
      <c r="P2594" s="7"/>
    </row>
    <row r="2595" spans="1:16">
      <c r="A2595" s="3">
        <v>44400.226631944446</v>
      </c>
      <c r="B2595" s="4" t="str">
        <f>HYPERLINK("https://twitter.com/sergio_fajardo","@sergio_fajardo")</f>
        <v>@sergio_fajardo</v>
      </c>
      <c r="C2595" s="5" t="s">
        <v>16</v>
      </c>
      <c r="D2595" s="5" t="s">
        <v>2616</v>
      </c>
      <c r="E2595" s="6" t="str">
        <f>HYPERLINK("https://twitter.com/sergio_fajardo/status/1418359291363401729","1418359291363401729")</f>
        <v>1418359291363401729</v>
      </c>
      <c r="F2595" s="7" t="s">
        <v>23</v>
      </c>
      <c r="G2595" s="7">
        <v>1591116</v>
      </c>
      <c r="H2595" s="7">
        <v>435</v>
      </c>
      <c r="I2595" s="7">
        <v>3</v>
      </c>
      <c r="J2595" s="7">
        <v>22</v>
      </c>
      <c r="K2595" s="7" t="s">
        <v>18</v>
      </c>
      <c r="L2595" s="8">
        <v>39891.213356481479</v>
      </c>
      <c r="M2595" s="9" t="s">
        <v>19</v>
      </c>
      <c r="N2595" s="9" t="s">
        <v>22</v>
      </c>
      <c r="O2595" s="6" t="str">
        <f>HYPERLINK("https://pbs.twimg.com/profile_images/988971255679324162/jrqiIYf__normal.jpg","View")</f>
        <v>View</v>
      </c>
      <c r="P2595" s="7"/>
    </row>
    <row r="2596" spans="1:16">
      <c r="A2596" s="3">
        <v>44400.229201388887</v>
      </c>
      <c r="B2596" s="4" t="str">
        <f>HYPERLINK("https://twitter.com/sergio_fajardo","@sergio_fajardo")</f>
        <v>@sergio_fajardo</v>
      </c>
      <c r="C2596" s="5" t="s">
        <v>16</v>
      </c>
      <c r="D2596" s="5" t="s">
        <v>2617</v>
      </c>
      <c r="E2596" s="6" t="str">
        <f>HYPERLINK("https://twitter.com/sergio_fajardo/status/1418360223388024836","1418360223388024836")</f>
        <v>1418360223388024836</v>
      </c>
      <c r="F2596" s="7" t="s">
        <v>17</v>
      </c>
      <c r="G2596" s="7">
        <v>1591116</v>
      </c>
      <c r="H2596" s="7">
        <v>435</v>
      </c>
      <c r="I2596" s="7">
        <v>1</v>
      </c>
      <c r="J2596" s="7">
        <v>9</v>
      </c>
      <c r="K2596" s="7" t="s">
        <v>18</v>
      </c>
      <c r="L2596" s="8">
        <v>39891.213356481479</v>
      </c>
      <c r="M2596" s="9" t="s">
        <v>19</v>
      </c>
      <c r="N2596" s="9" t="s">
        <v>22</v>
      </c>
      <c r="O2596" s="6" t="str">
        <f>HYPERLINK("https://pbs.twimg.com/profile_images/988971255679324162/jrqiIYf__normal.jpg","View")</f>
        <v>View</v>
      </c>
      <c r="P2596" s="7"/>
    </row>
    <row r="2597" spans="1:16">
      <c r="A2597" s="3">
        <v>44400.229756944449</v>
      </c>
      <c r="B2597" s="4" t="str">
        <f>HYPERLINK("https://twitter.com/sergio_fajardo","@sergio_fajardo")</f>
        <v>@sergio_fajardo</v>
      </c>
      <c r="C2597" s="5" t="s">
        <v>16</v>
      </c>
      <c r="D2597" s="5" t="s">
        <v>2618</v>
      </c>
      <c r="E2597" s="6" t="str">
        <f>HYPERLINK("https://twitter.com/sergio_fajardo/status/1418360424953794560","1418360424953794560")</f>
        <v>1418360424953794560</v>
      </c>
      <c r="F2597" s="7" t="s">
        <v>17</v>
      </c>
      <c r="G2597" s="7">
        <v>1591116</v>
      </c>
      <c r="H2597" s="7">
        <v>435</v>
      </c>
      <c r="I2597" s="7">
        <v>1</v>
      </c>
      <c r="J2597" s="7">
        <v>2</v>
      </c>
      <c r="K2597" s="7" t="s">
        <v>18</v>
      </c>
      <c r="L2597" s="8">
        <v>39891.213356481479</v>
      </c>
      <c r="M2597" s="9" t="s">
        <v>19</v>
      </c>
      <c r="N2597" s="9" t="s">
        <v>22</v>
      </c>
      <c r="O2597" s="6" t="str">
        <f>HYPERLINK("https://pbs.twimg.com/profile_images/988971255679324162/jrqiIYf__normal.jpg","View")</f>
        <v>View</v>
      </c>
      <c r="P2597" s="7"/>
    </row>
    <row r="2598" spans="1:16">
      <c r="A2598" s="3">
        <v>44400.232430555552</v>
      </c>
      <c r="B2598" s="4" t="str">
        <f>HYPERLINK("https://twitter.com/sergio_fajardo","@sergio_fajardo")</f>
        <v>@sergio_fajardo</v>
      </c>
      <c r="C2598" s="5" t="s">
        <v>16</v>
      </c>
      <c r="D2598" s="5" t="s">
        <v>2619</v>
      </c>
      <c r="E2598" s="6" t="str">
        <f>HYPERLINK("https://twitter.com/sergio_fajardo/status/1418361394240630785","1418361394240630785")</f>
        <v>1418361394240630785</v>
      </c>
      <c r="F2598" s="7" t="s">
        <v>23</v>
      </c>
      <c r="G2598" s="7">
        <v>1591119</v>
      </c>
      <c r="H2598" s="7">
        <v>435</v>
      </c>
      <c r="I2598" s="7">
        <v>4</v>
      </c>
      <c r="J2598" s="7">
        <v>20</v>
      </c>
      <c r="K2598" s="7" t="s">
        <v>18</v>
      </c>
      <c r="L2598" s="8">
        <v>39891.213356481479</v>
      </c>
      <c r="M2598" s="9" t="s">
        <v>19</v>
      </c>
      <c r="N2598" s="9" t="s">
        <v>22</v>
      </c>
      <c r="O2598" s="6" t="str">
        <f>HYPERLINK("https://pbs.twimg.com/profile_images/988971255679324162/jrqiIYf__normal.jpg","View")</f>
        <v>View</v>
      </c>
      <c r="P2598" s="7"/>
    </row>
    <row r="2599" spans="1:16">
      <c r="A2599" s="3">
        <v>44400.234861111108</v>
      </c>
      <c r="B2599" s="4" t="str">
        <f>HYPERLINK("https://twitter.com/sergio_fajardo","@sergio_fajardo")</f>
        <v>@sergio_fajardo</v>
      </c>
      <c r="C2599" s="5" t="s">
        <v>16</v>
      </c>
      <c r="D2599" s="5" t="s">
        <v>2620</v>
      </c>
      <c r="E2599" s="6" t="str">
        <f>HYPERLINK("https://twitter.com/sergio_fajardo/status/1418362271839948805","1418362271839948805")</f>
        <v>1418362271839948805</v>
      </c>
      <c r="F2599" s="7" t="s">
        <v>17</v>
      </c>
      <c r="G2599" s="7">
        <v>1591119</v>
      </c>
      <c r="H2599" s="7">
        <v>435</v>
      </c>
      <c r="I2599" s="7">
        <v>6</v>
      </c>
      <c r="J2599" s="7">
        <v>62</v>
      </c>
      <c r="K2599" s="7" t="s">
        <v>18</v>
      </c>
      <c r="L2599" s="8">
        <v>39891.213356481479</v>
      </c>
      <c r="M2599" s="9" t="s">
        <v>19</v>
      </c>
      <c r="N2599" s="9" t="s">
        <v>22</v>
      </c>
      <c r="O2599" s="6" t="str">
        <f>HYPERLINK("https://pbs.twimg.com/profile_images/988971255679324162/jrqiIYf__normal.jpg","View")</f>
        <v>View</v>
      </c>
      <c r="P2599" s="7"/>
    </row>
    <row r="2600" spans="1:16">
      <c r="A2600" s="3">
        <v>44400.238437499997</v>
      </c>
      <c r="B2600" s="4" t="str">
        <f>HYPERLINK("https://twitter.com/sergio_fajardo","@sergio_fajardo")</f>
        <v>@sergio_fajardo</v>
      </c>
      <c r="C2600" s="5" t="s">
        <v>16</v>
      </c>
      <c r="D2600" s="5" t="s">
        <v>2621</v>
      </c>
      <c r="E2600" s="6" t="str">
        <f>HYPERLINK("https://twitter.com/sergio_fajardo/status/1418363568509046791","1418363568509046791")</f>
        <v>1418363568509046791</v>
      </c>
      <c r="F2600" s="7" t="s">
        <v>23</v>
      </c>
      <c r="G2600" s="7">
        <v>1591119</v>
      </c>
      <c r="H2600" s="7">
        <v>435</v>
      </c>
      <c r="I2600" s="7">
        <v>0</v>
      </c>
      <c r="J2600" s="7">
        <v>21</v>
      </c>
      <c r="K2600" s="7" t="s">
        <v>18</v>
      </c>
      <c r="L2600" s="8">
        <v>39891.213356481479</v>
      </c>
      <c r="M2600" s="9" t="s">
        <v>19</v>
      </c>
      <c r="N2600" s="9" t="s">
        <v>22</v>
      </c>
      <c r="O2600" s="6" t="str">
        <f>HYPERLINK("https://pbs.twimg.com/profile_images/988971255679324162/jrqiIYf__normal.jpg","View")</f>
        <v>View</v>
      </c>
      <c r="P2600" s="7"/>
    </row>
    <row r="2601" spans="1:16">
      <c r="A2601" s="3">
        <v>44400.239293981482</v>
      </c>
      <c r="B2601" s="4" t="str">
        <f>HYPERLINK("https://twitter.com/sergio_fajardo","@sergio_fajardo")</f>
        <v>@sergio_fajardo</v>
      </c>
      <c r="C2601" s="5" t="s">
        <v>16</v>
      </c>
      <c r="D2601" s="5" t="s">
        <v>2622</v>
      </c>
      <c r="E2601" s="6" t="str">
        <f>HYPERLINK("https://twitter.com/sergio_fajardo/status/1418363877675487232","1418363877675487232")</f>
        <v>1418363877675487232</v>
      </c>
      <c r="F2601" s="7" t="s">
        <v>17</v>
      </c>
      <c r="G2601" s="7">
        <v>1591119</v>
      </c>
      <c r="H2601" s="7">
        <v>435</v>
      </c>
      <c r="I2601" s="7">
        <v>1</v>
      </c>
      <c r="J2601" s="7">
        <v>25</v>
      </c>
      <c r="K2601" s="7" t="s">
        <v>18</v>
      </c>
      <c r="L2601" s="8">
        <v>39891.213356481479</v>
      </c>
      <c r="M2601" s="9" t="s">
        <v>19</v>
      </c>
      <c r="N2601" s="9" t="s">
        <v>22</v>
      </c>
      <c r="O2601" s="6" t="str">
        <f>HYPERLINK("https://pbs.twimg.com/profile_images/988971255679324162/jrqiIYf__normal.jpg","View")</f>
        <v>View</v>
      </c>
      <c r="P2601" s="7"/>
    </row>
    <row r="2602" spans="1:16">
      <c r="A2602" s="3">
        <v>44400.241898148146</v>
      </c>
      <c r="B2602" s="4" t="str">
        <f>HYPERLINK("https://twitter.com/sergio_fajardo","@sergio_fajardo")</f>
        <v>@sergio_fajardo</v>
      </c>
      <c r="C2602" s="5" t="s">
        <v>16</v>
      </c>
      <c r="D2602" s="5" t="s">
        <v>2623</v>
      </c>
      <c r="E2602" s="6" t="str">
        <f>HYPERLINK("https://twitter.com/sergio_fajardo/status/1418364824405352452","1418364824405352452")</f>
        <v>1418364824405352452</v>
      </c>
      <c r="F2602" s="7" t="s">
        <v>17</v>
      </c>
      <c r="G2602" s="7">
        <v>1591119</v>
      </c>
      <c r="H2602" s="7">
        <v>435</v>
      </c>
      <c r="I2602" s="7">
        <v>1</v>
      </c>
      <c r="J2602" s="7">
        <v>27</v>
      </c>
      <c r="K2602" s="7" t="s">
        <v>18</v>
      </c>
      <c r="L2602" s="8">
        <v>39891.213356481479</v>
      </c>
      <c r="M2602" s="9" t="s">
        <v>19</v>
      </c>
      <c r="N2602" s="9" t="s">
        <v>22</v>
      </c>
      <c r="O2602" s="6" t="str">
        <f>HYPERLINK("https://pbs.twimg.com/profile_images/988971255679324162/jrqiIYf__normal.jpg","View")</f>
        <v>View</v>
      </c>
      <c r="P2602" s="7"/>
    </row>
    <row r="2603" spans="1:16">
      <c r="A2603" s="3">
        <v>44400.245219907403</v>
      </c>
      <c r="B2603" s="4" t="str">
        <f>HYPERLINK("https://twitter.com/sergio_fajardo","@sergio_fajardo")</f>
        <v>@sergio_fajardo</v>
      </c>
      <c r="C2603" s="5" t="s">
        <v>16</v>
      </c>
      <c r="D2603" s="5" t="s">
        <v>2624</v>
      </c>
      <c r="E2603" s="6" t="str">
        <f>HYPERLINK("https://twitter.com/sergio_fajardo/status/1418366026799099904","1418366026799099904")</f>
        <v>1418366026799099904</v>
      </c>
      <c r="F2603" s="7" t="s">
        <v>17</v>
      </c>
      <c r="G2603" s="7">
        <v>1591119</v>
      </c>
      <c r="H2603" s="7">
        <v>435</v>
      </c>
      <c r="I2603" s="7">
        <v>4</v>
      </c>
      <c r="J2603" s="7">
        <v>0</v>
      </c>
      <c r="K2603" s="7" t="s">
        <v>18</v>
      </c>
      <c r="L2603" s="8">
        <v>39891.213356481479</v>
      </c>
      <c r="M2603" s="9" t="s">
        <v>19</v>
      </c>
      <c r="N2603" s="9" t="s">
        <v>22</v>
      </c>
      <c r="O2603" s="6" t="str">
        <f>HYPERLINK("https://pbs.twimg.com/profile_images/988971255679324162/jrqiIYf__normal.jpg","View")</f>
        <v>View</v>
      </c>
      <c r="P2603" s="7"/>
    </row>
    <row r="2604" spans="1:16">
      <c r="A2604" s="3">
        <v>44400.252118055556</v>
      </c>
      <c r="B2604" s="4" t="str">
        <f>HYPERLINK("https://twitter.com/sergio_fajardo","@sergio_fajardo")</f>
        <v>@sergio_fajardo</v>
      </c>
      <c r="C2604" s="5" t="s">
        <v>16</v>
      </c>
      <c r="D2604" s="5" t="s">
        <v>2625</v>
      </c>
      <c r="E2604" s="6" t="str">
        <f>HYPERLINK("https://twitter.com/sergio_fajardo/status/1418368526029557760","1418368526029557760")</f>
        <v>1418368526029557760</v>
      </c>
      <c r="F2604" s="7" t="s">
        <v>17</v>
      </c>
      <c r="G2604" s="7">
        <v>1591106</v>
      </c>
      <c r="H2604" s="7">
        <v>435</v>
      </c>
      <c r="I2604" s="7">
        <v>8</v>
      </c>
      <c r="J2604" s="7">
        <v>120</v>
      </c>
      <c r="K2604" s="7" t="s">
        <v>18</v>
      </c>
      <c r="L2604" s="8">
        <v>39891.213356481479</v>
      </c>
      <c r="M2604" s="9" t="s">
        <v>19</v>
      </c>
      <c r="N2604" s="9" t="s">
        <v>22</v>
      </c>
      <c r="O2604" s="6" t="str">
        <f>HYPERLINK("https://pbs.twimg.com/profile_images/988971255679324162/jrqiIYf__normal.jpg","View")</f>
        <v>View</v>
      </c>
      <c r="P2604" s="7"/>
    </row>
    <row r="2605" spans="1:16">
      <c r="A2605" s="3">
        <v>44400.253368055557</v>
      </c>
      <c r="B2605" s="4" t="str">
        <f>HYPERLINK("https://twitter.com/sergio_fajardo","@sergio_fajardo")</f>
        <v>@sergio_fajardo</v>
      </c>
      <c r="C2605" s="5" t="s">
        <v>16</v>
      </c>
      <c r="D2605" s="5" t="s">
        <v>2626</v>
      </c>
      <c r="E2605" s="6" t="str">
        <f>HYPERLINK("https://twitter.com/sergio_fajardo/status/1418368981220667398","1418368981220667398")</f>
        <v>1418368981220667398</v>
      </c>
      <c r="F2605" s="7" t="s">
        <v>23</v>
      </c>
      <c r="G2605" s="7">
        <v>1591106</v>
      </c>
      <c r="H2605" s="7">
        <v>435</v>
      </c>
      <c r="I2605" s="7">
        <v>4</v>
      </c>
      <c r="J2605" s="7">
        <v>26</v>
      </c>
      <c r="K2605" s="7" t="s">
        <v>18</v>
      </c>
      <c r="L2605" s="8">
        <v>39891.213356481479</v>
      </c>
      <c r="M2605" s="9" t="s">
        <v>19</v>
      </c>
      <c r="N2605" s="9" t="s">
        <v>22</v>
      </c>
      <c r="O2605" s="6" t="str">
        <f>HYPERLINK("https://pbs.twimg.com/profile_images/988971255679324162/jrqiIYf__normal.jpg","View")</f>
        <v>View</v>
      </c>
      <c r="P2605" s="7"/>
    </row>
    <row r="2606" spans="1:16">
      <c r="A2606" s="3">
        <v>44400.253969907411</v>
      </c>
      <c r="B2606" s="4" t="str">
        <f>HYPERLINK("https://twitter.com/sergio_fajardo","@sergio_fajardo")</f>
        <v>@sergio_fajardo</v>
      </c>
      <c r="C2606" s="5" t="s">
        <v>16</v>
      </c>
      <c r="D2606" s="5" t="s">
        <v>2627</v>
      </c>
      <c r="E2606" s="6" t="str">
        <f>HYPERLINK("https://twitter.com/sergio_fajardo/status/1418369199962042371","1418369199962042371")</f>
        <v>1418369199962042371</v>
      </c>
      <c r="F2606" s="7" t="s">
        <v>23</v>
      </c>
      <c r="G2606" s="7">
        <v>1591106</v>
      </c>
      <c r="H2606" s="7">
        <v>435</v>
      </c>
      <c r="I2606" s="7">
        <v>4</v>
      </c>
      <c r="J2606" s="7">
        <v>57</v>
      </c>
      <c r="K2606" s="7" t="s">
        <v>18</v>
      </c>
      <c r="L2606" s="8">
        <v>39891.213356481479</v>
      </c>
      <c r="M2606" s="9" t="s">
        <v>19</v>
      </c>
      <c r="N2606" s="9" t="s">
        <v>22</v>
      </c>
      <c r="O2606" s="6" t="str">
        <f>HYPERLINK("https://pbs.twimg.com/profile_images/988971255679324162/jrqiIYf__normal.jpg","View")</f>
        <v>View</v>
      </c>
      <c r="P2606" s="7"/>
    </row>
    <row r="2607" spans="1:16">
      <c r="A2607" s="3">
        <v>44400.256562499999</v>
      </c>
      <c r="B2607" s="4" t="str">
        <f>HYPERLINK("https://twitter.com/sergio_fajardo","@sergio_fajardo")</f>
        <v>@sergio_fajardo</v>
      </c>
      <c r="C2607" s="5" t="s">
        <v>16</v>
      </c>
      <c r="D2607" s="5" t="s">
        <v>2628</v>
      </c>
      <c r="E2607" s="6" t="str">
        <f>HYPERLINK("https://twitter.com/sergio_fajardo/status/1418370135996370944","1418370135996370944")</f>
        <v>1418370135996370944</v>
      </c>
      <c r="F2607" s="7" t="s">
        <v>23</v>
      </c>
      <c r="G2607" s="7">
        <v>1591106</v>
      </c>
      <c r="H2607" s="7">
        <v>435</v>
      </c>
      <c r="I2607" s="7">
        <v>3</v>
      </c>
      <c r="J2607" s="7">
        <v>0</v>
      </c>
      <c r="K2607" s="7" t="s">
        <v>18</v>
      </c>
      <c r="L2607" s="8">
        <v>39891.213356481479</v>
      </c>
      <c r="M2607" s="9" t="s">
        <v>19</v>
      </c>
      <c r="N2607" s="9" t="s">
        <v>22</v>
      </c>
      <c r="O2607" s="6" t="str">
        <f>HYPERLINK("https://pbs.twimg.com/profile_images/988971255679324162/jrqiIYf__normal.jpg","View")</f>
        <v>View</v>
      </c>
      <c r="P2607" s="7"/>
    </row>
    <row r="2608" spans="1:16">
      <c r="A2608" s="3">
        <v>44400.256666666668</v>
      </c>
      <c r="B2608" s="4" t="str">
        <f>HYPERLINK("https://twitter.com/sergio_fajardo","@sergio_fajardo")</f>
        <v>@sergio_fajardo</v>
      </c>
      <c r="C2608" s="5" t="s">
        <v>16</v>
      </c>
      <c r="D2608" s="5" t="s">
        <v>2629</v>
      </c>
      <c r="E2608" s="6" t="str">
        <f>HYPERLINK("https://twitter.com/sergio_fajardo/status/1418370173380268040","1418370173380268040")</f>
        <v>1418370173380268040</v>
      </c>
      <c r="F2608" s="7" t="s">
        <v>23</v>
      </c>
      <c r="G2608" s="7">
        <v>1591106</v>
      </c>
      <c r="H2608" s="7">
        <v>435</v>
      </c>
      <c r="I2608" s="7">
        <v>3</v>
      </c>
      <c r="J2608" s="7">
        <v>0</v>
      </c>
      <c r="K2608" s="7" t="s">
        <v>18</v>
      </c>
      <c r="L2608" s="8">
        <v>39891.213356481479</v>
      </c>
      <c r="M2608" s="9" t="s">
        <v>19</v>
      </c>
      <c r="N2608" s="9" t="s">
        <v>22</v>
      </c>
      <c r="O2608" s="6" t="str">
        <f>HYPERLINK("https://pbs.twimg.com/profile_images/988971255679324162/jrqiIYf__normal.jpg","View")</f>
        <v>View</v>
      </c>
      <c r="P2608" s="7"/>
    </row>
    <row r="2609" spans="1:16">
      <c r="A2609" s="3">
        <v>44400.256782407407</v>
      </c>
      <c r="B2609" s="4" t="str">
        <f>HYPERLINK("https://twitter.com/sergio_fajardo","@sergio_fajardo")</f>
        <v>@sergio_fajardo</v>
      </c>
      <c r="C2609" s="5" t="s">
        <v>16</v>
      </c>
      <c r="D2609" s="5" t="s">
        <v>2630</v>
      </c>
      <c r="E2609" s="6" t="str">
        <f>HYPERLINK("https://twitter.com/sergio_fajardo/status/1418370216187342849","1418370216187342849")</f>
        <v>1418370216187342849</v>
      </c>
      <c r="F2609" s="7" t="s">
        <v>23</v>
      </c>
      <c r="G2609" s="7">
        <v>1591106</v>
      </c>
      <c r="H2609" s="7">
        <v>435</v>
      </c>
      <c r="I2609" s="7">
        <v>4</v>
      </c>
      <c r="J2609" s="7">
        <v>0</v>
      </c>
      <c r="K2609" s="7" t="s">
        <v>18</v>
      </c>
      <c r="L2609" s="8">
        <v>39891.213356481479</v>
      </c>
      <c r="M2609" s="9" t="s">
        <v>19</v>
      </c>
      <c r="N2609" s="9" t="s">
        <v>22</v>
      </c>
      <c r="O2609" s="6" t="str">
        <f>HYPERLINK("https://pbs.twimg.com/profile_images/988971255679324162/jrqiIYf__normal.jpg","View")</f>
        <v>View</v>
      </c>
      <c r="P2609" s="7"/>
    </row>
    <row r="2610" spans="1:16">
      <c r="A2610" s="3">
        <v>44400.258761574078</v>
      </c>
      <c r="B2610" s="4" t="str">
        <f>HYPERLINK("https://twitter.com/sergio_fajardo","@sergio_fajardo")</f>
        <v>@sergio_fajardo</v>
      </c>
      <c r="C2610" s="5" t="s">
        <v>16</v>
      </c>
      <c r="D2610" s="5" t="s">
        <v>2631</v>
      </c>
      <c r="E2610" s="6" t="str">
        <f>HYPERLINK("https://twitter.com/sergio_fajardo/status/1418370936353472512","1418370936353472512")</f>
        <v>1418370936353472512</v>
      </c>
      <c r="F2610" s="7" t="s">
        <v>17</v>
      </c>
      <c r="G2610" s="7">
        <v>1591106</v>
      </c>
      <c r="H2610" s="7">
        <v>435</v>
      </c>
      <c r="I2610" s="7">
        <v>1</v>
      </c>
      <c r="J2610" s="7">
        <v>26</v>
      </c>
      <c r="K2610" s="7" t="s">
        <v>18</v>
      </c>
      <c r="L2610" s="8">
        <v>39891.213356481479</v>
      </c>
      <c r="M2610" s="9" t="s">
        <v>19</v>
      </c>
      <c r="N2610" s="9" t="s">
        <v>22</v>
      </c>
      <c r="O2610" s="6" t="str">
        <f>HYPERLINK("https://pbs.twimg.com/profile_images/988971255679324162/jrqiIYf__normal.jpg","View")</f>
        <v>View</v>
      </c>
      <c r="P2610" s="7"/>
    </row>
    <row r="2611" spans="1:16">
      <c r="A2611" s="3">
        <v>44400.276342592595</v>
      </c>
      <c r="B2611" s="4" t="str">
        <f>HYPERLINK("https://twitter.com/sergio_fajardo","@sergio_fajardo")</f>
        <v>@sergio_fajardo</v>
      </c>
      <c r="C2611" s="5" t="s">
        <v>16</v>
      </c>
      <c r="D2611" s="5" t="s">
        <v>2632</v>
      </c>
      <c r="E2611" s="6" t="str">
        <f>HYPERLINK("https://twitter.com/sergio_fajardo/status/1418377306154881027","1418377306154881027")</f>
        <v>1418377306154881027</v>
      </c>
      <c r="F2611" s="7" t="s">
        <v>17</v>
      </c>
      <c r="G2611" s="7">
        <v>1591105</v>
      </c>
      <c r="H2611" s="7">
        <v>435</v>
      </c>
      <c r="I2611" s="7">
        <v>1</v>
      </c>
      <c r="J2611" s="7">
        <v>26</v>
      </c>
      <c r="K2611" s="7" t="s">
        <v>18</v>
      </c>
      <c r="L2611" s="8">
        <v>39891.213356481479</v>
      </c>
      <c r="M2611" s="9" t="s">
        <v>19</v>
      </c>
      <c r="N2611" s="9" t="s">
        <v>22</v>
      </c>
      <c r="O2611" s="6" t="str">
        <f>HYPERLINK("https://pbs.twimg.com/profile_images/988971255679324162/jrqiIYf__normal.jpg","View")</f>
        <v>View</v>
      </c>
      <c r="P2611" s="7"/>
    </row>
    <row r="2612" spans="1:16">
      <c r="A2612" s="3">
        <v>44400.276944444442</v>
      </c>
      <c r="B2612" s="4" t="str">
        <f>HYPERLINK("https://twitter.com/sergio_fajardo","@sergio_fajardo")</f>
        <v>@sergio_fajardo</v>
      </c>
      <c r="C2612" s="5" t="s">
        <v>16</v>
      </c>
      <c r="D2612" s="5" t="s">
        <v>2633</v>
      </c>
      <c r="E2612" s="6" t="str">
        <f>HYPERLINK("https://twitter.com/sergio_fajardo/status/1418377522287370242","1418377522287370242")</f>
        <v>1418377522287370242</v>
      </c>
      <c r="F2612" s="7" t="s">
        <v>17</v>
      </c>
      <c r="G2612" s="7">
        <v>1591105</v>
      </c>
      <c r="H2612" s="7">
        <v>435</v>
      </c>
      <c r="I2612" s="7">
        <v>0</v>
      </c>
      <c r="J2612" s="7">
        <v>11</v>
      </c>
      <c r="K2612" s="7" t="s">
        <v>18</v>
      </c>
      <c r="L2612" s="8">
        <v>39891.213356481479</v>
      </c>
      <c r="M2612" s="9" t="s">
        <v>19</v>
      </c>
      <c r="N2612" s="9" t="s">
        <v>22</v>
      </c>
      <c r="O2612" s="6" t="str">
        <f>HYPERLINK("https://pbs.twimg.com/profile_images/988971255679324162/jrqiIYf__normal.jpg","View")</f>
        <v>View</v>
      </c>
      <c r="P2612" s="7"/>
    </row>
    <row r="2613" spans="1:16">
      <c r="A2613" s="3">
        <v>44400.27789351852</v>
      </c>
      <c r="B2613" s="4" t="str">
        <f>HYPERLINK("https://twitter.com/sergio_fajardo","@sergio_fajardo")</f>
        <v>@sergio_fajardo</v>
      </c>
      <c r="C2613" s="5" t="s">
        <v>16</v>
      </c>
      <c r="D2613" s="5" t="s">
        <v>2634</v>
      </c>
      <c r="E2613" s="6" t="str">
        <f>HYPERLINK("https://twitter.com/sergio_fajardo/status/1418377868560711681","1418377868560711681")</f>
        <v>1418377868560711681</v>
      </c>
      <c r="F2613" s="7" t="s">
        <v>20</v>
      </c>
      <c r="G2613" s="7">
        <v>1591105</v>
      </c>
      <c r="H2613" s="7">
        <v>435</v>
      </c>
      <c r="I2613" s="7">
        <v>5</v>
      </c>
      <c r="J2613" s="7">
        <v>0</v>
      </c>
      <c r="K2613" s="7" t="s">
        <v>18</v>
      </c>
      <c r="L2613" s="8">
        <v>39891.213356481479</v>
      </c>
      <c r="M2613" s="9" t="s">
        <v>19</v>
      </c>
      <c r="N2613" s="9" t="s">
        <v>22</v>
      </c>
      <c r="O2613" s="6" t="str">
        <f>HYPERLINK("https://pbs.twimg.com/profile_images/988971255679324162/jrqiIYf__normal.jpg","View")</f>
        <v>View</v>
      </c>
      <c r="P2613" s="7"/>
    </row>
    <row r="2614" spans="1:16">
      <c r="A2614" s="3">
        <v>44400.278865740736</v>
      </c>
      <c r="B2614" s="4" t="str">
        <f>HYPERLINK("https://twitter.com/sergio_fajardo","@sergio_fajardo")</f>
        <v>@sergio_fajardo</v>
      </c>
      <c r="C2614" s="5" t="s">
        <v>16</v>
      </c>
      <c r="D2614" s="5" t="s">
        <v>2635</v>
      </c>
      <c r="E2614" s="6" t="str">
        <f>HYPERLINK("https://twitter.com/sergio_fajardo/status/1418378220110589958","1418378220110589958")</f>
        <v>1418378220110589958</v>
      </c>
      <c r="F2614" s="7" t="s">
        <v>20</v>
      </c>
      <c r="G2614" s="7">
        <v>1591105</v>
      </c>
      <c r="H2614" s="7">
        <v>435</v>
      </c>
      <c r="I2614" s="7">
        <v>1</v>
      </c>
      <c r="J2614" s="7">
        <v>10</v>
      </c>
      <c r="K2614" s="7" t="s">
        <v>18</v>
      </c>
      <c r="L2614" s="8">
        <v>39891.213356481479</v>
      </c>
      <c r="M2614" s="9" t="s">
        <v>19</v>
      </c>
      <c r="N2614" s="9" t="s">
        <v>22</v>
      </c>
      <c r="O2614" s="6" t="str">
        <f>HYPERLINK("https://pbs.twimg.com/profile_images/988971255679324162/jrqiIYf__normal.jpg","View")</f>
        <v>View</v>
      </c>
      <c r="P2614" s="7"/>
    </row>
    <row r="2615" spans="1:16">
      <c r="A2615" s="3">
        <v>44400.281319444446</v>
      </c>
      <c r="B2615" s="4" t="str">
        <f>HYPERLINK("https://twitter.com/sergio_fajardo","@sergio_fajardo")</f>
        <v>@sergio_fajardo</v>
      </c>
      <c r="C2615" s="5" t="s">
        <v>16</v>
      </c>
      <c r="D2615" s="5" t="s">
        <v>2636</v>
      </c>
      <c r="E2615" s="6" t="str">
        <f>HYPERLINK("https://twitter.com/sergio_fajardo/status/1418379110775246848","1418379110775246848")</f>
        <v>1418379110775246848</v>
      </c>
      <c r="F2615" s="7" t="s">
        <v>20</v>
      </c>
      <c r="G2615" s="7">
        <v>1591105</v>
      </c>
      <c r="H2615" s="7">
        <v>435</v>
      </c>
      <c r="I2615" s="7">
        <v>2</v>
      </c>
      <c r="J2615" s="7">
        <v>12</v>
      </c>
      <c r="K2615" s="7" t="s">
        <v>18</v>
      </c>
      <c r="L2615" s="8">
        <v>39891.213356481479</v>
      </c>
      <c r="M2615" s="9" t="s">
        <v>19</v>
      </c>
      <c r="N2615" s="9" t="s">
        <v>22</v>
      </c>
      <c r="O2615" s="6" t="str">
        <f>HYPERLINK("https://pbs.twimg.com/profile_images/988971255679324162/jrqiIYf__normal.jpg","View")</f>
        <v>View</v>
      </c>
      <c r="P2615" s="7"/>
    </row>
    <row r="2616" spans="1:16">
      <c r="A2616" s="3">
        <v>44400.283564814818</v>
      </c>
      <c r="B2616" s="4" t="str">
        <f>HYPERLINK("https://twitter.com/sergio_fajardo","@sergio_fajardo")</f>
        <v>@sergio_fajardo</v>
      </c>
      <c r="C2616" s="5" t="s">
        <v>16</v>
      </c>
      <c r="D2616" s="5" t="s">
        <v>2637</v>
      </c>
      <c r="E2616" s="6" t="str">
        <f>HYPERLINK("https://twitter.com/sergio_fajardo/status/1418379924906389512","1418379924906389512")</f>
        <v>1418379924906389512</v>
      </c>
      <c r="F2616" s="7" t="s">
        <v>20</v>
      </c>
      <c r="G2616" s="7">
        <v>1591105</v>
      </c>
      <c r="H2616" s="7">
        <v>435</v>
      </c>
      <c r="I2616" s="7">
        <v>1</v>
      </c>
      <c r="J2616" s="7">
        <v>19</v>
      </c>
      <c r="K2616" s="7" t="s">
        <v>18</v>
      </c>
      <c r="L2616" s="8">
        <v>39891.213356481479</v>
      </c>
      <c r="M2616" s="9" t="s">
        <v>19</v>
      </c>
      <c r="N2616" s="9" t="s">
        <v>22</v>
      </c>
      <c r="O2616" s="6" t="str">
        <f>HYPERLINK("https://pbs.twimg.com/profile_images/988971255679324162/jrqiIYf__normal.jpg","View")</f>
        <v>View</v>
      </c>
      <c r="P2616" s="7"/>
    </row>
    <row r="2617" spans="1:16">
      <c r="A2617" s="3">
        <v>44400.288854166662</v>
      </c>
      <c r="B2617" s="4" t="str">
        <f>HYPERLINK("https://twitter.com/sergio_fajardo","@sergio_fajardo")</f>
        <v>@sergio_fajardo</v>
      </c>
      <c r="C2617" s="5" t="s">
        <v>16</v>
      </c>
      <c r="D2617" s="5" t="s">
        <v>2638</v>
      </c>
      <c r="E2617" s="6" t="str">
        <f>HYPERLINK("https://twitter.com/sergio_fajardo/status/1418381837890723841","1418381837890723841")</f>
        <v>1418381837890723841</v>
      </c>
      <c r="F2617" s="7" t="s">
        <v>20</v>
      </c>
      <c r="G2617" s="7">
        <v>1591105</v>
      </c>
      <c r="H2617" s="7">
        <v>435</v>
      </c>
      <c r="I2617" s="7">
        <v>3</v>
      </c>
      <c r="J2617" s="7">
        <v>9</v>
      </c>
      <c r="K2617" s="7" t="s">
        <v>18</v>
      </c>
      <c r="L2617" s="8">
        <v>39891.213356481479</v>
      </c>
      <c r="M2617" s="9" t="s">
        <v>19</v>
      </c>
      <c r="N2617" s="9" t="s">
        <v>22</v>
      </c>
      <c r="O2617" s="6" t="str">
        <f>HYPERLINK("https://pbs.twimg.com/profile_images/988971255679324162/jrqiIYf__normal.jpg","View")</f>
        <v>View</v>
      </c>
      <c r="P2617" s="7"/>
    </row>
    <row r="2618" spans="1:16">
      <c r="A2618" s="3">
        <v>44400.290509259255</v>
      </c>
      <c r="B2618" s="4" t="str">
        <f>HYPERLINK("https://twitter.com/sergio_fajardo","@sergio_fajardo")</f>
        <v>@sergio_fajardo</v>
      </c>
      <c r="C2618" s="5" t="s">
        <v>16</v>
      </c>
      <c r="D2618" s="5" t="s">
        <v>2639</v>
      </c>
      <c r="E2618" s="6" t="str">
        <f>HYPERLINK("https://twitter.com/sergio_fajardo/status/1418382438196289539","1418382438196289539")</f>
        <v>1418382438196289539</v>
      </c>
      <c r="F2618" s="7" t="s">
        <v>20</v>
      </c>
      <c r="G2618" s="7">
        <v>1591105</v>
      </c>
      <c r="H2618" s="7">
        <v>435</v>
      </c>
      <c r="I2618" s="7">
        <v>2</v>
      </c>
      <c r="J2618" s="7">
        <v>5</v>
      </c>
      <c r="K2618" s="7" t="s">
        <v>18</v>
      </c>
      <c r="L2618" s="8">
        <v>39891.213356481479</v>
      </c>
      <c r="M2618" s="9" t="s">
        <v>19</v>
      </c>
      <c r="N2618" s="9" t="s">
        <v>22</v>
      </c>
      <c r="O2618" s="6" t="str">
        <f>HYPERLINK("https://pbs.twimg.com/profile_images/988971255679324162/jrqiIYf__normal.jpg","View")</f>
        <v>View</v>
      </c>
      <c r="P2618" s="7"/>
    </row>
    <row r="2619" spans="1:16">
      <c r="A2619" s="3">
        <v>44400.299803240741</v>
      </c>
      <c r="B2619" s="4" t="str">
        <f>HYPERLINK("https://twitter.com/sergio_fajardo","@sergio_fajardo")</f>
        <v>@sergio_fajardo</v>
      </c>
      <c r="C2619" s="5" t="s">
        <v>16</v>
      </c>
      <c r="D2619" s="5" t="s">
        <v>2640</v>
      </c>
      <c r="E2619" s="6" t="str">
        <f>HYPERLINK("https://twitter.com/sergio_fajardo/status/1418385805488312321","1418385805488312321")</f>
        <v>1418385805488312321</v>
      </c>
      <c r="F2619" s="7" t="s">
        <v>20</v>
      </c>
      <c r="G2619" s="7">
        <v>1591106</v>
      </c>
      <c r="H2619" s="7">
        <v>435</v>
      </c>
      <c r="I2619" s="7">
        <v>6</v>
      </c>
      <c r="J2619" s="7">
        <v>30</v>
      </c>
      <c r="K2619" s="7" t="s">
        <v>18</v>
      </c>
      <c r="L2619" s="8">
        <v>39891.213356481479</v>
      </c>
      <c r="M2619" s="9" t="s">
        <v>19</v>
      </c>
      <c r="N2619" s="9" t="s">
        <v>22</v>
      </c>
      <c r="O2619" s="6" t="str">
        <f>HYPERLINK("https://pbs.twimg.com/profile_images/988971255679324162/jrqiIYf__normal.jpg","View")</f>
        <v>View</v>
      </c>
      <c r="P2619" s="7"/>
    </row>
    <row r="2620" spans="1:16">
      <c r="A2620" s="3">
        <v>44400.316469907411</v>
      </c>
      <c r="B2620" s="4" t="str">
        <f>HYPERLINK("https://twitter.com/sergio_fajardo","@sergio_fajardo")</f>
        <v>@sergio_fajardo</v>
      </c>
      <c r="C2620" s="5" t="s">
        <v>16</v>
      </c>
      <c r="D2620" s="5" t="s">
        <v>2641</v>
      </c>
      <c r="E2620" s="6" t="str">
        <f>HYPERLINK("https://twitter.com/sergio_fajardo/status/1418391848951980032","1418391848951980032")</f>
        <v>1418391848951980032</v>
      </c>
      <c r="F2620" s="7" t="s">
        <v>17</v>
      </c>
      <c r="G2620" s="7">
        <v>1591097</v>
      </c>
      <c r="H2620" s="7">
        <v>436</v>
      </c>
      <c r="I2620" s="7">
        <v>18</v>
      </c>
      <c r="J2620" s="7">
        <v>103</v>
      </c>
      <c r="K2620" s="7" t="s">
        <v>18</v>
      </c>
      <c r="L2620" s="8">
        <v>39891.213356481479</v>
      </c>
      <c r="M2620" s="9" t="s">
        <v>19</v>
      </c>
      <c r="N2620" s="9" t="s">
        <v>22</v>
      </c>
      <c r="O2620" s="6" t="str">
        <f>HYPERLINK("https://pbs.twimg.com/profile_images/988971255679324162/jrqiIYf__normal.jpg","View")</f>
        <v>View</v>
      </c>
      <c r="P2620" s="7"/>
    </row>
    <row r="2621" spans="1:16">
      <c r="A2621" s="3">
        <v>44400.327465277776</v>
      </c>
      <c r="B2621" s="4" t="str">
        <f>HYPERLINK("https://twitter.com/sergio_fajardo","@sergio_fajardo")</f>
        <v>@sergio_fajardo</v>
      </c>
      <c r="C2621" s="5" t="s">
        <v>16</v>
      </c>
      <c r="D2621" s="5" t="s">
        <v>2642</v>
      </c>
      <c r="E2621" s="6" t="str">
        <f>HYPERLINK("https://twitter.com/sergio_fajardo/status/1418395832232054786","1418395832232054786")</f>
        <v>1418395832232054786</v>
      </c>
      <c r="F2621" s="7" t="s">
        <v>17</v>
      </c>
      <c r="G2621" s="7">
        <v>1591097</v>
      </c>
      <c r="H2621" s="7">
        <v>436</v>
      </c>
      <c r="I2621" s="7">
        <v>12</v>
      </c>
      <c r="J2621" s="7">
        <v>55</v>
      </c>
      <c r="K2621" s="7" t="s">
        <v>18</v>
      </c>
      <c r="L2621" s="8">
        <v>39891.213356481479</v>
      </c>
      <c r="M2621" s="9" t="s">
        <v>19</v>
      </c>
      <c r="N2621" s="9" t="s">
        <v>22</v>
      </c>
      <c r="O2621" s="6" t="str">
        <f>HYPERLINK("https://pbs.twimg.com/profile_images/988971255679324162/jrqiIYf__normal.jpg","View")</f>
        <v>View</v>
      </c>
      <c r="P2621" s="7"/>
    </row>
    <row r="2622" spans="1:16">
      <c r="A2622" s="3">
        <v>44400.329224537039</v>
      </c>
      <c r="B2622" s="4" t="str">
        <f>HYPERLINK("https://twitter.com/sergio_fajardo","@sergio_fajardo")</f>
        <v>@sergio_fajardo</v>
      </c>
      <c r="C2622" s="5" t="s">
        <v>16</v>
      </c>
      <c r="D2622" s="5" t="s">
        <v>2643</v>
      </c>
      <c r="E2622" s="6" t="str">
        <f>HYPERLINK("https://twitter.com/sergio_fajardo/status/1418396468088647683","1418396468088647683")</f>
        <v>1418396468088647683</v>
      </c>
      <c r="F2622" s="7" t="s">
        <v>17</v>
      </c>
      <c r="G2622" s="7">
        <v>1591097</v>
      </c>
      <c r="H2622" s="7">
        <v>436</v>
      </c>
      <c r="I2622" s="7">
        <v>7</v>
      </c>
      <c r="J2622" s="7">
        <v>24</v>
      </c>
      <c r="K2622" s="7" t="s">
        <v>18</v>
      </c>
      <c r="L2622" s="8">
        <v>39891.213356481479</v>
      </c>
      <c r="M2622" s="9" t="s">
        <v>19</v>
      </c>
      <c r="N2622" s="9" t="s">
        <v>22</v>
      </c>
      <c r="O2622" s="6" t="str">
        <f>HYPERLINK("https://pbs.twimg.com/profile_images/988971255679324162/jrqiIYf__normal.jpg","View")</f>
        <v>View</v>
      </c>
      <c r="P2622" s="7"/>
    </row>
    <row r="2623" spans="1:16">
      <c r="A2623" s="3">
        <v>44400.334004629629</v>
      </c>
      <c r="B2623" s="4" t="str">
        <f>HYPERLINK("https://twitter.com/sergio_fajardo","@sergio_fajardo")</f>
        <v>@sergio_fajardo</v>
      </c>
      <c r="C2623" s="5" t="s">
        <v>16</v>
      </c>
      <c r="D2623" s="5" t="s">
        <v>2644</v>
      </c>
      <c r="E2623" s="6" t="str">
        <f>HYPERLINK("https://twitter.com/sergio_fajardo/status/1418398200889856000","1418398200889856000")</f>
        <v>1418398200889856000</v>
      </c>
      <c r="F2623" s="7" t="s">
        <v>17</v>
      </c>
      <c r="G2623" s="7">
        <v>1591097</v>
      </c>
      <c r="H2623" s="7">
        <v>436</v>
      </c>
      <c r="I2623" s="7">
        <v>0</v>
      </c>
      <c r="J2623" s="7">
        <v>5</v>
      </c>
      <c r="K2623" s="7" t="s">
        <v>18</v>
      </c>
      <c r="L2623" s="8">
        <v>39891.213356481479</v>
      </c>
      <c r="M2623" s="9" t="s">
        <v>19</v>
      </c>
      <c r="N2623" s="9" t="s">
        <v>22</v>
      </c>
      <c r="O2623" s="6" t="str">
        <f>HYPERLINK("https://pbs.twimg.com/profile_images/988971255679324162/jrqiIYf__normal.jpg","View")</f>
        <v>View</v>
      </c>
      <c r="P2623" s="7"/>
    </row>
    <row r="2624" spans="1:16">
      <c r="A2624" s="3">
        <v>44400.34679398148</v>
      </c>
      <c r="B2624" s="4" t="str">
        <f>HYPERLINK("https://twitter.com/sergio_fajardo","@sergio_fajardo")</f>
        <v>@sergio_fajardo</v>
      </c>
      <c r="C2624" s="5" t="s">
        <v>16</v>
      </c>
      <c r="D2624" s="5" t="s">
        <v>2645</v>
      </c>
      <c r="E2624" s="6" t="str">
        <f>HYPERLINK("https://twitter.com/sergio_fajardo/status/1418402836136841216","1418402836136841216")</f>
        <v>1418402836136841216</v>
      </c>
      <c r="F2624" s="7" t="s">
        <v>23</v>
      </c>
      <c r="G2624" s="7">
        <v>1591095</v>
      </c>
      <c r="H2624" s="7">
        <v>436</v>
      </c>
      <c r="I2624" s="7">
        <v>219</v>
      </c>
      <c r="J2624" s="7">
        <v>0</v>
      </c>
      <c r="K2624" s="7" t="s">
        <v>18</v>
      </c>
      <c r="L2624" s="8">
        <v>39891.213356481479</v>
      </c>
      <c r="M2624" s="9" t="s">
        <v>19</v>
      </c>
      <c r="N2624" s="9" t="s">
        <v>22</v>
      </c>
      <c r="O2624" s="6" t="str">
        <f>HYPERLINK("https://pbs.twimg.com/profile_images/988971255679324162/jrqiIYf__normal.jpg","View")</f>
        <v>View</v>
      </c>
      <c r="P2624" s="7"/>
    </row>
    <row r="2625" spans="1:16">
      <c r="A2625" s="3">
        <v>44400.994340277779</v>
      </c>
      <c r="B2625" s="4" t="str">
        <f>HYPERLINK("https://twitter.com/sergio_fajardo","@sergio_fajardo")</f>
        <v>@sergio_fajardo</v>
      </c>
      <c r="C2625" s="5" t="s">
        <v>16</v>
      </c>
      <c r="D2625" s="5" t="s">
        <v>2646</v>
      </c>
      <c r="E2625" s="6" t="str">
        <f>HYPERLINK("https://twitter.com/sergio_fajardo/status/1418637498159407104","1418637498159407104")</f>
        <v>1418637498159407104</v>
      </c>
      <c r="F2625" s="7" t="s">
        <v>23</v>
      </c>
      <c r="G2625" s="7">
        <v>1591137</v>
      </c>
      <c r="H2625" s="7">
        <v>496</v>
      </c>
      <c r="I2625" s="7">
        <v>7</v>
      </c>
      <c r="J2625" s="7">
        <v>58</v>
      </c>
      <c r="K2625" s="7" t="s">
        <v>18</v>
      </c>
      <c r="L2625" s="8">
        <v>39891.213356481479</v>
      </c>
      <c r="M2625" s="9" t="s">
        <v>19</v>
      </c>
      <c r="N2625" s="9" t="s">
        <v>22</v>
      </c>
      <c r="O2625" s="6" t="str">
        <f>HYPERLINK("https://pbs.twimg.com/profile_images/988971255679324162/jrqiIYf__normal.jpg","View")</f>
        <v>View</v>
      </c>
      <c r="P2625" s="7"/>
    </row>
    <row r="2626" spans="1:16">
      <c r="A2626" s="3">
        <v>44400.994895833333</v>
      </c>
      <c r="B2626" s="4" t="str">
        <f>HYPERLINK("https://twitter.com/sergio_fajardo","@sergio_fajardo")</f>
        <v>@sergio_fajardo</v>
      </c>
      <c r="C2626" s="5" t="s">
        <v>16</v>
      </c>
      <c r="D2626" s="5" t="s">
        <v>2647</v>
      </c>
      <c r="E2626" s="6" t="str">
        <f>HYPERLINK("https://twitter.com/sergio_fajardo/status/1418637701415415815","1418637701415415815")</f>
        <v>1418637701415415815</v>
      </c>
      <c r="F2626" s="7" t="s">
        <v>23</v>
      </c>
      <c r="G2626" s="7">
        <v>1591137</v>
      </c>
      <c r="H2626" s="7">
        <v>496</v>
      </c>
      <c r="I2626" s="7">
        <v>2</v>
      </c>
      <c r="J2626" s="7">
        <v>22</v>
      </c>
      <c r="K2626" s="7" t="s">
        <v>18</v>
      </c>
      <c r="L2626" s="8">
        <v>39891.213356481479</v>
      </c>
      <c r="M2626" s="9" t="s">
        <v>19</v>
      </c>
      <c r="N2626" s="9" t="s">
        <v>22</v>
      </c>
      <c r="O2626" s="6" t="str">
        <f>HYPERLINK("https://pbs.twimg.com/profile_images/988971255679324162/jrqiIYf__normal.jpg","View")</f>
        <v>View</v>
      </c>
      <c r="P2626" s="7"/>
    </row>
    <row r="2627" spans="1:16">
      <c r="A2627" s="3">
        <v>44400.995370370365</v>
      </c>
      <c r="B2627" s="4" t="str">
        <f>HYPERLINK("https://twitter.com/sergio_fajardo","@sergio_fajardo")</f>
        <v>@sergio_fajardo</v>
      </c>
      <c r="C2627" s="5" t="s">
        <v>16</v>
      </c>
      <c r="D2627" s="5" t="s">
        <v>2648</v>
      </c>
      <c r="E2627" s="6" t="str">
        <f>HYPERLINK("https://twitter.com/sergio_fajardo/status/1418637872266104834","1418637872266104834")</f>
        <v>1418637872266104834</v>
      </c>
      <c r="F2627" s="7" t="s">
        <v>23</v>
      </c>
      <c r="G2627" s="7">
        <v>1591137</v>
      </c>
      <c r="H2627" s="7">
        <v>496</v>
      </c>
      <c r="I2627" s="7">
        <v>2</v>
      </c>
      <c r="J2627" s="7">
        <v>14</v>
      </c>
      <c r="K2627" s="7" t="s">
        <v>18</v>
      </c>
      <c r="L2627" s="8">
        <v>39891.213356481479</v>
      </c>
      <c r="M2627" s="9" t="s">
        <v>19</v>
      </c>
      <c r="N2627" s="9" t="s">
        <v>22</v>
      </c>
      <c r="O2627" s="6" t="str">
        <f>HYPERLINK("https://pbs.twimg.com/profile_images/988971255679324162/jrqiIYf__normal.jpg","View")</f>
        <v>View</v>
      </c>
      <c r="P2627" s="7"/>
    </row>
    <row r="2628" spans="1:16">
      <c r="A2628" s="3">
        <v>44400.995787037042</v>
      </c>
      <c r="B2628" s="4" t="str">
        <f>HYPERLINK("https://twitter.com/sergio_fajardo","@sergio_fajardo")</f>
        <v>@sergio_fajardo</v>
      </c>
      <c r="C2628" s="5" t="s">
        <v>16</v>
      </c>
      <c r="D2628" s="5" t="s">
        <v>2649</v>
      </c>
      <c r="E2628" s="6" t="str">
        <f>HYPERLINK("https://twitter.com/sergio_fajardo/status/1418638022191484928","1418638022191484928")</f>
        <v>1418638022191484928</v>
      </c>
      <c r="F2628" s="7" t="s">
        <v>23</v>
      </c>
      <c r="G2628" s="7">
        <v>1591137</v>
      </c>
      <c r="H2628" s="7">
        <v>496</v>
      </c>
      <c r="I2628" s="7">
        <v>4</v>
      </c>
      <c r="J2628" s="7">
        <v>23</v>
      </c>
      <c r="K2628" s="7" t="s">
        <v>18</v>
      </c>
      <c r="L2628" s="8">
        <v>39891.213356481479</v>
      </c>
      <c r="M2628" s="9" t="s">
        <v>19</v>
      </c>
      <c r="N2628" s="9" t="s">
        <v>22</v>
      </c>
      <c r="O2628" s="6" t="str">
        <f>HYPERLINK("https://pbs.twimg.com/profile_images/988971255679324162/jrqiIYf__normal.jpg","View")</f>
        <v>View</v>
      </c>
      <c r="P2628" s="7"/>
    </row>
    <row r="2629" spans="1:16">
      <c r="A2629" s="3">
        <v>44400.996898148151</v>
      </c>
      <c r="B2629" s="4" t="str">
        <f>HYPERLINK("https://twitter.com/sergio_fajardo","@sergio_fajardo")</f>
        <v>@sergio_fajardo</v>
      </c>
      <c r="C2629" s="5" t="s">
        <v>16</v>
      </c>
      <c r="D2629" s="5" t="s">
        <v>2650</v>
      </c>
      <c r="E2629" s="6" t="str">
        <f>HYPERLINK("https://twitter.com/sergio_fajardo/status/1418638424903409664","1418638424903409664")</f>
        <v>1418638424903409664</v>
      </c>
      <c r="F2629" s="7" t="s">
        <v>23</v>
      </c>
      <c r="G2629" s="7">
        <v>1591137</v>
      </c>
      <c r="H2629" s="7">
        <v>496</v>
      </c>
      <c r="I2629" s="7">
        <v>3</v>
      </c>
      <c r="J2629" s="7">
        <v>19</v>
      </c>
      <c r="K2629" s="7" t="s">
        <v>18</v>
      </c>
      <c r="L2629" s="8">
        <v>39891.213356481479</v>
      </c>
      <c r="M2629" s="9" t="s">
        <v>19</v>
      </c>
      <c r="N2629" s="9" t="s">
        <v>22</v>
      </c>
      <c r="O2629" s="6" t="str">
        <f>HYPERLINK("https://pbs.twimg.com/profile_images/988971255679324162/jrqiIYf__normal.jpg","View")</f>
        <v>View</v>
      </c>
      <c r="P2629" s="7"/>
    </row>
    <row r="2630" spans="1:16">
      <c r="A2630" s="3">
        <v>44401.091423611113</v>
      </c>
      <c r="B2630" s="4" t="str">
        <f>HYPERLINK("https://twitter.com/sergio_fajardo","@sergio_fajardo")</f>
        <v>@sergio_fajardo</v>
      </c>
      <c r="C2630" s="5" t="s">
        <v>16</v>
      </c>
      <c r="D2630" s="5" t="s">
        <v>2651</v>
      </c>
      <c r="E2630" s="6" t="str">
        <f>HYPERLINK("https://twitter.com/sergio_fajardo/status/1418672681956872199","1418672681956872199")</f>
        <v>1418672681956872199</v>
      </c>
      <c r="F2630" s="7" t="s">
        <v>17</v>
      </c>
      <c r="G2630" s="7">
        <v>1591141</v>
      </c>
      <c r="H2630" s="7">
        <v>502</v>
      </c>
      <c r="I2630" s="7">
        <v>5</v>
      </c>
      <c r="J2630" s="7">
        <v>0</v>
      </c>
      <c r="K2630" s="7" t="s">
        <v>18</v>
      </c>
      <c r="L2630" s="8">
        <v>39891.213356481479</v>
      </c>
      <c r="M2630" s="9" t="s">
        <v>19</v>
      </c>
      <c r="N2630" s="9" t="s">
        <v>22</v>
      </c>
      <c r="O2630" s="6" t="str">
        <f>HYPERLINK("https://pbs.twimg.com/profile_images/988971255679324162/jrqiIYf__normal.jpg","View")</f>
        <v>View</v>
      </c>
      <c r="P2630" s="7"/>
    </row>
    <row r="2631" spans="1:16">
      <c r="A2631" s="3">
        <v>44401.942453703705</v>
      </c>
      <c r="B2631" s="4" t="str">
        <f>HYPERLINK("https://twitter.com/sergio_fajardo","@sergio_fajardo")</f>
        <v>@sergio_fajardo</v>
      </c>
      <c r="C2631" s="5" t="s">
        <v>16</v>
      </c>
      <c r="D2631" s="5" t="s">
        <v>2652</v>
      </c>
      <c r="E2631" s="6" t="str">
        <f>HYPERLINK("https://twitter.com/sergio_fajardo/status/1418981084956659725","1418981084956659725")</f>
        <v>1418981084956659725</v>
      </c>
      <c r="F2631" s="7" t="s">
        <v>17</v>
      </c>
      <c r="G2631" s="7">
        <v>1591205</v>
      </c>
      <c r="H2631" s="7">
        <v>503</v>
      </c>
      <c r="I2631" s="7">
        <v>10</v>
      </c>
      <c r="J2631" s="7">
        <v>0</v>
      </c>
      <c r="K2631" s="7" t="s">
        <v>18</v>
      </c>
      <c r="L2631" s="8">
        <v>39891.213356481479</v>
      </c>
      <c r="M2631" s="9" t="s">
        <v>19</v>
      </c>
      <c r="N2631" s="9" t="s">
        <v>22</v>
      </c>
      <c r="O2631" s="6" t="str">
        <f>HYPERLINK("https://pbs.twimg.com/profile_images/988971255679324162/jrqiIYf__normal.jpg","View")</f>
        <v>View</v>
      </c>
      <c r="P2631" s="7"/>
    </row>
    <row r="2632" spans="1:16">
      <c r="A2632" s="3">
        <v>44401.983078703706</v>
      </c>
      <c r="B2632" s="4" t="str">
        <f>HYPERLINK("https://twitter.com/sergio_fajardo","@sergio_fajardo")</f>
        <v>@sergio_fajardo</v>
      </c>
      <c r="C2632" s="5" t="s">
        <v>16</v>
      </c>
      <c r="D2632" s="5" t="s">
        <v>2653</v>
      </c>
      <c r="E2632" s="6" t="str">
        <f>HYPERLINK("https://twitter.com/sergio_fajardo/status/1418995807156637696","1418995807156637696")</f>
        <v>1418995807156637696</v>
      </c>
      <c r="F2632" s="7" t="s">
        <v>17</v>
      </c>
      <c r="G2632" s="7">
        <v>1591206</v>
      </c>
      <c r="H2632" s="7">
        <v>503</v>
      </c>
      <c r="I2632" s="7">
        <v>26</v>
      </c>
      <c r="J2632" s="7">
        <v>71</v>
      </c>
      <c r="K2632" s="7" t="s">
        <v>18</v>
      </c>
      <c r="L2632" s="8">
        <v>39891.213356481479</v>
      </c>
      <c r="M2632" s="9" t="s">
        <v>19</v>
      </c>
      <c r="N2632" s="9" t="s">
        <v>22</v>
      </c>
      <c r="O2632" s="6" t="str">
        <f>HYPERLINK("https://pbs.twimg.com/profile_images/988971255679324162/jrqiIYf__normal.jpg","View")</f>
        <v>View</v>
      </c>
      <c r="P2632" s="7"/>
    </row>
    <row r="2633" spans="1:16">
      <c r="A2633" s="3">
        <v>44402.013229166667</v>
      </c>
      <c r="B2633" s="4" t="str">
        <f>HYPERLINK("https://twitter.com/sergio_fajardo","@sergio_fajardo")</f>
        <v>@sergio_fajardo</v>
      </c>
      <c r="C2633" s="5" t="s">
        <v>16</v>
      </c>
      <c r="D2633" s="5" t="s">
        <v>2654</v>
      </c>
      <c r="E2633" s="6" t="str">
        <f>HYPERLINK("https://twitter.com/sergio_fajardo/status/1419006732131606533","1419006732131606533")</f>
        <v>1419006732131606533</v>
      </c>
      <c r="F2633" s="7" t="s">
        <v>17</v>
      </c>
      <c r="G2633" s="7">
        <v>1591207</v>
      </c>
      <c r="H2633" s="7">
        <v>503</v>
      </c>
      <c r="I2633" s="7">
        <v>2</v>
      </c>
      <c r="J2633" s="7">
        <v>0</v>
      </c>
      <c r="K2633" s="7" t="s">
        <v>18</v>
      </c>
      <c r="L2633" s="8">
        <v>39891.213356481479</v>
      </c>
      <c r="M2633" s="9" t="s">
        <v>19</v>
      </c>
      <c r="N2633" s="9" t="s">
        <v>22</v>
      </c>
      <c r="O2633" s="6" t="str">
        <f>HYPERLINK("https://pbs.twimg.com/profile_images/988971255679324162/jrqiIYf__normal.jpg","View")</f>
        <v>View</v>
      </c>
      <c r="P2633" s="7"/>
    </row>
    <row r="2634" spans="1:16">
      <c r="A2634" s="3">
        <v>44402.7808912037</v>
      </c>
      <c r="B2634" s="4" t="str">
        <f>HYPERLINK("https://twitter.com/sergio_fajardo","@sergio_fajardo")</f>
        <v>@sergio_fajardo</v>
      </c>
      <c r="C2634" s="5" t="s">
        <v>16</v>
      </c>
      <c r="D2634" s="5" t="s">
        <v>2655</v>
      </c>
      <c r="E2634" s="6" t="str">
        <f>HYPERLINK("https://twitter.com/sergio_fajardo/status/1419284923454734338","1419284923454734338")</f>
        <v>1419284923454734338</v>
      </c>
      <c r="F2634" s="7" t="s">
        <v>23</v>
      </c>
      <c r="G2634" s="7">
        <v>1591221</v>
      </c>
      <c r="H2634" s="7">
        <v>503</v>
      </c>
      <c r="I2634" s="7">
        <v>1698</v>
      </c>
      <c r="J2634" s="7">
        <v>0</v>
      </c>
      <c r="K2634" s="7" t="s">
        <v>18</v>
      </c>
      <c r="L2634" s="8">
        <v>39891.213356481479</v>
      </c>
      <c r="M2634" s="9" t="s">
        <v>19</v>
      </c>
      <c r="N2634" s="9" t="s">
        <v>22</v>
      </c>
      <c r="O2634" s="6" t="str">
        <f>HYPERLINK("https://pbs.twimg.com/profile_images/988971255679324162/jrqiIYf__normal.jpg","View")</f>
        <v>View</v>
      </c>
      <c r="P2634" s="7"/>
    </row>
    <row r="2635" spans="1:16">
      <c r="A2635" s="3">
        <v>44403.09002314815</v>
      </c>
      <c r="B2635" s="4" t="str">
        <f>HYPERLINK("https://twitter.com/sergio_fajardo","@sergio_fajardo")</f>
        <v>@sergio_fajardo</v>
      </c>
      <c r="C2635" s="5" t="s">
        <v>16</v>
      </c>
      <c r="D2635" s="5" t="s">
        <v>2656</v>
      </c>
      <c r="E2635" s="6" t="str">
        <f>HYPERLINK("https://twitter.com/sergio_fajardo/status/1419396947438411782","1419396947438411782")</f>
        <v>1419396947438411782</v>
      </c>
      <c r="F2635" s="7" t="s">
        <v>23</v>
      </c>
      <c r="G2635" s="7">
        <v>1591216</v>
      </c>
      <c r="H2635" s="7">
        <v>503</v>
      </c>
      <c r="I2635" s="7">
        <v>15</v>
      </c>
      <c r="J2635" s="7">
        <v>52</v>
      </c>
      <c r="K2635" s="7" t="s">
        <v>18</v>
      </c>
      <c r="L2635" s="8">
        <v>39891.213356481479</v>
      </c>
      <c r="M2635" s="9" t="s">
        <v>19</v>
      </c>
      <c r="N2635" s="9" t="s">
        <v>22</v>
      </c>
      <c r="O2635" s="6" t="str">
        <f>HYPERLINK("https://pbs.twimg.com/profile_images/988971255679324162/jrqiIYf__normal.jpg","View")</f>
        <v>View</v>
      </c>
      <c r="P2635" s="7"/>
    </row>
    <row r="2636" spans="1:16">
      <c r="A2636" s="3">
        <v>44403.09002314815</v>
      </c>
      <c r="B2636" s="4" t="str">
        <f>HYPERLINK("https://twitter.com/sergio_fajardo","@sergio_fajardo")</f>
        <v>@sergio_fajardo</v>
      </c>
      <c r="C2636" s="5" t="s">
        <v>16</v>
      </c>
      <c r="D2636" s="5" t="s">
        <v>2657</v>
      </c>
      <c r="E2636" s="6" t="str">
        <f>HYPERLINK("https://twitter.com/sergio_fajardo/status/1419396948956794886","1419396948956794886")</f>
        <v>1419396948956794886</v>
      </c>
      <c r="F2636" s="7" t="s">
        <v>23</v>
      </c>
      <c r="G2636" s="7">
        <v>1591216</v>
      </c>
      <c r="H2636" s="7">
        <v>503</v>
      </c>
      <c r="I2636" s="7">
        <v>8</v>
      </c>
      <c r="J2636" s="7">
        <v>29</v>
      </c>
      <c r="K2636" s="7" t="s">
        <v>18</v>
      </c>
      <c r="L2636" s="8">
        <v>39891.213356481479</v>
      </c>
      <c r="M2636" s="9" t="s">
        <v>19</v>
      </c>
      <c r="N2636" s="9" t="s">
        <v>22</v>
      </c>
      <c r="O2636" s="6" t="str">
        <f>HYPERLINK("https://pbs.twimg.com/profile_images/988971255679324162/jrqiIYf__normal.jpg","View")</f>
        <v>View</v>
      </c>
      <c r="P2636" s="7"/>
    </row>
    <row r="2637" spans="1:16">
      <c r="A2637" s="3">
        <v>44403.09002314815</v>
      </c>
      <c r="B2637" s="4" t="str">
        <f>HYPERLINK("https://twitter.com/sergio_fajardo","@sergio_fajardo")</f>
        <v>@sergio_fajardo</v>
      </c>
      <c r="C2637" s="5" t="s">
        <v>16</v>
      </c>
      <c r="D2637" s="5" t="s">
        <v>2658</v>
      </c>
      <c r="E2637" s="6" t="str">
        <f>HYPERLINK("https://twitter.com/sergio_fajardo/status/1419396950110126081","1419396950110126081")</f>
        <v>1419396950110126081</v>
      </c>
      <c r="F2637" s="7" t="s">
        <v>23</v>
      </c>
      <c r="G2637" s="7">
        <v>1591216</v>
      </c>
      <c r="H2637" s="7">
        <v>503</v>
      </c>
      <c r="I2637" s="7">
        <v>5</v>
      </c>
      <c r="J2637" s="7">
        <v>19</v>
      </c>
      <c r="K2637" s="7" t="s">
        <v>18</v>
      </c>
      <c r="L2637" s="8">
        <v>39891.213356481479</v>
      </c>
      <c r="M2637" s="9" t="s">
        <v>19</v>
      </c>
      <c r="N2637" s="9" t="s">
        <v>22</v>
      </c>
      <c r="O2637" s="6" t="str">
        <f>HYPERLINK("https://pbs.twimg.com/profile_images/988971255679324162/jrqiIYf__normal.jpg","View")</f>
        <v>View</v>
      </c>
      <c r="P2637" s="7"/>
    </row>
    <row r="2638" spans="1:16">
      <c r="A2638" s="3">
        <v>44403.132905092592</v>
      </c>
      <c r="B2638" s="4" t="str">
        <f>HYPERLINK("https://twitter.com/sergio_fajardo","@sergio_fajardo")</f>
        <v>@sergio_fajardo</v>
      </c>
      <c r="C2638" s="5" t="s">
        <v>16</v>
      </c>
      <c r="D2638" s="5" t="s">
        <v>2659</v>
      </c>
      <c r="E2638" s="6" t="str">
        <f>HYPERLINK("https://twitter.com/sergio_fajardo/status/1419412491315159046","1419412491315159046")</f>
        <v>1419412491315159046</v>
      </c>
      <c r="F2638" s="7" t="s">
        <v>17</v>
      </c>
      <c r="G2638" s="7">
        <v>1591201</v>
      </c>
      <c r="H2638" s="7">
        <v>503</v>
      </c>
      <c r="I2638" s="7">
        <v>3</v>
      </c>
      <c r="J2638" s="7">
        <v>0</v>
      </c>
      <c r="K2638" s="7" t="s">
        <v>18</v>
      </c>
      <c r="L2638" s="8">
        <v>39891.213356481479</v>
      </c>
      <c r="M2638" s="9" t="s">
        <v>19</v>
      </c>
      <c r="N2638" s="9" t="s">
        <v>22</v>
      </c>
      <c r="O2638" s="6" t="str">
        <f>HYPERLINK("https://pbs.twimg.com/profile_images/988971255679324162/jrqiIYf__normal.jpg","View")</f>
        <v>View</v>
      </c>
      <c r="P2638" s="7"/>
    </row>
    <row r="2639" spans="1:16">
      <c r="A2639" s="3">
        <v>44404.02008101852</v>
      </c>
      <c r="B2639" s="4" t="str">
        <f>HYPERLINK("https://twitter.com/sergio_fajardo","@sergio_fajardo")</f>
        <v>@sergio_fajardo</v>
      </c>
      <c r="C2639" s="5" t="s">
        <v>16</v>
      </c>
      <c r="D2639" s="5" t="s">
        <v>2660</v>
      </c>
      <c r="E2639" s="6" t="str">
        <f>HYPERLINK("https://twitter.com/sergio_fajardo/status/1419733991838650374","1419733991838650374")</f>
        <v>1419733991838650374</v>
      </c>
      <c r="F2639" s="7" t="s">
        <v>17</v>
      </c>
      <c r="G2639" s="7">
        <v>1591205</v>
      </c>
      <c r="H2639" s="7">
        <v>503</v>
      </c>
      <c r="I2639" s="7">
        <v>552</v>
      </c>
      <c r="J2639" s="7">
        <v>0</v>
      </c>
      <c r="K2639" s="7" t="s">
        <v>18</v>
      </c>
      <c r="L2639" s="8">
        <v>39891.213356481479</v>
      </c>
      <c r="M2639" s="9" t="s">
        <v>19</v>
      </c>
      <c r="N2639" s="9" t="s">
        <v>22</v>
      </c>
      <c r="O2639" s="6" t="str">
        <f>HYPERLINK("https://pbs.twimg.com/profile_images/988971255679324162/jrqiIYf__normal.jpg","View")</f>
        <v>View</v>
      </c>
      <c r="P2639" s="7"/>
    </row>
    <row r="2640" spans="1:16">
      <c r="A2640" s="3">
        <v>44404.868009259255</v>
      </c>
      <c r="B2640" s="4" t="str">
        <f>HYPERLINK("https://twitter.com/sergio_fajardo","@sergio_fajardo")</f>
        <v>@sergio_fajardo</v>
      </c>
      <c r="C2640" s="5" t="s">
        <v>16</v>
      </c>
      <c r="D2640" s="5" t="s">
        <v>2661</v>
      </c>
      <c r="E2640" s="6" t="str">
        <f>HYPERLINK("https://twitter.com/sergio_fajardo/status/1420041269187907593","1420041269187907593")</f>
        <v>1420041269187907593</v>
      </c>
      <c r="F2640" s="7" t="s">
        <v>23</v>
      </c>
      <c r="G2640" s="7">
        <v>1591230</v>
      </c>
      <c r="H2640" s="7">
        <v>503</v>
      </c>
      <c r="I2640" s="7">
        <v>566</v>
      </c>
      <c r="J2640" s="7">
        <v>0</v>
      </c>
      <c r="K2640" s="7" t="s">
        <v>18</v>
      </c>
      <c r="L2640" s="8">
        <v>39891.213356481479</v>
      </c>
      <c r="M2640" s="9" t="s">
        <v>19</v>
      </c>
      <c r="N2640" s="9" t="s">
        <v>22</v>
      </c>
      <c r="O2640" s="6" t="str">
        <f>HYPERLINK("https://pbs.twimg.com/profile_images/988971255679324162/jrqiIYf__normal.jpg","View")</f>
        <v>View</v>
      </c>
      <c r="P2640" s="7"/>
    </row>
    <row r="2641" spans="1:16">
      <c r="A2641" s="3">
        <v>44404.903055555551</v>
      </c>
      <c r="B2641" s="4" t="str">
        <f>HYPERLINK("https://twitter.com/sergio_fajardo","@sergio_fajardo")</f>
        <v>@sergio_fajardo</v>
      </c>
      <c r="C2641" s="5" t="s">
        <v>16</v>
      </c>
      <c r="D2641" s="5" t="s">
        <v>2662</v>
      </c>
      <c r="E2641" s="6" t="str">
        <f>HYPERLINK("https://twitter.com/sergio_fajardo/status/1420053970559639556","1420053970559639556")</f>
        <v>1420053970559639556</v>
      </c>
      <c r="F2641" s="7" t="s">
        <v>17</v>
      </c>
      <c r="G2641" s="7">
        <v>1591228</v>
      </c>
      <c r="H2641" s="7">
        <v>503</v>
      </c>
      <c r="I2641" s="7">
        <v>1</v>
      </c>
      <c r="J2641" s="7">
        <v>13</v>
      </c>
      <c r="K2641" s="7" t="s">
        <v>18</v>
      </c>
      <c r="L2641" s="8">
        <v>39891.213356481479</v>
      </c>
      <c r="M2641" s="9" t="s">
        <v>19</v>
      </c>
      <c r="N2641" s="9" t="s">
        <v>22</v>
      </c>
      <c r="O2641" s="6" t="str">
        <f>HYPERLINK("https://pbs.twimg.com/profile_images/988971255679324162/jrqiIYf__normal.jpg","View")</f>
        <v>View</v>
      </c>
      <c r="P2641" s="7"/>
    </row>
    <row r="2642" spans="1:16">
      <c r="A2642" s="3">
        <v>44404.905532407407</v>
      </c>
      <c r="B2642" s="4" t="str">
        <f>HYPERLINK("https://twitter.com/sergio_fajardo","@sergio_fajardo")</f>
        <v>@sergio_fajardo</v>
      </c>
      <c r="C2642" s="5" t="s">
        <v>16</v>
      </c>
      <c r="D2642" s="5" t="s">
        <v>2663</v>
      </c>
      <c r="E2642" s="6" t="str">
        <f>HYPERLINK("https://twitter.com/sergio_fajardo/status/1420054868354605056","1420054868354605056")</f>
        <v>1420054868354605056</v>
      </c>
      <c r="F2642" s="7" t="s">
        <v>17</v>
      </c>
      <c r="G2642" s="7">
        <v>1591228</v>
      </c>
      <c r="H2642" s="7">
        <v>503</v>
      </c>
      <c r="I2642" s="7">
        <v>6</v>
      </c>
      <c r="J2642" s="7">
        <v>0</v>
      </c>
      <c r="K2642" s="7" t="s">
        <v>18</v>
      </c>
      <c r="L2642" s="8">
        <v>39891.213356481479</v>
      </c>
      <c r="M2642" s="9" t="s">
        <v>19</v>
      </c>
      <c r="N2642" s="9" t="s">
        <v>22</v>
      </c>
      <c r="O2642" s="6" t="str">
        <f>HYPERLINK("https://pbs.twimg.com/profile_images/988971255679324162/jrqiIYf__normal.jpg","View")</f>
        <v>View</v>
      </c>
      <c r="P2642" s="7"/>
    </row>
    <row r="2643" spans="1:16">
      <c r="A2643" s="3">
        <v>44405.027638888889</v>
      </c>
      <c r="B2643" s="4" t="str">
        <f>HYPERLINK("https://twitter.com/sergio_fajardo","@sergio_fajardo")</f>
        <v>@sergio_fajardo</v>
      </c>
      <c r="C2643" s="5" t="s">
        <v>16</v>
      </c>
      <c r="D2643" s="5" t="s">
        <v>2664</v>
      </c>
      <c r="E2643" s="6" t="str">
        <f>HYPERLINK("https://twitter.com/sergio_fajardo/status/1420099119725654028","1420099119725654028")</f>
        <v>1420099119725654028</v>
      </c>
      <c r="F2643" s="7" t="s">
        <v>17</v>
      </c>
      <c r="G2643" s="7">
        <v>1591224</v>
      </c>
      <c r="H2643" s="7">
        <v>503</v>
      </c>
      <c r="I2643" s="7">
        <v>3</v>
      </c>
      <c r="J2643" s="7">
        <v>0</v>
      </c>
      <c r="K2643" s="7" t="s">
        <v>18</v>
      </c>
      <c r="L2643" s="8">
        <v>39891.213356481479</v>
      </c>
      <c r="M2643" s="9" t="s">
        <v>19</v>
      </c>
      <c r="N2643" s="9" t="s">
        <v>22</v>
      </c>
      <c r="O2643" s="6" t="str">
        <f>HYPERLINK("https://pbs.twimg.com/profile_images/988971255679324162/jrqiIYf__normal.jpg","View")</f>
        <v>View</v>
      </c>
      <c r="P2643" s="7"/>
    </row>
    <row r="2644" spans="1:16">
      <c r="A2644" s="3">
        <v>44405.09447916667</v>
      </c>
      <c r="B2644" s="4" t="str">
        <f>HYPERLINK("https://twitter.com/sergio_fajardo","@sergio_fajardo")</f>
        <v>@sergio_fajardo</v>
      </c>
      <c r="C2644" s="5" t="s">
        <v>16</v>
      </c>
      <c r="D2644" s="5" t="s">
        <v>2665</v>
      </c>
      <c r="E2644" s="6" t="str">
        <f>HYPERLINK("https://twitter.com/sergio_fajardo/status/1420123341428506626","1420123341428506626")</f>
        <v>1420123341428506626</v>
      </c>
      <c r="F2644" s="7" t="s">
        <v>17</v>
      </c>
      <c r="G2644" s="7">
        <v>1591234</v>
      </c>
      <c r="H2644" s="7">
        <v>503</v>
      </c>
      <c r="I2644" s="7">
        <v>6</v>
      </c>
      <c r="J2644" s="7">
        <v>0</v>
      </c>
      <c r="K2644" s="7" t="s">
        <v>18</v>
      </c>
      <c r="L2644" s="8">
        <v>39891.213356481479</v>
      </c>
      <c r="M2644" s="9" t="s">
        <v>19</v>
      </c>
      <c r="N2644" s="9" t="s">
        <v>22</v>
      </c>
      <c r="O2644" s="6" t="str">
        <f>HYPERLINK("https://pbs.twimg.com/profile_images/988971255679324162/jrqiIYf__normal.jpg","View")</f>
        <v>View</v>
      </c>
      <c r="P2644" s="7"/>
    </row>
    <row r="2645" spans="1:16">
      <c r="A2645" s="3">
        <v>44405.956250000003</v>
      </c>
      <c r="B2645" s="4" t="str">
        <f>HYPERLINK("https://twitter.com/sergio_fajardo","@sergio_fajardo")</f>
        <v>@sergio_fajardo</v>
      </c>
      <c r="C2645" s="5" t="s">
        <v>16</v>
      </c>
      <c r="D2645" s="5" t="s">
        <v>2666</v>
      </c>
      <c r="E2645" s="6" t="str">
        <f>HYPERLINK("https://twitter.com/sergio_fajardo/status/1420435636209819651","1420435636209819651")</f>
        <v>1420435636209819651</v>
      </c>
      <c r="F2645" s="7" t="s">
        <v>2329</v>
      </c>
      <c r="G2645" s="7">
        <v>1591249</v>
      </c>
      <c r="H2645" s="7">
        <v>503</v>
      </c>
      <c r="I2645" s="7">
        <v>25</v>
      </c>
      <c r="J2645" s="7">
        <v>89</v>
      </c>
      <c r="K2645" s="7" t="s">
        <v>18</v>
      </c>
      <c r="L2645" s="8">
        <v>39891.213356481479</v>
      </c>
      <c r="M2645" s="9" t="s">
        <v>19</v>
      </c>
      <c r="N2645" s="9" t="s">
        <v>22</v>
      </c>
      <c r="O2645" s="6" t="str">
        <f>HYPERLINK("https://pbs.twimg.com/profile_images/988971255679324162/jrqiIYf__normal.jpg","View")</f>
        <v>View</v>
      </c>
      <c r="P2645" s="7"/>
    </row>
    <row r="2646" spans="1:16">
      <c r="A2646" s="3">
        <v>44406.22934027778</v>
      </c>
      <c r="B2646" s="4" t="str">
        <f>HYPERLINK("https://twitter.com/sergio_fajardo","@sergio_fajardo")</f>
        <v>@sergio_fajardo</v>
      </c>
      <c r="C2646" s="5" t="s">
        <v>16</v>
      </c>
      <c r="D2646" s="5" t="s">
        <v>2667</v>
      </c>
      <c r="E2646" s="6" t="str">
        <f>HYPERLINK("https://twitter.com/sergio_fajardo/status/1420534601596952584","1420534601596952584")</f>
        <v>1420534601596952584</v>
      </c>
      <c r="F2646" s="7" t="s">
        <v>17</v>
      </c>
      <c r="G2646" s="7">
        <v>1591265</v>
      </c>
      <c r="H2646" s="7">
        <v>503</v>
      </c>
      <c r="I2646" s="7">
        <v>16</v>
      </c>
      <c r="J2646" s="7">
        <v>59</v>
      </c>
      <c r="K2646" s="7" t="s">
        <v>18</v>
      </c>
      <c r="L2646" s="8">
        <v>39891.213356481479</v>
      </c>
      <c r="M2646" s="9" t="s">
        <v>19</v>
      </c>
      <c r="N2646" s="9" t="s">
        <v>22</v>
      </c>
      <c r="O2646" s="6" t="str">
        <f>HYPERLINK("https://pbs.twimg.com/profile_images/988971255679324162/jrqiIYf__normal.jpg","View")</f>
        <v>View</v>
      </c>
      <c r="P2646" s="7"/>
    </row>
    <row r="2647" spans="1:16">
      <c r="A2647" s="3">
        <v>44406.229351851856</v>
      </c>
      <c r="B2647" s="4" t="str">
        <f>HYPERLINK("https://twitter.com/sergio_fajardo","@sergio_fajardo")</f>
        <v>@sergio_fajardo</v>
      </c>
      <c r="C2647" s="5" t="s">
        <v>16</v>
      </c>
      <c r="D2647" s="5" t="s">
        <v>2668</v>
      </c>
      <c r="E2647" s="6" t="str">
        <f>HYPERLINK("https://twitter.com/sergio_fajardo/status/1420534603329249291","1420534603329249291")</f>
        <v>1420534603329249291</v>
      </c>
      <c r="F2647" s="7" t="s">
        <v>17</v>
      </c>
      <c r="G2647" s="7">
        <v>1591265</v>
      </c>
      <c r="H2647" s="7">
        <v>503</v>
      </c>
      <c r="I2647" s="7">
        <v>10</v>
      </c>
      <c r="J2647" s="7">
        <v>52</v>
      </c>
      <c r="K2647" s="7" t="s">
        <v>18</v>
      </c>
      <c r="L2647" s="8">
        <v>39891.213356481479</v>
      </c>
      <c r="M2647" s="9" t="s">
        <v>19</v>
      </c>
      <c r="N2647" s="9" t="s">
        <v>22</v>
      </c>
      <c r="O2647" s="6" t="str">
        <f>HYPERLINK("https://pbs.twimg.com/profile_images/988971255679324162/jrqiIYf__normal.jpg","View")</f>
        <v>View</v>
      </c>
      <c r="P2647" s="7"/>
    </row>
    <row r="2648" spans="1:16">
      <c r="A2648" s="3">
        <v>44406.230196759258</v>
      </c>
      <c r="B2648" s="4" t="str">
        <f>HYPERLINK("https://twitter.com/sergio_fajardo","@sergio_fajardo")</f>
        <v>@sergio_fajardo</v>
      </c>
      <c r="C2648" s="5" t="s">
        <v>16</v>
      </c>
      <c r="D2648" s="5" t="s">
        <v>2669</v>
      </c>
      <c r="E2648" s="6" t="str">
        <f>HYPERLINK("https://twitter.com/sergio_fajardo/status/1420534908615897088","1420534908615897088")</f>
        <v>1420534908615897088</v>
      </c>
      <c r="F2648" s="7" t="s">
        <v>17</v>
      </c>
      <c r="G2648" s="7">
        <v>1591265</v>
      </c>
      <c r="H2648" s="7">
        <v>503</v>
      </c>
      <c r="I2648" s="7">
        <v>4</v>
      </c>
      <c r="J2648" s="7">
        <v>20</v>
      </c>
      <c r="K2648" s="7" t="s">
        <v>18</v>
      </c>
      <c r="L2648" s="8">
        <v>39891.213356481479</v>
      </c>
      <c r="M2648" s="9" t="s">
        <v>19</v>
      </c>
      <c r="N2648" s="9" t="s">
        <v>22</v>
      </c>
      <c r="O2648" s="6" t="str">
        <f>HYPERLINK("https://pbs.twimg.com/profile_images/988971255679324162/jrqiIYf__normal.jpg","View")</f>
        <v>View</v>
      </c>
      <c r="P2648" s="7"/>
    </row>
    <row r="2649" spans="1:16">
      <c r="A2649" s="3">
        <v>44406.231041666666</v>
      </c>
      <c r="B2649" s="4" t="str">
        <f>HYPERLINK("https://twitter.com/sergio_fajardo","@sergio_fajardo")</f>
        <v>@sergio_fajardo</v>
      </c>
      <c r="C2649" s="5" t="s">
        <v>16</v>
      </c>
      <c r="D2649" s="5" t="s">
        <v>2670</v>
      </c>
      <c r="E2649" s="6" t="str">
        <f>HYPERLINK("https://twitter.com/sergio_fajardo/status/1420535216536436744","1420535216536436744")</f>
        <v>1420535216536436744</v>
      </c>
      <c r="F2649" s="7" t="s">
        <v>17</v>
      </c>
      <c r="G2649" s="7">
        <v>1591265</v>
      </c>
      <c r="H2649" s="7">
        <v>503</v>
      </c>
      <c r="I2649" s="7">
        <v>6</v>
      </c>
      <c r="J2649" s="7">
        <v>48</v>
      </c>
      <c r="K2649" s="7" t="s">
        <v>18</v>
      </c>
      <c r="L2649" s="8">
        <v>39891.213356481479</v>
      </c>
      <c r="M2649" s="9" t="s">
        <v>19</v>
      </c>
      <c r="N2649" s="9" t="s">
        <v>22</v>
      </c>
      <c r="O2649" s="6" t="str">
        <f>HYPERLINK("https://pbs.twimg.com/profile_images/988971255679324162/jrqiIYf__normal.jpg","View")</f>
        <v>View</v>
      </c>
      <c r="P2649" s="7"/>
    </row>
    <row r="2650" spans="1:16">
      <c r="A2650" s="3">
        <v>44406.232256944444</v>
      </c>
      <c r="B2650" s="4" t="str">
        <f>HYPERLINK("https://twitter.com/sergio_fajardo","@sergio_fajardo")</f>
        <v>@sergio_fajardo</v>
      </c>
      <c r="C2650" s="5" t="s">
        <v>16</v>
      </c>
      <c r="D2650" s="5" t="s">
        <v>2671</v>
      </c>
      <c r="E2650" s="6" t="str">
        <f>HYPERLINK("https://twitter.com/sergio_fajardo/status/1420535655688544258","1420535655688544258")</f>
        <v>1420535655688544258</v>
      </c>
      <c r="F2650" s="7" t="s">
        <v>17</v>
      </c>
      <c r="G2650" s="7">
        <v>1591265</v>
      </c>
      <c r="H2650" s="7">
        <v>503</v>
      </c>
      <c r="I2650" s="7">
        <v>10</v>
      </c>
      <c r="J2650" s="7">
        <v>27</v>
      </c>
      <c r="K2650" s="7" t="s">
        <v>18</v>
      </c>
      <c r="L2650" s="8">
        <v>39891.213356481479</v>
      </c>
      <c r="M2650" s="9" t="s">
        <v>19</v>
      </c>
      <c r="N2650" s="9" t="s">
        <v>22</v>
      </c>
      <c r="O2650" s="6" t="str">
        <f>HYPERLINK("https://pbs.twimg.com/profile_images/988971255679324162/jrqiIYf__normal.jpg","View")</f>
        <v>View</v>
      </c>
      <c r="P2650" s="7"/>
    </row>
    <row r="2651" spans="1:16">
      <c r="A2651" s="3">
        <v>44406.335393518515</v>
      </c>
      <c r="B2651" s="4" t="str">
        <f>HYPERLINK("https://twitter.com/sergio_fajardo","@sergio_fajardo")</f>
        <v>@sergio_fajardo</v>
      </c>
      <c r="C2651" s="5" t="s">
        <v>16</v>
      </c>
      <c r="D2651" s="5" t="s">
        <v>2672</v>
      </c>
      <c r="E2651" s="6" t="str">
        <f>HYPERLINK("https://twitter.com/sergio_fajardo/status/1420573032628822016","1420573032628822016")</f>
        <v>1420573032628822016</v>
      </c>
      <c r="F2651" s="7" t="s">
        <v>17</v>
      </c>
      <c r="G2651" s="7">
        <v>1591261</v>
      </c>
      <c r="H2651" s="7">
        <v>503</v>
      </c>
      <c r="I2651" s="7">
        <v>11</v>
      </c>
      <c r="J2651" s="7">
        <v>46</v>
      </c>
      <c r="K2651" s="7" t="s">
        <v>18</v>
      </c>
      <c r="L2651" s="8">
        <v>39891.213356481479</v>
      </c>
      <c r="M2651" s="9" t="s">
        <v>19</v>
      </c>
      <c r="N2651" s="9" t="s">
        <v>22</v>
      </c>
      <c r="O2651" s="6" t="str">
        <f>HYPERLINK("https://pbs.twimg.com/profile_images/988971255679324162/jrqiIYf__normal.jpg","View")</f>
        <v>View</v>
      </c>
      <c r="P2651" s="7"/>
    </row>
    <row r="2652" spans="1:16">
      <c r="A2652" s="3">
        <v>44406.336215277777</v>
      </c>
      <c r="B2652" s="4" t="str">
        <f>HYPERLINK("https://twitter.com/sergio_fajardo","@sergio_fajardo")</f>
        <v>@sergio_fajardo</v>
      </c>
      <c r="C2652" s="5" t="s">
        <v>16</v>
      </c>
      <c r="D2652" s="5" t="s">
        <v>2673</v>
      </c>
      <c r="E2652" s="6" t="str">
        <f>HYPERLINK("https://twitter.com/sergio_fajardo/status/1420573328851537923","1420573328851537923")</f>
        <v>1420573328851537923</v>
      </c>
      <c r="F2652" s="7" t="s">
        <v>17</v>
      </c>
      <c r="G2652" s="7">
        <v>1591261</v>
      </c>
      <c r="H2652" s="7">
        <v>503</v>
      </c>
      <c r="I2652" s="7">
        <v>10</v>
      </c>
      <c r="J2652" s="7">
        <v>0</v>
      </c>
      <c r="K2652" s="7" t="s">
        <v>18</v>
      </c>
      <c r="L2652" s="8">
        <v>39891.213356481479</v>
      </c>
      <c r="M2652" s="9" t="s">
        <v>19</v>
      </c>
      <c r="N2652" s="9" t="s">
        <v>22</v>
      </c>
      <c r="O2652" s="6" t="str">
        <f>HYPERLINK("https://pbs.twimg.com/profile_images/988971255679324162/jrqiIYf__normal.jpg","View")</f>
        <v>View</v>
      </c>
      <c r="P2652" s="7"/>
    </row>
    <row r="2653" spans="1:16">
      <c r="A2653" s="3">
        <v>44406.769583333335</v>
      </c>
      <c r="B2653" s="4" t="str">
        <f>HYPERLINK("https://twitter.com/sergio_fajardo","@sergio_fajardo")</f>
        <v>@sergio_fajardo</v>
      </c>
      <c r="C2653" s="5" t="s">
        <v>16</v>
      </c>
      <c r="D2653" s="5" t="s">
        <v>2674</v>
      </c>
      <c r="E2653" s="6" t="str">
        <f>HYPERLINK("https://twitter.com/sergio_fajardo/status/1420730378977959938","1420730378977959938")</f>
        <v>1420730378977959938</v>
      </c>
      <c r="F2653" s="7" t="s">
        <v>23</v>
      </c>
      <c r="G2653" s="7">
        <v>1591277</v>
      </c>
      <c r="H2653" s="7">
        <v>503</v>
      </c>
      <c r="I2653" s="7">
        <v>18</v>
      </c>
      <c r="J2653" s="7">
        <v>96</v>
      </c>
      <c r="K2653" s="7" t="s">
        <v>18</v>
      </c>
      <c r="L2653" s="8">
        <v>39891.213356481479</v>
      </c>
      <c r="M2653" s="9" t="s">
        <v>19</v>
      </c>
      <c r="N2653" s="9" t="s">
        <v>22</v>
      </c>
      <c r="O2653" s="6" t="str">
        <f>HYPERLINK("https://pbs.twimg.com/profile_images/988971255679324162/jrqiIYf__normal.jpg","View")</f>
        <v>View</v>
      </c>
      <c r="P2653" s="7"/>
    </row>
    <row r="2654" spans="1:16">
      <c r="A2654" s="3">
        <v>44406.769594907411</v>
      </c>
      <c r="B2654" s="4" t="str">
        <f>HYPERLINK("https://twitter.com/sergio_fajardo","@sergio_fajardo")</f>
        <v>@sergio_fajardo</v>
      </c>
      <c r="C2654" s="5" t="s">
        <v>16</v>
      </c>
      <c r="D2654" s="5" t="s">
        <v>2675</v>
      </c>
      <c r="E2654" s="6" t="str">
        <f>HYPERLINK("https://twitter.com/sergio_fajardo/status/1420730380303355912","1420730380303355912")</f>
        <v>1420730380303355912</v>
      </c>
      <c r="F2654" s="7" t="s">
        <v>23</v>
      </c>
      <c r="G2654" s="7">
        <v>1591277</v>
      </c>
      <c r="H2654" s="7">
        <v>503</v>
      </c>
      <c r="I2654" s="7">
        <v>5</v>
      </c>
      <c r="J2654" s="7">
        <v>31</v>
      </c>
      <c r="K2654" s="7" t="s">
        <v>18</v>
      </c>
      <c r="L2654" s="8">
        <v>39891.213356481479</v>
      </c>
      <c r="M2654" s="9" t="s">
        <v>19</v>
      </c>
      <c r="N2654" s="9" t="s">
        <v>22</v>
      </c>
      <c r="O2654" s="6" t="str">
        <f>HYPERLINK("https://pbs.twimg.com/profile_images/988971255679324162/jrqiIYf__normal.jpg","View")</f>
        <v>View</v>
      </c>
      <c r="P2654" s="7"/>
    </row>
    <row r="2655" spans="1:16">
      <c r="A2655" s="3">
        <v>44406.769594907411</v>
      </c>
      <c r="B2655" s="4" t="str">
        <f>HYPERLINK("https://twitter.com/sergio_fajardo","@sergio_fajardo")</f>
        <v>@sergio_fajardo</v>
      </c>
      <c r="C2655" s="5" t="s">
        <v>16</v>
      </c>
      <c r="D2655" s="5" t="s">
        <v>2676</v>
      </c>
      <c r="E2655" s="6" t="str">
        <f>HYPERLINK("https://twitter.com/sergio_fajardo/status/1420730381389680646","1420730381389680646")</f>
        <v>1420730381389680646</v>
      </c>
      <c r="F2655" s="7" t="s">
        <v>23</v>
      </c>
      <c r="G2655" s="7">
        <v>1591277</v>
      </c>
      <c r="H2655" s="7">
        <v>503</v>
      </c>
      <c r="I2655" s="7">
        <v>10</v>
      </c>
      <c r="J2655" s="7">
        <v>38</v>
      </c>
      <c r="K2655" s="7" t="s">
        <v>18</v>
      </c>
      <c r="L2655" s="8">
        <v>39891.213356481479</v>
      </c>
      <c r="M2655" s="9" t="s">
        <v>19</v>
      </c>
      <c r="N2655" s="9" t="s">
        <v>22</v>
      </c>
      <c r="O2655" s="6" t="str">
        <f>HYPERLINK("https://pbs.twimg.com/profile_images/988971255679324162/jrqiIYf__normal.jpg","View")</f>
        <v>View</v>
      </c>
      <c r="P2655" s="7"/>
    </row>
    <row r="2656" spans="1:16">
      <c r="A2656" s="3">
        <v>44406.769594907411</v>
      </c>
      <c r="B2656" s="4" t="str">
        <f>HYPERLINK("https://twitter.com/sergio_fajardo","@sergio_fajardo")</f>
        <v>@sergio_fajardo</v>
      </c>
      <c r="C2656" s="5" t="s">
        <v>16</v>
      </c>
      <c r="D2656" s="5" t="s">
        <v>2677</v>
      </c>
      <c r="E2656" s="6" t="str">
        <f>HYPERLINK("https://twitter.com/sergio_fajardo/status/1420730382547357698","1420730382547357698")</f>
        <v>1420730382547357698</v>
      </c>
      <c r="F2656" s="7" t="s">
        <v>23</v>
      </c>
      <c r="G2656" s="7">
        <v>1591277</v>
      </c>
      <c r="H2656" s="7">
        <v>503</v>
      </c>
      <c r="I2656" s="7">
        <v>8</v>
      </c>
      <c r="J2656" s="7">
        <v>51</v>
      </c>
      <c r="K2656" s="7" t="s">
        <v>18</v>
      </c>
      <c r="L2656" s="8">
        <v>39891.213356481479</v>
      </c>
      <c r="M2656" s="9" t="s">
        <v>19</v>
      </c>
      <c r="N2656" s="9" t="s">
        <v>22</v>
      </c>
      <c r="O2656" s="6" t="str">
        <f>HYPERLINK("https://pbs.twimg.com/profile_images/988971255679324162/jrqiIYf__normal.jpg","View")</f>
        <v>View</v>
      </c>
      <c r="P2656" s="7"/>
    </row>
    <row r="2657" spans="1:16">
      <c r="A2657" s="3">
        <v>44406.78506944445</v>
      </c>
      <c r="B2657" s="4" t="str">
        <f>HYPERLINK("https://twitter.com/sergio_fajardo","@sergio_fajardo")</f>
        <v>@sergio_fajardo</v>
      </c>
      <c r="C2657" s="5" t="s">
        <v>16</v>
      </c>
      <c r="D2657" s="5" t="s">
        <v>2678</v>
      </c>
      <c r="E2657" s="6" t="str">
        <f>HYPERLINK("https://twitter.com/sergio_fajardo/status/1420735990067605508","1420735990067605508")</f>
        <v>1420735990067605508</v>
      </c>
      <c r="F2657" s="7" t="s">
        <v>20</v>
      </c>
      <c r="G2657" s="7">
        <v>1591196</v>
      </c>
      <c r="H2657" s="7">
        <v>503</v>
      </c>
      <c r="I2657" s="7">
        <v>19</v>
      </c>
      <c r="J2657" s="7">
        <v>157</v>
      </c>
      <c r="K2657" s="7" t="s">
        <v>18</v>
      </c>
      <c r="L2657" s="8">
        <v>39891.213356481479</v>
      </c>
      <c r="M2657" s="9" t="s">
        <v>19</v>
      </c>
      <c r="N2657" s="9" t="s">
        <v>22</v>
      </c>
      <c r="O2657" s="6" t="str">
        <f>HYPERLINK("https://pbs.twimg.com/profile_images/988971255679324162/jrqiIYf__normal.jpg","View")</f>
        <v>View</v>
      </c>
      <c r="P2657" s="7"/>
    </row>
    <row r="2658" spans="1:16">
      <c r="A2658" s="3">
        <v>44406.820752314816</v>
      </c>
      <c r="B2658" s="4" t="str">
        <f>HYPERLINK("https://twitter.com/sergio_fajardo","@sergio_fajardo")</f>
        <v>@sergio_fajardo</v>
      </c>
      <c r="C2658" s="5" t="s">
        <v>16</v>
      </c>
      <c r="D2658" s="5" t="s">
        <v>2679</v>
      </c>
      <c r="E2658" s="6" t="str">
        <f>HYPERLINK("https://twitter.com/sergio_fajardo/status/1420748920381001748","1420748920381001748")</f>
        <v>1420748920381001748</v>
      </c>
      <c r="F2658" s="7" t="s">
        <v>17</v>
      </c>
      <c r="G2658" s="7">
        <v>1591194</v>
      </c>
      <c r="H2658" s="7">
        <v>503</v>
      </c>
      <c r="I2658" s="7">
        <v>7</v>
      </c>
      <c r="J2658" s="7">
        <v>0</v>
      </c>
      <c r="K2658" s="7" t="s">
        <v>18</v>
      </c>
      <c r="L2658" s="8">
        <v>39891.213356481479</v>
      </c>
      <c r="M2658" s="9" t="s">
        <v>19</v>
      </c>
      <c r="N2658" s="9" t="s">
        <v>22</v>
      </c>
      <c r="O2658" s="6" t="str">
        <f>HYPERLINK("https://pbs.twimg.com/profile_images/988971255679324162/jrqiIYf__normal.jpg","View")</f>
        <v>View</v>
      </c>
      <c r="P2658" s="7"/>
    </row>
    <row r="2659" spans="1:16">
      <c r="A2659" s="3">
        <v>44406.867094907408</v>
      </c>
      <c r="B2659" s="4" t="str">
        <f>HYPERLINK("https://twitter.com/sergio_fajardo","@sergio_fajardo")</f>
        <v>@sergio_fajardo</v>
      </c>
      <c r="C2659" s="5" t="s">
        <v>16</v>
      </c>
      <c r="D2659" s="5" t="s">
        <v>2680</v>
      </c>
      <c r="E2659" s="6" t="str">
        <f>HYPERLINK("https://twitter.com/sergio_fajardo/status/1420765715116724234","1420765715116724234")</f>
        <v>1420765715116724234</v>
      </c>
      <c r="F2659" s="7" t="s">
        <v>17</v>
      </c>
      <c r="G2659" s="7">
        <v>1591275</v>
      </c>
      <c r="H2659" s="7">
        <v>503</v>
      </c>
      <c r="I2659" s="7">
        <v>14</v>
      </c>
      <c r="J2659" s="7">
        <v>30</v>
      </c>
      <c r="K2659" s="7" t="s">
        <v>18</v>
      </c>
      <c r="L2659" s="8">
        <v>39891.213356481479</v>
      </c>
      <c r="M2659" s="9" t="s">
        <v>19</v>
      </c>
      <c r="N2659" s="9" t="s">
        <v>22</v>
      </c>
      <c r="O2659" s="6" t="str">
        <f>HYPERLINK("https://pbs.twimg.com/profile_images/988971255679324162/jrqiIYf__normal.jpg","View")</f>
        <v>View</v>
      </c>
      <c r="P2659" s="7"/>
    </row>
    <row r="2660" spans="1:16">
      <c r="A2660" s="3">
        <v>44406.935162037036</v>
      </c>
      <c r="B2660" s="4" t="str">
        <f>HYPERLINK("https://twitter.com/sergio_fajardo","@sergio_fajardo")</f>
        <v>@sergio_fajardo</v>
      </c>
      <c r="C2660" s="5" t="s">
        <v>16</v>
      </c>
      <c r="D2660" s="5" t="s">
        <v>2681</v>
      </c>
      <c r="E2660" s="6" t="str">
        <f>HYPERLINK("https://twitter.com/sergio_fajardo/status/1420790382590402561","1420790382590402561")</f>
        <v>1420790382590402561</v>
      </c>
      <c r="F2660" s="7" t="s">
        <v>23</v>
      </c>
      <c r="G2660" s="7">
        <v>1591279</v>
      </c>
      <c r="H2660" s="7">
        <v>503</v>
      </c>
      <c r="I2660" s="7">
        <v>20</v>
      </c>
      <c r="J2660" s="7">
        <v>0</v>
      </c>
      <c r="K2660" s="7" t="s">
        <v>18</v>
      </c>
      <c r="L2660" s="8">
        <v>39891.213356481479</v>
      </c>
      <c r="M2660" s="9" t="s">
        <v>19</v>
      </c>
      <c r="N2660" s="9" t="s">
        <v>22</v>
      </c>
      <c r="O2660" s="6" t="str">
        <f>HYPERLINK("https://pbs.twimg.com/profile_images/988971255679324162/jrqiIYf__normal.jpg","View")</f>
        <v>View</v>
      </c>
      <c r="P2660" s="7"/>
    </row>
    <row r="2661" spans="1:16">
      <c r="A2661" s="3">
        <v>44406.962534722217</v>
      </c>
      <c r="B2661" s="4" t="str">
        <f>HYPERLINK("https://twitter.com/sergio_fajardo","@sergio_fajardo")</f>
        <v>@sergio_fajardo</v>
      </c>
      <c r="C2661" s="5" t="s">
        <v>16</v>
      </c>
      <c r="D2661" s="5" t="s">
        <v>2682</v>
      </c>
      <c r="E2661" s="6" t="str">
        <f>HYPERLINK("https://twitter.com/sergio_fajardo/status/1420800299204231177","1420800299204231177")</f>
        <v>1420800299204231177</v>
      </c>
      <c r="F2661" s="7" t="s">
        <v>20</v>
      </c>
      <c r="G2661" s="7">
        <v>1591280</v>
      </c>
      <c r="H2661" s="7">
        <v>503</v>
      </c>
      <c r="I2661" s="7">
        <v>10</v>
      </c>
      <c r="J2661" s="7">
        <v>0</v>
      </c>
      <c r="K2661" s="7" t="s">
        <v>18</v>
      </c>
      <c r="L2661" s="8">
        <v>39891.213356481479</v>
      </c>
      <c r="M2661" s="9" t="s">
        <v>19</v>
      </c>
      <c r="N2661" s="9" t="s">
        <v>22</v>
      </c>
      <c r="O2661" s="6" t="str">
        <f>HYPERLINK("https://pbs.twimg.com/profile_images/988971255679324162/jrqiIYf__normal.jpg","View")</f>
        <v>View</v>
      </c>
      <c r="P2661" s="7"/>
    </row>
    <row r="2662" spans="1:16">
      <c r="A2662" s="3">
        <v>44406.962754629625</v>
      </c>
      <c r="B2662" s="4" t="str">
        <f>HYPERLINK("https://twitter.com/sergio_fajardo","@sergio_fajardo")</f>
        <v>@sergio_fajardo</v>
      </c>
      <c r="C2662" s="5" t="s">
        <v>16</v>
      </c>
      <c r="D2662" s="5" t="s">
        <v>2683</v>
      </c>
      <c r="E2662" s="6" t="str">
        <f>HYPERLINK("https://twitter.com/sergio_fajardo/status/1420800378602414085","1420800378602414085")</f>
        <v>1420800378602414085</v>
      </c>
      <c r="F2662" s="7" t="s">
        <v>20</v>
      </c>
      <c r="G2662" s="7">
        <v>1591280</v>
      </c>
      <c r="H2662" s="7">
        <v>503</v>
      </c>
      <c r="I2662" s="7">
        <v>13</v>
      </c>
      <c r="J2662" s="7">
        <v>0</v>
      </c>
      <c r="K2662" s="7" t="s">
        <v>18</v>
      </c>
      <c r="L2662" s="8">
        <v>39891.213356481479</v>
      </c>
      <c r="M2662" s="9" t="s">
        <v>19</v>
      </c>
      <c r="N2662" s="9" t="s">
        <v>22</v>
      </c>
      <c r="O2662" s="6" t="str">
        <f>HYPERLINK("https://pbs.twimg.com/profile_images/988971255679324162/jrqiIYf__normal.jpg","View")</f>
        <v>View</v>
      </c>
      <c r="P2662" s="7"/>
    </row>
    <row r="2663" spans="1:16">
      <c r="A2663" s="3">
        <v>44407.020486111112</v>
      </c>
      <c r="B2663" s="4" t="str">
        <f>HYPERLINK("https://twitter.com/sergio_fajardo","@sergio_fajardo")</f>
        <v>@sergio_fajardo</v>
      </c>
      <c r="C2663" s="5" t="s">
        <v>16</v>
      </c>
      <c r="D2663" s="5" t="s">
        <v>2684</v>
      </c>
      <c r="E2663" s="6" t="str">
        <f>HYPERLINK("https://twitter.com/sergio_fajardo/status/1420821303217512449","1420821303217512449")</f>
        <v>1420821303217512449</v>
      </c>
      <c r="F2663" s="7" t="s">
        <v>23</v>
      </c>
      <c r="G2663" s="7">
        <v>1591288</v>
      </c>
      <c r="H2663" s="7">
        <v>503</v>
      </c>
      <c r="I2663" s="7">
        <v>19</v>
      </c>
      <c r="J2663" s="7">
        <v>96</v>
      </c>
      <c r="K2663" s="7" t="s">
        <v>18</v>
      </c>
      <c r="L2663" s="8">
        <v>39891.213356481479</v>
      </c>
      <c r="M2663" s="9" t="s">
        <v>19</v>
      </c>
      <c r="N2663" s="9" t="s">
        <v>22</v>
      </c>
      <c r="O2663" s="6" t="str">
        <f>HYPERLINK("https://pbs.twimg.com/profile_images/988971255679324162/jrqiIYf__normal.jpg","View")</f>
        <v>View</v>
      </c>
      <c r="P2663" s="7"/>
    </row>
    <row r="2664" spans="1:16">
      <c r="A2664" s="3">
        <v>44407.037881944445</v>
      </c>
      <c r="B2664" s="4" t="str">
        <f>HYPERLINK("https://twitter.com/sergio_fajardo","@sergio_fajardo")</f>
        <v>@sergio_fajardo</v>
      </c>
      <c r="C2664" s="5" t="s">
        <v>16</v>
      </c>
      <c r="D2664" s="5" t="s">
        <v>2685</v>
      </c>
      <c r="E2664" s="6" t="str">
        <f>HYPERLINK("https://twitter.com/sergio_fajardo/status/1420827606627258374","1420827606627258374")</f>
        <v>1420827606627258374</v>
      </c>
      <c r="F2664" s="7" t="s">
        <v>17</v>
      </c>
      <c r="G2664" s="7">
        <v>1591287</v>
      </c>
      <c r="H2664" s="7">
        <v>503</v>
      </c>
      <c r="I2664" s="7">
        <v>9</v>
      </c>
      <c r="J2664" s="7">
        <v>48</v>
      </c>
      <c r="K2664" s="7" t="s">
        <v>18</v>
      </c>
      <c r="L2664" s="8">
        <v>39891.213356481479</v>
      </c>
      <c r="M2664" s="9" t="s">
        <v>19</v>
      </c>
      <c r="N2664" s="9" t="s">
        <v>22</v>
      </c>
      <c r="O2664" s="6" t="str">
        <f>HYPERLINK("https://pbs.twimg.com/profile_images/988971255679324162/jrqiIYf__normal.jpg","View")</f>
        <v>View</v>
      </c>
      <c r="P2664" s="7"/>
    </row>
    <row r="2665" spans="1:16">
      <c r="A2665" s="3">
        <v>44407.224976851852</v>
      </c>
      <c r="B2665" s="4" t="str">
        <f>HYPERLINK("https://twitter.com/sergio_fajardo","@sergio_fajardo")</f>
        <v>@sergio_fajardo</v>
      </c>
      <c r="C2665" s="5" t="s">
        <v>16</v>
      </c>
      <c r="D2665" s="5" t="s">
        <v>2686</v>
      </c>
      <c r="E2665" s="6" t="str">
        <f>HYPERLINK("https://twitter.com/sergio_fajardo/status/1420895405102010368","1420895405102010368")</f>
        <v>1420895405102010368</v>
      </c>
      <c r="F2665" s="7" t="s">
        <v>17</v>
      </c>
      <c r="G2665" s="7">
        <v>1591307</v>
      </c>
      <c r="H2665" s="7">
        <v>503</v>
      </c>
      <c r="I2665" s="7">
        <v>9</v>
      </c>
      <c r="J2665" s="7">
        <v>40</v>
      </c>
      <c r="K2665" s="7" t="s">
        <v>18</v>
      </c>
      <c r="L2665" s="8">
        <v>39891.213356481479</v>
      </c>
      <c r="M2665" s="9" t="s">
        <v>19</v>
      </c>
      <c r="N2665" s="9" t="s">
        <v>22</v>
      </c>
      <c r="O2665" s="6" t="str">
        <f>HYPERLINK("https://pbs.twimg.com/profile_images/988971255679324162/jrqiIYf__normal.jpg","View")</f>
        <v>View</v>
      </c>
      <c r="P2665" s="7"/>
    </row>
    <row r="2666" spans="1:16">
      <c r="A2666" s="3">
        <v>44407.297500000001</v>
      </c>
      <c r="B2666" s="4" t="str">
        <f>HYPERLINK("https://twitter.com/sergio_fajardo","@sergio_fajardo")</f>
        <v>@sergio_fajardo</v>
      </c>
      <c r="C2666" s="5" t="s">
        <v>16</v>
      </c>
      <c r="D2666" s="5" t="s">
        <v>2687</v>
      </c>
      <c r="E2666" s="6" t="str">
        <f>HYPERLINK("https://twitter.com/sergio_fajardo/status/1420921689949487108","1420921689949487108")</f>
        <v>1420921689949487108</v>
      </c>
      <c r="F2666" s="7" t="s">
        <v>20</v>
      </c>
      <c r="G2666" s="7">
        <v>1591312</v>
      </c>
      <c r="H2666" s="7">
        <v>503</v>
      </c>
      <c r="I2666" s="7">
        <v>18</v>
      </c>
      <c r="J2666" s="7">
        <v>163</v>
      </c>
      <c r="K2666" s="7" t="s">
        <v>18</v>
      </c>
      <c r="L2666" s="8">
        <v>39891.213356481479</v>
      </c>
      <c r="M2666" s="9" t="s">
        <v>19</v>
      </c>
      <c r="N2666" s="9" t="s">
        <v>22</v>
      </c>
      <c r="O2666" s="6" t="str">
        <f>HYPERLINK("https://pbs.twimg.com/profile_images/988971255679324162/jrqiIYf__normal.jpg","View")</f>
        <v>View</v>
      </c>
      <c r="P2666" s="7"/>
    </row>
    <row r="2667" spans="1:16">
      <c r="A2667" s="3">
        <v>44407.33966435185</v>
      </c>
      <c r="B2667" s="4" t="str">
        <f>HYPERLINK("https://twitter.com/sergio_fajardo","@sergio_fajardo")</f>
        <v>@sergio_fajardo</v>
      </c>
      <c r="C2667" s="5" t="s">
        <v>16</v>
      </c>
      <c r="D2667" s="5" t="s">
        <v>2688</v>
      </c>
      <c r="E2667" s="6" t="str">
        <f>HYPERLINK("https://twitter.com/sergio_fajardo/status/1420936969815826438","1420936969815826438")</f>
        <v>1420936969815826438</v>
      </c>
      <c r="F2667" s="7" t="s">
        <v>20</v>
      </c>
      <c r="G2667" s="7">
        <v>1591318</v>
      </c>
      <c r="H2667" s="7">
        <v>503</v>
      </c>
      <c r="I2667" s="7">
        <v>49</v>
      </c>
      <c r="J2667" s="7">
        <v>0</v>
      </c>
      <c r="K2667" s="7" t="s">
        <v>18</v>
      </c>
      <c r="L2667" s="8">
        <v>39891.213356481479</v>
      </c>
      <c r="M2667" s="9" t="s">
        <v>19</v>
      </c>
      <c r="N2667" s="9" t="s">
        <v>22</v>
      </c>
      <c r="O2667" s="6" t="str">
        <f>HYPERLINK("https://pbs.twimg.com/profile_images/988971255679324162/jrqiIYf__normal.jpg","View")</f>
        <v>View</v>
      </c>
      <c r="P2667" s="7"/>
    </row>
    <row r="2668" spans="1:16">
      <c r="A2668" s="3">
        <v>44407.85538194445</v>
      </c>
      <c r="B2668" s="4" t="str">
        <f>HYPERLINK("https://twitter.com/sergio_fajardo","@sergio_fajardo")</f>
        <v>@sergio_fajardo</v>
      </c>
      <c r="C2668" s="5" t="s">
        <v>16</v>
      </c>
      <c r="D2668" s="5" t="s">
        <v>2689</v>
      </c>
      <c r="E2668" s="6" t="str">
        <f>HYPERLINK("https://twitter.com/sergio_fajardo/status/1421123857394642946","1421123857394642946")</f>
        <v>1421123857394642946</v>
      </c>
      <c r="F2668" s="7" t="s">
        <v>23</v>
      </c>
      <c r="G2668" s="7">
        <v>1591325</v>
      </c>
      <c r="H2668" s="7">
        <v>503</v>
      </c>
      <c r="I2668" s="7">
        <v>155</v>
      </c>
      <c r="J2668" s="7">
        <v>647</v>
      </c>
      <c r="K2668" s="7" t="s">
        <v>18</v>
      </c>
      <c r="L2668" s="8">
        <v>39891.213356481479</v>
      </c>
      <c r="M2668" s="9" t="s">
        <v>19</v>
      </c>
      <c r="N2668" s="9" t="s">
        <v>22</v>
      </c>
      <c r="O2668" s="6" t="str">
        <f>HYPERLINK("https://pbs.twimg.com/profile_images/988971255679324162/jrqiIYf__normal.jpg","View")</f>
        <v>View</v>
      </c>
      <c r="P2668" s="7"/>
    </row>
    <row r="2669" spans="1:16">
      <c r="A2669" s="3">
        <v>44407.927673611106</v>
      </c>
      <c r="B2669" s="4" t="str">
        <f>HYPERLINK("https://twitter.com/sergio_fajardo","@sergio_fajardo")</f>
        <v>@sergio_fajardo</v>
      </c>
      <c r="C2669" s="5" t="s">
        <v>16</v>
      </c>
      <c r="D2669" s="5" t="s">
        <v>2690</v>
      </c>
      <c r="E2669" s="6" t="str">
        <f>HYPERLINK("https://twitter.com/sergio_fajardo/status/1421150054119841794","1421150054119841794")</f>
        <v>1421150054119841794</v>
      </c>
      <c r="F2669" s="7" t="s">
        <v>17</v>
      </c>
      <c r="G2669" s="7">
        <v>1591338</v>
      </c>
      <c r="H2669" s="7">
        <v>503</v>
      </c>
      <c r="I2669" s="7">
        <v>7</v>
      </c>
      <c r="J2669" s="7">
        <v>49</v>
      </c>
      <c r="K2669" s="7" t="s">
        <v>18</v>
      </c>
      <c r="L2669" s="8">
        <v>39891.213356481479</v>
      </c>
      <c r="M2669" s="9" t="s">
        <v>19</v>
      </c>
      <c r="N2669" s="9" t="s">
        <v>22</v>
      </c>
      <c r="O2669" s="6" t="str">
        <f>HYPERLINK("https://pbs.twimg.com/profile_images/988971255679324162/jrqiIYf__normal.jpg","View")</f>
        <v>View</v>
      </c>
      <c r="P2669" s="7"/>
    </row>
    <row r="2670" spans="1:16">
      <c r="A2670" s="3">
        <v>44408.015902777777</v>
      </c>
      <c r="B2670" s="4" t="str">
        <f>HYPERLINK("https://twitter.com/sergio_fajardo","@sergio_fajardo")</f>
        <v>@sergio_fajardo</v>
      </c>
      <c r="C2670" s="5" t="s">
        <v>16</v>
      </c>
      <c r="D2670" s="5" t="s">
        <v>2691</v>
      </c>
      <c r="E2670" s="6" t="str">
        <f>HYPERLINK("https://twitter.com/sergio_fajardo/status/1421182030436618241","1421182030436618241")</f>
        <v>1421182030436618241</v>
      </c>
      <c r="F2670" s="7" t="s">
        <v>23</v>
      </c>
      <c r="G2670" s="7">
        <v>1591350</v>
      </c>
      <c r="H2670" s="7">
        <v>503</v>
      </c>
      <c r="I2670" s="7">
        <v>10</v>
      </c>
      <c r="J2670" s="7">
        <v>65</v>
      </c>
      <c r="K2670" s="7" t="s">
        <v>18</v>
      </c>
      <c r="L2670" s="8">
        <v>39891.213356481479</v>
      </c>
      <c r="M2670" s="9" t="s">
        <v>19</v>
      </c>
      <c r="N2670" s="9" t="s">
        <v>22</v>
      </c>
      <c r="O2670" s="6" t="str">
        <f>HYPERLINK("https://pbs.twimg.com/profile_images/988971255679324162/jrqiIYf__normal.jpg","View")</f>
        <v>View</v>
      </c>
      <c r="P2670" s="7"/>
    </row>
    <row r="2671" spans="1:16">
      <c r="A2671" s="3">
        <v>44408.049178240741</v>
      </c>
      <c r="B2671" s="4" t="str">
        <f>HYPERLINK("https://twitter.com/sergio_fajardo","@sergio_fajardo")</f>
        <v>@sergio_fajardo</v>
      </c>
      <c r="C2671" s="5" t="s">
        <v>16</v>
      </c>
      <c r="D2671" s="5" t="s">
        <v>2692</v>
      </c>
      <c r="E2671" s="6" t="str">
        <f>HYPERLINK("https://twitter.com/sergio_fajardo/status/1421194087848370179","1421194087848370179")</f>
        <v>1421194087848370179</v>
      </c>
      <c r="F2671" s="7" t="s">
        <v>23</v>
      </c>
      <c r="G2671" s="7">
        <v>1591358</v>
      </c>
      <c r="H2671" s="7">
        <v>503</v>
      </c>
      <c r="I2671" s="7">
        <v>2</v>
      </c>
      <c r="J2671" s="7">
        <v>65</v>
      </c>
      <c r="K2671" s="7" t="s">
        <v>18</v>
      </c>
      <c r="L2671" s="8">
        <v>39891.213356481479</v>
      </c>
      <c r="M2671" s="9" t="s">
        <v>19</v>
      </c>
      <c r="N2671" s="9" t="s">
        <v>22</v>
      </c>
      <c r="O2671" s="6" t="str">
        <f>HYPERLINK("https://pbs.twimg.com/profile_images/988971255679324162/jrqiIYf__normal.jpg","View")</f>
        <v>View</v>
      </c>
      <c r="P2671" s="7"/>
    </row>
    <row r="2672" spans="1:16">
      <c r="A2672" s="3">
        <v>44408.071793981479</v>
      </c>
      <c r="B2672" s="4" t="str">
        <f>HYPERLINK("https://twitter.com/sergio_fajardo","@sergio_fajardo")</f>
        <v>@sergio_fajardo</v>
      </c>
      <c r="C2672" s="5" t="s">
        <v>16</v>
      </c>
      <c r="D2672" s="5" t="s">
        <v>2693</v>
      </c>
      <c r="E2672" s="6" t="str">
        <f>HYPERLINK("https://twitter.com/sergio_fajardo/status/1421202282100711427","1421202282100711427")</f>
        <v>1421202282100711427</v>
      </c>
      <c r="F2672" s="7" t="s">
        <v>23</v>
      </c>
      <c r="G2672" s="7">
        <v>1591358</v>
      </c>
      <c r="H2672" s="7">
        <v>503</v>
      </c>
      <c r="I2672" s="7">
        <v>5</v>
      </c>
      <c r="J2672" s="7">
        <v>17</v>
      </c>
      <c r="K2672" s="7" t="s">
        <v>18</v>
      </c>
      <c r="L2672" s="8">
        <v>39891.213356481479</v>
      </c>
      <c r="M2672" s="9" t="s">
        <v>19</v>
      </c>
      <c r="N2672" s="9" t="s">
        <v>22</v>
      </c>
      <c r="O2672" s="6" t="str">
        <f>HYPERLINK("https://pbs.twimg.com/profile_images/988971255679324162/jrqiIYf__normal.jpg","View")</f>
        <v>View</v>
      </c>
      <c r="P2672" s="7"/>
    </row>
    <row r="2673" spans="1:16">
      <c r="A2673" s="3">
        <v>44408.07403935185</v>
      </c>
      <c r="B2673" s="4" t="str">
        <f>HYPERLINK("https://twitter.com/sergio_fajardo","@sergio_fajardo")</f>
        <v>@sergio_fajardo</v>
      </c>
      <c r="C2673" s="5" t="s">
        <v>16</v>
      </c>
      <c r="D2673" s="5" t="s">
        <v>2694</v>
      </c>
      <c r="E2673" s="6" t="str">
        <f>HYPERLINK("https://twitter.com/sergio_fajardo/status/1421203096131223555","1421203096131223555")</f>
        <v>1421203096131223555</v>
      </c>
      <c r="F2673" s="7" t="s">
        <v>17</v>
      </c>
      <c r="G2673" s="7">
        <v>1591358</v>
      </c>
      <c r="H2673" s="7">
        <v>503</v>
      </c>
      <c r="I2673" s="7">
        <v>41</v>
      </c>
      <c r="J2673" s="7">
        <v>0</v>
      </c>
      <c r="K2673" s="7" t="s">
        <v>18</v>
      </c>
      <c r="L2673" s="8">
        <v>39891.213356481479</v>
      </c>
      <c r="M2673" s="9" t="s">
        <v>19</v>
      </c>
      <c r="N2673" s="9" t="s">
        <v>22</v>
      </c>
      <c r="O2673" s="6" t="str">
        <f>HYPERLINK("https://pbs.twimg.com/profile_images/988971255679324162/jrqiIYf__normal.jpg","View")</f>
        <v>View</v>
      </c>
      <c r="P2673" s="7"/>
    </row>
    <row r="2674" spans="1:16">
      <c r="A2674" s="3">
        <v>44408.136354166665</v>
      </c>
      <c r="B2674" s="4" t="str">
        <f>HYPERLINK("https://twitter.com/sergio_fajardo","@sergio_fajardo")</f>
        <v>@sergio_fajardo</v>
      </c>
      <c r="C2674" s="5" t="s">
        <v>16</v>
      </c>
      <c r="D2674" s="5" t="s">
        <v>2695</v>
      </c>
      <c r="E2674" s="6" t="str">
        <f>HYPERLINK("https://twitter.com/sergio_fajardo/status/1421225679169916929","1421225679169916929")</f>
        <v>1421225679169916929</v>
      </c>
      <c r="F2674" s="7" t="s">
        <v>23</v>
      </c>
      <c r="G2674" s="7">
        <v>1591362</v>
      </c>
      <c r="H2674" s="7">
        <v>503</v>
      </c>
      <c r="I2674" s="7">
        <v>3</v>
      </c>
      <c r="J2674" s="7">
        <v>5</v>
      </c>
      <c r="K2674" s="7" t="s">
        <v>18</v>
      </c>
      <c r="L2674" s="8">
        <v>39891.213356481479</v>
      </c>
      <c r="M2674" s="9" t="s">
        <v>19</v>
      </c>
      <c r="N2674" s="9" t="s">
        <v>22</v>
      </c>
      <c r="O2674" s="6" t="str">
        <f>HYPERLINK("https://pbs.twimg.com/profile_images/988971255679324162/jrqiIYf__normal.jpg","View")</f>
        <v>View</v>
      </c>
      <c r="P2674" s="7"/>
    </row>
    <row r="2675" spans="1:16">
      <c r="A2675" s="3">
        <v>44408.136354166665</v>
      </c>
      <c r="B2675" s="4" t="str">
        <f>HYPERLINK("https://twitter.com/sergio_fajardo","@sergio_fajardo")</f>
        <v>@sergio_fajardo</v>
      </c>
      <c r="C2675" s="5" t="s">
        <v>16</v>
      </c>
      <c r="D2675" s="5" t="s">
        <v>2696</v>
      </c>
      <c r="E2675" s="6" t="str">
        <f>HYPERLINK("https://twitter.com/sergio_fajardo/status/1421225680533082114","1421225680533082114")</f>
        <v>1421225680533082114</v>
      </c>
      <c r="F2675" s="7" t="s">
        <v>23</v>
      </c>
      <c r="G2675" s="7">
        <v>1591362</v>
      </c>
      <c r="H2675" s="7">
        <v>503</v>
      </c>
      <c r="I2675" s="7">
        <v>1</v>
      </c>
      <c r="J2675" s="7">
        <v>5</v>
      </c>
      <c r="K2675" s="7" t="s">
        <v>18</v>
      </c>
      <c r="L2675" s="8">
        <v>39891.213356481479</v>
      </c>
      <c r="M2675" s="9" t="s">
        <v>19</v>
      </c>
      <c r="N2675" s="9" t="s">
        <v>22</v>
      </c>
      <c r="O2675" s="6" t="str">
        <f>HYPERLINK("https://pbs.twimg.com/profile_images/988971255679324162/jrqiIYf__normal.jpg","View")</f>
        <v>View</v>
      </c>
      <c r="P2675" s="7"/>
    </row>
    <row r="2676" spans="1:16">
      <c r="A2676" s="3">
        <v>44408.136365740742</v>
      </c>
      <c r="B2676" s="4" t="str">
        <f>HYPERLINK("https://twitter.com/sergio_fajardo","@sergio_fajardo")</f>
        <v>@sergio_fajardo</v>
      </c>
      <c r="C2676" s="5" t="s">
        <v>16</v>
      </c>
      <c r="D2676" s="5" t="s">
        <v>2697</v>
      </c>
      <c r="E2676" s="6" t="str">
        <f>HYPERLINK("https://twitter.com/sergio_fajardo/status/1421225681976021000","1421225681976021000")</f>
        <v>1421225681976021000</v>
      </c>
      <c r="F2676" s="7" t="s">
        <v>23</v>
      </c>
      <c r="G2676" s="7">
        <v>1591362</v>
      </c>
      <c r="H2676" s="7">
        <v>503</v>
      </c>
      <c r="I2676" s="7">
        <v>0</v>
      </c>
      <c r="J2676" s="7">
        <v>5</v>
      </c>
      <c r="K2676" s="7" t="s">
        <v>18</v>
      </c>
      <c r="L2676" s="8">
        <v>39891.213356481479</v>
      </c>
      <c r="M2676" s="9" t="s">
        <v>19</v>
      </c>
      <c r="N2676" s="9" t="s">
        <v>22</v>
      </c>
      <c r="O2676" s="6" t="str">
        <f>HYPERLINK("https://pbs.twimg.com/profile_images/988971255679324162/jrqiIYf__normal.jpg","View")</f>
        <v>View</v>
      </c>
      <c r="P2676" s="7"/>
    </row>
    <row r="2677" spans="1:16">
      <c r="A2677" s="3">
        <v>44408.165902777779</v>
      </c>
      <c r="B2677" s="4" t="str">
        <f>HYPERLINK("https://twitter.com/sergio_fajardo","@sergio_fajardo")</f>
        <v>@sergio_fajardo</v>
      </c>
      <c r="C2677" s="5" t="s">
        <v>16</v>
      </c>
      <c r="D2677" s="5" t="s">
        <v>2698</v>
      </c>
      <c r="E2677" s="6" t="str">
        <f>HYPERLINK("https://twitter.com/sergio_fajardo/status/1421236387089682432","1421236387089682432")</f>
        <v>1421236387089682432</v>
      </c>
      <c r="F2677" s="7" t="s">
        <v>17</v>
      </c>
      <c r="G2677" s="7">
        <v>1591365</v>
      </c>
      <c r="H2677" s="7">
        <v>503</v>
      </c>
      <c r="I2677" s="7">
        <v>0</v>
      </c>
      <c r="J2677" s="7">
        <v>15</v>
      </c>
      <c r="K2677" s="7" t="s">
        <v>18</v>
      </c>
      <c r="L2677" s="8">
        <v>39891.213356481479</v>
      </c>
      <c r="M2677" s="9" t="s">
        <v>19</v>
      </c>
      <c r="N2677" s="9" t="s">
        <v>22</v>
      </c>
      <c r="O2677" s="6" t="str">
        <f>HYPERLINK("https://pbs.twimg.com/profile_images/988971255679324162/jrqiIYf__normal.jpg","View")</f>
        <v>View</v>
      </c>
      <c r="P2677" s="7"/>
    </row>
    <row r="2678" spans="1:16">
      <c r="A2678" s="3">
        <v>44408.942013888889</v>
      </c>
      <c r="B2678" s="4" t="str">
        <f>HYPERLINK("https://twitter.com/sergio_fajardo","@sergio_fajardo")</f>
        <v>@sergio_fajardo</v>
      </c>
      <c r="C2678" s="5" t="s">
        <v>16</v>
      </c>
      <c r="D2678" s="5" t="s">
        <v>2699</v>
      </c>
      <c r="E2678" s="6" t="str">
        <f>HYPERLINK("https://twitter.com/sergio_fajardo/status/1421517638849679365","1421517638849679365")</f>
        <v>1421517638849679365</v>
      </c>
      <c r="F2678" s="7" t="s">
        <v>17</v>
      </c>
      <c r="G2678" s="7">
        <v>1591419</v>
      </c>
      <c r="H2678" s="7">
        <v>503</v>
      </c>
      <c r="I2678" s="7">
        <v>23</v>
      </c>
      <c r="J2678" s="7">
        <v>125</v>
      </c>
      <c r="K2678" s="7" t="s">
        <v>18</v>
      </c>
      <c r="L2678" s="8">
        <v>39891.213356481479</v>
      </c>
      <c r="M2678" s="9" t="s">
        <v>19</v>
      </c>
      <c r="N2678" s="9" t="s">
        <v>22</v>
      </c>
      <c r="O2678" s="6" t="str">
        <f>HYPERLINK("https://pbs.twimg.com/profile_images/988971255679324162/jrqiIYf__normal.jpg","View")</f>
        <v>View</v>
      </c>
      <c r="P2678" s="7"/>
    </row>
    <row r="2679" spans="1:16">
      <c r="A2679" s="3">
        <v>44409.044027777782</v>
      </c>
      <c r="B2679" s="4" t="str">
        <f>HYPERLINK("https://twitter.com/sergio_fajardo","@sergio_fajardo")</f>
        <v>@sergio_fajardo</v>
      </c>
      <c r="C2679" s="5" t="s">
        <v>16</v>
      </c>
      <c r="D2679" s="5" t="s">
        <v>2700</v>
      </c>
      <c r="E2679" s="6" t="str">
        <f>HYPERLINK("https://twitter.com/sergio_fajardo/status/1421554607646511107","1421554607646511107")</f>
        <v>1421554607646511107</v>
      </c>
      <c r="F2679" s="7" t="s">
        <v>17</v>
      </c>
      <c r="G2679" s="7">
        <v>1591429</v>
      </c>
      <c r="H2679" s="7">
        <v>503</v>
      </c>
      <c r="I2679" s="7">
        <v>10</v>
      </c>
      <c r="J2679" s="7">
        <v>35</v>
      </c>
      <c r="K2679" s="7" t="s">
        <v>18</v>
      </c>
      <c r="L2679" s="8">
        <v>39891.213356481479</v>
      </c>
      <c r="M2679" s="9" t="s">
        <v>19</v>
      </c>
      <c r="N2679" s="9" t="s">
        <v>22</v>
      </c>
      <c r="O2679" s="6" t="str">
        <f>HYPERLINK("https://pbs.twimg.com/profile_images/988971255679324162/jrqiIYf__normal.jpg","View")</f>
        <v>View</v>
      </c>
      <c r="P2679" s="7"/>
    </row>
    <row r="2680" spans="1:16">
      <c r="A2680" s="3">
        <v>44409.216550925921</v>
      </c>
      <c r="B2680" s="4" t="str">
        <f>HYPERLINK("https://twitter.com/sergio_fajardo","@sergio_fajardo")</f>
        <v>@sergio_fajardo</v>
      </c>
      <c r="C2680" s="5" t="s">
        <v>16</v>
      </c>
      <c r="D2680" s="5" t="s">
        <v>2701</v>
      </c>
      <c r="E2680" s="6" t="str">
        <f>HYPERLINK("https://twitter.com/sergio_fajardo/status/1421617127723835396","1421617127723835396")</f>
        <v>1421617127723835396</v>
      </c>
      <c r="F2680" s="7" t="s">
        <v>17</v>
      </c>
      <c r="G2680" s="7">
        <v>1591447</v>
      </c>
      <c r="H2680" s="7">
        <v>503</v>
      </c>
      <c r="I2680" s="7">
        <v>16</v>
      </c>
      <c r="J2680" s="7">
        <v>43</v>
      </c>
      <c r="K2680" s="7" t="s">
        <v>18</v>
      </c>
      <c r="L2680" s="8">
        <v>39891.213356481479</v>
      </c>
      <c r="M2680" s="9" t="s">
        <v>19</v>
      </c>
      <c r="N2680" s="9" t="s">
        <v>22</v>
      </c>
      <c r="O2680" s="6" t="str">
        <f>HYPERLINK("https://pbs.twimg.com/profile_images/988971255679324162/jrqiIYf__normal.jpg","View")</f>
        <v>View</v>
      </c>
      <c r="P2680" s="7"/>
    </row>
    <row r="2681" spans="1:16">
      <c r="A2681" s="3">
        <v>44410.190532407403</v>
      </c>
      <c r="B2681" s="4" t="str">
        <f>HYPERLINK("https://twitter.com/sergio_fajardo","@sergio_fajardo")</f>
        <v>@sergio_fajardo</v>
      </c>
      <c r="C2681" s="5" t="s">
        <v>16</v>
      </c>
      <c r="D2681" s="5" t="s">
        <v>2702</v>
      </c>
      <c r="E2681" s="6" t="str">
        <f>HYPERLINK("https://twitter.com/sergio_fajardo/status/1421970089524477957","1421970089524477957")</f>
        <v>1421970089524477957</v>
      </c>
      <c r="F2681" s="7" t="s">
        <v>17</v>
      </c>
      <c r="G2681" s="7">
        <v>1591473</v>
      </c>
      <c r="H2681" s="7">
        <v>503</v>
      </c>
      <c r="I2681" s="7">
        <v>17</v>
      </c>
      <c r="J2681" s="7">
        <v>114</v>
      </c>
      <c r="K2681" s="7" t="s">
        <v>18</v>
      </c>
      <c r="L2681" s="8">
        <v>39891.213356481479</v>
      </c>
      <c r="M2681" s="9" t="s">
        <v>19</v>
      </c>
      <c r="N2681" s="9" t="s">
        <v>22</v>
      </c>
      <c r="O2681" s="6" t="str">
        <f>HYPERLINK("https://pbs.twimg.com/profile_images/988971255679324162/jrqiIYf__normal.jpg","View")</f>
        <v>View</v>
      </c>
      <c r="P2681" s="7"/>
    </row>
    <row r="2682" spans="1:16">
      <c r="A2682" s="3">
        <v>44410.203263888892</v>
      </c>
      <c r="B2682" s="4" t="str">
        <f>HYPERLINK("https://twitter.com/sergio_fajardo","@sergio_fajardo")</f>
        <v>@sergio_fajardo</v>
      </c>
      <c r="C2682" s="5" t="s">
        <v>16</v>
      </c>
      <c r="D2682" s="5" t="s">
        <v>2703</v>
      </c>
      <c r="E2682" s="6" t="str">
        <f>HYPERLINK("https://twitter.com/sergio_fajardo/status/1421974699974799361","1421974699974799361")</f>
        <v>1421974699974799361</v>
      </c>
      <c r="F2682" s="7" t="s">
        <v>17</v>
      </c>
      <c r="G2682" s="7">
        <v>1591478</v>
      </c>
      <c r="H2682" s="7">
        <v>503</v>
      </c>
      <c r="I2682" s="7">
        <v>5</v>
      </c>
      <c r="J2682" s="7">
        <v>34</v>
      </c>
      <c r="K2682" s="7" t="s">
        <v>18</v>
      </c>
      <c r="L2682" s="8">
        <v>39891.213356481479</v>
      </c>
      <c r="M2682" s="9" t="s">
        <v>19</v>
      </c>
      <c r="N2682" s="9" t="s">
        <v>22</v>
      </c>
      <c r="O2682" s="6" t="str">
        <f>HYPERLINK("https://pbs.twimg.com/profile_images/988971255679324162/jrqiIYf__normal.jpg","View")</f>
        <v>View</v>
      </c>
      <c r="P2682" s="7"/>
    </row>
    <row r="2683" spans="1:16">
      <c r="A2683" s="3">
        <v>44410.208368055552</v>
      </c>
      <c r="B2683" s="4" t="str">
        <f>HYPERLINK("https://twitter.com/sergio_fajardo","@sergio_fajardo")</f>
        <v>@sergio_fajardo</v>
      </c>
      <c r="C2683" s="5" t="s">
        <v>16</v>
      </c>
      <c r="D2683" s="5" t="s">
        <v>2704</v>
      </c>
      <c r="E2683" s="6" t="str">
        <f>HYPERLINK("https://twitter.com/sergio_fajardo/status/1421976551449575432","1421976551449575432")</f>
        <v>1421976551449575432</v>
      </c>
      <c r="F2683" s="7" t="s">
        <v>17</v>
      </c>
      <c r="G2683" s="7">
        <v>1591478</v>
      </c>
      <c r="H2683" s="7">
        <v>503</v>
      </c>
      <c r="I2683" s="7">
        <v>1</v>
      </c>
      <c r="J2683" s="7">
        <v>24</v>
      </c>
      <c r="K2683" s="7" t="s">
        <v>18</v>
      </c>
      <c r="L2683" s="8">
        <v>39891.213356481479</v>
      </c>
      <c r="M2683" s="9" t="s">
        <v>19</v>
      </c>
      <c r="N2683" s="9" t="s">
        <v>22</v>
      </c>
      <c r="O2683" s="6" t="str">
        <f>HYPERLINK("https://pbs.twimg.com/profile_images/988971255679324162/jrqiIYf__normal.jpg","View")</f>
        <v>View</v>
      </c>
      <c r="P2683" s="7"/>
    </row>
    <row r="2684" spans="1:16">
      <c r="A2684" s="3">
        <v>44410.211168981477</v>
      </c>
      <c r="B2684" s="4" t="str">
        <f>HYPERLINK("https://twitter.com/sergio_fajardo","@sergio_fajardo")</f>
        <v>@sergio_fajardo</v>
      </c>
      <c r="C2684" s="5" t="s">
        <v>16</v>
      </c>
      <c r="D2684" s="5" t="s">
        <v>2705</v>
      </c>
      <c r="E2684" s="6" t="str">
        <f>HYPERLINK("https://twitter.com/sergio_fajardo/status/1421977566651486208","1421977566651486208")</f>
        <v>1421977566651486208</v>
      </c>
      <c r="F2684" s="7" t="s">
        <v>17</v>
      </c>
      <c r="G2684" s="7">
        <v>1591478</v>
      </c>
      <c r="H2684" s="7">
        <v>503</v>
      </c>
      <c r="I2684" s="7">
        <v>0</v>
      </c>
      <c r="J2684" s="7">
        <v>1</v>
      </c>
      <c r="K2684" s="7" t="s">
        <v>18</v>
      </c>
      <c r="L2684" s="8">
        <v>39891.213356481479</v>
      </c>
      <c r="M2684" s="9" t="s">
        <v>19</v>
      </c>
      <c r="N2684" s="9" t="s">
        <v>22</v>
      </c>
      <c r="O2684" s="6" t="str">
        <f>HYPERLINK("https://pbs.twimg.com/profile_images/988971255679324162/jrqiIYf__normal.jpg","View")</f>
        <v>View</v>
      </c>
      <c r="P2684" s="7"/>
    </row>
    <row r="2685" spans="1:16">
      <c r="A2685" s="3">
        <v>44410.214074074072</v>
      </c>
      <c r="B2685" s="4" t="str">
        <f>HYPERLINK("https://twitter.com/sergio_fajardo","@sergio_fajardo")</f>
        <v>@sergio_fajardo</v>
      </c>
      <c r="C2685" s="5" t="s">
        <v>16</v>
      </c>
      <c r="D2685" s="5" t="s">
        <v>2706</v>
      </c>
      <c r="E2685" s="6" t="str">
        <f>HYPERLINK("https://twitter.com/sergio_fajardo/status/1421978617073082369","1421978617073082369")</f>
        <v>1421978617073082369</v>
      </c>
      <c r="F2685" s="7" t="s">
        <v>17</v>
      </c>
      <c r="G2685" s="7">
        <v>1591478</v>
      </c>
      <c r="H2685" s="7">
        <v>503</v>
      </c>
      <c r="I2685" s="7">
        <v>0</v>
      </c>
      <c r="J2685" s="7">
        <v>3</v>
      </c>
      <c r="K2685" s="7" t="s">
        <v>18</v>
      </c>
      <c r="L2685" s="8">
        <v>39891.213356481479</v>
      </c>
      <c r="M2685" s="9" t="s">
        <v>19</v>
      </c>
      <c r="N2685" s="9" t="s">
        <v>22</v>
      </c>
      <c r="O2685" s="6" t="str">
        <f>HYPERLINK("https://pbs.twimg.com/profile_images/988971255679324162/jrqiIYf__normal.jpg","View")</f>
        <v>View</v>
      </c>
      <c r="P2685" s="7"/>
    </row>
    <row r="2686" spans="1:16">
      <c r="A2686" s="3">
        <v>44410.21601851852</v>
      </c>
      <c r="B2686" s="4" t="str">
        <f>HYPERLINK("https://twitter.com/sergio_fajardo","@sergio_fajardo")</f>
        <v>@sergio_fajardo</v>
      </c>
      <c r="C2686" s="5" t="s">
        <v>16</v>
      </c>
      <c r="D2686" s="5" t="s">
        <v>2707</v>
      </c>
      <c r="E2686" s="6" t="str">
        <f>HYPERLINK("https://twitter.com/sergio_fajardo/status/1421979322118819842","1421979322118819842")</f>
        <v>1421979322118819842</v>
      </c>
      <c r="F2686" s="7" t="s">
        <v>17</v>
      </c>
      <c r="G2686" s="7">
        <v>1591478</v>
      </c>
      <c r="H2686" s="7">
        <v>503</v>
      </c>
      <c r="I2686" s="7">
        <v>0</v>
      </c>
      <c r="J2686" s="7">
        <v>2</v>
      </c>
      <c r="K2686" s="7" t="s">
        <v>18</v>
      </c>
      <c r="L2686" s="8">
        <v>39891.213356481479</v>
      </c>
      <c r="M2686" s="9" t="s">
        <v>19</v>
      </c>
      <c r="N2686" s="9" t="s">
        <v>22</v>
      </c>
      <c r="O2686" s="6" t="str">
        <f>HYPERLINK("https://pbs.twimg.com/profile_images/988971255679324162/jrqiIYf__normal.jpg","View")</f>
        <v>View</v>
      </c>
      <c r="P2686" s="7"/>
    </row>
    <row r="2687" spans="1:16">
      <c r="A2687" s="3">
        <v>44410.221284722225</v>
      </c>
      <c r="B2687" s="4" t="str">
        <f>HYPERLINK("https://twitter.com/sergio_fajardo","@sergio_fajardo")</f>
        <v>@sergio_fajardo</v>
      </c>
      <c r="C2687" s="5" t="s">
        <v>16</v>
      </c>
      <c r="D2687" s="5" t="s">
        <v>2708</v>
      </c>
      <c r="E2687" s="6" t="str">
        <f>HYPERLINK("https://twitter.com/sergio_fajardo/status/1421981230568919040","1421981230568919040")</f>
        <v>1421981230568919040</v>
      </c>
      <c r="F2687" s="7" t="s">
        <v>17</v>
      </c>
      <c r="G2687" s="7">
        <v>1591472</v>
      </c>
      <c r="H2687" s="7">
        <v>503</v>
      </c>
      <c r="I2687" s="7">
        <v>0</v>
      </c>
      <c r="J2687" s="7">
        <v>11</v>
      </c>
      <c r="K2687" s="7" t="s">
        <v>18</v>
      </c>
      <c r="L2687" s="8">
        <v>39891.213356481479</v>
      </c>
      <c r="M2687" s="9" t="s">
        <v>19</v>
      </c>
      <c r="N2687" s="9" t="s">
        <v>22</v>
      </c>
      <c r="O2687" s="6" t="str">
        <f>HYPERLINK("https://pbs.twimg.com/profile_images/988971255679324162/jrqiIYf__normal.jpg","View")</f>
        <v>View</v>
      </c>
      <c r="P2687" s="7"/>
    </row>
    <row r="2688" spans="1:16">
      <c r="A2688" s="3">
        <v>44410.222638888888</v>
      </c>
      <c r="B2688" s="4" t="str">
        <f>HYPERLINK("https://twitter.com/sergio_fajardo","@sergio_fajardo")</f>
        <v>@sergio_fajardo</v>
      </c>
      <c r="C2688" s="5" t="s">
        <v>16</v>
      </c>
      <c r="D2688" s="5" t="s">
        <v>2709</v>
      </c>
      <c r="E2688" s="6" t="str">
        <f>HYPERLINK("https://twitter.com/sergio_fajardo/status/1421981720648327180","1421981720648327180")</f>
        <v>1421981720648327180</v>
      </c>
      <c r="F2688" s="7" t="s">
        <v>17</v>
      </c>
      <c r="G2688" s="7">
        <v>1591472</v>
      </c>
      <c r="H2688" s="7">
        <v>503</v>
      </c>
      <c r="I2688" s="7">
        <v>0</v>
      </c>
      <c r="J2688" s="7">
        <v>6</v>
      </c>
      <c r="K2688" s="7" t="s">
        <v>18</v>
      </c>
      <c r="L2688" s="8">
        <v>39891.213356481479</v>
      </c>
      <c r="M2688" s="9" t="s">
        <v>19</v>
      </c>
      <c r="N2688" s="9" t="s">
        <v>22</v>
      </c>
      <c r="O2688" s="6" t="str">
        <f>HYPERLINK("https://pbs.twimg.com/profile_images/988971255679324162/jrqiIYf__normal.jpg","View")</f>
        <v>View</v>
      </c>
      <c r="P2688" s="7"/>
    </row>
    <row r="2689" spans="1:16">
      <c r="A2689" s="3">
        <v>44410.224976851852</v>
      </c>
      <c r="B2689" s="4" t="str">
        <f>HYPERLINK("https://twitter.com/sergio_fajardo","@sergio_fajardo")</f>
        <v>@sergio_fajardo</v>
      </c>
      <c r="C2689" s="5" t="s">
        <v>16</v>
      </c>
      <c r="D2689" s="5" t="s">
        <v>2710</v>
      </c>
      <c r="E2689" s="6" t="str">
        <f>HYPERLINK("https://twitter.com/sergio_fajardo/status/1421982569940271104","1421982569940271104")</f>
        <v>1421982569940271104</v>
      </c>
      <c r="F2689" s="7" t="s">
        <v>17</v>
      </c>
      <c r="G2689" s="7">
        <v>1591472</v>
      </c>
      <c r="H2689" s="7">
        <v>503</v>
      </c>
      <c r="I2689" s="7">
        <v>0</v>
      </c>
      <c r="J2689" s="7">
        <v>1</v>
      </c>
      <c r="K2689" s="7" t="s">
        <v>18</v>
      </c>
      <c r="L2689" s="8">
        <v>39891.213356481479</v>
      </c>
      <c r="M2689" s="9" t="s">
        <v>19</v>
      </c>
      <c r="N2689" s="9" t="s">
        <v>22</v>
      </c>
      <c r="O2689" s="6" t="str">
        <f>HYPERLINK("https://pbs.twimg.com/profile_images/988971255679324162/jrqiIYf__normal.jpg","View")</f>
        <v>View</v>
      </c>
      <c r="P2689" s="7"/>
    </row>
    <row r="2690" spans="1:16">
      <c r="A2690" s="3">
        <v>44410.227986111116</v>
      </c>
      <c r="B2690" s="4" t="str">
        <f>HYPERLINK("https://twitter.com/sergio_fajardo","@sergio_fajardo")</f>
        <v>@sergio_fajardo</v>
      </c>
      <c r="C2690" s="5" t="s">
        <v>16</v>
      </c>
      <c r="D2690" s="5" t="s">
        <v>2711</v>
      </c>
      <c r="E2690" s="6" t="str">
        <f>HYPERLINK("https://twitter.com/sergio_fajardo/status/1421983662476861448","1421983662476861448")</f>
        <v>1421983662476861448</v>
      </c>
      <c r="F2690" s="7" t="s">
        <v>17</v>
      </c>
      <c r="G2690" s="7">
        <v>1591472</v>
      </c>
      <c r="H2690" s="7">
        <v>503</v>
      </c>
      <c r="I2690" s="7">
        <v>0</v>
      </c>
      <c r="J2690" s="7">
        <v>4</v>
      </c>
      <c r="K2690" s="7" t="s">
        <v>18</v>
      </c>
      <c r="L2690" s="8">
        <v>39891.213356481479</v>
      </c>
      <c r="M2690" s="9" t="s">
        <v>19</v>
      </c>
      <c r="N2690" s="9" t="s">
        <v>22</v>
      </c>
      <c r="O2690" s="6" t="str">
        <f>HYPERLINK("https://pbs.twimg.com/profile_images/988971255679324162/jrqiIYf__normal.jpg","View")</f>
        <v>View</v>
      </c>
      <c r="P2690" s="7"/>
    </row>
    <row r="2691" spans="1:16">
      <c r="A2691" s="3">
        <v>44410.228842592594</v>
      </c>
      <c r="B2691" s="4" t="str">
        <f>HYPERLINK("https://twitter.com/sergio_fajardo","@sergio_fajardo")</f>
        <v>@sergio_fajardo</v>
      </c>
      <c r="C2691" s="5" t="s">
        <v>16</v>
      </c>
      <c r="D2691" s="5" t="s">
        <v>2712</v>
      </c>
      <c r="E2691" s="6" t="str">
        <f>HYPERLINK("https://twitter.com/sergio_fajardo/status/1421983971609567240","1421983971609567240")</f>
        <v>1421983971609567240</v>
      </c>
      <c r="F2691" s="7" t="s">
        <v>17</v>
      </c>
      <c r="G2691" s="7">
        <v>1591472</v>
      </c>
      <c r="H2691" s="7">
        <v>503</v>
      </c>
      <c r="I2691" s="7">
        <v>0</v>
      </c>
      <c r="J2691" s="7">
        <v>0</v>
      </c>
      <c r="K2691" s="7" t="s">
        <v>18</v>
      </c>
      <c r="L2691" s="8">
        <v>39891.213356481479</v>
      </c>
      <c r="M2691" s="9" t="s">
        <v>19</v>
      </c>
      <c r="N2691" s="9" t="s">
        <v>22</v>
      </c>
      <c r="O2691" s="6" t="str">
        <f>HYPERLINK("https://pbs.twimg.com/profile_images/988971255679324162/jrqiIYf__normal.jpg","View")</f>
        <v>View</v>
      </c>
      <c r="P2691" s="7"/>
    </row>
    <row r="2692" spans="1:16">
      <c r="A2692" s="3">
        <v>44410.23128472222</v>
      </c>
      <c r="B2692" s="4" t="str">
        <f>HYPERLINK("https://twitter.com/sergio_fajardo","@sergio_fajardo")</f>
        <v>@sergio_fajardo</v>
      </c>
      <c r="C2692" s="5" t="s">
        <v>16</v>
      </c>
      <c r="D2692" s="5" t="s">
        <v>2713</v>
      </c>
      <c r="E2692" s="6" t="str">
        <f>HYPERLINK("https://twitter.com/sergio_fajardo/status/1421984854317703169","1421984854317703169")</f>
        <v>1421984854317703169</v>
      </c>
      <c r="F2692" s="7" t="s">
        <v>17</v>
      </c>
      <c r="G2692" s="7">
        <v>1591472</v>
      </c>
      <c r="H2692" s="7">
        <v>503</v>
      </c>
      <c r="I2692" s="7">
        <v>5</v>
      </c>
      <c r="J2692" s="7">
        <v>86</v>
      </c>
      <c r="K2692" s="7" t="s">
        <v>18</v>
      </c>
      <c r="L2692" s="8">
        <v>39891.213356481479</v>
      </c>
      <c r="M2692" s="9" t="s">
        <v>19</v>
      </c>
      <c r="N2692" s="9" t="s">
        <v>22</v>
      </c>
      <c r="O2692" s="6" t="str">
        <f>HYPERLINK("https://pbs.twimg.com/profile_images/988971255679324162/jrqiIYf__normal.jpg","View")</f>
        <v>View</v>
      </c>
      <c r="P2692" s="7"/>
    </row>
    <row r="2693" spans="1:16">
      <c r="A2693" s="3">
        <v>44410.232754629629</v>
      </c>
      <c r="B2693" s="4" t="str">
        <f>HYPERLINK("https://twitter.com/sergio_fajardo","@sergio_fajardo")</f>
        <v>@sergio_fajardo</v>
      </c>
      <c r="C2693" s="5" t="s">
        <v>16</v>
      </c>
      <c r="D2693" s="5" t="s">
        <v>2714</v>
      </c>
      <c r="E2693" s="6" t="str">
        <f>HYPERLINK("https://twitter.com/sergio_fajardo/status/1421985387166281730","1421985387166281730")</f>
        <v>1421985387166281730</v>
      </c>
      <c r="F2693" s="7" t="s">
        <v>17</v>
      </c>
      <c r="G2693" s="7">
        <v>1591472</v>
      </c>
      <c r="H2693" s="7">
        <v>503</v>
      </c>
      <c r="I2693" s="7">
        <v>0</v>
      </c>
      <c r="J2693" s="7">
        <v>1</v>
      </c>
      <c r="K2693" s="7" t="s">
        <v>18</v>
      </c>
      <c r="L2693" s="8">
        <v>39891.213356481479</v>
      </c>
      <c r="M2693" s="9" t="s">
        <v>19</v>
      </c>
      <c r="N2693" s="9" t="s">
        <v>22</v>
      </c>
      <c r="O2693" s="6" t="str">
        <f>HYPERLINK("https://pbs.twimg.com/profile_images/988971255679324162/jrqiIYf__normal.jpg","View")</f>
        <v>View</v>
      </c>
      <c r="P2693" s="7"/>
    </row>
    <row r="2694" spans="1:16">
      <c r="A2694" s="3">
        <v>44410.236805555556</v>
      </c>
      <c r="B2694" s="4" t="str">
        <f>HYPERLINK("https://twitter.com/sergio_fajardo","@sergio_fajardo")</f>
        <v>@sergio_fajardo</v>
      </c>
      <c r="C2694" s="5" t="s">
        <v>16</v>
      </c>
      <c r="D2694" s="5" t="s">
        <v>2715</v>
      </c>
      <c r="E2694" s="6" t="str">
        <f>HYPERLINK("https://twitter.com/sergio_fajardo/status/1421986855126503427","1421986855126503427")</f>
        <v>1421986855126503427</v>
      </c>
      <c r="F2694" s="7" t="s">
        <v>17</v>
      </c>
      <c r="G2694" s="7">
        <v>1591472</v>
      </c>
      <c r="H2694" s="7">
        <v>503</v>
      </c>
      <c r="I2694" s="7">
        <v>0</v>
      </c>
      <c r="J2694" s="7">
        <v>1</v>
      </c>
      <c r="K2694" s="7" t="s">
        <v>18</v>
      </c>
      <c r="L2694" s="8">
        <v>39891.213356481479</v>
      </c>
      <c r="M2694" s="9" t="s">
        <v>19</v>
      </c>
      <c r="N2694" s="9" t="s">
        <v>22</v>
      </c>
      <c r="O2694" s="6" t="str">
        <f>HYPERLINK("https://pbs.twimg.com/profile_images/988971255679324162/jrqiIYf__normal.jpg","View")</f>
        <v>View</v>
      </c>
      <c r="P2694" s="7"/>
    </row>
    <row r="2695" spans="1:16">
      <c r="A2695" s="3">
        <v>44410.242696759262</v>
      </c>
      <c r="B2695" s="4" t="str">
        <f>HYPERLINK("https://twitter.com/sergio_fajardo","@sergio_fajardo")</f>
        <v>@sergio_fajardo</v>
      </c>
      <c r="C2695" s="5" t="s">
        <v>16</v>
      </c>
      <c r="D2695" s="5" t="s">
        <v>2716</v>
      </c>
      <c r="E2695" s="6" t="str">
        <f>HYPERLINK("https://twitter.com/sergio_fajardo/status/1421988991172284421","1421988991172284421")</f>
        <v>1421988991172284421</v>
      </c>
      <c r="F2695" s="7" t="s">
        <v>17</v>
      </c>
      <c r="G2695" s="7">
        <v>1591475</v>
      </c>
      <c r="H2695" s="7">
        <v>503</v>
      </c>
      <c r="I2695" s="7">
        <v>0</v>
      </c>
      <c r="J2695" s="7">
        <v>0</v>
      </c>
      <c r="K2695" s="7" t="s">
        <v>18</v>
      </c>
      <c r="L2695" s="8">
        <v>39891.213356481479</v>
      </c>
      <c r="M2695" s="9" t="s">
        <v>19</v>
      </c>
      <c r="N2695" s="9" t="s">
        <v>22</v>
      </c>
      <c r="O2695" s="6" t="str">
        <f>HYPERLINK("https://pbs.twimg.com/profile_images/988971255679324162/jrqiIYf__normal.jpg","View")</f>
        <v>View</v>
      </c>
      <c r="P2695" s="7"/>
    </row>
    <row r="2696" spans="1:16">
      <c r="A2696" s="3">
        <v>44410.337222222224</v>
      </c>
      <c r="B2696" s="4" t="str">
        <f>HYPERLINK("https://twitter.com/sergio_fajardo","@sergio_fajardo")</f>
        <v>@sergio_fajardo</v>
      </c>
      <c r="C2696" s="5" t="s">
        <v>16</v>
      </c>
      <c r="D2696" s="5" t="s">
        <v>2717</v>
      </c>
      <c r="E2696" s="6" t="str">
        <f>HYPERLINK("https://twitter.com/sergio_fajardo/status/1422023246359236608","1422023246359236608")</f>
        <v>1422023246359236608</v>
      </c>
      <c r="F2696" s="7" t="s">
        <v>17</v>
      </c>
      <c r="G2696" s="7">
        <v>1591486</v>
      </c>
      <c r="H2696" s="7">
        <v>503</v>
      </c>
      <c r="I2696" s="7">
        <v>5</v>
      </c>
      <c r="J2696" s="7">
        <v>0</v>
      </c>
      <c r="K2696" s="7" t="s">
        <v>18</v>
      </c>
      <c r="L2696" s="8">
        <v>39891.213356481479</v>
      </c>
      <c r="M2696" s="9" t="s">
        <v>19</v>
      </c>
      <c r="N2696" s="9" t="s">
        <v>22</v>
      </c>
      <c r="O2696" s="6" t="str">
        <f>HYPERLINK("https://pbs.twimg.com/profile_images/988971255679324162/jrqiIYf__normal.jpg","View")</f>
        <v>View</v>
      </c>
      <c r="P2696" s="7"/>
    </row>
    <row r="2697" spans="1:16">
      <c r="A2697" s="3">
        <v>44410.343287037038</v>
      </c>
      <c r="B2697" s="4" t="str">
        <f>HYPERLINK("https://twitter.com/sergio_fajardo","@sergio_fajardo")</f>
        <v>@sergio_fajardo</v>
      </c>
      <c r="C2697" s="5" t="s">
        <v>16</v>
      </c>
      <c r="D2697" s="5" t="s">
        <v>2718</v>
      </c>
      <c r="E2697" s="6" t="str">
        <f>HYPERLINK("https://twitter.com/sergio_fajardo/status/1422025442421264386","1422025442421264386")</f>
        <v>1422025442421264386</v>
      </c>
      <c r="F2697" s="7" t="s">
        <v>17</v>
      </c>
      <c r="G2697" s="7">
        <v>1591486</v>
      </c>
      <c r="H2697" s="7">
        <v>503</v>
      </c>
      <c r="I2697" s="7">
        <v>7</v>
      </c>
      <c r="J2697" s="7">
        <v>0</v>
      </c>
      <c r="K2697" s="7" t="s">
        <v>18</v>
      </c>
      <c r="L2697" s="8">
        <v>39891.213356481479</v>
      </c>
      <c r="M2697" s="9" t="s">
        <v>19</v>
      </c>
      <c r="N2697" s="9" t="s">
        <v>22</v>
      </c>
      <c r="O2697" s="6" t="str">
        <f>HYPERLINK("https://pbs.twimg.com/profile_images/988971255679324162/jrqiIYf__normal.jpg","View")</f>
        <v>View</v>
      </c>
      <c r="P2697" s="7"/>
    </row>
    <row r="2698" spans="1:16">
      <c r="A2698" s="3">
        <v>44410.3440162037</v>
      </c>
      <c r="B2698" s="4" t="str">
        <f>HYPERLINK("https://twitter.com/sergio_fajardo","@sergio_fajardo")</f>
        <v>@sergio_fajardo</v>
      </c>
      <c r="C2698" s="5" t="s">
        <v>16</v>
      </c>
      <c r="D2698" s="5" t="s">
        <v>2719</v>
      </c>
      <c r="E2698" s="6" t="str">
        <f>HYPERLINK("https://twitter.com/sergio_fajardo/status/1422025709011324931","1422025709011324931")</f>
        <v>1422025709011324931</v>
      </c>
      <c r="F2698" s="7" t="s">
        <v>17</v>
      </c>
      <c r="G2698" s="7">
        <v>1591486</v>
      </c>
      <c r="H2698" s="7">
        <v>503</v>
      </c>
      <c r="I2698" s="7">
        <v>0</v>
      </c>
      <c r="J2698" s="7">
        <v>0</v>
      </c>
      <c r="K2698" s="7" t="s">
        <v>18</v>
      </c>
      <c r="L2698" s="8">
        <v>39891.213356481479</v>
      </c>
      <c r="M2698" s="9" t="s">
        <v>19</v>
      </c>
      <c r="N2698" s="9" t="s">
        <v>22</v>
      </c>
      <c r="O2698" s="6" t="str">
        <f>HYPERLINK("https://pbs.twimg.com/profile_images/988971255679324162/jrqiIYf__normal.jpg","View")</f>
        <v>View</v>
      </c>
      <c r="P2698" s="7"/>
    </row>
    <row r="2699" spans="1:16">
      <c r="A2699" s="3">
        <v>44410.835543981477</v>
      </c>
      <c r="B2699" s="4" t="str">
        <f>HYPERLINK("https://twitter.com/sergio_fajardo","@sergio_fajardo")</f>
        <v>@sergio_fajardo</v>
      </c>
      <c r="C2699" s="5" t="s">
        <v>16</v>
      </c>
      <c r="D2699" s="5" t="s">
        <v>2720</v>
      </c>
      <c r="E2699" s="6" t="str">
        <f>HYPERLINK("https://twitter.com/sergio_fajardo/status/1422203831195160589","1422203831195160589")</f>
        <v>1422203831195160589</v>
      </c>
      <c r="F2699" s="7" t="s">
        <v>17</v>
      </c>
      <c r="G2699" s="7">
        <v>1591509</v>
      </c>
      <c r="H2699" s="7">
        <v>503</v>
      </c>
      <c r="I2699" s="7">
        <v>7</v>
      </c>
      <c r="J2699" s="7">
        <v>62</v>
      </c>
      <c r="K2699" s="7" t="s">
        <v>18</v>
      </c>
      <c r="L2699" s="8">
        <v>39891.213356481479</v>
      </c>
      <c r="M2699" s="9" t="s">
        <v>19</v>
      </c>
      <c r="N2699" s="9" t="s">
        <v>22</v>
      </c>
      <c r="O2699" s="6" t="str">
        <f>HYPERLINK("https://pbs.twimg.com/profile_images/988971255679324162/jrqiIYf__normal.jpg","View")</f>
        <v>View</v>
      </c>
      <c r="P2699" s="7"/>
    </row>
    <row r="2700" spans="1:16">
      <c r="A2700" s="3">
        <v>44410.836712962962</v>
      </c>
      <c r="B2700" s="4" t="str">
        <f>HYPERLINK("https://twitter.com/sergio_fajardo","@sergio_fajardo")</f>
        <v>@sergio_fajardo</v>
      </c>
      <c r="C2700" s="5" t="s">
        <v>16</v>
      </c>
      <c r="D2700" s="5" t="s">
        <v>2721</v>
      </c>
      <c r="E2700" s="6" t="str">
        <f>HYPERLINK("https://twitter.com/sergio_fajardo/status/1422204254580887555","1422204254580887555")</f>
        <v>1422204254580887555</v>
      </c>
      <c r="F2700" s="7" t="s">
        <v>17</v>
      </c>
      <c r="G2700" s="7">
        <v>1591509</v>
      </c>
      <c r="H2700" s="7">
        <v>503</v>
      </c>
      <c r="I2700" s="7">
        <v>1</v>
      </c>
      <c r="J2700" s="7">
        <v>32</v>
      </c>
      <c r="K2700" s="7" t="s">
        <v>18</v>
      </c>
      <c r="L2700" s="8">
        <v>39891.213356481479</v>
      </c>
      <c r="M2700" s="9" t="s">
        <v>19</v>
      </c>
      <c r="N2700" s="9" t="s">
        <v>22</v>
      </c>
      <c r="O2700" s="6" t="str">
        <f>HYPERLINK("https://pbs.twimg.com/profile_images/988971255679324162/jrqiIYf__normal.jpg","View")</f>
        <v>View</v>
      </c>
      <c r="P2700" s="7"/>
    </row>
    <row r="2701" spans="1:16">
      <c r="A2701" s="3">
        <v>44411.166597222225</v>
      </c>
      <c r="B2701" s="4" t="str">
        <f>HYPERLINK("https://twitter.com/sergio_fajardo","@sergio_fajardo")</f>
        <v>@sergio_fajardo</v>
      </c>
      <c r="C2701" s="5" t="s">
        <v>16</v>
      </c>
      <c r="D2701" s="5" t="s">
        <v>2722</v>
      </c>
      <c r="E2701" s="6" t="str">
        <f>HYPERLINK("https://twitter.com/sergio_fajardo/status/1422323803305168897","1422323803305168897")</f>
        <v>1422323803305168897</v>
      </c>
      <c r="F2701" s="7" t="s">
        <v>17</v>
      </c>
      <c r="G2701" s="7">
        <v>1591529</v>
      </c>
      <c r="H2701" s="7">
        <v>503</v>
      </c>
      <c r="I2701" s="7">
        <v>15</v>
      </c>
      <c r="J2701" s="7">
        <v>65</v>
      </c>
      <c r="K2701" s="7" t="s">
        <v>18</v>
      </c>
      <c r="L2701" s="8">
        <v>39891.213356481479</v>
      </c>
      <c r="M2701" s="9" t="s">
        <v>19</v>
      </c>
      <c r="N2701" s="9" t="s">
        <v>22</v>
      </c>
      <c r="O2701" s="6" t="str">
        <f>HYPERLINK("https://pbs.twimg.com/profile_images/988971255679324162/jrqiIYf__normal.jpg","View")</f>
        <v>View</v>
      </c>
      <c r="P2701" s="7"/>
    </row>
    <row r="2702" spans="1:16">
      <c r="A2702" s="3">
        <v>44411.27516203704</v>
      </c>
      <c r="B2702" s="4" t="str">
        <f>HYPERLINK("https://twitter.com/sergio_fajardo","@sergio_fajardo")</f>
        <v>@sergio_fajardo</v>
      </c>
      <c r="C2702" s="5" t="s">
        <v>16</v>
      </c>
      <c r="D2702" s="5" t="s">
        <v>2723</v>
      </c>
      <c r="E2702" s="6" t="str">
        <f>HYPERLINK("https://twitter.com/sergio_fajardo/status/1422363144282939398","1422363144282939398")</f>
        <v>1422363144282939398</v>
      </c>
      <c r="F2702" s="7" t="s">
        <v>17</v>
      </c>
      <c r="G2702" s="7">
        <v>1591532</v>
      </c>
      <c r="H2702" s="7">
        <v>503</v>
      </c>
      <c r="I2702" s="7">
        <v>8</v>
      </c>
      <c r="J2702" s="7">
        <v>0</v>
      </c>
      <c r="K2702" s="7" t="s">
        <v>18</v>
      </c>
      <c r="L2702" s="8">
        <v>39891.213356481479</v>
      </c>
      <c r="M2702" s="9" t="s">
        <v>19</v>
      </c>
      <c r="N2702" s="9" t="s">
        <v>22</v>
      </c>
      <c r="O2702" s="6" t="str">
        <f>HYPERLINK("https://pbs.twimg.com/profile_images/988971255679324162/jrqiIYf__normal.jpg","View")</f>
        <v>View</v>
      </c>
      <c r="P2702" s="7"/>
    </row>
    <row r="2703" spans="1:16">
      <c r="A2703" s="3">
        <v>44412.179814814815</v>
      </c>
      <c r="B2703" s="4" t="str">
        <f>HYPERLINK("https://twitter.com/sergio_fajardo","@sergio_fajardo")</f>
        <v>@sergio_fajardo</v>
      </c>
      <c r="C2703" s="5" t="s">
        <v>16</v>
      </c>
      <c r="D2703" s="5" t="s">
        <v>2724</v>
      </c>
      <c r="E2703" s="6" t="str">
        <f>HYPERLINK("https://twitter.com/sergio_fajardo/status/1422690981015605260","1422690981015605260")</f>
        <v>1422690981015605260</v>
      </c>
      <c r="F2703" s="7" t="s">
        <v>23</v>
      </c>
      <c r="G2703" s="7">
        <v>1591577</v>
      </c>
      <c r="H2703" s="7">
        <v>503</v>
      </c>
      <c r="I2703" s="7">
        <v>8</v>
      </c>
      <c r="J2703" s="7">
        <v>58</v>
      </c>
      <c r="K2703" s="7" t="s">
        <v>18</v>
      </c>
      <c r="L2703" s="8">
        <v>39891.213356481479</v>
      </c>
      <c r="M2703" s="9" t="s">
        <v>19</v>
      </c>
      <c r="N2703" s="9" t="s">
        <v>22</v>
      </c>
      <c r="O2703" s="6" t="str">
        <f>HYPERLINK("https://pbs.twimg.com/profile_images/988971255679324162/jrqiIYf__normal.jpg","View")</f>
        <v>View</v>
      </c>
      <c r="P2703" s="7"/>
    </row>
    <row r="2704" spans="1:16">
      <c r="A2704" s="3">
        <v>44412.189918981487</v>
      </c>
      <c r="B2704" s="4" t="str">
        <f>HYPERLINK("https://twitter.com/sergio_fajardo","@sergio_fajardo")</f>
        <v>@sergio_fajardo</v>
      </c>
      <c r="C2704" s="5" t="s">
        <v>16</v>
      </c>
      <c r="D2704" s="5" t="s">
        <v>2725</v>
      </c>
      <c r="E2704" s="6" t="str">
        <f>HYPERLINK("https://twitter.com/sergio_fajardo/status/1422694640067747851","1422694640067747851")</f>
        <v>1422694640067747851</v>
      </c>
      <c r="F2704" s="7" t="s">
        <v>17</v>
      </c>
      <c r="G2704" s="7">
        <v>1591577</v>
      </c>
      <c r="H2704" s="7">
        <v>503</v>
      </c>
      <c r="I2704" s="7">
        <v>12</v>
      </c>
      <c r="J2704" s="7">
        <v>34</v>
      </c>
      <c r="K2704" s="7" t="s">
        <v>18</v>
      </c>
      <c r="L2704" s="8">
        <v>39891.213356481479</v>
      </c>
      <c r="M2704" s="9" t="s">
        <v>19</v>
      </c>
      <c r="N2704" s="9" t="s">
        <v>22</v>
      </c>
      <c r="O2704" s="6" t="str">
        <f>HYPERLINK("https://pbs.twimg.com/profile_images/988971255679324162/jrqiIYf__normal.jpg","View")</f>
        <v>View</v>
      </c>
      <c r="P2704" s="7"/>
    </row>
    <row r="2705" spans="1:16">
      <c r="A2705" s="3">
        <v>44412.794629629629</v>
      </c>
      <c r="B2705" s="4" t="str">
        <f>HYPERLINK("https://twitter.com/sergio_fajardo","@sergio_fajardo")</f>
        <v>@sergio_fajardo</v>
      </c>
      <c r="C2705" s="5" t="s">
        <v>16</v>
      </c>
      <c r="D2705" s="5" t="s">
        <v>2726</v>
      </c>
      <c r="E2705" s="6" t="str">
        <f>HYPERLINK("https://twitter.com/sergio_fajardo/status/1422913780917448704","1422913780917448704")</f>
        <v>1422913780917448704</v>
      </c>
      <c r="F2705" s="7" t="s">
        <v>17</v>
      </c>
      <c r="G2705" s="7">
        <v>1591612</v>
      </c>
      <c r="H2705" s="7">
        <v>503</v>
      </c>
      <c r="I2705" s="7">
        <v>11</v>
      </c>
      <c r="J2705" s="7">
        <v>0</v>
      </c>
      <c r="K2705" s="7" t="s">
        <v>18</v>
      </c>
      <c r="L2705" s="8">
        <v>39891.213356481479</v>
      </c>
      <c r="M2705" s="9" t="s">
        <v>19</v>
      </c>
      <c r="N2705" s="9" t="s">
        <v>22</v>
      </c>
      <c r="O2705" s="6" t="str">
        <f>HYPERLINK("https://pbs.twimg.com/profile_images/988971255679324162/jrqiIYf__normal.jpg","View")</f>
        <v>View</v>
      </c>
      <c r="P2705" s="7"/>
    </row>
    <row r="2706" spans="1:16">
      <c r="A2706" s="3">
        <v>44412.869884259257</v>
      </c>
      <c r="B2706" s="4" t="str">
        <f>HYPERLINK("https://twitter.com/sergio_fajardo","@sergio_fajardo")</f>
        <v>@sergio_fajardo</v>
      </c>
      <c r="C2706" s="5" t="s">
        <v>16</v>
      </c>
      <c r="D2706" s="5" t="s">
        <v>2727</v>
      </c>
      <c r="E2706" s="6" t="str">
        <f>HYPERLINK("https://twitter.com/sergio_fajardo/status/1422941053183799302","1422941053183799302")</f>
        <v>1422941053183799302</v>
      </c>
      <c r="F2706" s="7" t="s">
        <v>17</v>
      </c>
      <c r="G2706" s="7">
        <v>1591621</v>
      </c>
      <c r="H2706" s="7">
        <v>503</v>
      </c>
      <c r="I2706" s="7">
        <v>12</v>
      </c>
      <c r="J2706" s="7">
        <v>51</v>
      </c>
      <c r="K2706" s="7" t="s">
        <v>18</v>
      </c>
      <c r="L2706" s="8">
        <v>39891.213356481479</v>
      </c>
      <c r="M2706" s="9" t="s">
        <v>19</v>
      </c>
      <c r="N2706" s="9" t="s">
        <v>22</v>
      </c>
      <c r="O2706" s="6" t="str">
        <f>HYPERLINK("https://pbs.twimg.com/profile_images/988971255679324162/jrqiIYf__normal.jpg","View")</f>
        <v>View</v>
      </c>
      <c r="P2706" s="7"/>
    </row>
    <row r="2707" spans="1:16">
      <c r="A2707" s="3">
        <v>44413.023263888885</v>
      </c>
      <c r="B2707" s="4" t="str">
        <f>HYPERLINK("https://twitter.com/sergio_fajardo","@sergio_fajardo")</f>
        <v>@sergio_fajardo</v>
      </c>
      <c r="C2707" s="5" t="s">
        <v>16</v>
      </c>
      <c r="D2707" s="5" t="s">
        <v>2728</v>
      </c>
      <c r="E2707" s="6" t="str">
        <f>HYPERLINK("https://twitter.com/sergio_fajardo/status/1422996637245394951","1422996637245394951")</f>
        <v>1422996637245394951</v>
      </c>
      <c r="F2707" s="7" t="s">
        <v>17</v>
      </c>
      <c r="G2707" s="7">
        <v>1591629</v>
      </c>
      <c r="H2707" s="7">
        <v>503</v>
      </c>
      <c r="I2707" s="7">
        <v>7</v>
      </c>
      <c r="J2707" s="7">
        <v>48</v>
      </c>
      <c r="K2707" s="7" t="s">
        <v>18</v>
      </c>
      <c r="L2707" s="8">
        <v>39891.213356481479</v>
      </c>
      <c r="M2707" s="9" t="s">
        <v>19</v>
      </c>
      <c r="N2707" s="9" t="s">
        <v>22</v>
      </c>
      <c r="O2707" s="6" t="str">
        <f>HYPERLINK("https://pbs.twimg.com/profile_images/988971255679324162/jrqiIYf__normal.jpg","View")</f>
        <v>View</v>
      </c>
      <c r="P2707" s="7"/>
    </row>
    <row r="2708" spans="1:16">
      <c r="A2708" s="3">
        <v>44413.127187499995</v>
      </c>
      <c r="B2708" s="4" t="str">
        <f>HYPERLINK("https://twitter.com/sergio_fajardo","@sergio_fajardo")</f>
        <v>@sergio_fajardo</v>
      </c>
      <c r="C2708" s="5" t="s">
        <v>16</v>
      </c>
      <c r="D2708" s="5" t="s">
        <v>2729</v>
      </c>
      <c r="E2708" s="6" t="str">
        <f>HYPERLINK("https://twitter.com/sergio_fajardo/status/1423034294700740610","1423034294700740610")</f>
        <v>1423034294700740610</v>
      </c>
      <c r="F2708" s="7" t="s">
        <v>23</v>
      </c>
      <c r="G2708" s="7">
        <v>1591621</v>
      </c>
      <c r="H2708" s="7">
        <v>503</v>
      </c>
      <c r="I2708" s="7">
        <v>14</v>
      </c>
      <c r="J2708" s="7">
        <v>83</v>
      </c>
      <c r="K2708" s="7" t="s">
        <v>18</v>
      </c>
      <c r="L2708" s="8">
        <v>39891.213356481479</v>
      </c>
      <c r="M2708" s="9" t="s">
        <v>19</v>
      </c>
      <c r="N2708" s="9" t="s">
        <v>22</v>
      </c>
      <c r="O2708" s="6" t="str">
        <f>HYPERLINK("https://pbs.twimg.com/profile_images/988971255679324162/jrqiIYf__normal.jpg","View")</f>
        <v>View</v>
      </c>
      <c r="P2708" s="7"/>
    </row>
    <row r="2709" spans="1:16">
      <c r="A2709" s="3">
        <v>44413.198703703703</v>
      </c>
      <c r="B2709" s="4" t="str">
        <f>HYPERLINK("https://twitter.com/sergio_fajardo","@sergio_fajardo")</f>
        <v>@sergio_fajardo</v>
      </c>
      <c r="C2709" s="5" t="s">
        <v>16</v>
      </c>
      <c r="D2709" s="5" t="s">
        <v>2730</v>
      </c>
      <c r="E2709" s="6" t="str">
        <f>HYPERLINK("https://twitter.com/sergio_fajardo/status/1423060212706070529","1423060212706070529")</f>
        <v>1423060212706070529</v>
      </c>
      <c r="F2709" s="7" t="s">
        <v>17</v>
      </c>
      <c r="G2709" s="7">
        <v>1591621</v>
      </c>
      <c r="H2709" s="7">
        <v>503</v>
      </c>
      <c r="I2709" s="7">
        <v>8</v>
      </c>
      <c r="J2709" s="7">
        <v>0</v>
      </c>
      <c r="K2709" s="7" t="s">
        <v>18</v>
      </c>
      <c r="L2709" s="8">
        <v>39891.213356481479</v>
      </c>
      <c r="M2709" s="9" t="s">
        <v>19</v>
      </c>
      <c r="N2709" s="9" t="s">
        <v>22</v>
      </c>
      <c r="O2709" s="6" t="str">
        <f>HYPERLINK("https://pbs.twimg.com/profile_images/988971255679324162/jrqiIYf__normal.jpg","View")</f>
        <v>View</v>
      </c>
      <c r="P2709" s="7"/>
    </row>
    <row r="2710" spans="1:16">
      <c r="A2710" s="3">
        <v>44413.252986111111</v>
      </c>
      <c r="B2710" s="4" t="str">
        <f>HYPERLINK("https://twitter.com/sergio_fajardo","@sergio_fajardo")</f>
        <v>@sergio_fajardo</v>
      </c>
      <c r="C2710" s="5" t="s">
        <v>16</v>
      </c>
      <c r="D2710" s="5" t="s">
        <v>2731</v>
      </c>
      <c r="E2710" s="6" t="str">
        <f>HYPERLINK("https://twitter.com/sergio_fajardo/status/1423079882221834240","1423079882221834240")</f>
        <v>1423079882221834240</v>
      </c>
      <c r="F2710" s="7" t="s">
        <v>17</v>
      </c>
      <c r="G2710" s="7">
        <v>1591631</v>
      </c>
      <c r="H2710" s="7">
        <v>503</v>
      </c>
      <c r="I2710" s="7">
        <v>6</v>
      </c>
      <c r="J2710" s="7">
        <v>27</v>
      </c>
      <c r="K2710" s="7" t="s">
        <v>18</v>
      </c>
      <c r="L2710" s="8">
        <v>39891.213356481479</v>
      </c>
      <c r="M2710" s="9" t="s">
        <v>19</v>
      </c>
      <c r="N2710" s="9" t="s">
        <v>22</v>
      </c>
      <c r="O2710" s="6" t="str">
        <f>HYPERLINK("https://pbs.twimg.com/profile_images/988971255679324162/jrqiIYf__normal.jpg","View")</f>
        <v>View</v>
      </c>
      <c r="P2710" s="7"/>
    </row>
    <row r="2711" spans="1:16">
      <c r="A2711" s="3">
        <v>44413.279872685191</v>
      </c>
      <c r="B2711" s="4" t="str">
        <f>HYPERLINK("https://twitter.com/sergio_fajardo","@sergio_fajardo")</f>
        <v>@sergio_fajardo</v>
      </c>
      <c r="C2711" s="5" t="s">
        <v>16</v>
      </c>
      <c r="D2711" s="5" t="s">
        <v>2732</v>
      </c>
      <c r="E2711" s="6" t="str">
        <f>HYPERLINK("https://twitter.com/sergio_fajardo/status/1423089629192916994","1423089629192916994")</f>
        <v>1423089629192916994</v>
      </c>
      <c r="F2711" s="7" t="s">
        <v>17</v>
      </c>
      <c r="G2711" s="7">
        <v>1591637</v>
      </c>
      <c r="H2711" s="7">
        <v>503</v>
      </c>
      <c r="I2711" s="7">
        <v>6</v>
      </c>
      <c r="J2711" s="7">
        <v>0</v>
      </c>
      <c r="K2711" s="7" t="s">
        <v>18</v>
      </c>
      <c r="L2711" s="8">
        <v>39891.213356481479</v>
      </c>
      <c r="M2711" s="9" t="s">
        <v>19</v>
      </c>
      <c r="N2711" s="9" t="s">
        <v>22</v>
      </c>
      <c r="O2711" s="6" t="str">
        <f>HYPERLINK("https://pbs.twimg.com/profile_images/988971255679324162/jrqiIYf__normal.jpg","View")</f>
        <v>View</v>
      </c>
      <c r="P2711" s="7"/>
    </row>
    <row r="2712" spans="1:16">
      <c r="A2712" s="3">
        <v>44413.805972222224</v>
      </c>
      <c r="B2712" s="4" t="str">
        <f>HYPERLINK("https://twitter.com/sergio_fajardo","@sergio_fajardo")</f>
        <v>@sergio_fajardo</v>
      </c>
      <c r="C2712" s="5" t="s">
        <v>16</v>
      </c>
      <c r="D2712" s="5" t="s">
        <v>2733</v>
      </c>
      <c r="E2712" s="6" t="str">
        <f>HYPERLINK("https://twitter.com/sergio_fajardo/status/1423280278416486413","1423280278416486413")</f>
        <v>1423280278416486413</v>
      </c>
      <c r="F2712" s="7" t="s">
        <v>17</v>
      </c>
      <c r="G2712" s="7">
        <v>1591593</v>
      </c>
      <c r="H2712" s="7">
        <v>503</v>
      </c>
      <c r="I2712" s="7">
        <v>17</v>
      </c>
      <c r="J2712" s="7">
        <v>0</v>
      </c>
      <c r="K2712" s="7" t="s">
        <v>18</v>
      </c>
      <c r="L2712" s="8">
        <v>39891.213356481479</v>
      </c>
      <c r="M2712" s="9" t="s">
        <v>19</v>
      </c>
      <c r="N2712" s="9" t="s">
        <v>22</v>
      </c>
      <c r="O2712" s="6" t="str">
        <f>HYPERLINK("https://pbs.twimg.com/profile_images/988971255679324162/jrqiIYf__normal.jpg","View")</f>
        <v>View</v>
      </c>
      <c r="P2712" s="7"/>
    </row>
    <row r="2713" spans="1:16">
      <c r="A2713" s="3">
        <v>44414.003622685181</v>
      </c>
      <c r="B2713" s="4" t="str">
        <f>HYPERLINK("https://twitter.com/sergio_fajardo","@sergio_fajardo")</f>
        <v>@sergio_fajardo</v>
      </c>
      <c r="C2713" s="5" t="s">
        <v>16</v>
      </c>
      <c r="D2713" s="5" t="s">
        <v>2734</v>
      </c>
      <c r="E2713" s="6" t="str">
        <f>HYPERLINK("https://twitter.com/sergio_fajardo/status/1423351906504695813","1423351906504695813")</f>
        <v>1423351906504695813</v>
      </c>
      <c r="F2713" s="7" t="s">
        <v>17</v>
      </c>
      <c r="G2713" s="7">
        <v>1591698</v>
      </c>
      <c r="H2713" s="7">
        <v>503</v>
      </c>
      <c r="I2713" s="7">
        <v>27</v>
      </c>
      <c r="J2713" s="7">
        <v>0</v>
      </c>
      <c r="K2713" s="7" t="s">
        <v>18</v>
      </c>
      <c r="L2713" s="8">
        <v>39891.213356481479</v>
      </c>
      <c r="M2713" s="9" t="s">
        <v>19</v>
      </c>
      <c r="N2713" s="9" t="s">
        <v>22</v>
      </c>
      <c r="O2713" s="6" t="str">
        <f>HYPERLINK("https://pbs.twimg.com/profile_images/988971255679324162/jrqiIYf__normal.jpg","View")</f>
        <v>View</v>
      </c>
      <c r="P2713" s="7"/>
    </row>
    <row r="2714" spans="1:16">
      <c r="A2714" s="3">
        <v>44414.222615740742</v>
      </c>
      <c r="B2714" s="4" t="str">
        <f>HYPERLINK("https://twitter.com/sergio_fajardo","@sergio_fajardo")</f>
        <v>@sergio_fajardo</v>
      </c>
      <c r="C2714" s="5" t="s">
        <v>16</v>
      </c>
      <c r="D2714" s="5" t="s">
        <v>2735</v>
      </c>
      <c r="E2714" s="6" t="str">
        <f>HYPERLINK("https://twitter.com/sergio_fajardo/status/1423431265647276037","1423431265647276037")</f>
        <v>1423431265647276037</v>
      </c>
      <c r="F2714" s="7" t="s">
        <v>17</v>
      </c>
      <c r="G2714" s="7">
        <v>1591721</v>
      </c>
      <c r="H2714" s="7">
        <v>503</v>
      </c>
      <c r="I2714" s="7">
        <v>81</v>
      </c>
      <c r="J2714" s="7">
        <v>367</v>
      </c>
      <c r="K2714" s="7" t="s">
        <v>18</v>
      </c>
      <c r="L2714" s="8">
        <v>39891.213356481479</v>
      </c>
      <c r="M2714" s="9" t="s">
        <v>19</v>
      </c>
      <c r="N2714" s="9" t="s">
        <v>22</v>
      </c>
      <c r="O2714" s="6" t="str">
        <f>HYPERLINK("https://pbs.twimg.com/profile_images/988971255679324162/jrqiIYf__normal.jpg","View")</f>
        <v>View</v>
      </c>
      <c r="P2714" s="7"/>
    </row>
    <row r="2715" spans="1:16">
      <c r="A2715" s="3">
        <v>44414.683807870373</v>
      </c>
      <c r="B2715" s="4" t="str">
        <f>HYPERLINK("https://twitter.com/sergio_fajardo","@sergio_fajardo")</f>
        <v>@sergio_fajardo</v>
      </c>
      <c r="C2715" s="5" t="s">
        <v>16</v>
      </c>
      <c r="D2715" s="5" t="s">
        <v>2736</v>
      </c>
      <c r="E2715" s="6" t="str">
        <f>HYPERLINK("https://twitter.com/sergio_fajardo/status/1423598394312888323","1423598394312888323")</f>
        <v>1423598394312888323</v>
      </c>
      <c r="F2715" s="7" t="s">
        <v>20</v>
      </c>
      <c r="G2715" s="7">
        <v>1591736</v>
      </c>
      <c r="H2715" s="7">
        <v>503</v>
      </c>
      <c r="I2715" s="7">
        <v>2</v>
      </c>
      <c r="J2715" s="7">
        <v>0</v>
      </c>
      <c r="K2715" s="7" t="s">
        <v>18</v>
      </c>
      <c r="L2715" s="8">
        <v>39891.213356481479</v>
      </c>
      <c r="M2715" s="9" t="s">
        <v>19</v>
      </c>
      <c r="N2715" s="9" t="s">
        <v>22</v>
      </c>
      <c r="O2715" s="6" t="str">
        <f>HYPERLINK("https://pbs.twimg.com/profile_images/988971255679324162/jrqiIYf__normal.jpg","View")</f>
        <v>View</v>
      </c>
      <c r="P2715" s="7"/>
    </row>
    <row r="2716" spans="1:16">
      <c r="A2716" s="3">
        <v>44415.01048611111</v>
      </c>
      <c r="B2716" s="4" t="str">
        <f>HYPERLINK("https://twitter.com/sergio_fajardo","@sergio_fajardo")</f>
        <v>@sergio_fajardo</v>
      </c>
      <c r="C2716" s="5" t="s">
        <v>16</v>
      </c>
      <c r="D2716" s="5" t="s">
        <v>2737</v>
      </c>
      <c r="E2716" s="6" t="str">
        <f>HYPERLINK("https://twitter.com/sergio_fajardo/status/1423716781521178625","1423716781521178625")</f>
        <v>1423716781521178625</v>
      </c>
      <c r="F2716" s="7" t="s">
        <v>17</v>
      </c>
      <c r="G2716" s="7">
        <v>1591759</v>
      </c>
      <c r="H2716" s="7">
        <v>503</v>
      </c>
      <c r="I2716" s="7">
        <v>2</v>
      </c>
      <c r="J2716" s="7">
        <v>16</v>
      </c>
      <c r="K2716" s="7" t="s">
        <v>18</v>
      </c>
      <c r="L2716" s="8">
        <v>39891.213356481479</v>
      </c>
      <c r="M2716" s="9" t="s">
        <v>19</v>
      </c>
      <c r="N2716" s="9" t="s">
        <v>22</v>
      </c>
      <c r="O2716" s="6" t="str">
        <f>HYPERLINK("https://pbs.twimg.com/profile_images/988971255679324162/jrqiIYf__normal.jpg","View")</f>
        <v>View</v>
      </c>
      <c r="P2716" s="7"/>
    </row>
    <row r="2717" spans="1:16">
      <c r="A2717" s="3">
        <v>44415.102488425924</v>
      </c>
      <c r="B2717" s="4" t="str">
        <f>HYPERLINK("https://twitter.com/sergio_fajardo","@sergio_fajardo")</f>
        <v>@sergio_fajardo</v>
      </c>
      <c r="C2717" s="5" t="s">
        <v>16</v>
      </c>
      <c r="D2717" s="5" t="s">
        <v>2738</v>
      </c>
      <c r="E2717" s="6" t="str">
        <f>HYPERLINK("https://twitter.com/sergio_fajardo/status/1423750122136088584","1423750122136088584")</f>
        <v>1423750122136088584</v>
      </c>
      <c r="F2717" s="7" t="s">
        <v>17</v>
      </c>
      <c r="G2717" s="7">
        <v>1591760</v>
      </c>
      <c r="H2717" s="7">
        <v>503</v>
      </c>
      <c r="I2717" s="7">
        <v>2</v>
      </c>
      <c r="J2717" s="7">
        <v>14</v>
      </c>
      <c r="K2717" s="7" t="s">
        <v>18</v>
      </c>
      <c r="L2717" s="8">
        <v>39891.213356481479</v>
      </c>
      <c r="M2717" s="9" t="s">
        <v>19</v>
      </c>
      <c r="N2717" s="9" t="s">
        <v>22</v>
      </c>
      <c r="O2717" s="6" t="str">
        <f>HYPERLINK("https://pbs.twimg.com/profile_images/988971255679324162/jrqiIYf__normal.jpg","View")</f>
        <v>View</v>
      </c>
      <c r="P2717" s="7"/>
    </row>
    <row r="2718" spans="1:16">
      <c r="A2718" s="3">
        <v>44415.102500000001</v>
      </c>
      <c r="B2718" s="4" t="str">
        <f>HYPERLINK("https://twitter.com/sergio_fajardo","@sergio_fajardo")</f>
        <v>@sergio_fajardo</v>
      </c>
      <c r="C2718" s="5" t="s">
        <v>16</v>
      </c>
      <c r="D2718" s="5" t="s">
        <v>2739</v>
      </c>
      <c r="E2718" s="6" t="str">
        <f>HYPERLINK("https://twitter.com/sergio_fajardo/status/1423750123595644934","1423750123595644934")</f>
        <v>1423750123595644934</v>
      </c>
      <c r="F2718" s="7" t="s">
        <v>17</v>
      </c>
      <c r="G2718" s="7">
        <v>1591760</v>
      </c>
      <c r="H2718" s="7">
        <v>503</v>
      </c>
      <c r="I2718" s="7">
        <v>1</v>
      </c>
      <c r="J2718" s="7">
        <v>18</v>
      </c>
      <c r="K2718" s="7" t="s">
        <v>18</v>
      </c>
      <c r="L2718" s="8">
        <v>39891.213356481479</v>
      </c>
      <c r="M2718" s="9" t="s">
        <v>19</v>
      </c>
      <c r="N2718" s="9" t="s">
        <v>22</v>
      </c>
      <c r="O2718" s="6" t="str">
        <f>HYPERLINK("https://pbs.twimg.com/profile_images/988971255679324162/jrqiIYf__normal.jpg","View")</f>
        <v>View</v>
      </c>
      <c r="P2718" s="7"/>
    </row>
    <row r="2719" spans="1:16">
      <c r="A2719" s="3">
        <v>44415.103217592594</v>
      </c>
      <c r="B2719" s="4" t="str">
        <f>HYPERLINK("https://twitter.com/sergio_fajardo","@sergio_fajardo")</f>
        <v>@sergio_fajardo</v>
      </c>
      <c r="C2719" s="5" t="s">
        <v>16</v>
      </c>
      <c r="D2719" s="5" t="s">
        <v>2740</v>
      </c>
      <c r="E2719" s="6" t="str">
        <f>HYPERLINK("https://twitter.com/sergio_fajardo/status/1423750385303498752","1423750385303498752")</f>
        <v>1423750385303498752</v>
      </c>
      <c r="F2719" s="7" t="s">
        <v>17</v>
      </c>
      <c r="G2719" s="7">
        <v>1591760</v>
      </c>
      <c r="H2719" s="7">
        <v>503</v>
      </c>
      <c r="I2719" s="7">
        <v>16</v>
      </c>
      <c r="J2719" s="7">
        <v>0</v>
      </c>
      <c r="K2719" s="7" t="s">
        <v>18</v>
      </c>
      <c r="L2719" s="8">
        <v>39891.213356481479</v>
      </c>
      <c r="M2719" s="9" t="s">
        <v>19</v>
      </c>
      <c r="N2719" s="9" t="s">
        <v>22</v>
      </c>
      <c r="O2719" s="6" t="str">
        <f>HYPERLINK("https://pbs.twimg.com/profile_images/988971255679324162/jrqiIYf__normal.jpg","View")</f>
        <v>View</v>
      </c>
      <c r="P2719" s="7"/>
    </row>
    <row r="2720" spans="1:16">
      <c r="A2720" s="3">
        <v>44415.128599537042</v>
      </c>
      <c r="B2720" s="4" t="str">
        <f>HYPERLINK("https://twitter.com/sergio_fajardo","@sergio_fajardo")</f>
        <v>@sergio_fajardo</v>
      </c>
      <c r="C2720" s="5" t="s">
        <v>16</v>
      </c>
      <c r="D2720" s="5" t="s">
        <v>2741</v>
      </c>
      <c r="E2720" s="6" t="str">
        <f>HYPERLINK("https://twitter.com/sergio_fajardo/status/1423759582187474947","1423759582187474947")</f>
        <v>1423759582187474947</v>
      </c>
      <c r="F2720" s="7" t="s">
        <v>17</v>
      </c>
      <c r="G2720" s="7">
        <v>1591756</v>
      </c>
      <c r="H2720" s="7">
        <v>503</v>
      </c>
      <c r="I2720" s="7">
        <v>2</v>
      </c>
      <c r="J2720" s="7">
        <v>7</v>
      </c>
      <c r="K2720" s="7" t="s">
        <v>18</v>
      </c>
      <c r="L2720" s="8">
        <v>39891.213356481479</v>
      </c>
      <c r="M2720" s="9" t="s">
        <v>19</v>
      </c>
      <c r="N2720" s="9" t="s">
        <v>22</v>
      </c>
      <c r="O2720" s="6" t="str">
        <f>HYPERLINK("https://pbs.twimg.com/profile_images/988971255679324162/jrqiIYf__normal.jpg","View")</f>
        <v>View</v>
      </c>
      <c r="P2720" s="7"/>
    </row>
    <row r="2721" spans="1:16">
      <c r="A2721" s="3">
        <v>44415.181180555555</v>
      </c>
      <c r="B2721" s="4" t="str">
        <f>HYPERLINK("https://twitter.com/sergio_fajardo","@sergio_fajardo")</f>
        <v>@sergio_fajardo</v>
      </c>
      <c r="C2721" s="5" t="s">
        <v>16</v>
      </c>
      <c r="D2721" s="5" t="s">
        <v>2742</v>
      </c>
      <c r="E2721" s="6" t="str">
        <f>HYPERLINK("https://twitter.com/sergio_fajardo/status/1423778637095055362","1423778637095055362")</f>
        <v>1423778637095055362</v>
      </c>
      <c r="F2721" s="7" t="s">
        <v>17</v>
      </c>
      <c r="G2721" s="7">
        <v>1591762</v>
      </c>
      <c r="H2721" s="7">
        <v>503</v>
      </c>
      <c r="I2721" s="7">
        <v>12</v>
      </c>
      <c r="J2721" s="7">
        <v>51</v>
      </c>
      <c r="K2721" s="7" t="s">
        <v>18</v>
      </c>
      <c r="L2721" s="8">
        <v>39891.213356481479</v>
      </c>
      <c r="M2721" s="9" t="s">
        <v>19</v>
      </c>
      <c r="N2721" s="9" t="s">
        <v>22</v>
      </c>
      <c r="O2721" s="6" t="str">
        <f>HYPERLINK("https://pbs.twimg.com/profile_images/988971255679324162/jrqiIYf__normal.jpg","View")</f>
        <v>View</v>
      </c>
      <c r="P2721" s="7"/>
    </row>
    <row r="2722" spans="1:16">
      <c r="A2722" s="3">
        <v>44415.196655092594</v>
      </c>
      <c r="B2722" s="4" t="str">
        <f>HYPERLINK("https://twitter.com/sergio_fajardo","@sergio_fajardo")</f>
        <v>@sergio_fajardo</v>
      </c>
      <c r="C2722" s="5" t="s">
        <v>16</v>
      </c>
      <c r="D2722" s="5" t="s">
        <v>2743</v>
      </c>
      <c r="E2722" s="6" t="str">
        <f>HYPERLINK("https://twitter.com/sergio_fajardo/status/1423784247916105735","1423784247916105735")</f>
        <v>1423784247916105735</v>
      </c>
      <c r="F2722" s="7" t="s">
        <v>17</v>
      </c>
      <c r="G2722" s="7">
        <v>1591762</v>
      </c>
      <c r="H2722" s="7">
        <v>503</v>
      </c>
      <c r="I2722" s="7">
        <v>5</v>
      </c>
      <c r="J2722" s="7">
        <v>17</v>
      </c>
      <c r="K2722" s="7" t="s">
        <v>18</v>
      </c>
      <c r="L2722" s="8">
        <v>39891.213356481479</v>
      </c>
      <c r="M2722" s="9" t="s">
        <v>19</v>
      </c>
      <c r="N2722" s="9" t="s">
        <v>22</v>
      </c>
      <c r="O2722" s="6" t="str">
        <f>HYPERLINK("https://pbs.twimg.com/profile_images/988971255679324162/jrqiIYf__normal.jpg","View")</f>
        <v>View</v>
      </c>
      <c r="P2722" s="7"/>
    </row>
    <row r="2723" spans="1:16">
      <c r="A2723" s="3">
        <v>44415.205057870371</v>
      </c>
      <c r="B2723" s="4" t="str">
        <f>HYPERLINK("https://twitter.com/sergio_fajardo","@sergio_fajardo")</f>
        <v>@sergio_fajardo</v>
      </c>
      <c r="C2723" s="5" t="s">
        <v>16</v>
      </c>
      <c r="D2723" s="5" t="s">
        <v>2744</v>
      </c>
      <c r="E2723" s="6" t="str">
        <f>HYPERLINK("https://twitter.com/sergio_fajardo/status/1423787292917960704","1423787292917960704")</f>
        <v>1423787292917960704</v>
      </c>
      <c r="F2723" s="7" t="s">
        <v>17</v>
      </c>
      <c r="G2723" s="7">
        <v>1591763</v>
      </c>
      <c r="H2723" s="7">
        <v>503</v>
      </c>
      <c r="I2723" s="7">
        <v>11</v>
      </c>
      <c r="J2723" s="7">
        <v>34</v>
      </c>
      <c r="K2723" s="7" t="s">
        <v>18</v>
      </c>
      <c r="L2723" s="8">
        <v>39891.213356481479</v>
      </c>
      <c r="M2723" s="9" t="s">
        <v>19</v>
      </c>
      <c r="N2723" s="9" t="s">
        <v>22</v>
      </c>
      <c r="O2723" s="6" t="str">
        <f>HYPERLINK("https://pbs.twimg.com/profile_images/988971255679324162/jrqiIYf__normal.jpg","View")</f>
        <v>View</v>
      </c>
      <c r="P2723" s="7"/>
    </row>
    <row r="2724" spans="1:16">
      <c r="A2724" s="3">
        <v>44415.206655092596</v>
      </c>
      <c r="B2724" s="4" t="str">
        <f>HYPERLINK("https://twitter.com/sergio_fajardo","@sergio_fajardo")</f>
        <v>@sergio_fajardo</v>
      </c>
      <c r="C2724" s="5" t="s">
        <v>16</v>
      </c>
      <c r="D2724" s="5" t="s">
        <v>2745</v>
      </c>
      <c r="E2724" s="6" t="str">
        <f>HYPERLINK("https://twitter.com/sergio_fajardo/status/1423787867940212740","1423787867940212740")</f>
        <v>1423787867940212740</v>
      </c>
      <c r="F2724" s="7" t="s">
        <v>17</v>
      </c>
      <c r="G2724" s="7">
        <v>1591763</v>
      </c>
      <c r="H2724" s="7">
        <v>503</v>
      </c>
      <c r="I2724" s="7">
        <v>12</v>
      </c>
      <c r="J2724" s="7">
        <v>50</v>
      </c>
      <c r="K2724" s="7" t="s">
        <v>18</v>
      </c>
      <c r="L2724" s="8">
        <v>39891.213356481479</v>
      </c>
      <c r="M2724" s="9" t="s">
        <v>19</v>
      </c>
      <c r="N2724" s="9" t="s">
        <v>22</v>
      </c>
      <c r="O2724" s="6" t="str">
        <f>HYPERLINK("https://pbs.twimg.com/profile_images/988971255679324162/jrqiIYf__normal.jpg","View")</f>
        <v>View</v>
      </c>
      <c r="P2724" s="7"/>
    </row>
    <row r="2725" spans="1:16">
      <c r="A2725" s="3">
        <v>44415.987291666665</v>
      </c>
      <c r="B2725" s="4" t="str">
        <f>HYPERLINK("https://twitter.com/sergio_fajardo","@sergio_fajardo")</f>
        <v>@sergio_fajardo</v>
      </c>
      <c r="C2725" s="5" t="s">
        <v>16</v>
      </c>
      <c r="D2725" s="5" t="s">
        <v>2746</v>
      </c>
      <c r="E2725" s="6" t="str">
        <f>HYPERLINK("https://twitter.com/sergio_fajardo/status/1424070764077240324","1424070764077240324")</f>
        <v>1424070764077240324</v>
      </c>
      <c r="F2725" s="7" t="s">
        <v>17</v>
      </c>
      <c r="G2725" s="7">
        <v>1591815</v>
      </c>
      <c r="H2725" s="7">
        <v>503</v>
      </c>
      <c r="I2725" s="7">
        <v>5</v>
      </c>
      <c r="J2725" s="7">
        <v>23</v>
      </c>
      <c r="K2725" s="7" t="s">
        <v>18</v>
      </c>
      <c r="L2725" s="8">
        <v>39891.213356481479</v>
      </c>
      <c r="M2725" s="9" t="s">
        <v>19</v>
      </c>
      <c r="N2725" s="9" t="s">
        <v>22</v>
      </c>
      <c r="O2725" s="6" t="str">
        <f>HYPERLINK("https://pbs.twimg.com/profile_images/988971255679324162/jrqiIYf__normal.jpg","View")</f>
        <v>View</v>
      </c>
      <c r="P2725" s="7"/>
    </row>
    <row r="2726" spans="1:16">
      <c r="A2726" s="3">
        <v>44416.972685185188</v>
      </c>
      <c r="B2726" s="4" t="str">
        <f>HYPERLINK("https://twitter.com/sergio_fajardo","@sergio_fajardo")</f>
        <v>@sergio_fajardo</v>
      </c>
      <c r="C2726" s="5" t="s">
        <v>16</v>
      </c>
      <c r="D2726" s="5" t="s">
        <v>2747</v>
      </c>
      <c r="E2726" s="6" t="str">
        <f>HYPERLINK("https://twitter.com/sergio_fajardo/status/1424427858299076608","1424427858299076608")</f>
        <v>1424427858299076608</v>
      </c>
      <c r="F2726" s="7" t="s">
        <v>17</v>
      </c>
      <c r="G2726" s="7">
        <v>1591878</v>
      </c>
      <c r="H2726" s="7">
        <v>503</v>
      </c>
      <c r="I2726" s="7">
        <v>21</v>
      </c>
      <c r="J2726" s="7">
        <v>157</v>
      </c>
      <c r="K2726" s="7" t="s">
        <v>18</v>
      </c>
      <c r="L2726" s="8">
        <v>39891.213356481479</v>
      </c>
      <c r="M2726" s="9" t="s">
        <v>19</v>
      </c>
      <c r="N2726" s="9" t="s">
        <v>22</v>
      </c>
      <c r="O2726" s="6" t="str">
        <f>HYPERLINK("https://pbs.twimg.com/profile_images/988971255679324162/jrqiIYf__normal.jpg","View")</f>
        <v>View</v>
      </c>
      <c r="P2726" s="7"/>
    </row>
    <row r="2727" spans="1:16">
      <c r="A2727" s="3">
        <v>44416.984317129631</v>
      </c>
      <c r="B2727" s="4" t="str">
        <f>HYPERLINK("https://twitter.com/sergio_fajardo","@sergio_fajardo")</f>
        <v>@sergio_fajardo</v>
      </c>
      <c r="C2727" s="5" t="s">
        <v>16</v>
      </c>
      <c r="D2727" s="5" t="s">
        <v>2748</v>
      </c>
      <c r="E2727" s="6" t="str">
        <f>HYPERLINK("https://twitter.com/sergio_fajardo/status/1424432074409267203","1424432074409267203")</f>
        <v>1424432074409267203</v>
      </c>
      <c r="F2727" s="7" t="s">
        <v>17</v>
      </c>
      <c r="G2727" s="7">
        <v>1591878</v>
      </c>
      <c r="H2727" s="7">
        <v>503</v>
      </c>
      <c r="I2727" s="7">
        <v>4</v>
      </c>
      <c r="J2727" s="7">
        <v>9</v>
      </c>
      <c r="K2727" s="7" t="s">
        <v>18</v>
      </c>
      <c r="L2727" s="8">
        <v>39891.213356481479</v>
      </c>
      <c r="M2727" s="9" t="s">
        <v>19</v>
      </c>
      <c r="N2727" s="9" t="s">
        <v>22</v>
      </c>
      <c r="O2727" s="6" t="str">
        <f>HYPERLINK("https://pbs.twimg.com/profile_images/988971255679324162/jrqiIYf__normal.jpg","View")</f>
        <v>View</v>
      </c>
      <c r="P2727" s="7"/>
    </row>
    <row r="2728" spans="1:16">
      <c r="A2728" s="3">
        <v>44417.199988425928</v>
      </c>
      <c r="B2728" s="4" t="str">
        <f>HYPERLINK("https://twitter.com/sergio_fajardo","@sergio_fajardo")</f>
        <v>@sergio_fajardo</v>
      </c>
      <c r="C2728" s="5" t="s">
        <v>16</v>
      </c>
      <c r="D2728" s="5" t="s">
        <v>2749</v>
      </c>
      <c r="E2728" s="6" t="str">
        <f>HYPERLINK("https://twitter.com/sergio_fajardo/status/1424510230528921605","1424510230528921605")</f>
        <v>1424510230528921605</v>
      </c>
      <c r="F2728" s="7" t="s">
        <v>17</v>
      </c>
      <c r="G2728" s="7">
        <v>1591880</v>
      </c>
      <c r="H2728" s="7">
        <v>503</v>
      </c>
      <c r="I2728" s="7">
        <v>90</v>
      </c>
      <c r="J2728" s="7">
        <v>0</v>
      </c>
      <c r="K2728" s="7" t="s">
        <v>18</v>
      </c>
      <c r="L2728" s="8">
        <v>39891.213356481479</v>
      </c>
      <c r="M2728" s="9" t="s">
        <v>19</v>
      </c>
      <c r="N2728" s="9" t="s">
        <v>22</v>
      </c>
      <c r="O2728" s="6" t="str">
        <f>HYPERLINK("https://pbs.twimg.com/profile_images/988971255679324162/jrqiIYf__normal.jpg","View")</f>
        <v>View</v>
      </c>
      <c r="P2728" s="7"/>
    </row>
    <row r="2729" spans="1:16">
      <c r="A2729" s="3">
        <v>44417.6402662037</v>
      </c>
      <c r="B2729" s="4" t="str">
        <f>HYPERLINK("https://twitter.com/sergio_fajardo","@sergio_fajardo")</f>
        <v>@sergio_fajardo</v>
      </c>
      <c r="C2729" s="5" t="s">
        <v>16</v>
      </c>
      <c r="D2729" s="5" t="s">
        <v>2750</v>
      </c>
      <c r="E2729" s="6" t="str">
        <f>HYPERLINK("https://twitter.com/sergio_fajardo/status/1424669779193905153","1424669779193905153")</f>
        <v>1424669779193905153</v>
      </c>
      <c r="F2729" s="7" t="s">
        <v>17</v>
      </c>
      <c r="G2729" s="7">
        <v>1591905</v>
      </c>
      <c r="H2729" s="7">
        <v>503</v>
      </c>
      <c r="I2729" s="7">
        <v>8</v>
      </c>
      <c r="J2729" s="7">
        <v>0</v>
      </c>
      <c r="K2729" s="7" t="s">
        <v>18</v>
      </c>
      <c r="L2729" s="8">
        <v>39891.213356481479</v>
      </c>
      <c r="M2729" s="9" t="s">
        <v>19</v>
      </c>
      <c r="N2729" s="9" t="s">
        <v>22</v>
      </c>
      <c r="O2729" s="6" t="str">
        <f>HYPERLINK("https://pbs.twimg.com/profile_images/988971255679324162/jrqiIYf__normal.jpg","View")</f>
        <v>View</v>
      </c>
      <c r="P2729" s="7"/>
    </row>
    <row r="2730" spans="1:16">
      <c r="A2730" s="3">
        <v>44417.940844907411</v>
      </c>
      <c r="B2730" s="4" t="str">
        <f>HYPERLINK("https://twitter.com/sergio_fajardo","@sergio_fajardo")</f>
        <v>@sergio_fajardo</v>
      </c>
      <c r="C2730" s="5" t="s">
        <v>16</v>
      </c>
      <c r="D2730" s="5" t="s">
        <v>2751</v>
      </c>
      <c r="E2730" s="6" t="str">
        <f>HYPERLINK("https://twitter.com/sergio_fajardo/status/1424778708058087424","1424778708058087424")</f>
        <v>1424778708058087424</v>
      </c>
      <c r="F2730" s="7" t="s">
        <v>17</v>
      </c>
      <c r="G2730" s="7">
        <v>1591918</v>
      </c>
      <c r="H2730" s="7">
        <v>506</v>
      </c>
      <c r="I2730" s="7">
        <v>13</v>
      </c>
      <c r="J2730" s="7">
        <v>234</v>
      </c>
      <c r="K2730" s="7" t="s">
        <v>18</v>
      </c>
      <c r="L2730" s="8">
        <v>39891.213356481479</v>
      </c>
      <c r="M2730" s="9" t="s">
        <v>19</v>
      </c>
      <c r="N2730" s="9" t="s">
        <v>22</v>
      </c>
      <c r="O2730" s="6" t="str">
        <f>HYPERLINK("https://pbs.twimg.com/profile_images/988971255679324162/jrqiIYf__normal.jpg","View")</f>
        <v>View</v>
      </c>
      <c r="P2730" s="7"/>
    </row>
    <row r="2731" spans="1:16">
      <c r="A2731" s="3">
        <v>44418.100578703699</v>
      </c>
      <c r="B2731" s="4" t="str">
        <f>HYPERLINK("https://twitter.com/sergio_fajardo","@sergio_fajardo")</f>
        <v>@sergio_fajardo</v>
      </c>
      <c r="C2731" s="5" t="s">
        <v>16</v>
      </c>
      <c r="D2731" s="5" t="s">
        <v>2752</v>
      </c>
      <c r="E2731" s="6" t="str">
        <f>HYPERLINK("https://twitter.com/sergio_fajardo/status/1424836591055409159","1424836591055409159")</f>
        <v>1424836591055409159</v>
      </c>
      <c r="F2731" s="7" t="s">
        <v>17</v>
      </c>
      <c r="G2731" s="7">
        <v>1591948</v>
      </c>
      <c r="H2731" s="7">
        <v>506</v>
      </c>
      <c r="I2731" s="7">
        <v>24</v>
      </c>
      <c r="J2731" s="7">
        <v>0</v>
      </c>
      <c r="K2731" s="7" t="s">
        <v>18</v>
      </c>
      <c r="L2731" s="8">
        <v>39891.213356481479</v>
      </c>
      <c r="M2731" s="9" t="s">
        <v>19</v>
      </c>
      <c r="N2731" s="9" t="s">
        <v>22</v>
      </c>
      <c r="O2731" s="6" t="str">
        <f>HYPERLINK("https://pbs.twimg.com/profile_images/988971255679324162/jrqiIYf__normal.jpg","View")</f>
        <v>View</v>
      </c>
      <c r="P2731" s="7"/>
    </row>
    <row r="2732" spans="1:16">
      <c r="A2732" s="3">
        <v>44418.802476851852</v>
      </c>
      <c r="B2732" s="4" t="str">
        <f>HYPERLINK("https://twitter.com/sergio_fajardo","@sergio_fajardo")</f>
        <v>@sergio_fajardo</v>
      </c>
      <c r="C2732" s="5" t="s">
        <v>16</v>
      </c>
      <c r="D2732" s="5" t="s">
        <v>2753</v>
      </c>
      <c r="E2732" s="6" t="str">
        <f>HYPERLINK("https://twitter.com/sergio_fajardo/status/1425090953816256517","1425090953816256517")</f>
        <v>1425090953816256517</v>
      </c>
      <c r="F2732" s="7" t="s">
        <v>23</v>
      </c>
      <c r="G2732" s="7">
        <v>1592002</v>
      </c>
      <c r="H2732" s="7">
        <v>506</v>
      </c>
      <c r="I2732" s="7">
        <v>12</v>
      </c>
      <c r="J2732" s="7">
        <v>68</v>
      </c>
      <c r="K2732" s="7" t="s">
        <v>18</v>
      </c>
      <c r="L2732" s="8">
        <v>39891.213356481479</v>
      </c>
      <c r="M2732" s="9" t="s">
        <v>19</v>
      </c>
      <c r="N2732" s="9" t="s">
        <v>22</v>
      </c>
      <c r="O2732" s="6" t="str">
        <f>HYPERLINK("https://pbs.twimg.com/profile_images/988971255679324162/jrqiIYf__normal.jpg","View")</f>
        <v>View</v>
      </c>
      <c r="P2732" s="7"/>
    </row>
    <row r="2733" spans="1:16">
      <c r="A2733" s="3">
        <v>44418.848877314813</v>
      </c>
      <c r="B2733" s="4" t="str">
        <f>HYPERLINK("https://twitter.com/sergio_fajardo","@sergio_fajardo")</f>
        <v>@sergio_fajardo</v>
      </c>
      <c r="C2733" s="5" t="s">
        <v>16</v>
      </c>
      <c r="D2733" s="5" t="s">
        <v>2754</v>
      </c>
      <c r="E2733" s="6" t="str">
        <f>HYPERLINK("https://twitter.com/sergio_fajardo/status/1425107768923525122","1425107768923525122")</f>
        <v>1425107768923525122</v>
      </c>
      <c r="F2733" s="7" t="s">
        <v>17</v>
      </c>
      <c r="G2733" s="7">
        <v>1592006</v>
      </c>
      <c r="H2733" s="7">
        <v>506</v>
      </c>
      <c r="I2733" s="7">
        <v>4308</v>
      </c>
      <c r="J2733" s="7">
        <v>0</v>
      </c>
      <c r="K2733" s="7" t="s">
        <v>18</v>
      </c>
      <c r="L2733" s="8">
        <v>39891.213356481479</v>
      </c>
      <c r="M2733" s="9" t="s">
        <v>19</v>
      </c>
      <c r="N2733" s="9" t="s">
        <v>22</v>
      </c>
      <c r="O2733" s="6" t="str">
        <f>HYPERLINK("https://pbs.twimg.com/profile_images/988971255679324162/jrqiIYf__normal.jpg","View")</f>
        <v>View</v>
      </c>
      <c r="P2733" s="7"/>
    </row>
    <row r="2734" spans="1:16">
      <c r="A2734" s="3">
        <v>44418.860127314816</v>
      </c>
      <c r="B2734" s="4" t="str">
        <f>HYPERLINK("https://twitter.com/sergio_fajardo","@sergio_fajardo")</f>
        <v>@sergio_fajardo</v>
      </c>
      <c r="C2734" s="5" t="s">
        <v>16</v>
      </c>
      <c r="D2734" s="5" t="s">
        <v>2755</v>
      </c>
      <c r="E2734" s="6" t="str">
        <f>HYPERLINK("https://twitter.com/sergio_fajardo/status/1425111845258600449","1425111845258600449")</f>
        <v>1425111845258600449</v>
      </c>
      <c r="F2734" s="7" t="s">
        <v>23</v>
      </c>
      <c r="G2734" s="7">
        <v>1592006</v>
      </c>
      <c r="H2734" s="7">
        <v>506</v>
      </c>
      <c r="I2734" s="7">
        <v>39</v>
      </c>
      <c r="J2734" s="7">
        <v>207</v>
      </c>
      <c r="K2734" s="7" t="s">
        <v>18</v>
      </c>
      <c r="L2734" s="8">
        <v>39891.213356481479</v>
      </c>
      <c r="M2734" s="9" t="s">
        <v>19</v>
      </c>
      <c r="N2734" s="9" t="s">
        <v>22</v>
      </c>
      <c r="O2734" s="6" t="str">
        <f>HYPERLINK("https://pbs.twimg.com/profile_images/988971255679324162/jrqiIYf__normal.jpg","View")</f>
        <v>View</v>
      </c>
      <c r="P2734" s="7"/>
    </row>
    <row r="2735" spans="1:16">
      <c r="A2735" s="3">
        <v>44419.196087962962</v>
      </c>
      <c r="B2735" s="4" t="str">
        <f>HYPERLINK("https://twitter.com/sergio_fajardo","@sergio_fajardo")</f>
        <v>@sergio_fajardo</v>
      </c>
      <c r="C2735" s="5" t="s">
        <v>16</v>
      </c>
      <c r="D2735" s="5" t="s">
        <v>2756</v>
      </c>
      <c r="E2735" s="6" t="str">
        <f>HYPERLINK("https://twitter.com/sergio_fajardo/status/1425233592540700672","1425233592540700672")</f>
        <v>1425233592540700672</v>
      </c>
      <c r="F2735" s="7" t="s">
        <v>17</v>
      </c>
      <c r="G2735" s="7">
        <v>1592069</v>
      </c>
      <c r="H2735" s="7">
        <v>506</v>
      </c>
      <c r="I2735" s="7">
        <v>21</v>
      </c>
      <c r="J2735" s="7">
        <v>53</v>
      </c>
      <c r="K2735" s="7" t="s">
        <v>18</v>
      </c>
      <c r="L2735" s="8">
        <v>39891.213356481479</v>
      </c>
      <c r="M2735" s="9" t="s">
        <v>19</v>
      </c>
      <c r="N2735" s="9" t="s">
        <v>22</v>
      </c>
      <c r="O2735" s="6" t="str">
        <f>HYPERLINK("https://pbs.twimg.com/profile_images/988971255679324162/jrqiIYf__normal.jpg","View")</f>
        <v>View</v>
      </c>
      <c r="P2735" s="7"/>
    </row>
    <row r="2736" spans="1:16">
      <c r="A2736" s="3">
        <v>44419.22519675926</v>
      </c>
      <c r="B2736" s="4" t="str">
        <f>HYPERLINK("https://twitter.com/sergio_fajardo","@sergio_fajardo")</f>
        <v>@sergio_fajardo</v>
      </c>
      <c r="C2736" s="5" t="s">
        <v>16</v>
      </c>
      <c r="D2736" s="5" t="s">
        <v>2757</v>
      </c>
      <c r="E2736" s="6" t="str">
        <f>HYPERLINK("https://twitter.com/sergio_fajardo/status/1425244142309883915","1425244142309883915")</f>
        <v>1425244142309883915</v>
      </c>
      <c r="F2736" s="7" t="s">
        <v>23</v>
      </c>
      <c r="G2736" s="7">
        <v>1592075</v>
      </c>
      <c r="H2736" s="7">
        <v>506</v>
      </c>
      <c r="I2736" s="7">
        <v>25</v>
      </c>
      <c r="J2736" s="7">
        <v>135</v>
      </c>
      <c r="K2736" s="7" t="s">
        <v>18</v>
      </c>
      <c r="L2736" s="8">
        <v>39891.213356481479</v>
      </c>
      <c r="M2736" s="9" t="s">
        <v>19</v>
      </c>
      <c r="N2736" s="9" t="s">
        <v>22</v>
      </c>
      <c r="O2736" s="6" t="str">
        <f>HYPERLINK("https://pbs.twimg.com/profile_images/988971255679324162/jrqiIYf__normal.jpg","View")</f>
        <v>View</v>
      </c>
      <c r="P2736" s="7"/>
    </row>
    <row r="2737" spans="1:16">
      <c r="A2737" s="3">
        <v>44419.253252314811</v>
      </c>
      <c r="B2737" s="4" t="str">
        <f>HYPERLINK("https://twitter.com/sergio_fajardo","@sergio_fajardo")</f>
        <v>@sergio_fajardo</v>
      </c>
      <c r="C2737" s="5" t="s">
        <v>16</v>
      </c>
      <c r="D2737" s="5" t="s">
        <v>2758</v>
      </c>
      <c r="E2737" s="6" t="str">
        <f>HYPERLINK("https://twitter.com/sergio_fajardo/status/1425254307713228806","1425254307713228806")</f>
        <v>1425254307713228806</v>
      </c>
      <c r="F2737" s="7" t="s">
        <v>17</v>
      </c>
      <c r="G2737" s="7">
        <v>1592082</v>
      </c>
      <c r="H2737" s="7">
        <v>506</v>
      </c>
      <c r="I2737" s="7">
        <v>6</v>
      </c>
      <c r="J2737" s="7">
        <v>66</v>
      </c>
      <c r="K2737" s="7" t="s">
        <v>18</v>
      </c>
      <c r="L2737" s="8">
        <v>39891.213356481479</v>
      </c>
      <c r="M2737" s="9" t="s">
        <v>19</v>
      </c>
      <c r="N2737" s="9" t="s">
        <v>22</v>
      </c>
      <c r="O2737" s="6" t="str">
        <f>HYPERLINK("https://pbs.twimg.com/profile_images/988971255679324162/jrqiIYf__normal.jpg","View")</f>
        <v>View</v>
      </c>
      <c r="P2737" s="7"/>
    </row>
    <row r="2738" spans="1:16">
      <c r="A2738" s="3">
        <v>44419.253252314811</v>
      </c>
      <c r="B2738" s="4" t="str">
        <f>HYPERLINK("https://twitter.com/sergio_fajardo","@sergio_fajardo")</f>
        <v>@sergio_fajardo</v>
      </c>
      <c r="C2738" s="5" t="s">
        <v>16</v>
      </c>
      <c r="D2738" s="5" t="s">
        <v>2759</v>
      </c>
      <c r="E2738" s="6" t="str">
        <f>HYPERLINK("https://twitter.com/sergio_fajardo/status/1425254308975726600","1425254308975726600")</f>
        <v>1425254308975726600</v>
      </c>
      <c r="F2738" s="7" t="s">
        <v>17</v>
      </c>
      <c r="G2738" s="7">
        <v>1592082</v>
      </c>
      <c r="H2738" s="7">
        <v>506</v>
      </c>
      <c r="I2738" s="7">
        <v>2</v>
      </c>
      <c r="J2738" s="7">
        <v>27</v>
      </c>
      <c r="K2738" s="7" t="s">
        <v>18</v>
      </c>
      <c r="L2738" s="8">
        <v>39891.213356481479</v>
      </c>
      <c r="M2738" s="9" t="s">
        <v>19</v>
      </c>
      <c r="N2738" s="9" t="s">
        <v>22</v>
      </c>
      <c r="O2738" s="6" t="str">
        <f>HYPERLINK("https://pbs.twimg.com/profile_images/988971255679324162/jrqiIYf__normal.jpg","View")</f>
        <v>View</v>
      </c>
      <c r="P2738" s="7"/>
    </row>
    <row r="2739" spans="1:16">
      <c r="A2739" s="3">
        <v>44419.747430555552</v>
      </c>
      <c r="B2739" s="4" t="str">
        <f>HYPERLINK("https://twitter.com/sergio_fajardo","@sergio_fajardo")</f>
        <v>@sergio_fajardo</v>
      </c>
      <c r="C2739" s="5" t="s">
        <v>16</v>
      </c>
      <c r="D2739" s="5" t="s">
        <v>2760</v>
      </c>
      <c r="E2739" s="6" t="str">
        <f>HYPERLINK("https://twitter.com/sergio_fajardo/status/1425433389696536583","1425433389696536583")</f>
        <v>1425433389696536583</v>
      </c>
      <c r="F2739" s="7" t="s">
        <v>23</v>
      </c>
      <c r="G2739" s="7">
        <v>1592129</v>
      </c>
      <c r="H2739" s="7">
        <v>506</v>
      </c>
      <c r="I2739" s="7">
        <v>20</v>
      </c>
      <c r="J2739" s="7">
        <v>78</v>
      </c>
      <c r="K2739" s="7" t="s">
        <v>18</v>
      </c>
      <c r="L2739" s="8">
        <v>39891.213356481479</v>
      </c>
      <c r="M2739" s="9" t="s">
        <v>19</v>
      </c>
      <c r="N2739" s="9" t="s">
        <v>22</v>
      </c>
      <c r="O2739" s="6" t="str">
        <f>HYPERLINK("https://pbs.twimg.com/profile_images/988971255679324162/jrqiIYf__normal.jpg","View")</f>
        <v>View</v>
      </c>
      <c r="P2739" s="7"/>
    </row>
    <row r="2740" spans="1:16">
      <c r="A2740" s="3">
        <v>44420.03260416667</v>
      </c>
      <c r="B2740" s="4" t="str">
        <f>HYPERLINK("https://twitter.com/sergio_fajardo","@sergio_fajardo")</f>
        <v>@sergio_fajardo</v>
      </c>
      <c r="C2740" s="5" t="s">
        <v>16</v>
      </c>
      <c r="D2740" s="5" t="s">
        <v>2761</v>
      </c>
      <c r="E2740" s="6" t="str">
        <f>HYPERLINK("https://twitter.com/sergio_fajardo/status/1425536734788571147","1425536734788571147")</f>
        <v>1425536734788571147</v>
      </c>
      <c r="F2740" s="7" t="s">
        <v>17</v>
      </c>
      <c r="G2740" s="7">
        <v>1592159</v>
      </c>
      <c r="H2740" s="7">
        <v>506</v>
      </c>
      <c r="I2740" s="7">
        <v>2</v>
      </c>
      <c r="J2740" s="7">
        <v>0</v>
      </c>
      <c r="K2740" s="7" t="s">
        <v>18</v>
      </c>
      <c r="L2740" s="8">
        <v>39891.213356481479</v>
      </c>
      <c r="M2740" s="9" t="s">
        <v>19</v>
      </c>
      <c r="N2740" s="9" t="s">
        <v>22</v>
      </c>
      <c r="O2740" s="6" t="str">
        <f>HYPERLINK("https://pbs.twimg.com/profile_images/988971255679324162/jrqiIYf__normal.jpg","View")</f>
        <v>View</v>
      </c>
      <c r="P2740" s="7"/>
    </row>
    <row r="2741" spans="1:16">
      <c r="A2741" s="3">
        <v>44420.129965277782</v>
      </c>
      <c r="B2741" s="4" t="str">
        <f>HYPERLINK("https://twitter.com/sergio_fajardo","@sergio_fajardo")</f>
        <v>@sergio_fajardo</v>
      </c>
      <c r="C2741" s="5" t="s">
        <v>16</v>
      </c>
      <c r="D2741" s="5" t="s">
        <v>2762</v>
      </c>
      <c r="E2741" s="6" t="str">
        <f>HYPERLINK("https://twitter.com/sergio_fajardo/status/1425572017747677187","1425572017747677187")</f>
        <v>1425572017747677187</v>
      </c>
      <c r="F2741" s="7" t="s">
        <v>17</v>
      </c>
      <c r="G2741" s="7">
        <v>1592173</v>
      </c>
      <c r="H2741" s="7">
        <v>506</v>
      </c>
      <c r="I2741" s="7">
        <v>35</v>
      </c>
      <c r="J2741" s="7">
        <v>117</v>
      </c>
      <c r="K2741" s="7" t="s">
        <v>18</v>
      </c>
      <c r="L2741" s="8">
        <v>39891.213356481479</v>
      </c>
      <c r="M2741" s="9" t="s">
        <v>19</v>
      </c>
      <c r="N2741" s="9" t="s">
        <v>22</v>
      </c>
      <c r="O2741" s="6" t="str">
        <f>HYPERLINK("https://pbs.twimg.com/profile_images/988971255679324162/jrqiIYf__normal.jpg","View")</f>
        <v>View</v>
      </c>
      <c r="P2741" s="7"/>
    </row>
    <row r="2742" spans="1:16">
      <c r="A2742" s="3">
        <v>44420.182812500003</v>
      </c>
      <c r="B2742" s="4" t="str">
        <f>HYPERLINK("https://twitter.com/sergio_fajardo","@sergio_fajardo")</f>
        <v>@sergio_fajardo</v>
      </c>
      <c r="C2742" s="5" t="s">
        <v>16</v>
      </c>
      <c r="D2742" s="5" t="s">
        <v>2763</v>
      </c>
      <c r="E2742" s="6" t="str">
        <f>HYPERLINK("https://twitter.com/sergio_fajardo/status/1425591169698996226","1425591169698996226")</f>
        <v>1425591169698996226</v>
      </c>
      <c r="F2742" s="7" t="s">
        <v>17</v>
      </c>
      <c r="G2742" s="7">
        <v>1592185</v>
      </c>
      <c r="H2742" s="7">
        <v>506</v>
      </c>
      <c r="I2742" s="7">
        <v>20</v>
      </c>
      <c r="J2742" s="7">
        <v>106</v>
      </c>
      <c r="K2742" s="7" t="s">
        <v>18</v>
      </c>
      <c r="L2742" s="8">
        <v>39891.213356481479</v>
      </c>
      <c r="M2742" s="9" t="s">
        <v>19</v>
      </c>
      <c r="N2742" s="9" t="s">
        <v>22</v>
      </c>
      <c r="O2742" s="6" t="str">
        <f>HYPERLINK("https://pbs.twimg.com/profile_images/988971255679324162/jrqiIYf__normal.jpg","View")</f>
        <v>View</v>
      </c>
      <c r="P2742" s="7"/>
    </row>
    <row r="2743" spans="1:16">
      <c r="A2743" s="3">
        <v>44420.838969907403</v>
      </c>
      <c r="B2743" s="4" t="str">
        <f>HYPERLINK("https://twitter.com/sergio_fajardo","@sergio_fajardo")</f>
        <v>@sergio_fajardo</v>
      </c>
      <c r="C2743" s="5" t="s">
        <v>16</v>
      </c>
      <c r="D2743" s="5" t="s">
        <v>2764</v>
      </c>
      <c r="E2743" s="6" t="str">
        <f>HYPERLINK("https://twitter.com/sergio_fajardo/status/1425828951268626433","1425828951268626433")</f>
        <v>1425828951268626433</v>
      </c>
      <c r="F2743" s="7" t="s">
        <v>20</v>
      </c>
      <c r="G2743" s="7">
        <v>1592190</v>
      </c>
      <c r="H2743" s="7">
        <v>506</v>
      </c>
      <c r="I2743" s="7">
        <v>5</v>
      </c>
      <c r="J2743" s="7">
        <v>0</v>
      </c>
      <c r="K2743" s="7" t="s">
        <v>18</v>
      </c>
      <c r="L2743" s="8">
        <v>39891.213356481479</v>
      </c>
      <c r="M2743" s="9" t="s">
        <v>19</v>
      </c>
      <c r="N2743" s="9" t="s">
        <v>22</v>
      </c>
      <c r="O2743" s="6" t="str">
        <f>HYPERLINK("https://pbs.twimg.com/profile_images/988971255679324162/jrqiIYf__normal.jpg","View")</f>
        <v>View</v>
      </c>
      <c r="P2743" s="7"/>
    </row>
    <row r="2744" spans="1:16">
      <c r="A2744" s="3">
        <v>44420.918703703705</v>
      </c>
      <c r="B2744" s="4" t="str">
        <f>HYPERLINK("https://twitter.com/sergio_fajardo","@sergio_fajardo")</f>
        <v>@sergio_fajardo</v>
      </c>
      <c r="C2744" s="5" t="s">
        <v>16</v>
      </c>
      <c r="D2744" s="5" t="s">
        <v>2765</v>
      </c>
      <c r="E2744" s="6" t="str">
        <f>HYPERLINK("https://twitter.com/sergio_fajardo/status/1425857845841571840","1425857845841571840")</f>
        <v>1425857845841571840</v>
      </c>
      <c r="F2744" s="7" t="s">
        <v>23</v>
      </c>
      <c r="G2744" s="7">
        <v>1592282</v>
      </c>
      <c r="H2744" s="7">
        <v>506</v>
      </c>
      <c r="I2744" s="7">
        <v>4</v>
      </c>
      <c r="J2744" s="7">
        <v>0</v>
      </c>
      <c r="K2744" s="7" t="s">
        <v>18</v>
      </c>
      <c r="L2744" s="8">
        <v>39891.213356481479</v>
      </c>
      <c r="M2744" s="9" t="s">
        <v>19</v>
      </c>
      <c r="N2744" s="9" t="s">
        <v>22</v>
      </c>
      <c r="O2744" s="6" t="str">
        <f>HYPERLINK("https://pbs.twimg.com/profile_images/988971255679324162/jrqiIYf__normal.jpg","View")</f>
        <v>View</v>
      </c>
      <c r="P2744" s="7"/>
    </row>
    <row r="2745" spans="1:16">
      <c r="A2745" s="3">
        <v>44420.921388888892</v>
      </c>
      <c r="B2745" s="4" t="str">
        <f>HYPERLINK("https://twitter.com/sergio_fajardo","@sergio_fajardo")</f>
        <v>@sergio_fajardo</v>
      </c>
      <c r="C2745" s="5" t="s">
        <v>16</v>
      </c>
      <c r="D2745" s="5" t="s">
        <v>2766</v>
      </c>
      <c r="E2745" s="6" t="str">
        <f>HYPERLINK("https://twitter.com/sergio_fajardo/status/1425858818152488961","1425858818152488961")</f>
        <v>1425858818152488961</v>
      </c>
      <c r="F2745" s="7" t="s">
        <v>23</v>
      </c>
      <c r="G2745" s="7">
        <v>1592282</v>
      </c>
      <c r="H2745" s="7">
        <v>506</v>
      </c>
      <c r="I2745" s="7">
        <v>4</v>
      </c>
      <c r="J2745" s="7">
        <v>0</v>
      </c>
      <c r="K2745" s="7" t="s">
        <v>18</v>
      </c>
      <c r="L2745" s="8">
        <v>39891.213356481479</v>
      </c>
      <c r="M2745" s="9" t="s">
        <v>19</v>
      </c>
      <c r="N2745" s="9" t="s">
        <v>22</v>
      </c>
      <c r="O2745" s="6" t="str">
        <f>HYPERLINK("https://pbs.twimg.com/profile_images/988971255679324162/jrqiIYf__normal.jpg","View")</f>
        <v>View</v>
      </c>
      <c r="P2745" s="7"/>
    </row>
    <row r="2746" spans="1:16">
      <c r="A2746" s="3">
        <v>44421.025752314818</v>
      </c>
      <c r="B2746" s="4" t="str">
        <f>HYPERLINK("https://twitter.com/sergio_fajardo","@sergio_fajardo")</f>
        <v>@sergio_fajardo</v>
      </c>
      <c r="C2746" s="5" t="s">
        <v>16</v>
      </c>
      <c r="D2746" s="5" t="s">
        <v>2767</v>
      </c>
      <c r="E2746" s="6" t="str">
        <f>HYPERLINK("https://twitter.com/sergio_fajardo/status/1425896639852597248","1425896639852597248")</f>
        <v>1425896639852597248</v>
      </c>
      <c r="F2746" s="7" t="s">
        <v>17</v>
      </c>
      <c r="G2746" s="7">
        <v>1592283</v>
      </c>
      <c r="H2746" s="7">
        <v>506</v>
      </c>
      <c r="I2746" s="7">
        <v>8</v>
      </c>
      <c r="J2746" s="7">
        <v>25</v>
      </c>
      <c r="K2746" s="7" t="s">
        <v>18</v>
      </c>
      <c r="L2746" s="8">
        <v>39891.213356481479</v>
      </c>
      <c r="M2746" s="9" t="s">
        <v>19</v>
      </c>
      <c r="N2746" s="9" t="s">
        <v>22</v>
      </c>
      <c r="O2746" s="6" t="str">
        <f>HYPERLINK("https://pbs.twimg.com/profile_images/988971255679324162/jrqiIYf__normal.jpg","View")</f>
        <v>View</v>
      </c>
      <c r="P2746" s="7"/>
    </row>
    <row r="2747" spans="1:16">
      <c r="A2747" s="3">
        <v>44421.044027777782</v>
      </c>
      <c r="B2747" s="4" t="str">
        <f>HYPERLINK("https://twitter.com/sergio_fajardo","@sergio_fajardo")</f>
        <v>@sergio_fajardo</v>
      </c>
      <c r="C2747" s="5" t="s">
        <v>16</v>
      </c>
      <c r="D2747" s="5" t="s">
        <v>2768</v>
      </c>
      <c r="E2747" s="6" t="str">
        <f>HYPERLINK("https://twitter.com/sergio_fajardo/status/1425903260695732230","1425903260695732230")</f>
        <v>1425903260695732230</v>
      </c>
      <c r="F2747" s="7" t="s">
        <v>17</v>
      </c>
      <c r="G2747" s="7">
        <v>1592278</v>
      </c>
      <c r="H2747" s="7">
        <v>506</v>
      </c>
      <c r="I2747" s="7">
        <v>10</v>
      </c>
      <c r="J2747" s="7">
        <v>31</v>
      </c>
      <c r="K2747" s="7" t="s">
        <v>18</v>
      </c>
      <c r="L2747" s="8">
        <v>39891.213356481479</v>
      </c>
      <c r="M2747" s="9" t="s">
        <v>19</v>
      </c>
      <c r="N2747" s="9" t="s">
        <v>22</v>
      </c>
      <c r="O2747" s="6" t="str">
        <f>HYPERLINK("https://pbs.twimg.com/profile_images/988971255679324162/jrqiIYf__normal.jpg","View")</f>
        <v>View</v>
      </c>
      <c r="P2747" s="7"/>
    </row>
    <row r="2748" spans="1:16">
      <c r="A2748" s="3">
        <v>44421.105914351851</v>
      </c>
      <c r="B2748" s="4" t="str">
        <f>HYPERLINK("https://twitter.com/sergio_fajardo","@sergio_fajardo")</f>
        <v>@sergio_fajardo</v>
      </c>
      <c r="C2748" s="5" t="s">
        <v>16</v>
      </c>
      <c r="D2748" s="5" t="s">
        <v>2769</v>
      </c>
      <c r="E2748" s="6" t="str">
        <f>HYPERLINK("https://twitter.com/sergio_fajardo/status/1425925689656631301","1425925689656631301")</f>
        <v>1425925689656631301</v>
      </c>
      <c r="F2748" s="7" t="s">
        <v>17</v>
      </c>
      <c r="G2748" s="7">
        <v>1592289</v>
      </c>
      <c r="H2748" s="7">
        <v>506</v>
      </c>
      <c r="I2748" s="7">
        <v>4</v>
      </c>
      <c r="J2748" s="7">
        <v>23</v>
      </c>
      <c r="K2748" s="7" t="s">
        <v>18</v>
      </c>
      <c r="L2748" s="8">
        <v>39891.213356481479</v>
      </c>
      <c r="M2748" s="9" t="s">
        <v>19</v>
      </c>
      <c r="N2748" s="9" t="s">
        <v>22</v>
      </c>
      <c r="O2748" s="6" t="str">
        <f>HYPERLINK("https://pbs.twimg.com/profile_images/988971255679324162/jrqiIYf__normal.jpg","View")</f>
        <v>View</v>
      </c>
      <c r="P2748" s="7"/>
    </row>
    <row r="2749" spans="1:16">
      <c r="A2749" s="3">
        <v>44421.178900462968</v>
      </c>
      <c r="B2749" s="4" t="str">
        <f>HYPERLINK("https://twitter.com/sergio_fajardo","@sergio_fajardo")</f>
        <v>@sergio_fajardo</v>
      </c>
      <c r="C2749" s="5" t="s">
        <v>16</v>
      </c>
      <c r="D2749" s="5" t="s">
        <v>2770</v>
      </c>
      <c r="E2749" s="6" t="str">
        <f>HYPERLINK("https://twitter.com/sergio_fajardo/status/1425952140346933251","1425952140346933251")</f>
        <v>1425952140346933251</v>
      </c>
      <c r="F2749" s="7" t="s">
        <v>23</v>
      </c>
      <c r="G2749" s="7">
        <v>1592299</v>
      </c>
      <c r="H2749" s="7">
        <v>506</v>
      </c>
      <c r="I2749" s="7">
        <v>10</v>
      </c>
      <c r="J2749" s="7">
        <v>40</v>
      </c>
      <c r="K2749" s="7" t="s">
        <v>18</v>
      </c>
      <c r="L2749" s="8">
        <v>39891.213356481479</v>
      </c>
      <c r="M2749" s="9" t="s">
        <v>19</v>
      </c>
      <c r="N2749" s="9" t="s">
        <v>22</v>
      </c>
      <c r="O2749" s="6" t="str">
        <f>HYPERLINK("https://pbs.twimg.com/profile_images/988971255679324162/jrqiIYf__normal.jpg","View")</f>
        <v>View</v>
      </c>
      <c r="P2749" s="7"/>
    </row>
    <row r="2750" spans="1:16">
      <c r="A2750" s="3">
        <v>44421.721770833334</v>
      </c>
      <c r="B2750" s="4" t="str">
        <f>HYPERLINK("https://twitter.com/sergio_fajardo","@sergio_fajardo")</f>
        <v>@sergio_fajardo</v>
      </c>
      <c r="C2750" s="5" t="s">
        <v>16</v>
      </c>
      <c r="D2750" s="5" t="s">
        <v>2771</v>
      </c>
      <c r="E2750" s="6" t="str">
        <f>HYPERLINK("https://twitter.com/sergio_fajardo/status/1426148869755256838","1426148869755256838")</f>
        <v>1426148869755256838</v>
      </c>
      <c r="F2750" s="7" t="s">
        <v>17</v>
      </c>
      <c r="G2750" s="7">
        <v>1592370</v>
      </c>
      <c r="H2750" s="7">
        <v>506</v>
      </c>
      <c r="I2750" s="7">
        <v>8</v>
      </c>
      <c r="J2750" s="7">
        <v>65</v>
      </c>
      <c r="K2750" s="7" t="s">
        <v>18</v>
      </c>
      <c r="L2750" s="8">
        <v>39891.213356481479</v>
      </c>
      <c r="M2750" s="9" t="s">
        <v>19</v>
      </c>
      <c r="N2750" s="9" t="s">
        <v>22</v>
      </c>
      <c r="O2750" s="6" t="str">
        <f>HYPERLINK("https://pbs.twimg.com/profile_images/988971255679324162/jrqiIYf__normal.jpg","View")</f>
        <v>View</v>
      </c>
      <c r="P2750" s="7"/>
    </row>
    <row r="2751" spans="1:16">
      <c r="A2751" s="3">
        <v>44421.863333333335</v>
      </c>
      <c r="B2751" s="4" t="str">
        <f>HYPERLINK("https://twitter.com/sergio_fajardo","@sergio_fajardo")</f>
        <v>@sergio_fajardo</v>
      </c>
      <c r="C2751" s="5" t="s">
        <v>16</v>
      </c>
      <c r="D2751" s="5" t="s">
        <v>2772</v>
      </c>
      <c r="E2751" s="6" t="str">
        <f>HYPERLINK("https://twitter.com/sergio_fajardo/status/1426200169972969472","1426200169972969472")</f>
        <v>1426200169972969472</v>
      </c>
      <c r="F2751" s="7" t="s">
        <v>17</v>
      </c>
      <c r="G2751" s="7">
        <v>1592421</v>
      </c>
      <c r="H2751" s="7">
        <v>508</v>
      </c>
      <c r="I2751" s="7">
        <v>24</v>
      </c>
      <c r="J2751" s="7">
        <v>75</v>
      </c>
      <c r="K2751" s="7" t="s">
        <v>18</v>
      </c>
      <c r="L2751" s="8">
        <v>39891.213356481479</v>
      </c>
      <c r="M2751" s="9" t="s">
        <v>19</v>
      </c>
      <c r="N2751" s="9" t="s">
        <v>22</v>
      </c>
      <c r="O2751" s="6" t="str">
        <f>HYPERLINK("https://pbs.twimg.com/profile_images/988971255679324162/jrqiIYf__normal.jpg","View")</f>
        <v>View</v>
      </c>
      <c r="P2751" s="7"/>
    </row>
    <row r="2752" spans="1:16">
      <c r="A2752" s="3">
        <v>44421.899375000001</v>
      </c>
      <c r="B2752" s="4" t="str">
        <f>HYPERLINK("https://twitter.com/sergio_fajardo","@sergio_fajardo")</f>
        <v>@sergio_fajardo</v>
      </c>
      <c r="C2752" s="5" t="s">
        <v>16</v>
      </c>
      <c r="D2752" s="5" t="s">
        <v>2773</v>
      </c>
      <c r="E2752" s="6" t="str">
        <f>HYPERLINK("https://twitter.com/sergio_fajardo/status/1426213232243613706","1426213232243613706")</f>
        <v>1426213232243613706</v>
      </c>
      <c r="F2752" s="7" t="s">
        <v>23</v>
      </c>
      <c r="G2752" s="7">
        <v>1592429</v>
      </c>
      <c r="H2752" s="7">
        <v>511</v>
      </c>
      <c r="I2752" s="7">
        <v>6</v>
      </c>
      <c r="J2752" s="7">
        <v>37</v>
      </c>
      <c r="K2752" s="7" t="s">
        <v>18</v>
      </c>
      <c r="L2752" s="8">
        <v>39891.213356481479</v>
      </c>
      <c r="M2752" s="9" t="s">
        <v>19</v>
      </c>
      <c r="N2752" s="9" t="s">
        <v>22</v>
      </c>
      <c r="O2752" s="6" t="str">
        <f>HYPERLINK("https://pbs.twimg.com/profile_images/988971255679324162/jrqiIYf__normal.jpg","View")</f>
        <v>View</v>
      </c>
      <c r="P2752" s="7"/>
    </row>
    <row r="2753" spans="1:16">
      <c r="A2753" s="3">
        <v>44422.069768518515</v>
      </c>
      <c r="B2753" s="4" t="str">
        <f>HYPERLINK("https://twitter.com/sergio_fajardo","@sergio_fajardo")</f>
        <v>@sergio_fajardo</v>
      </c>
      <c r="C2753" s="5" t="s">
        <v>16</v>
      </c>
      <c r="D2753" s="5" t="s">
        <v>2774</v>
      </c>
      <c r="E2753" s="6" t="str">
        <f>HYPERLINK("https://twitter.com/sergio_fajardo/status/1426274979268681732","1426274979268681732")</f>
        <v>1426274979268681732</v>
      </c>
      <c r="F2753" s="7" t="s">
        <v>17</v>
      </c>
      <c r="G2753" s="7">
        <v>1592461</v>
      </c>
      <c r="H2753" s="7">
        <v>511</v>
      </c>
      <c r="I2753" s="7">
        <v>9</v>
      </c>
      <c r="J2753" s="7">
        <v>0</v>
      </c>
      <c r="K2753" s="7" t="s">
        <v>18</v>
      </c>
      <c r="L2753" s="8">
        <v>39891.213356481479</v>
      </c>
      <c r="M2753" s="9" t="s">
        <v>19</v>
      </c>
      <c r="N2753" s="9" t="s">
        <v>22</v>
      </c>
      <c r="O2753" s="6" t="str">
        <f>HYPERLINK("https://pbs.twimg.com/profile_images/988971255679324162/jrqiIYf__normal.jpg","View")</f>
        <v>View</v>
      </c>
      <c r="P2753" s="7"/>
    </row>
    <row r="2754" spans="1:16">
      <c r="A2754" s="3">
        <v>44422.099594907406</v>
      </c>
      <c r="B2754" s="4" t="str">
        <f>HYPERLINK("https://twitter.com/sergio_fajardo","@sergio_fajardo")</f>
        <v>@sergio_fajardo</v>
      </c>
      <c r="C2754" s="5" t="s">
        <v>16</v>
      </c>
      <c r="D2754" s="5" t="s">
        <v>2775</v>
      </c>
      <c r="E2754" s="6" t="str">
        <f>HYPERLINK("https://twitter.com/sergio_fajardo/status/1426285786907951105","1426285786907951105")</f>
        <v>1426285786907951105</v>
      </c>
      <c r="F2754" s="7" t="s">
        <v>17</v>
      </c>
      <c r="G2754" s="7">
        <v>1592469</v>
      </c>
      <c r="H2754" s="7">
        <v>511</v>
      </c>
      <c r="I2754" s="7">
        <v>5938</v>
      </c>
      <c r="J2754" s="7">
        <v>0</v>
      </c>
      <c r="K2754" s="7" t="s">
        <v>18</v>
      </c>
      <c r="L2754" s="8">
        <v>39891.213356481479</v>
      </c>
      <c r="M2754" s="9" t="s">
        <v>19</v>
      </c>
      <c r="N2754" s="9" t="s">
        <v>22</v>
      </c>
      <c r="O2754" s="6" t="str">
        <f>HYPERLINK("https://pbs.twimg.com/profile_images/988971255679324162/jrqiIYf__normal.jpg","View")</f>
        <v>View</v>
      </c>
      <c r="P2754" s="7"/>
    </row>
    <row r="2755" spans="1:16">
      <c r="A2755" s="3">
        <v>44422.11755787037</v>
      </c>
      <c r="B2755" s="4" t="str">
        <f>HYPERLINK("https://twitter.com/sergio_fajardo","@sergio_fajardo")</f>
        <v>@sergio_fajardo</v>
      </c>
      <c r="C2755" s="5" t="s">
        <v>16</v>
      </c>
      <c r="D2755" s="5" t="s">
        <v>2776</v>
      </c>
      <c r="E2755" s="6" t="str">
        <f>HYPERLINK("https://twitter.com/sergio_fajardo/status/1426292297759604736","1426292297759604736")</f>
        <v>1426292297759604736</v>
      </c>
      <c r="F2755" s="7" t="s">
        <v>17</v>
      </c>
      <c r="G2755" s="7">
        <v>1592473</v>
      </c>
      <c r="H2755" s="7">
        <v>511</v>
      </c>
      <c r="I2755" s="7">
        <v>21</v>
      </c>
      <c r="J2755" s="7">
        <v>107</v>
      </c>
      <c r="K2755" s="7" t="s">
        <v>18</v>
      </c>
      <c r="L2755" s="8">
        <v>39891.213356481479</v>
      </c>
      <c r="M2755" s="9" t="s">
        <v>19</v>
      </c>
      <c r="N2755" s="9" t="s">
        <v>22</v>
      </c>
      <c r="O2755" s="6" t="str">
        <f>HYPERLINK("https://pbs.twimg.com/profile_images/988971255679324162/jrqiIYf__normal.jpg","View")</f>
        <v>View</v>
      </c>
      <c r="P2755" s="7"/>
    </row>
    <row r="2756" spans="1:16">
      <c r="A2756" s="3">
        <v>44422.168749999997</v>
      </c>
      <c r="B2756" s="4" t="str">
        <f>HYPERLINK("https://twitter.com/sergio_fajardo","@sergio_fajardo")</f>
        <v>@sergio_fajardo</v>
      </c>
      <c r="C2756" s="5" t="s">
        <v>16</v>
      </c>
      <c r="D2756" s="5" t="s">
        <v>2777</v>
      </c>
      <c r="E2756" s="6" t="str">
        <f>HYPERLINK("https://twitter.com/sergio_fajardo/status/1426310847509401606","1426310847509401606")</f>
        <v>1426310847509401606</v>
      </c>
      <c r="F2756" s="7" t="s">
        <v>23</v>
      </c>
      <c r="G2756" s="7">
        <v>1592476</v>
      </c>
      <c r="H2756" s="7">
        <v>511</v>
      </c>
      <c r="I2756" s="7">
        <v>7</v>
      </c>
      <c r="J2756" s="7">
        <v>20</v>
      </c>
      <c r="K2756" s="7" t="s">
        <v>18</v>
      </c>
      <c r="L2756" s="8">
        <v>39891.213356481479</v>
      </c>
      <c r="M2756" s="9" t="s">
        <v>19</v>
      </c>
      <c r="N2756" s="9" t="s">
        <v>22</v>
      </c>
      <c r="O2756" s="6" t="str">
        <f>HYPERLINK("https://pbs.twimg.com/profile_images/988971255679324162/jrqiIYf__normal.jpg","View")</f>
        <v>View</v>
      </c>
      <c r="P2756" s="7"/>
    </row>
    <row r="2757" spans="1:16">
      <c r="A2757" s="3">
        <v>44422.302546296298</v>
      </c>
      <c r="B2757" s="4" t="str">
        <f>HYPERLINK("https://twitter.com/sergio_fajardo","@sergio_fajardo")</f>
        <v>@sergio_fajardo</v>
      </c>
      <c r="C2757" s="5" t="s">
        <v>16</v>
      </c>
      <c r="D2757" s="5" t="s">
        <v>2778</v>
      </c>
      <c r="E2757" s="6" t="str">
        <f>HYPERLINK("https://twitter.com/sergio_fajardo/status/1426359335286886407","1426359335286886407")</f>
        <v>1426359335286886407</v>
      </c>
      <c r="F2757" s="7" t="s">
        <v>2329</v>
      </c>
      <c r="G2757" s="7">
        <v>1592479</v>
      </c>
      <c r="H2757" s="7">
        <v>511</v>
      </c>
      <c r="I2757" s="7">
        <v>1</v>
      </c>
      <c r="J2757" s="7">
        <v>10</v>
      </c>
      <c r="K2757" s="7" t="s">
        <v>18</v>
      </c>
      <c r="L2757" s="8">
        <v>39891.213356481479</v>
      </c>
      <c r="M2757" s="9" t="s">
        <v>19</v>
      </c>
      <c r="N2757" s="9" t="s">
        <v>22</v>
      </c>
      <c r="O2757" s="6" t="str">
        <f>HYPERLINK("https://pbs.twimg.com/profile_images/988971255679324162/jrqiIYf__normal.jpg","View")</f>
        <v>View</v>
      </c>
      <c r="P2757" s="7"/>
    </row>
    <row r="2758" spans="1:16">
      <c r="A2758" s="3">
        <v>44422.309027777781</v>
      </c>
      <c r="B2758" s="4" t="str">
        <f>HYPERLINK("https://twitter.com/sergio_fajardo","@sergio_fajardo")</f>
        <v>@sergio_fajardo</v>
      </c>
      <c r="C2758" s="5" t="s">
        <v>16</v>
      </c>
      <c r="D2758" s="5" t="s">
        <v>2779</v>
      </c>
      <c r="E2758" s="6" t="str">
        <f>HYPERLINK("https://twitter.com/sergio_fajardo/status/1426361684160090113","1426361684160090113")</f>
        <v>1426361684160090113</v>
      </c>
      <c r="F2758" s="7" t="s">
        <v>17</v>
      </c>
      <c r="G2758" s="7">
        <v>1592487</v>
      </c>
      <c r="H2758" s="7">
        <v>511</v>
      </c>
      <c r="I2758" s="7">
        <v>9</v>
      </c>
      <c r="J2758" s="7">
        <v>50</v>
      </c>
      <c r="K2758" s="7" t="s">
        <v>18</v>
      </c>
      <c r="L2758" s="8">
        <v>39891.213356481479</v>
      </c>
      <c r="M2758" s="9" t="s">
        <v>19</v>
      </c>
      <c r="N2758" s="9" t="s">
        <v>22</v>
      </c>
      <c r="O2758" s="6" t="str">
        <f>HYPERLINK("https://pbs.twimg.com/profile_images/988971255679324162/jrqiIYf__normal.jpg","View")</f>
        <v>View</v>
      </c>
      <c r="P2758" s="7"/>
    </row>
    <row r="2759" spans="1:16">
      <c r="A2759" s="3">
        <v>44422.77244212963</v>
      </c>
      <c r="B2759" s="4" t="str">
        <f>HYPERLINK("https://twitter.com/sergio_fajardo","@sergio_fajardo")</f>
        <v>@sergio_fajardo</v>
      </c>
      <c r="C2759" s="5" t="s">
        <v>16</v>
      </c>
      <c r="D2759" s="5" t="s">
        <v>2780</v>
      </c>
      <c r="E2759" s="6" t="str">
        <f>HYPERLINK("https://twitter.com/sergio_fajardo/status/1426529618824159232","1426529618824159232")</f>
        <v>1426529618824159232</v>
      </c>
      <c r="F2759" s="7" t="s">
        <v>23</v>
      </c>
      <c r="G2759" s="7">
        <v>1592526</v>
      </c>
      <c r="H2759" s="7">
        <v>511</v>
      </c>
      <c r="I2759" s="7">
        <v>8</v>
      </c>
      <c r="J2759" s="7">
        <v>29</v>
      </c>
      <c r="K2759" s="7" t="s">
        <v>18</v>
      </c>
      <c r="L2759" s="8">
        <v>39891.213356481479</v>
      </c>
      <c r="M2759" s="9" t="s">
        <v>19</v>
      </c>
      <c r="N2759" s="9" t="s">
        <v>22</v>
      </c>
      <c r="O2759" s="6" t="str">
        <f>HYPERLINK("https://pbs.twimg.com/profile_images/988971255679324162/jrqiIYf__normal.jpg","View")</f>
        <v>View</v>
      </c>
      <c r="P2759" s="7"/>
    </row>
    <row r="2760" spans="1:16">
      <c r="A2760" s="3">
        <v>44422.852592592593</v>
      </c>
      <c r="B2760" s="4" t="str">
        <f>HYPERLINK("https://twitter.com/sergio_fajardo","@sergio_fajardo")</f>
        <v>@sergio_fajardo</v>
      </c>
      <c r="C2760" s="5" t="s">
        <v>16</v>
      </c>
      <c r="D2760" s="5" t="s">
        <v>2781</v>
      </c>
      <c r="E2760" s="6" t="str">
        <f>HYPERLINK("https://twitter.com/sergio_fajardo/status/1426558666736558080","1426558666736558080")</f>
        <v>1426558666736558080</v>
      </c>
      <c r="F2760" s="7" t="s">
        <v>17</v>
      </c>
      <c r="G2760" s="7">
        <v>1592531</v>
      </c>
      <c r="H2760" s="7">
        <v>511</v>
      </c>
      <c r="I2760" s="7">
        <v>25</v>
      </c>
      <c r="J2760" s="7">
        <v>65</v>
      </c>
      <c r="K2760" s="7" t="s">
        <v>18</v>
      </c>
      <c r="L2760" s="8">
        <v>39891.213356481479</v>
      </c>
      <c r="M2760" s="9" t="s">
        <v>19</v>
      </c>
      <c r="N2760" s="9" t="s">
        <v>22</v>
      </c>
      <c r="O2760" s="6" t="str">
        <f>HYPERLINK("https://pbs.twimg.com/profile_images/988971255679324162/jrqiIYf__normal.jpg","View")</f>
        <v>View</v>
      </c>
      <c r="P2760" s="7"/>
    </row>
    <row r="2761" spans="1:16">
      <c r="A2761" s="3">
        <v>44422.856400462959</v>
      </c>
      <c r="B2761" s="4" t="str">
        <f>HYPERLINK("https://twitter.com/sergio_fajardo","@sergio_fajardo")</f>
        <v>@sergio_fajardo</v>
      </c>
      <c r="C2761" s="5" t="s">
        <v>16</v>
      </c>
      <c r="D2761" s="5" t="s">
        <v>2782</v>
      </c>
      <c r="E2761" s="6" t="str">
        <f>HYPERLINK("https://twitter.com/sergio_fajardo/status/1426560046670942212","1426560046670942212")</f>
        <v>1426560046670942212</v>
      </c>
      <c r="F2761" s="7" t="s">
        <v>17</v>
      </c>
      <c r="G2761" s="7">
        <v>1592531</v>
      </c>
      <c r="H2761" s="7">
        <v>511</v>
      </c>
      <c r="I2761" s="7">
        <v>0</v>
      </c>
      <c r="J2761" s="7">
        <v>0</v>
      </c>
      <c r="K2761" s="7" t="s">
        <v>18</v>
      </c>
      <c r="L2761" s="8">
        <v>39891.213356481479</v>
      </c>
      <c r="M2761" s="9" t="s">
        <v>19</v>
      </c>
      <c r="N2761" s="9" t="s">
        <v>22</v>
      </c>
      <c r="O2761" s="6" t="str">
        <f>HYPERLINK("https://pbs.twimg.com/profile_images/988971255679324162/jrqiIYf__normal.jpg","View")</f>
        <v>View</v>
      </c>
      <c r="P2761" s="7"/>
    </row>
    <row r="2762" spans="1:16">
      <c r="A2762" s="3">
        <v>44422.86310185185</v>
      </c>
      <c r="B2762" s="4" t="str">
        <f>HYPERLINK("https://twitter.com/sergio_fajardo","@sergio_fajardo")</f>
        <v>@sergio_fajardo</v>
      </c>
      <c r="C2762" s="5" t="s">
        <v>16</v>
      </c>
      <c r="D2762" s="5" t="s">
        <v>2783</v>
      </c>
      <c r="E2762" s="6" t="str">
        <f>HYPERLINK("https://twitter.com/sergio_fajardo/status/1426562472887169025","1426562472887169025")</f>
        <v>1426562472887169025</v>
      </c>
      <c r="F2762" s="7" t="s">
        <v>17</v>
      </c>
      <c r="G2762" s="7">
        <v>1592531</v>
      </c>
      <c r="H2762" s="7">
        <v>511</v>
      </c>
      <c r="I2762" s="7">
        <v>2</v>
      </c>
      <c r="J2762" s="7">
        <v>5</v>
      </c>
      <c r="K2762" s="7" t="s">
        <v>18</v>
      </c>
      <c r="L2762" s="8">
        <v>39891.213356481479</v>
      </c>
      <c r="M2762" s="9" t="s">
        <v>19</v>
      </c>
      <c r="N2762" s="9" t="s">
        <v>22</v>
      </c>
      <c r="O2762" s="6" t="str">
        <f>HYPERLINK("https://pbs.twimg.com/profile_images/988971255679324162/jrqiIYf__normal.jpg","View")</f>
        <v>View</v>
      </c>
      <c r="P2762" s="7"/>
    </row>
    <row r="2763" spans="1:16">
      <c r="A2763" s="3">
        <v>44422.971631944441</v>
      </c>
      <c r="B2763" s="4" t="str">
        <f>HYPERLINK("https://twitter.com/sergio_fajardo","@sergio_fajardo")</f>
        <v>@sergio_fajardo</v>
      </c>
      <c r="C2763" s="5" t="s">
        <v>16</v>
      </c>
      <c r="D2763" s="5" t="s">
        <v>2784</v>
      </c>
      <c r="E2763" s="6" t="str">
        <f>HYPERLINK("https://twitter.com/sergio_fajardo/status/1426601801802002442","1426601801802002442")</f>
        <v>1426601801802002442</v>
      </c>
      <c r="F2763" s="7" t="s">
        <v>17</v>
      </c>
      <c r="G2763" s="7">
        <v>1592551</v>
      </c>
      <c r="H2763" s="7">
        <v>511</v>
      </c>
      <c r="I2763" s="7">
        <v>6</v>
      </c>
      <c r="J2763" s="7">
        <v>48</v>
      </c>
      <c r="K2763" s="7" t="s">
        <v>18</v>
      </c>
      <c r="L2763" s="8">
        <v>39891.213356481479</v>
      </c>
      <c r="M2763" s="9" t="s">
        <v>19</v>
      </c>
      <c r="N2763" s="9" t="s">
        <v>22</v>
      </c>
      <c r="O2763" s="6" t="str">
        <f>HYPERLINK("https://pbs.twimg.com/profile_images/988971255679324162/jrqiIYf__normal.jpg","View")</f>
        <v>View</v>
      </c>
      <c r="P2763" s="7"/>
    </row>
    <row r="2764" spans="1:16">
      <c r="A2764" s="3">
        <v>44423.193784722222</v>
      </c>
      <c r="B2764" s="4" t="str">
        <f>HYPERLINK("https://twitter.com/sergio_fajardo","@sergio_fajardo")</f>
        <v>@sergio_fajardo</v>
      </c>
      <c r="C2764" s="5" t="s">
        <v>16</v>
      </c>
      <c r="D2764" s="5" t="s">
        <v>2785</v>
      </c>
      <c r="E2764" s="6" t="str">
        <f>HYPERLINK("https://twitter.com/sergio_fajardo/status/1426682309848219651","1426682309848219651")</f>
        <v>1426682309848219651</v>
      </c>
      <c r="F2764" s="7" t="s">
        <v>17</v>
      </c>
      <c r="G2764" s="7">
        <v>1592580</v>
      </c>
      <c r="H2764" s="7">
        <v>511</v>
      </c>
      <c r="I2764" s="7">
        <v>1</v>
      </c>
      <c r="J2764" s="7">
        <v>19</v>
      </c>
      <c r="K2764" s="7" t="s">
        <v>18</v>
      </c>
      <c r="L2764" s="8">
        <v>39891.213356481479</v>
      </c>
      <c r="M2764" s="9" t="s">
        <v>19</v>
      </c>
      <c r="N2764" s="9" t="s">
        <v>22</v>
      </c>
      <c r="O2764" s="6" t="str">
        <f>HYPERLINK("https://pbs.twimg.com/profile_images/988971255679324162/jrqiIYf__normal.jpg","View")</f>
        <v>View</v>
      </c>
      <c r="P2764" s="7"/>
    </row>
    <row r="2765" spans="1:16">
      <c r="A2765" s="3">
        <v>44423.198900462958</v>
      </c>
      <c r="B2765" s="4" t="str">
        <f>HYPERLINK("https://twitter.com/sergio_fajardo","@sergio_fajardo")</f>
        <v>@sergio_fajardo</v>
      </c>
      <c r="C2765" s="5" t="s">
        <v>16</v>
      </c>
      <c r="D2765" s="5" t="s">
        <v>2786</v>
      </c>
      <c r="E2765" s="6" t="str">
        <f>HYPERLINK("https://twitter.com/sergio_fajardo/status/1426684163776782336","1426684163776782336")</f>
        <v>1426684163776782336</v>
      </c>
      <c r="F2765" s="7" t="s">
        <v>17</v>
      </c>
      <c r="G2765" s="7">
        <v>1592580</v>
      </c>
      <c r="H2765" s="7">
        <v>511</v>
      </c>
      <c r="I2765" s="7">
        <v>0</v>
      </c>
      <c r="J2765" s="7">
        <v>0</v>
      </c>
      <c r="K2765" s="7" t="s">
        <v>18</v>
      </c>
      <c r="L2765" s="8">
        <v>39891.213356481479</v>
      </c>
      <c r="M2765" s="9" t="s">
        <v>19</v>
      </c>
      <c r="N2765" s="9" t="s">
        <v>22</v>
      </c>
      <c r="O2765" s="6" t="str">
        <f>HYPERLINK("https://pbs.twimg.com/profile_images/988971255679324162/jrqiIYf__normal.jpg","View")</f>
        <v>View</v>
      </c>
      <c r="P2765" s="7"/>
    </row>
    <row r="2766" spans="1:16">
      <c r="A2766" s="3">
        <v>44423.199097222227</v>
      </c>
      <c r="B2766" s="4" t="str">
        <f>HYPERLINK("https://twitter.com/sergio_fajardo","@sergio_fajardo")</f>
        <v>@sergio_fajardo</v>
      </c>
      <c r="C2766" s="5" t="s">
        <v>16</v>
      </c>
      <c r="D2766" s="5" t="s">
        <v>2787</v>
      </c>
      <c r="E2766" s="6" t="str">
        <f>HYPERLINK("https://twitter.com/sergio_fajardo/status/1426684232810778625","1426684232810778625")</f>
        <v>1426684232810778625</v>
      </c>
      <c r="F2766" s="7" t="s">
        <v>17</v>
      </c>
      <c r="G2766" s="7">
        <v>1592580</v>
      </c>
      <c r="H2766" s="7">
        <v>511</v>
      </c>
      <c r="I2766" s="7">
        <v>2</v>
      </c>
      <c r="J2766" s="7">
        <v>0</v>
      </c>
      <c r="K2766" s="7" t="s">
        <v>18</v>
      </c>
      <c r="L2766" s="8">
        <v>39891.213356481479</v>
      </c>
      <c r="M2766" s="9" t="s">
        <v>19</v>
      </c>
      <c r="N2766" s="9" t="s">
        <v>22</v>
      </c>
      <c r="O2766" s="6" t="str">
        <f>HYPERLINK("https://pbs.twimg.com/profile_images/988971255679324162/jrqiIYf__normal.jpg","View")</f>
        <v>View</v>
      </c>
      <c r="P2766" s="7"/>
    </row>
    <row r="2767" spans="1:16">
      <c r="A2767" s="3">
        <v>44423.199467592596</v>
      </c>
      <c r="B2767" s="4" t="str">
        <f>HYPERLINK("https://twitter.com/sergio_fajardo","@sergio_fajardo")</f>
        <v>@sergio_fajardo</v>
      </c>
      <c r="C2767" s="5" t="s">
        <v>16</v>
      </c>
      <c r="D2767" s="5" t="s">
        <v>2788</v>
      </c>
      <c r="E2767" s="6" t="str">
        <f>HYPERLINK("https://twitter.com/sergio_fajardo/status/1426684367338868738","1426684367338868738")</f>
        <v>1426684367338868738</v>
      </c>
      <c r="F2767" s="7" t="s">
        <v>17</v>
      </c>
      <c r="G2767" s="7">
        <v>1592580</v>
      </c>
      <c r="H2767" s="7">
        <v>511</v>
      </c>
      <c r="I2767" s="7">
        <v>0</v>
      </c>
      <c r="J2767" s="7">
        <v>0</v>
      </c>
      <c r="K2767" s="7" t="s">
        <v>18</v>
      </c>
      <c r="L2767" s="8">
        <v>39891.213356481479</v>
      </c>
      <c r="M2767" s="9" t="s">
        <v>19</v>
      </c>
      <c r="N2767" s="9" t="s">
        <v>22</v>
      </c>
      <c r="O2767" s="6" t="str">
        <f>HYPERLINK("https://pbs.twimg.com/profile_images/988971255679324162/jrqiIYf__normal.jpg","View")</f>
        <v>View</v>
      </c>
      <c r="P2767" s="7"/>
    </row>
    <row r="2768" spans="1:16">
      <c r="A2768" s="3">
        <v>44423.199826388889</v>
      </c>
      <c r="B2768" s="4" t="str">
        <f>HYPERLINK("https://twitter.com/sergio_fajardo","@sergio_fajardo")</f>
        <v>@sergio_fajardo</v>
      </c>
      <c r="C2768" s="5" t="s">
        <v>16</v>
      </c>
      <c r="D2768" s="5" t="s">
        <v>2789</v>
      </c>
      <c r="E2768" s="6" t="str">
        <f>HYPERLINK("https://twitter.com/sergio_fajardo/status/1426684498222145538","1426684498222145538")</f>
        <v>1426684498222145538</v>
      </c>
      <c r="F2768" s="7" t="s">
        <v>17</v>
      </c>
      <c r="G2768" s="7">
        <v>1592580</v>
      </c>
      <c r="H2768" s="7">
        <v>511</v>
      </c>
      <c r="I2768" s="7">
        <v>2</v>
      </c>
      <c r="J2768" s="7">
        <v>11</v>
      </c>
      <c r="K2768" s="7" t="s">
        <v>18</v>
      </c>
      <c r="L2768" s="8">
        <v>39891.213356481479</v>
      </c>
      <c r="M2768" s="9" t="s">
        <v>19</v>
      </c>
      <c r="N2768" s="9" t="s">
        <v>22</v>
      </c>
      <c r="O2768" s="6" t="str">
        <f>HYPERLINK("https://pbs.twimg.com/profile_images/988971255679324162/jrqiIYf__normal.jpg","View")</f>
        <v>View</v>
      </c>
      <c r="P2768" s="7"/>
    </row>
    <row r="2769" spans="1:16">
      <c r="A2769" s="3">
        <v>44423.199930555551</v>
      </c>
      <c r="B2769" s="4" t="str">
        <f>HYPERLINK("https://twitter.com/sergio_fajardo","@sergio_fajardo")</f>
        <v>@sergio_fajardo</v>
      </c>
      <c r="C2769" s="5" t="s">
        <v>16</v>
      </c>
      <c r="D2769" s="5" t="s">
        <v>2790</v>
      </c>
      <c r="E2769" s="6" t="str">
        <f>HYPERLINK("https://twitter.com/sergio_fajardo/status/1426684535689863174","1426684535689863174")</f>
        <v>1426684535689863174</v>
      </c>
      <c r="F2769" s="7" t="s">
        <v>17</v>
      </c>
      <c r="G2769" s="7">
        <v>1592580</v>
      </c>
      <c r="H2769" s="7">
        <v>511</v>
      </c>
      <c r="I2769" s="7">
        <v>7</v>
      </c>
      <c r="J2769" s="7">
        <v>0</v>
      </c>
      <c r="K2769" s="7" t="s">
        <v>18</v>
      </c>
      <c r="L2769" s="8">
        <v>39891.213356481479</v>
      </c>
      <c r="M2769" s="9" t="s">
        <v>19</v>
      </c>
      <c r="N2769" s="9" t="s">
        <v>22</v>
      </c>
      <c r="O2769" s="6" t="str">
        <f>HYPERLINK("https://pbs.twimg.com/profile_images/988971255679324162/jrqiIYf__normal.jpg","View")</f>
        <v>View</v>
      </c>
      <c r="P2769" s="7"/>
    </row>
    <row r="2770" spans="1:16">
      <c r="A2770" s="3">
        <v>44423.957870370374</v>
      </c>
      <c r="B2770" s="4" t="str">
        <f>HYPERLINK("https://twitter.com/sergio_fajardo","@sergio_fajardo")</f>
        <v>@sergio_fajardo</v>
      </c>
      <c r="C2770" s="5" t="s">
        <v>16</v>
      </c>
      <c r="D2770" s="5" t="s">
        <v>2791</v>
      </c>
      <c r="E2770" s="6" t="str">
        <f>HYPERLINK("https://twitter.com/sergio_fajardo/status/1426959204154286084","1426959204154286084")</f>
        <v>1426959204154286084</v>
      </c>
      <c r="F2770" s="7" t="s">
        <v>17</v>
      </c>
      <c r="G2770" s="7">
        <v>1592654</v>
      </c>
      <c r="H2770" s="7">
        <v>512</v>
      </c>
      <c r="I2770" s="7">
        <v>16</v>
      </c>
      <c r="J2770" s="7">
        <v>54</v>
      </c>
      <c r="K2770" s="7" t="s">
        <v>18</v>
      </c>
      <c r="L2770" s="8">
        <v>39891.213356481479</v>
      </c>
      <c r="M2770" s="9" t="s">
        <v>19</v>
      </c>
      <c r="N2770" s="9" t="s">
        <v>22</v>
      </c>
      <c r="O2770" s="6" t="str">
        <f>HYPERLINK("https://pbs.twimg.com/profile_images/988971255679324162/jrqiIYf__normal.jpg","View")</f>
        <v>View</v>
      </c>
      <c r="P2770" s="7"/>
    </row>
    <row r="2771" spans="1:16">
      <c r="A2771" s="3">
        <v>44424.340879629628</v>
      </c>
      <c r="B2771" s="4" t="str">
        <f>HYPERLINK("https://twitter.com/sergio_fajardo","@sergio_fajardo")</f>
        <v>@sergio_fajardo</v>
      </c>
      <c r="C2771" s="5" t="s">
        <v>16</v>
      </c>
      <c r="D2771" s="5" t="s">
        <v>2792</v>
      </c>
      <c r="E2771" s="6" t="str">
        <f>HYPERLINK("https://twitter.com/sergio_fajardo/status/1427098003052040193","1427098003052040193")</f>
        <v>1427098003052040193</v>
      </c>
      <c r="F2771" s="7" t="s">
        <v>17</v>
      </c>
      <c r="G2771" s="7">
        <v>1592697</v>
      </c>
      <c r="H2771" s="7">
        <v>512</v>
      </c>
      <c r="I2771" s="7">
        <v>35</v>
      </c>
      <c r="J2771" s="7">
        <v>0</v>
      </c>
      <c r="K2771" s="7" t="s">
        <v>18</v>
      </c>
      <c r="L2771" s="8">
        <v>39891.213356481479</v>
      </c>
      <c r="M2771" s="9" t="s">
        <v>19</v>
      </c>
      <c r="N2771" s="9" t="s">
        <v>22</v>
      </c>
      <c r="O2771" s="6" t="str">
        <f>HYPERLINK("https://pbs.twimg.com/profile_images/988971255679324162/jrqiIYf__normal.jpg","View")</f>
        <v>View</v>
      </c>
      <c r="P2771" s="7"/>
    </row>
    <row r="2772" spans="1:16">
      <c r="A2772" s="3">
        <v>44424.341585648144</v>
      </c>
      <c r="B2772" s="4" t="str">
        <f>HYPERLINK("https://twitter.com/sergio_fajardo","@sergio_fajardo")</f>
        <v>@sergio_fajardo</v>
      </c>
      <c r="C2772" s="5" t="s">
        <v>16</v>
      </c>
      <c r="D2772" s="5" t="s">
        <v>2793</v>
      </c>
      <c r="E2772" s="6" t="str">
        <f>HYPERLINK("https://twitter.com/sergio_fajardo/status/1427098256304230406","1427098256304230406")</f>
        <v>1427098256304230406</v>
      </c>
      <c r="F2772" s="7" t="s">
        <v>17</v>
      </c>
      <c r="G2772" s="7">
        <v>1592697</v>
      </c>
      <c r="H2772" s="7">
        <v>512</v>
      </c>
      <c r="I2772" s="7">
        <v>1</v>
      </c>
      <c r="J2772" s="7">
        <v>16</v>
      </c>
      <c r="K2772" s="7" t="s">
        <v>18</v>
      </c>
      <c r="L2772" s="8">
        <v>39891.213356481479</v>
      </c>
      <c r="M2772" s="9" t="s">
        <v>19</v>
      </c>
      <c r="N2772" s="9" t="s">
        <v>22</v>
      </c>
      <c r="O2772" s="6" t="str">
        <f>HYPERLINK("https://pbs.twimg.com/profile_images/988971255679324162/jrqiIYf__normal.jpg","View")</f>
        <v>View</v>
      </c>
      <c r="P2772" s="7"/>
    </row>
    <row r="2773" spans="1:16">
      <c r="A2773" s="3">
        <v>44425.247731481482</v>
      </c>
      <c r="B2773" s="4" t="str">
        <f>HYPERLINK("https://twitter.com/sergio_fajardo","@sergio_fajardo")</f>
        <v>@sergio_fajardo</v>
      </c>
      <c r="C2773" s="5" t="s">
        <v>16</v>
      </c>
      <c r="D2773" s="5" t="s">
        <v>2794</v>
      </c>
      <c r="E2773" s="6" t="str">
        <f>HYPERLINK("https://twitter.com/sergio_fajardo/status/1427426634592817155","1427426634592817155")</f>
        <v>1427426634592817155</v>
      </c>
      <c r="F2773" s="7" t="s">
        <v>20</v>
      </c>
      <c r="G2773" s="7">
        <v>1592793</v>
      </c>
      <c r="H2773" s="7">
        <v>513</v>
      </c>
      <c r="I2773" s="7">
        <v>34</v>
      </c>
      <c r="J2773" s="7">
        <v>198</v>
      </c>
      <c r="K2773" s="7" t="s">
        <v>18</v>
      </c>
      <c r="L2773" s="8">
        <v>39891.213356481479</v>
      </c>
      <c r="M2773" s="9" t="s">
        <v>19</v>
      </c>
      <c r="N2773" s="9" t="s">
        <v>22</v>
      </c>
      <c r="O2773" s="6" t="str">
        <f>HYPERLINK("https://pbs.twimg.com/profile_images/988971255679324162/jrqiIYf__normal.jpg","View")</f>
        <v>View</v>
      </c>
      <c r="P2773" s="7"/>
    </row>
    <row r="2774" spans="1:16">
      <c r="A2774" s="3">
        <v>44425.719606481478</v>
      </c>
      <c r="B2774" s="4" t="str">
        <f>HYPERLINK("https://twitter.com/sergio_fajardo","@sergio_fajardo")</f>
        <v>@sergio_fajardo</v>
      </c>
      <c r="C2774" s="5" t="s">
        <v>16</v>
      </c>
      <c r="D2774" s="5" t="s">
        <v>2795</v>
      </c>
      <c r="E2774" s="6" t="str">
        <f>HYPERLINK("https://twitter.com/sergio_fajardo/status/1427597636484440064","1427597636484440064")</f>
        <v>1427597636484440064</v>
      </c>
      <c r="F2774" s="7" t="s">
        <v>17</v>
      </c>
      <c r="G2774" s="7">
        <v>1592825</v>
      </c>
      <c r="H2774" s="7">
        <v>513</v>
      </c>
      <c r="I2774" s="7">
        <v>2</v>
      </c>
      <c r="J2774" s="7">
        <v>4</v>
      </c>
      <c r="K2774" s="7" t="s">
        <v>18</v>
      </c>
      <c r="L2774" s="8">
        <v>39891.213356481479</v>
      </c>
      <c r="M2774" s="9" t="s">
        <v>19</v>
      </c>
      <c r="N2774" s="9" t="s">
        <v>22</v>
      </c>
      <c r="O2774" s="6" t="str">
        <f>HYPERLINK("https://pbs.twimg.com/profile_images/988971255679324162/jrqiIYf__normal.jpg","View")</f>
        <v>View</v>
      </c>
      <c r="P2774" s="7"/>
    </row>
    <row r="2775" spans="1:16">
      <c r="A2775" s="3">
        <v>44426.859050925923</v>
      </c>
      <c r="B2775" s="4" t="str">
        <f>HYPERLINK("https://twitter.com/sergio_fajardo","@sergio_fajardo")</f>
        <v>@sergio_fajardo</v>
      </c>
      <c r="C2775" s="5" t="s">
        <v>16</v>
      </c>
      <c r="D2775" s="5" t="s">
        <v>2796</v>
      </c>
      <c r="E2775" s="6" t="str">
        <f>HYPERLINK("https://twitter.com/sergio_fajardo/status/1428010554929684489","1428010554929684489")</f>
        <v>1428010554929684489</v>
      </c>
      <c r="F2775" s="7" t="s">
        <v>17</v>
      </c>
      <c r="G2775" s="7">
        <v>1592889</v>
      </c>
      <c r="H2775" s="7">
        <v>513</v>
      </c>
      <c r="I2775" s="7">
        <v>211</v>
      </c>
      <c r="J2775" s="7">
        <v>0</v>
      </c>
      <c r="K2775" s="7" t="s">
        <v>18</v>
      </c>
      <c r="L2775" s="8">
        <v>39891.213356481479</v>
      </c>
      <c r="M2775" s="9" t="s">
        <v>19</v>
      </c>
      <c r="N2775" s="9" t="s">
        <v>22</v>
      </c>
      <c r="O2775" s="6" t="str">
        <f>HYPERLINK("https://pbs.twimg.com/profile_images/988971255679324162/jrqiIYf__normal.jpg","View")</f>
        <v>View</v>
      </c>
      <c r="P2775" s="7"/>
    </row>
    <row r="2776" spans="1:16">
      <c r="A2776" s="3">
        <v>44426.932939814811</v>
      </c>
      <c r="B2776" s="4" t="str">
        <f>HYPERLINK("https://twitter.com/sergio_fajardo","@sergio_fajardo")</f>
        <v>@sergio_fajardo</v>
      </c>
      <c r="C2776" s="5" t="s">
        <v>16</v>
      </c>
      <c r="D2776" s="5" t="s">
        <v>2797</v>
      </c>
      <c r="E2776" s="6" t="str">
        <f>HYPERLINK("https://twitter.com/sergio_fajardo/status/1428037334986104835","1428037334986104835")</f>
        <v>1428037334986104835</v>
      </c>
      <c r="F2776" s="7" t="s">
        <v>17</v>
      </c>
      <c r="G2776" s="7">
        <v>1592892</v>
      </c>
      <c r="H2776" s="7">
        <v>513</v>
      </c>
      <c r="I2776" s="7">
        <v>15</v>
      </c>
      <c r="J2776" s="7">
        <v>38</v>
      </c>
      <c r="K2776" s="7" t="s">
        <v>18</v>
      </c>
      <c r="L2776" s="8">
        <v>39891.213356481479</v>
      </c>
      <c r="M2776" s="9" t="s">
        <v>19</v>
      </c>
      <c r="N2776" s="9" t="s">
        <v>22</v>
      </c>
      <c r="O2776" s="6" t="str">
        <f>HYPERLINK("https://pbs.twimg.com/profile_images/988971255679324162/jrqiIYf__normal.jpg","View")</f>
        <v>View</v>
      </c>
      <c r="P2776" s="7"/>
    </row>
    <row r="2777" spans="1:16">
      <c r="A2777" s="3">
        <v>44426.96256944444</v>
      </c>
      <c r="B2777" s="4" t="str">
        <f>HYPERLINK("https://twitter.com/sergio_fajardo","@sergio_fajardo")</f>
        <v>@sergio_fajardo</v>
      </c>
      <c r="C2777" s="5" t="s">
        <v>16</v>
      </c>
      <c r="D2777" s="5" t="s">
        <v>2798</v>
      </c>
      <c r="E2777" s="6" t="str">
        <f>HYPERLINK("https://twitter.com/sergio_fajardo/status/1428048068839104519","1428048068839104519")</f>
        <v>1428048068839104519</v>
      </c>
      <c r="F2777" s="7" t="s">
        <v>17</v>
      </c>
      <c r="G2777" s="7">
        <v>1592897</v>
      </c>
      <c r="H2777" s="7">
        <v>513</v>
      </c>
      <c r="I2777" s="7">
        <v>3</v>
      </c>
      <c r="J2777" s="7">
        <v>27</v>
      </c>
      <c r="K2777" s="7" t="s">
        <v>18</v>
      </c>
      <c r="L2777" s="8">
        <v>39891.213356481479</v>
      </c>
      <c r="M2777" s="9" t="s">
        <v>19</v>
      </c>
      <c r="N2777" s="9" t="s">
        <v>22</v>
      </c>
      <c r="O2777" s="6" t="str">
        <f>HYPERLINK("https://pbs.twimg.com/profile_images/988971255679324162/jrqiIYf__normal.jpg","View")</f>
        <v>View</v>
      </c>
      <c r="P2777" s="7"/>
    </row>
    <row r="2778" spans="1:16">
      <c r="A2778" s="3">
        <v>44427.143692129626</v>
      </c>
      <c r="B2778" s="4" t="str">
        <f>HYPERLINK("https://twitter.com/sergio_fajardo","@sergio_fajardo")</f>
        <v>@sergio_fajardo</v>
      </c>
      <c r="C2778" s="5" t="s">
        <v>16</v>
      </c>
      <c r="D2778" s="5" t="s">
        <v>2799</v>
      </c>
      <c r="E2778" s="6" t="str">
        <f>HYPERLINK("https://twitter.com/sergio_fajardo/status/1428113708270637057","1428113708270637057")</f>
        <v>1428113708270637057</v>
      </c>
      <c r="F2778" s="7" t="s">
        <v>20</v>
      </c>
      <c r="G2778" s="7">
        <v>1592922</v>
      </c>
      <c r="H2778" s="7">
        <v>513</v>
      </c>
      <c r="I2778" s="7">
        <v>49</v>
      </c>
      <c r="J2778" s="7">
        <v>0</v>
      </c>
      <c r="K2778" s="7" t="s">
        <v>18</v>
      </c>
      <c r="L2778" s="8">
        <v>39891.213356481479</v>
      </c>
      <c r="M2778" s="9" t="s">
        <v>19</v>
      </c>
      <c r="N2778" s="9" t="s">
        <v>22</v>
      </c>
      <c r="O2778" s="6" t="str">
        <f>HYPERLINK("https://pbs.twimg.com/profile_images/988971255679324162/jrqiIYf__normal.jpg","View")</f>
        <v>View</v>
      </c>
      <c r="P2778" s="7"/>
    </row>
    <row r="2779" spans="1:16">
      <c r="A2779" s="3">
        <v>44427.194490740745</v>
      </c>
      <c r="B2779" s="4" t="str">
        <f>HYPERLINK("https://twitter.com/sergio_fajardo","@sergio_fajardo")</f>
        <v>@sergio_fajardo</v>
      </c>
      <c r="C2779" s="5" t="s">
        <v>16</v>
      </c>
      <c r="D2779" s="5" t="s">
        <v>2800</v>
      </c>
      <c r="E2779" s="6" t="str">
        <f>HYPERLINK("https://twitter.com/sergio_fajardo/status/1428132114801827840","1428132114801827840")</f>
        <v>1428132114801827840</v>
      </c>
      <c r="F2779" s="7" t="s">
        <v>17</v>
      </c>
      <c r="G2779" s="7">
        <v>1592925</v>
      </c>
      <c r="H2779" s="7">
        <v>513</v>
      </c>
      <c r="I2779" s="7">
        <v>6</v>
      </c>
      <c r="J2779" s="7">
        <v>21</v>
      </c>
      <c r="K2779" s="7" t="s">
        <v>18</v>
      </c>
      <c r="L2779" s="8">
        <v>39891.213356481479</v>
      </c>
      <c r="M2779" s="9" t="s">
        <v>19</v>
      </c>
      <c r="N2779" s="9" t="s">
        <v>22</v>
      </c>
      <c r="O2779" s="6" t="str">
        <f>HYPERLINK("https://pbs.twimg.com/profile_images/988971255679324162/jrqiIYf__normal.jpg","View")</f>
        <v>View</v>
      </c>
      <c r="P2779" s="7"/>
    </row>
    <row r="2780" spans="1:16">
      <c r="A2780" s="3">
        <v>44427.204097222224</v>
      </c>
      <c r="B2780" s="4" t="str">
        <f>HYPERLINK("https://twitter.com/sergio_fajardo","@sergio_fajardo")</f>
        <v>@sergio_fajardo</v>
      </c>
      <c r="C2780" s="5" t="s">
        <v>16</v>
      </c>
      <c r="D2780" s="5" t="s">
        <v>2801</v>
      </c>
      <c r="E2780" s="6" t="str">
        <f>HYPERLINK("https://twitter.com/sergio_fajardo/status/1428135596476837889","1428135596476837889")</f>
        <v>1428135596476837889</v>
      </c>
      <c r="F2780" s="7" t="s">
        <v>17</v>
      </c>
      <c r="G2780" s="7">
        <v>1592930</v>
      </c>
      <c r="H2780" s="7">
        <v>513</v>
      </c>
      <c r="I2780" s="7">
        <v>51</v>
      </c>
      <c r="J2780" s="7">
        <v>318</v>
      </c>
      <c r="K2780" s="7" t="s">
        <v>18</v>
      </c>
      <c r="L2780" s="8">
        <v>39891.213356481479</v>
      </c>
      <c r="M2780" s="9" t="s">
        <v>19</v>
      </c>
      <c r="N2780" s="9" t="s">
        <v>22</v>
      </c>
      <c r="O2780" s="6" t="str">
        <f>HYPERLINK("https://pbs.twimg.com/profile_images/988971255679324162/jrqiIYf__normal.jpg","View")</f>
        <v>View</v>
      </c>
      <c r="P2780" s="7"/>
    </row>
    <row r="2781" spans="1:16">
      <c r="A2781" s="3">
        <v>44427.292129629626</v>
      </c>
      <c r="B2781" s="4" t="str">
        <f>HYPERLINK("https://twitter.com/sergio_fajardo","@sergio_fajardo")</f>
        <v>@sergio_fajardo</v>
      </c>
      <c r="C2781" s="5" t="s">
        <v>16</v>
      </c>
      <c r="D2781" s="5" t="s">
        <v>2802</v>
      </c>
      <c r="E2781" s="6" t="str">
        <f>HYPERLINK("https://twitter.com/sergio_fajardo/status/1428167499674230795","1428167499674230795")</f>
        <v>1428167499674230795</v>
      </c>
      <c r="F2781" s="7" t="s">
        <v>17</v>
      </c>
      <c r="G2781" s="7">
        <v>1592941</v>
      </c>
      <c r="H2781" s="7">
        <v>514</v>
      </c>
      <c r="I2781" s="7">
        <v>3</v>
      </c>
      <c r="J2781" s="7">
        <v>0</v>
      </c>
      <c r="K2781" s="7" t="s">
        <v>18</v>
      </c>
      <c r="L2781" s="8">
        <v>39891.213356481479</v>
      </c>
      <c r="M2781" s="9" t="s">
        <v>19</v>
      </c>
      <c r="N2781" s="9" t="s">
        <v>22</v>
      </c>
      <c r="O2781" s="6" t="str">
        <f>HYPERLINK("https://pbs.twimg.com/profile_images/988971255679324162/jrqiIYf__normal.jpg","View")</f>
        <v>View</v>
      </c>
      <c r="P2781" s="7"/>
    </row>
    <row r="2782" spans="1:16">
      <c r="A2782" s="3">
        <v>44427.798611111109</v>
      </c>
      <c r="B2782" s="4" t="str">
        <f>HYPERLINK("https://twitter.com/sergio_fajardo","@sergio_fajardo")</f>
        <v>@sergio_fajardo</v>
      </c>
      <c r="C2782" s="5" t="s">
        <v>16</v>
      </c>
      <c r="D2782" s="5" t="s">
        <v>2803</v>
      </c>
      <c r="E2782" s="6" t="str">
        <f>HYPERLINK("https://twitter.com/sergio_fajardo/status/1428351043117662208","1428351043117662208")</f>
        <v>1428351043117662208</v>
      </c>
      <c r="F2782" s="7" t="s">
        <v>17</v>
      </c>
      <c r="G2782" s="7">
        <v>1592841</v>
      </c>
      <c r="H2782" s="7">
        <v>514</v>
      </c>
      <c r="I2782" s="7">
        <v>1</v>
      </c>
      <c r="J2782" s="7">
        <v>32</v>
      </c>
      <c r="K2782" s="7" t="s">
        <v>18</v>
      </c>
      <c r="L2782" s="8">
        <v>39891.213356481479</v>
      </c>
      <c r="M2782" s="9" t="s">
        <v>19</v>
      </c>
      <c r="N2782" s="9" t="s">
        <v>22</v>
      </c>
      <c r="O2782" s="6" t="str">
        <f>HYPERLINK("https://pbs.twimg.com/profile_images/988971255679324162/jrqiIYf__normal.jpg","View")</f>
        <v>View</v>
      </c>
      <c r="P2782" s="7"/>
    </row>
    <row r="2783" spans="1:16">
      <c r="A2783" s="3">
        <v>44427.941828703704</v>
      </c>
      <c r="B2783" s="4" t="str">
        <f>HYPERLINK("https://twitter.com/sergio_fajardo","@sergio_fajardo")</f>
        <v>@sergio_fajardo</v>
      </c>
      <c r="C2783" s="5" t="s">
        <v>16</v>
      </c>
      <c r="D2783" s="5" t="s">
        <v>2804</v>
      </c>
      <c r="E2783" s="6" t="str">
        <f>HYPERLINK("https://twitter.com/sergio_fajardo/status/1428402943737401344","1428402943737401344")</f>
        <v>1428402943737401344</v>
      </c>
      <c r="F2783" s="7" t="s">
        <v>17</v>
      </c>
      <c r="G2783" s="7">
        <v>1592935</v>
      </c>
      <c r="H2783" s="7">
        <v>514</v>
      </c>
      <c r="I2783" s="7">
        <v>8</v>
      </c>
      <c r="J2783" s="7">
        <v>49</v>
      </c>
      <c r="K2783" s="7" t="s">
        <v>18</v>
      </c>
      <c r="L2783" s="8">
        <v>39891.213356481479</v>
      </c>
      <c r="M2783" s="9" t="s">
        <v>19</v>
      </c>
      <c r="N2783" s="9" t="s">
        <v>22</v>
      </c>
      <c r="O2783" s="6" t="str">
        <f>HYPERLINK("https://pbs.twimg.com/profile_images/988971255679324162/jrqiIYf__normal.jpg","View")</f>
        <v>View</v>
      </c>
      <c r="P2783" s="7"/>
    </row>
    <row r="2784" spans="1:16">
      <c r="A2784" s="3">
        <v>44428.048310185186</v>
      </c>
      <c r="B2784" s="4" t="str">
        <f>HYPERLINK("https://twitter.com/sergio_fajardo","@sergio_fajardo")</f>
        <v>@sergio_fajardo</v>
      </c>
      <c r="C2784" s="5" t="s">
        <v>16</v>
      </c>
      <c r="D2784" s="5" t="s">
        <v>2805</v>
      </c>
      <c r="E2784" s="6" t="str">
        <f>HYPERLINK("https://twitter.com/sergio_fajardo/status/1428441528813465618","1428441528813465618")</f>
        <v>1428441528813465618</v>
      </c>
      <c r="F2784" s="7" t="s">
        <v>17</v>
      </c>
      <c r="G2784" s="7">
        <v>1592964</v>
      </c>
      <c r="H2784" s="7">
        <v>514</v>
      </c>
      <c r="I2784" s="7">
        <v>12</v>
      </c>
      <c r="J2784" s="7">
        <v>65</v>
      </c>
      <c r="K2784" s="7" t="s">
        <v>18</v>
      </c>
      <c r="L2784" s="8">
        <v>39891.213356481479</v>
      </c>
      <c r="M2784" s="9" t="s">
        <v>19</v>
      </c>
      <c r="N2784" s="9" t="s">
        <v>22</v>
      </c>
      <c r="O2784" s="6" t="str">
        <f>HYPERLINK("https://pbs.twimg.com/profile_images/988971255679324162/jrqiIYf__normal.jpg","View")</f>
        <v>View</v>
      </c>
      <c r="P2784" s="7"/>
    </row>
    <row r="2785" spans="1:16">
      <c r="A2785" s="3">
        <v>44428.049004629633</v>
      </c>
      <c r="B2785" s="4" t="str">
        <f>HYPERLINK("https://twitter.com/sergio_fajardo","@sergio_fajardo")</f>
        <v>@sergio_fajardo</v>
      </c>
      <c r="C2785" s="5" t="s">
        <v>16</v>
      </c>
      <c r="D2785" s="5" t="s">
        <v>2806</v>
      </c>
      <c r="E2785" s="6" t="str">
        <f>HYPERLINK("https://twitter.com/sergio_fajardo/status/1428441779783753739","1428441779783753739")</f>
        <v>1428441779783753739</v>
      </c>
      <c r="F2785" s="7" t="s">
        <v>17</v>
      </c>
      <c r="G2785" s="7">
        <v>1592964</v>
      </c>
      <c r="H2785" s="7">
        <v>514</v>
      </c>
      <c r="I2785" s="7">
        <v>87</v>
      </c>
      <c r="J2785" s="7">
        <v>0</v>
      </c>
      <c r="K2785" s="7" t="s">
        <v>18</v>
      </c>
      <c r="L2785" s="8">
        <v>39891.213356481479</v>
      </c>
      <c r="M2785" s="9" t="s">
        <v>19</v>
      </c>
      <c r="N2785" s="9" t="s">
        <v>22</v>
      </c>
      <c r="O2785" s="6" t="str">
        <f>HYPERLINK("https://pbs.twimg.com/profile_images/988971255679324162/jrqiIYf__normal.jpg","View")</f>
        <v>View</v>
      </c>
      <c r="P2785" s="7"/>
    </row>
    <row r="2786" spans="1:16">
      <c r="A2786" s="3">
        <v>44428.240370370375</v>
      </c>
      <c r="B2786" s="4" t="str">
        <f>HYPERLINK("https://twitter.com/sergio_fajardo","@sergio_fajardo")</f>
        <v>@sergio_fajardo</v>
      </c>
      <c r="C2786" s="5" t="s">
        <v>16</v>
      </c>
      <c r="D2786" s="5" t="s">
        <v>2807</v>
      </c>
      <c r="E2786" s="6" t="str">
        <f>HYPERLINK("https://twitter.com/sergio_fajardo/status/1428511129660182540","1428511129660182540")</f>
        <v>1428511129660182540</v>
      </c>
      <c r="F2786" s="7" t="s">
        <v>17</v>
      </c>
      <c r="G2786" s="7">
        <v>1593001</v>
      </c>
      <c r="H2786" s="7">
        <v>515</v>
      </c>
      <c r="I2786" s="7">
        <v>9</v>
      </c>
      <c r="J2786" s="7">
        <v>0</v>
      </c>
      <c r="K2786" s="7" t="s">
        <v>18</v>
      </c>
      <c r="L2786" s="8">
        <v>39891.213356481479</v>
      </c>
      <c r="M2786" s="9" t="s">
        <v>19</v>
      </c>
      <c r="N2786" s="9" t="s">
        <v>22</v>
      </c>
      <c r="O2786" s="6" t="str">
        <f>HYPERLINK("https://pbs.twimg.com/profile_images/988971255679324162/jrqiIYf__normal.jpg","View")</f>
        <v>View</v>
      </c>
      <c r="P2786" s="7"/>
    </row>
    <row r="2787" spans="1:16">
      <c r="A2787" s="3">
        <v>44428.240532407406</v>
      </c>
      <c r="B2787" s="4" t="str">
        <f>HYPERLINK("https://twitter.com/sergio_fajardo","@sergio_fajardo")</f>
        <v>@sergio_fajardo</v>
      </c>
      <c r="C2787" s="5" t="s">
        <v>16</v>
      </c>
      <c r="D2787" s="5" t="s">
        <v>2808</v>
      </c>
      <c r="E2787" s="6" t="str">
        <f>HYPERLINK("https://twitter.com/sergio_fajardo/status/1428511189814988803","1428511189814988803")</f>
        <v>1428511189814988803</v>
      </c>
      <c r="F2787" s="7" t="s">
        <v>17</v>
      </c>
      <c r="G2787" s="7">
        <v>1593001</v>
      </c>
      <c r="H2787" s="7">
        <v>515</v>
      </c>
      <c r="I2787" s="7">
        <v>13</v>
      </c>
      <c r="J2787" s="7">
        <v>0</v>
      </c>
      <c r="K2787" s="7" t="s">
        <v>18</v>
      </c>
      <c r="L2787" s="8">
        <v>39891.213356481479</v>
      </c>
      <c r="M2787" s="9" t="s">
        <v>19</v>
      </c>
      <c r="N2787" s="9" t="s">
        <v>22</v>
      </c>
      <c r="O2787" s="6" t="str">
        <f>HYPERLINK("https://pbs.twimg.com/profile_images/988971255679324162/jrqiIYf__normal.jpg","View")</f>
        <v>View</v>
      </c>
      <c r="P2787" s="7"/>
    </row>
    <row r="2788" spans="1:16">
      <c r="A2788" s="3">
        <v>44428.249074074076</v>
      </c>
      <c r="B2788" s="4" t="str">
        <f>HYPERLINK("https://twitter.com/sergio_fajardo","@sergio_fajardo")</f>
        <v>@sergio_fajardo</v>
      </c>
      <c r="C2788" s="5" t="s">
        <v>16</v>
      </c>
      <c r="D2788" s="5" t="s">
        <v>2809</v>
      </c>
      <c r="E2788" s="6" t="str">
        <f>HYPERLINK("https://twitter.com/sergio_fajardo/status/1428514285924360195","1428514285924360195")</f>
        <v>1428514285924360195</v>
      </c>
      <c r="F2788" s="7" t="s">
        <v>23</v>
      </c>
      <c r="G2788" s="7">
        <v>1593000</v>
      </c>
      <c r="H2788" s="7">
        <v>515</v>
      </c>
      <c r="I2788" s="7">
        <v>33</v>
      </c>
      <c r="J2788" s="7">
        <v>0</v>
      </c>
      <c r="K2788" s="7" t="s">
        <v>18</v>
      </c>
      <c r="L2788" s="8">
        <v>39891.213356481479</v>
      </c>
      <c r="M2788" s="9" t="s">
        <v>19</v>
      </c>
      <c r="N2788" s="9" t="s">
        <v>22</v>
      </c>
      <c r="O2788" s="6" t="str">
        <f>HYPERLINK("https://pbs.twimg.com/profile_images/988971255679324162/jrqiIYf__normal.jpg","View")</f>
        <v>View</v>
      </c>
      <c r="P2788" s="7"/>
    </row>
    <row r="2789" spans="1:16">
      <c r="A2789" s="3">
        <v>44428.259293981479</v>
      </c>
      <c r="B2789" s="4" t="str">
        <f>HYPERLINK("https://twitter.com/sergio_fajardo","@sergio_fajardo")</f>
        <v>@sergio_fajardo</v>
      </c>
      <c r="C2789" s="5" t="s">
        <v>16</v>
      </c>
      <c r="D2789" s="5" t="s">
        <v>2810</v>
      </c>
      <c r="E2789" s="6" t="str">
        <f>HYPERLINK("https://twitter.com/sergio_fajardo/status/1428517986705592323","1428517986705592323")</f>
        <v>1428517986705592323</v>
      </c>
      <c r="F2789" s="7" t="s">
        <v>17</v>
      </c>
      <c r="G2789" s="7">
        <v>1593000</v>
      </c>
      <c r="H2789" s="7">
        <v>515</v>
      </c>
      <c r="I2789" s="7">
        <v>21</v>
      </c>
      <c r="J2789" s="7">
        <v>64</v>
      </c>
      <c r="K2789" s="7" t="s">
        <v>18</v>
      </c>
      <c r="L2789" s="8">
        <v>39891.213356481479</v>
      </c>
      <c r="M2789" s="9" t="s">
        <v>19</v>
      </c>
      <c r="N2789" s="9" t="s">
        <v>22</v>
      </c>
      <c r="O2789" s="6" t="str">
        <f>HYPERLINK("https://pbs.twimg.com/profile_images/988971255679324162/jrqiIYf__normal.jpg","View")</f>
        <v>View</v>
      </c>
      <c r="P2789" s="7"/>
    </row>
    <row r="2790" spans="1:16">
      <c r="A2790" s="3">
        <v>44428.25981481481</v>
      </c>
      <c r="B2790" s="4" t="str">
        <f>HYPERLINK("https://twitter.com/sergio_fajardo","@sergio_fajardo")</f>
        <v>@sergio_fajardo</v>
      </c>
      <c r="C2790" s="5" t="s">
        <v>16</v>
      </c>
      <c r="D2790" s="5" t="s">
        <v>2811</v>
      </c>
      <c r="E2790" s="6" t="str">
        <f>HYPERLINK("https://twitter.com/sergio_fajardo/status/1428518174757203970","1428518174757203970")</f>
        <v>1428518174757203970</v>
      </c>
      <c r="F2790" s="7" t="s">
        <v>17</v>
      </c>
      <c r="G2790" s="7">
        <v>1593000</v>
      </c>
      <c r="H2790" s="7">
        <v>515</v>
      </c>
      <c r="I2790" s="7">
        <v>14</v>
      </c>
      <c r="J2790" s="7">
        <v>0</v>
      </c>
      <c r="K2790" s="7" t="s">
        <v>18</v>
      </c>
      <c r="L2790" s="8">
        <v>39891.213356481479</v>
      </c>
      <c r="M2790" s="9" t="s">
        <v>19</v>
      </c>
      <c r="N2790" s="9" t="s">
        <v>22</v>
      </c>
      <c r="O2790" s="6" t="str">
        <f>HYPERLINK("https://pbs.twimg.com/profile_images/988971255679324162/jrqiIYf__normal.jpg","View")</f>
        <v>View</v>
      </c>
      <c r="P2790" s="7"/>
    </row>
    <row r="2791" spans="1:16">
      <c r="A2791" s="3">
        <v>44428.260462962964</v>
      </c>
      <c r="B2791" s="4" t="str">
        <f>HYPERLINK("https://twitter.com/sergio_fajardo","@sergio_fajardo")</f>
        <v>@sergio_fajardo</v>
      </c>
      <c r="C2791" s="5" t="s">
        <v>16</v>
      </c>
      <c r="D2791" s="5" t="s">
        <v>2812</v>
      </c>
      <c r="E2791" s="6" t="str">
        <f>HYPERLINK("https://twitter.com/sergio_fajardo/status/1428518411475247108","1428518411475247108")</f>
        <v>1428518411475247108</v>
      </c>
      <c r="F2791" s="7" t="s">
        <v>17</v>
      </c>
      <c r="G2791" s="7">
        <v>1593000</v>
      </c>
      <c r="H2791" s="7">
        <v>515</v>
      </c>
      <c r="I2791" s="7">
        <v>13</v>
      </c>
      <c r="J2791" s="7">
        <v>0</v>
      </c>
      <c r="K2791" s="7" t="s">
        <v>18</v>
      </c>
      <c r="L2791" s="8">
        <v>39891.213356481479</v>
      </c>
      <c r="M2791" s="9" t="s">
        <v>19</v>
      </c>
      <c r="N2791" s="9" t="s">
        <v>22</v>
      </c>
      <c r="O2791" s="6" t="str">
        <f>HYPERLINK("https://pbs.twimg.com/profile_images/988971255679324162/jrqiIYf__normal.jpg","View")</f>
        <v>View</v>
      </c>
      <c r="P2791" s="7"/>
    </row>
    <row r="2792" spans="1:16">
      <c r="A2792" s="3">
        <v>44428.262129629627</v>
      </c>
      <c r="B2792" s="4" t="str">
        <f>HYPERLINK("https://twitter.com/sergio_fajardo","@sergio_fajardo")</f>
        <v>@sergio_fajardo</v>
      </c>
      <c r="C2792" s="5" t="s">
        <v>16</v>
      </c>
      <c r="D2792" s="5" t="s">
        <v>2813</v>
      </c>
      <c r="E2792" s="6" t="str">
        <f>HYPERLINK("https://twitter.com/sergio_fajardo/status/1428519013391425549","1428519013391425549")</f>
        <v>1428519013391425549</v>
      </c>
      <c r="F2792" s="7" t="s">
        <v>17</v>
      </c>
      <c r="G2792" s="7">
        <v>1593000</v>
      </c>
      <c r="H2792" s="7">
        <v>515</v>
      </c>
      <c r="I2792" s="7">
        <v>21</v>
      </c>
      <c r="J2792" s="7">
        <v>0</v>
      </c>
      <c r="K2792" s="7" t="s">
        <v>18</v>
      </c>
      <c r="L2792" s="8">
        <v>39891.213356481479</v>
      </c>
      <c r="M2792" s="9" t="s">
        <v>19</v>
      </c>
      <c r="N2792" s="9" t="s">
        <v>22</v>
      </c>
      <c r="O2792" s="6" t="str">
        <f>HYPERLINK("https://pbs.twimg.com/profile_images/988971255679324162/jrqiIYf__normal.jpg","View")</f>
        <v>View</v>
      </c>
      <c r="P2792" s="7"/>
    </row>
    <row r="2793" spans="1:16">
      <c r="A2793" s="3">
        <v>44428.262280092589</v>
      </c>
      <c r="B2793" s="4" t="str">
        <f>HYPERLINK("https://twitter.com/sergio_fajardo","@sergio_fajardo")</f>
        <v>@sergio_fajardo</v>
      </c>
      <c r="C2793" s="5" t="s">
        <v>16</v>
      </c>
      <c r="D2793" s="5" t="s">
        <v>2814</v>
      </c>
      <c r="E2793" s="6" t="str">
        <f>HYPERLINK("https://twitter.com/sergio_fajardo/status/1428519071767801860","1428519071767801860")</f>
        <v>1428519071767801860</v>
      </c>
      <c r="F2793" s="7" t="s">
        <v>17</v>
      </c>
      <c r="G2793" s="7">
        <v>1593000</v>
      </c>
      <c r="H2793" s="7">
        <v>515</v>
      </c>
      <c r="I2793" s="7">
        <v>18</v>
      </c>
      <c r="J2793" s="7">
        <v>0</v>
      </c>
      <c r="K2793" s="7" t="s">
        <v>18</v>
      </c>
      <c r="L2793" s="8">
        <v>39891.213356481479</v>
      </c>
      <c r="M2793" s="9" t="s">
        <v>19</v>
      </c>
      <c r="N2793" s="9" t="s">
        <v>22</v>
      </c>
      <c r="O2793" s="6" t="str">
        <f>HYPERLINK("https://pbs.twimg.com/profile_images/988971255679324162/jrqiIYf__normal.jpg","View")</f>
        <v>View</v>
      </c>
      <c r="P2793" s="7"/>
    </row>
    <row r="2794" spans="1:16">
      <c r="A2794" s="3">
        <v>44428.262372685189</v>
      </c>
      <c r="B2794" s="4" t="str">
        <f>HYPERLINK("https://twitter.com/sergio_fajardo","@sergio_fajardo")</f>
        <v>@sergio_fajardo</v>
      </c>
      <c r="C2794" s="5" t="s">
        <v>16</v>
      </c>
      <c r="D2794" s="5" t="s">
        <v>2815</v>
      </c>
      <c r="E2794" s="6" t="str">
        <f>HYPERLINK("https://twitter.com/sergio_fajardo/status/1428519103975862276","1428519103975862276")</f>
        <v>1428519103975862276</v>
      </c>
      <c r="F2794" s="7" t="s">
        <v>17</v>
      </c>
      <c r="G2794" s="7">
        <v>1593000</v>
      </c>
      <c r="H2794" s="7">
        <v>515</v>
      </c>
      <c r="I2794" s="7">
        <v>17</v>
      </c>
      <c r="J2794" s="7">
        <v>0</v>
      </c>
      <c r="K2794" s="7" t="s">
        <v>18</v>
      </c>
      <c r="L2794" s="8">
        <v>39891.213356481479</v>
      </c>
      <c r="M2794" s="9" t="s">
        <v>19</v>
      </c>
      <c r="N2794" s="9" t="s">
        <v>22</v>
      </c>
      <c r="O2794" s="6" t="str">
        <f>HYPERLINK("https://pbs.twimg.com/profile_images/988971255679324162/jrqiIYf__normal.jpg","View")</f>
        <v>View</v>
      </c>
      <c r="P2794" s="7"/>
    </row>
    <row r="2795" spans="1:16">
      <c r="A2795" s="3">
        <v>44428.262418981481</v>
      </c>
      <c r="B2795" s="4" t="str">
        <f>HYPERLINK("https://twitter.com/sergio_fajardo","@sergio_fajardo")</f>
        <v>@sergio_fajardo</v>
      </c>
      <c r="C2795" s="5" t="s">
        <v>16</v>
      </c>
      <c r="D2795" s="5" t="s">
        <v>2816</v>
      </c>
      <c r="E2795" s="6" t="str">
        <f>HYPERLINK("https://twitter.com/sergio_fajardo/status/1428519118169333760","1428519118169333760")</f>
        <v>1428519118169333760</v>
      </c>
      <c r="F2795" s="7" t="s">
        <v>17</v>
      </c>
      <c r="G2795" s="7">
        <v>1593000</v>
      </c>
      <c r="H2795" s="7">
        <v>515</v>
      </c>
      <c r="I2795" s="7">
        <v>15</v>
      </c>
      <c r="J2795" s="7">
        <v>0</v>
      </c>
      <c r="K2795" s="7" t="s">
        <v>18</v>
      </c>
      <c r="L2795" s="8">
        <v>39891.213356481479</v>
      </c>
      <c r="M2795" s="9" t="s">
        <v>19</v>
      </c>
      <c r="N2795" s="9" t="s">
        <v>22</v>
      </c>
      <c r="O2795" s="6" t="str">
        <f>HYPERLINK("https://pbs.twimg.com/profile_images/988971255679324162/jrqiIYf__normal.jpg","View")</f>
        <v>View</v>
      </c>
      <c r="P2795" s="7"/>
    </row>
    <row r="2796" spans="1:16">
      <c r="A2796" s="3">
        <v>44428.262476851851</v>
      </c>
      <c r="B2796" s="4" t="str">
        <f>HYPERLINK("https://twitter.com/sergio_fajardo","@sergio_fajardo")</f>
        <v>@sergio_fajardo</v>
      </c>
      <c r="C2796" s="5" t="s">
        <v>16</v>
      </c>
      <c r="D2796" s="5" t="s">
        <v>2817</v>
      </c>
      <c r="E2796" s="6" t="str">
        <f>HYPERLINK("https://twitter.com/sergio_fajardo/status/1428519140982145029","1428519140982145029")</f>
        <v>1428519140982145029</v>
      </c>
      <c r="F2796" s="7" t="s">
        <v>17</v>
      </c>
      <c r="G2796" s="7">
        <v>1593000</v>
      </c>
      <c r="H2796" s="7">
        <v>515</v>
      </c>
      <c r="I2796" s="7">
        <v>13</v>
      </c>
      <c r="J2796" s="7">
        <v>0</v>
      </c>
      <c r="K2796" s="7" t="s">
        <v>18</v>
      </c>
      <c r="L2796" s="8">
        <v>39891.213356481479</v>
      </c>
      <c r="M2796" s="9" t="s">
        <v>19</v>
      </c>
      <c r="N2796" s="9" t="s">
        <v>22</v>
      </c>
      <c r="O2796" s="6" t="str">
        <f>HYPERLINK("https://pbs.twimg.com/profile_images/988971255679324162/jrqiIYf__normal.jpg","View")</f>
        <v>View</v>
      </c>
      <c r="P2796" s="7"/>
    </row>
    <row r="2797" spans="1:16">
      <c r="A2797" s="3">
        <v>44428.266412037032</v>
      </c>
      <c r="B2797" s="4" t="str">
        <f>HYPERLINK("https://twitter.com/sergio_fajardo","@sergio_fajardo")</f>
        <v>@sergio_fajardo</v>
      </c>
      <c r="C2797" s="5" t="s">
        <v>16</v>
      </c>
      <c r="D2797" s="5" t="s">
        <v>2818</v>
      </c>
      <c r="E2797" s="6" t="str">
        <f>HYPERLINK("https://twitter.com/sergio_fajardo/status/1428520566038933505","1428520566038933505")</f>
        <v>1428520566038933505</v>
      </c>
      <c r="F2797" s="7" t="s">
        <v>17</v>
      </c>
      <c r="G2797" s="7">
        <v>1592999</v>
      </c>
      <c r="H2797" s="7">
        <v>523</v>
      </c>
      <c r="I2797" s="7">
        <v>18</v>
      </c>
      <c r="J2797" s="7">
        <v>0</v>
      </c>
      <c r="K2797" s="7" t="s">
        <v>18</v>
      </c>
      <c r="L2797" s="8">
        <v>39891.213356481479</v>
      </c>
      <c r="M2797" s="9" t="s">
        <v>19</v>
      </c>
      <c r="N2797" s="9" t="s">
        <v>22</v>
      </c>
      <c r="O2797" s="6" t="str">
        <f>HYPERLINK("https://pbs.twimg.com/profile_images/988971255679324162/jrqiIYf__normal.jpg","View")</f>
        <v>View</v>
      </c>
      <c r="P2797" s="7"/>
    </row>
    <row r="2798" spans="1:16">
      <c r="A2798" s="3">
        <v>44428.266898148147</v>
      </c>
      <c r="B2798" s="4" t="str">
        <f>HYPERLINK("https://twitter.com/sergio_fajardo","@sergio_fajardo")</f>
        <v>@sergio_fajardo</v>
      </c>
      <c r="C2798" s="5" t="s">
        <v>16</v>
      </c>
      <c r="D2798" s="5" t="s">
        <v>2819</v>
      </c>
      <c r="E2798" s="6" t="str">
        <f>HYPERLINK("https://twitter.com/sergio_fajardo/status/1428520744863113226","1428520744863113226")</f>
        <v>1428520744863113226</v>
      </c>
      <c r="F2798" s="7" t="s">
        <v>17</v>
      </c>
      <c r="G2798" s="7">
        <v>1592999</v>
      </c>
      <c r="H2798" s="7">
        <v>523</v>
      </c>
      <c r="I2798" s="7">
        <v>10</v>
      </c>
      <c r="J2798" s="7">
        <v>0</v>
      </c>
      <c r="K2798" s="7" t="s">
        <v>18</v>
      </c>
      <c r="L2798" s="8">
        <v>39891.213356481479</v>
      </c>
      <c r="M2798" s="9" t="s">
        <v>19</v>
      </c>
      <c r="N2798" s="9" t="s">
        <v>22</v>
      </c>
      <c r="O2798" s="6" t="str">
        <f>HYPERLINK("https://pbs.twimg.com/profile_images/988971255679324162/jrqiIYf__normal.jpg","View")</f>
        <v>View</v>
      </c>
      <c r="P2798" s="7"/>
    </row>
    <row r="2799" spans="1:16">
      <c r="A2799" s="3">
        <v>44429.114722222221</v>
      </c>
      <c r="B2799" s="4" t="str">
        <f>HYPERLINK("https://twitter.com/sergio_fajardo","@sergio_fajardo")</f>
        <v>@sergio_fajardo</v>
      </c>
      <c r="C2799" s="5" t="s">
        <v>16</v>
      </c>
      <c r="D2799" s="5" t="s">
        <v>2820</v>
      </c>
      <c r="E2799" s="6" t="str">
        <f>HYPERLINK("https://twitter.com/sergio_fajardo/status/1428827984199356428","1428827984199356428")</f>
        <v>1428827984199356428</v>
      </c>
      <c r="F2799" s="7" t="s">
        <v>17</v>
      </c>
      <c r="G2799" s="7">
        <v>1593097</v>
      </c>
      <c r="H2799" s="7">
        <v>523</v>
      </c>
      <c r="I2799" s="7">
        <v>0</v>
      </c>
      <c r="J2799" s="7">
        <v>4</v>
      </c>
      <c r="K2799" s="7" t="s">
        <v>18</v>
      </c>
      <c r="L2799" s="8">
        <v>39891.213356481479</v>
      </c>
      <c r="M2799" s="9" t="s">
        <v>19</v>
      </c>
      <c r="N2799" s="9" t="s">
        <v>22</v>
      </c>
      <c r="O2799" s="6" t="str">
        <f>HYPERLINK("https://pbs.twimg.com/profile_images/988971255679324162/jrqiIYf__normal.jpg","View")</f>
        <v>View</v>
      </c>
      <c r="P2799" s="7"/>
    </row>
    <row r="2800" spans="1:16">
      <c r="A2800" s="3">
        <v>44431.79587962963</v>
      </c>
      <c r="B2800" s="4" t="str">
        <f>HYPERLINK("https://twitter.com/sergio_fajardo","@sergio_fajardo")</f>
        <v>@sergio_fajardo</v>
      </c>
      <c r="C2800" s="5" t="s">
        <v>16</v>
      </c>
      <c r="D2800" s="5" t="s">
        <v>2821</v>
      </c>
      <c r="E2800" s="6" t="str">
        <f>HYPERLINK("https://twitter.com/sergio_fajardo/status/1429799603809959940","1429799603809959940")</f>
        <v>1429799603809959940</v>
      </c>
      <c r="F2800" s="7" t="s">
        <v>17</v>
      </c>
      <c r="G2800" s="7">
        <v>1593244</v>
      </c>
      <c r="H2800" s="7">
        <v>523</v>
      </c>
      <c r="I2800" s="7">
        <v>3</v>
      </c>
      <c r="J2800" s="7">
        <v>32</v>
      </c>
      <c r="K2800" s="7" t="s">
        <v>18</v>
      </c>
      <c r="L2800" s="8">
        <v>39891.213356481479</v>
      </c>
      <c r="M2800" s="9" t="s">
        <v>19</v>
      </c>
      <c r="N2800" s="9" t="s">
        <v>22</v>
      </c>
      <c r="O2800" s="6" t="str">
        <f>HYPERLINK("https://pbs.twimg.com/profile_images/988971255679324162/jrqiIYf__normal.jpg","View")</f>
        <v>View</v>
      </c>
      <c r="P2800" s="7"/>
    </row>
    <row r="2801" spans="1:16">
      <c r="A2801" s="3">
        <v>44432.271018518513</v>
      </c>
      <c r="B2801" s="4" t="str">
        <f>HYPERLINK("https://twitter.com/sergio_fajardo","@sergio_fajardo")</f>
        <v>@sergio_fajardo</v>
      </c>
      <c r="C2801" s="5" t="s">
        <v>16</v>
      </c>
      <c r="D2801" s="5" t="s">
        <v>2822</v>
      </c>
      <c r="E2801" s="6" t="str">
        <f>HYPERLINK("https://twitter.com/sergio_fajardo/status/1429971787668987908","1429971787668987908")</f>
        <v>1429971787668987908</v>
      </c>
      <c r="F2801" s="7" t="s">
        <v>17</v>
      </c>
      <c r="G2801" s="7">
        <v>1593298</v>
      </c>
      <c r="H2801" s="7">
        <v>523</v>
      </c>
      <c r="I2801" s="7">
        <v>8</v>
      </c>
      <c r="J2801" s="7">
        <v>36</v>
      </c>
      <c r="K2801" s="7" t="s">
        <v>18</v>
      </c>
      <c r="L2801" s="8">
        <v>39891.213356481479</v>
      </c>
      <c r="M2801" s="9" t="s">
        <v>19</v>
      </c>
      <c r="N2801" s="9" t="s">
        <v>22</v>
      </c>
      <c r="O2801" s="6" t="str">
        <f>HYPERLINK("https://pbs.twimg.com/profile_images/988971255679324162/jrqiIYf__normal.jpg","View")</f>
        <v>View</v>
      </c>
      <c r="P2801" s="7"/>
    </row>
    <row r="2802" spans="1:16">
      <c r="A2802" s="3">
        <v>44433.137592592597</v>
      </c>
      <c r="B2802" s="4" t="str">
        <f>HYPERLINK("https://twitter.com/sergio_fajardo","@sergio_fajardo")</f>
        <v>@sergio_fajardo</v>
      </c>
      <c r="C2802" s="5" t="s">
        <v>16</v>
      </c>
      <c r="D2802" s="5" t="s">
        <v>2823</v>
      </c>
      <c r="E2802" s="6" t="str">
        <f>HYPERLINK("https://twitter.com/sergio_fajardo/status/1430285823623245830","1430285823623245830")</f>
        <v>1430285823623245830</v>
      </c>
      <c r="F2802" s="7" t="s">
        <v>17</v>
      </c>
      <c r="G2802" s="7">
        <v>1593345</v>
      </c>
      <c r="H2802" s="7">
        <v>523</v>
      </c>
      <c r="I2802" s="7">
        <v>59</v>
      </c>
      <c r="J2802" s="7">
        <v>0</v>
      </c>
      <c r="K2802" s="7" t="s">
        <v>18</v>
      </c>
      <c r="L2802" s="8">
        <v>39891.213356481479</v>
      </c>
      <c r="M2802" s="9" t="s">
        <v>19</v>
      </c>
      <c r="N2802" s="9" t="s">
        <v>22</v>
      </c>
      <c r="O2802" s="6" t="str">
        <f>HYPERLINK("https://pbs.twimg.com/profile_images/988971255679324162/jrqiIYf__normal.jpg","View")</f>
        <v>View</v>
      </c>
      <c r="P2802" s="7"/>
    </row>
    <row r="2803" spans="1:16">
      <c r="A2803" s="3">
        <v>44433.22146990741</v>
      </c>
      <c r="B2803" s="4" t="str">
        <f>HYPERLINK("https://twitter.com/sergio_fajardo","@sergio_fajardo")</f>
        <v>@sergio_fajardo</v>
      </c>
      <c r="C2803" s="5" t="s">
        <v>16</v>
      </c>
      <c r="D2803" s="5" t="s">
        <v>2824</v>
      </c>
      <c r="E2803" s="6" t="str">
        <f>HYPERLINK("https://twitter.com/sergio_fajardo/status/1430316219186532355","1430316219186532355")</f>
        <v>1430316219186532355</v>
      </c>
      <c r="F2803" s="7" t="s">
        <v>2329</v>
      </c>
      <c r="G2803" s="7">
        <v>1593345</v>
      </c>
      <c r="H2803" s="7">
        <v>523</v>
      </c>
      <c r="I2803" s="7">
        <v>30</v>
      </c>
      <c r="J2803" s="7">
        <v>102</v>
      </c>
      <c r="K2803" s="7" t="s">
        <v>18</v>
      </c>
      <c r="L2803" s="8">
        <v>39891.213356481479</v>
      </c>
      <c r="M2803" s="9" t="s">
        <v>19</v>
      </c>
      <c r="N2803" s="9" t="s">
        <v>22</v>
      </c>
      <c r="O2803" s="6" t="str">
        <f>HYPERLINK("https://pbs.twimg.com/profile_images/988971255679324162/jrqiIYf__normal.jpg","View")</f>
        <v>View</v>
      </c>
      <c r="P2803" s="7"/>
    </row>
    <row r="2804" spans="1:16">
      <c r="A2804" s="3">
        <v>44433.243298611109</v>
      </c>
      <c r="B2804" s="4" t="str">
        <f>HYPERLINK("https://twitter.com/sergio_fajardo","@sergio_fajardo")</f>
        <v>@sergio_fajardo</v>
      </c>
      <c r="C2804" s="5" t="s">
        <v>16</v>
      </c>
      <c r="D2804" s="5" t="s">
        <v>2825</v>
      </c>
      <c r="E2804" s="6" t="str">
        <f>HYPERLINK("https://twitter.com/sergio_fajardo/status/1430324129178210309","1430324129178210309")</f>
        <v>1430324129178210309</v>
      </c>
      <c r="F2804" s="7" t="s">
        <v>23</v>
      </c>
      <c r="G2804" s="7">
        <v>1593342</v>
      </c>
      <c r="H2804" s="7">
        <v>524</v>
      </c>
      <c r="I2804" s="7">
        <v>7</v>
      </c>
      <c r="J2804" s="7">
        <v>45</v>
      </c>
      <c r="K2804" s="7" t="s">
        <v>18</v>
      </c>
      <c r="L2804" s="8">
        <v>39891.213356481479</v>
      </c>
      <c r="M2804" s="9" t="s">
        <v>19</v>
      </c>
      <c r="N2804" s="9" t="s">
        <v>22</v>
      </c>
      <c r="O2804" s="6" t="str">
        <f>HYPERLINK("https://pbs.twimg.com/profile_images/988971255679324162/jrqiIYf__normal.jpg","View")</f>
        <v>View</v>
      </c>
      <c r="P2804" s="7"/>
    </row>
    <row r="2805" spans="1:16">
      <c r="A2805" s="3">
        <v>44433.246932870374</v>
      </c>
      <c r="B2805" s="4" t="str">
        <f>HYPERLINK("https://twitter.com/sergio_fajardo","@sergio_fajardo")</f>
        <v>@sergio_fajardo</v>
      </c>
      <c r="C2805" s="5" t="s">
        <v>16</v>
      </c>
      <c r="D2805" s="5" t="s">
        <v>2826</v>
      </c>
      <c r="E2805" s="6" t="str">
        <f>HYPERLINK("https://twitter.com/sergio_fajardo/status/1430325447066374144","1430325447066374144")</f>
        <v>1430325447066374144</v>
      </c>
      <c r="F2805" s="7" t="s">
        <v>23</v>
      </c>
      <c r="G2805" s="7">
        <v>1593342</v>
      </c>
      <c r="H2805" s="7">
        <v>524</v>
      </c>
      <c r="I2805" s="7">
        <v>3</v>
      </c>
      <c r="J2805" s="7">
        <v>10</v>
      </c>
      <c r="K2805" s="7" t="s">
        <v>18</v>
      </c>
      <c r="L2805" s="8">
        <v>39891.213356481479</v>
      </c>
      <c r="M2805" s="9" t="s">
        <v>19</v>
      </c>
      <c r="N2805" s="9" t="s">
        <v>22</v>
      </c>
      <c r="O2805" s="6" t="str">
        <f>HYPERLINK("https://pbs.twimg.com/profile_images/988971255679324162/jrqiIYf__normal.jpg","View")</f>
        <v>View</v>
      </c>
      <c r="P2805" s="7"/>
    </row>
    <row r="2806" spans="1:16">
      <c r="A2806" s="3">
        <v>44433.248032407406</v>
      </c>
      <c r="B2806" s="4" t="str">
        <f>HYPERLINK("https://twitter.com/sergio_fajardo","@sergio_fajardo")</f>
        <v>@sergio_fajardo</v>
      </c>
      <c r="C2806" s="5" t="s">
        <v>16</v>
      </c>
      <c r="D2806" s="5" t="s">
        <v>2827</v>
      </c>
      <c r="E2806" s="6" t="str">
        <f>HYPERLINK("https://twitter.com/sergio_fajardo/status/1430325845214777346","1430325845214777346")</f>
        <v>1430325845214777346</v>
      </c>
      <c r="F2806" s="7" t="s">
        <v>23</v>
      </c>
      <c r="G2806" s="7">
        <v>1593342</v>
      </c>
      <c r="H2806" s="7">
        <v>524</v>
      </c>
      <c r="I2806" s="7">
        <v>2</v>
      </c>
      <c r="J2806" s="7">
        <v>8</v>
      </c>
      <c r="K2806" s="7" t="s">
        <v>18</v>
      </c>
      <c r="L2806" s="8">
        <v>39891.213356481479</v>
      </c>
      <c r="M2806" s="9" t="s">
        <v>19</v>
      </c>
      <c r="N2806" s="9" t="s">
        <v>22</v>
      </c>
      <c r="O2806" s="6" t="str">
        <f>HYPERLINK("https://pbs.twimg.com/profile_images/988971255679324162/jrqiIYf__normal.jpg","View")</f>
        <v>View</v>
      </c>
      <c r="P2806" s="7"/>
    </row>
    <row r="2807" spans="1:16">
      <c r="A2807" s="3">
        <v>44433.250150462962</v>
      </c>
      <c r="B2807" s="4" t="str">
        <f>HYPERLINK("https://twitter.com/sergio_fajardo","@sergio_fajardo")</f>
        <v>@sergio_fajardo</v>
      </c>
      <c r="C2807" s="5" t="s">
        <v>16</v>
      </c>
      <c r="D2807" s="5" t="s">
        <v>2828</v>
      </c>
      <c r="E2807" s="6" t="str">
        <f>HYPERLINK("https://twitter.com/sergio_fajardo/status/1430326614567669763","1430326614567669763")</f>
        <v>1430326614567669763</v>
      </c>
      <c r="F2807" s="7" t="s">
        <v>23</v>
      </c>
      <c r="G2807" s="7">
        <v>1593342</v>
      </c>
      <c r="H2807" s="7">
        <v>524</v>
      </c>
      <c r="I2807" s="7">
        <v>1</v>
      </c>
      <c r="J2807" s="7">
        <v>21</v>
      </c>
      <c r="K2807" s="7" t="s">
        <v>18</v>
      </c>
      <c r="L2807" s="8">
        <v>39891.213356481479</v>
      </c>
      <c r="M2807" s="9" t="s">
        <v>19</v>
      </c>
      <c r="N2807" s="9" t="s">
        <v>22</v>
      </c>
      <c r="O2807" s="6" t="str">
        <f>HYPERLINK("https://pbs.twimg.com/profile_images/988971255679324162/jrqiIYf__normal.jpg","View")</f>
        <v>View</v>
      </c>
      <c r="P2807" s="7"/>
    </row>
    <row r="2808" spans="1:16">
      <c r="A2808" s="3">
        <v>44433.251226851848</v>
      </c>
      <c r="B2808" s="4" t="str">
        <f>HYPERLINK("https://twitter.com/sergio_fajardo","@sergio_fajardo")</f>
        <v>@sergio_fajardo</v>
      </c>
      <c r="C2808" s="5" t="s">
        <v>16</v>
      </c>
      <c r="D2808" s="5" t="s">
        <v>2829</v>
      </c>
      <c r="E2808" s="6" t="str">
        <f>HYPERLINK("https://twitter.com/sergio_fajardo/status/1430327003044003842","1430327003044003842")</f>
        <v>1430327003044003842</v>
      </c>
      <c r="F2808" s="7" t="s">
        <v>23</v>
      </c>
      <c r="G2808" s="7">
        <v>1593342</v>
      </c>
      <c r="H2808" s="7">
        <v>524</v>
      </c>
      <c r="I2808" s="7">
        <v>0</v>
      </c>
      <c r="J2808" s="7">
        <v>3</v>
      </c>
      <c r="K2808" s="7" t="s">
        <v>18</v>
      </c>
      <c r="L2808" s="8">
        <v>39891.213356481479</v>
      </c>
      <c r="M2808" s="9" t="s">
        <v>19</v>
      </c>
      <c r="N2808" s="9" t="s">
        <v>22</v>
      </c>
      <c r="O2808" s="6" t="str">
        <f>HYPERLINK("https://pbs.twimg.com/profile_images/988971255679324162/jrqiIYf__normal.jpg","View")</f>
        <v>View</v>
      </c>
      <c r="P2808" s="7"/>
    </row>
    <row r="2809" spans="1:16">
      <c r="A2809" s="3">
        <v>44433.253657407404</v>
      </c>
      <c r="B2809" s="4" t="str">
        <f>HYPERLINK("https://twitter.com/sergio_fajardo","@sergio_fajardo")</f>
        <v>@sergio_fajardo</v>
      </c>
      <c r="C2809" s="5" t="s">
        <v>16</v>
      </c>
      <c r="D2809" s="5" t="s">
        <v>2830</v>
      </c>
      <c r="E2809" s="6" t="str">
        <f>HYPERLINK("https://twitter.com/sergio_fajardo/status/1430327884212756488","1430327884212756488")</f>
        <v>1430327884212756488</v>
      </c>
      <c r="F2809" s="7" t="s">
        <v>23</v>
      </c>
      <c r="G2809" s="7">
        <v>1593334</v>
      </c>
      <c r="H2809" s="7">
        <v>529</v>
      </c>
      <c r="I2809" s="7">
        <v>3</v>
      </c>
      <c r="J2809" s="7">
        <v>40</v>
      </c>
      <c r="K2809" s="7" t="s">
        <v>18</v>
      </c>
      <c r="L2809" s="8">
        <v>39891.213356481479</v>
      </c>
      <c r="M2809" s="9" t="s">
        <v>19</v>
      </c>
      <c r="N2809" s="9" t="s">
        <v>22</v>
      </c>
      <c r="O2809" s="6" t="str">
        <f>HYPERLINK("https://pbs.twimg.com/profile_images/988971255679324162/jrqiIYf__normal.jpg","View")</f>
        <v>View</v>
      </c>
      <c r="P2809" s="7"/>
    </row>
    <row r="2810" spans="1:16">
      <c r="A2810" s="3">
        <v>44433.254363425927</v>
      </c>
      <c r="B2810" s="4" t="str">
        <f>HYPERLINK("https://twitter.com/sergio_fajardo","@sergio_fajardo")</f>
        <v>@sergio_fajardo</v>
      </c>
      <c r="C2810" s="5" t="s">
        <v>16</v>
      </c>
      <c r="D2810" s="5" t="s">
        <v>2831</v>
      </c>
      <c r="E2810" s="6" t="str">
        <f>HYPERLINK("https://twitter.com/sergio_fajardo/status/1430328141520777219","1430328141520777219")</f>
        <v>1430328141520777219</v>
      </c>
      <c r="F2810" s="7" t="s">
        <v>23</v>
      </c>
      <c r="G2810" s="7">
        <v>1593334</v>
      </c>
      <c r="H2810" s="7">
        <v>529</v>
      </c>
      <c r="I2810" s="7">
        <v>8</v>
      </c>
      <c r="J2810" s="7">
        <v>0</v>
      </c>
      <c r="K2810" s="7" t="s">
        <v>18</v>
      </c>
      <c r="L2810" s="8">
        <v>39891.213356481479</v>
      </c>
      <c r="M2810" s="9" t="s">
        <v>19</v>
      </c>
      <c r="N2810" s="9" t="s">
        <v>22</v>
      </c>
      <c r="O2810" s="6" t="str">
        <f>HYPERLINK("https://pbs.twimg.com/profile_images/988971255679324162/jrqiIYf__normal.jpg","View")</f>
        <v>View</v>
      </c>
      <c r="P2810" s="7"/>
    </row>
    <row r="2811" spans="1:16">
      <c r="A2811" s="3">
        <v>44433.258252314816</v>
      </c>
      <c r="B2811" s="4" t="str">
        <f>HYPERLINK("https://twitter.com/sergio_fajardo","@sergio_fajardo")</f>
        <v>@sergio_fajardo</v>
      </c>
      <c r="C2811" s="5" t="s">
        <v>16</v>
      </c>
      <c r="D2811" s="5" t="s">
        <v>2832</v>
      </c>
      <c r="E2811" s="6" t="str">
        <f>HYPERLINK("https://twitter.com/sergio_fajardo/status/1430329551054376960","1430329551054376960")</f>
        <v>1430329551054376960</v>
      </c>
      <c r="F2811" s="7" t="s">
        <v>23</v>
      </c>
      <c r="G2811" s="7">
        <v>1593334</v>
      </c>
      <c r="H2811" s="7">
        <v>529</v>
      </c>
      <c r="I2811" s="7">
        <v>4</v>
      </c>
      <c r="J2811" s="7">
        <v>29</v>
      </c>
      <c r="K2811" s="7" t="s">
        <v>18</v>
      </c>
      <c r="L2811" s="8">
        <v>39891.213356481479</v>
      </c>
      <c r="M2811" s="9" t="s">
        <v>19</v>
      </c>
      <c r="N2811" s="9" t="s">
        <v>22</v>
      </c>
      <c r="O2811" s="6" t="str">
        <f>HYPERLINK("https://pbs.twimg.com/profile_images/988971255679324162/jrqiIYf__normal.jpg","View")</f>
        <v>View</v>
      </c>
      <c r="P2811" s="7"/>
    </row>
    <row r="2812" spans="1:16">
      <c r="A2812" s="3">
        <v>44433.260578703703</v>
      </c>
      <c r="B2812" s="4" t="str">
        <f>HYPERLINK("https://twitter.com/sergio_fajardo","@sergio_fajardo")</f>
        <v>@sergio_fajardo</v>
      </c>
      <c r="C2812" s="5" t="s">
        <v>16</v>
      </c>
      <c r="D2812" s="5" t="s">
        <v>2833</v>
      </c>
      <c r="E2812" s="6" t="str">
        <f>HYPERLINK("https://twitter.com/sergio_fajardo/status/1430330393299914758","1430330393299914758")</f>
        <v>1430330393299914758</v>
      </c>
      <c r="F2812" s="7" t="s">
        <v>23</v>
      </c>
      <c r="G2812" s="7">
        <v>1593334</v>
      </c>
      <c r="H2812" s="7">
        <v>529</v>
      </c>
      <c r="I2812" s="7">
        <v>30</v>
      </c>
      <c r="J2812" s="7">
        <v>246</v>
      </c>
      <c r="K2812" s="7" t="s">
        <v>18</v>
      </c>
      <c r="L2812" s="8">
        <v>39891.213356481479</v>
      </c>
      <c r="M2812" s="9" t="s">
        <v>19</v>
      </c>
      <c r="N2812" s="9" t="s">
        <v>22</v>
      </c>
      <c r="O2812" s="6" t="str">
        <f>HYPERLINK("https://pbs.twimg.com/profile_images/988971255679324162/jrqiIYf__normal.jpg","View")</f>
        <v>View</v>
      </c>
      <c r="P2812" s="7"/>
    </row>
    <row r="2813" spans="1:16">
      <c r="A2813" s="3">
        <v>44433.263020833328</v>
      </c>
      <c r="B2813" s="4" t="str">
        <f>HYPERLINK("https://twitter.com/sergio_fajardo","@sergio_fajardo")</f>
        <v>@sergio_fajardo</v>
      </c>
      <c r="C2813" s="5" t="s">
        <v>16</v>
      </c>
      <c r="D2813" s="5" t="s">
        <v>2834</v>
      </c>
      <c r="E2813" s="6" t="str">
        <f>HYPERLINK("https://twitter.com/sergio_fajardo/status/1430331278725943299","1430331278725943299")</f>
        <v>1430331278725943299</v>
      </c>
      <c r="F2813" s="7" t="s">
        <v>23</v>
      </c>
      <c r="G2813" s="7">
        <v>1593334</v>
      </c>
      <c r="H2813" s="7">
        <v>529</v>
      </c>
      <c r="I2813" s="7">
        <v>5</v>
      </c>
      <c r="J2813" s="7">
        <v>46</v>
      </c>
      <c r="K2813" s="7" t="s">
        <v>18</v>
      </c>
      <c r="L2813" s="8">
        <v>39891.213356481479</v>
      </c>
      <c r="M2813" s="9" t="s">
        <v>19</v>
      </c>
      <c r="N2813" s="9" t="s">
        <v>22</v>
      </c>
      <c r="O2813" s="6" t="str">
        <f>HYPERLINK("https://pbs.twimg.com/profile_images/988971255679324162/jrqiIYf__normal.jpg","View")</f>
        <v>View</v>
      </c>
      <c r="P2813" s="7"/>
    </row>
    <row r="2814" spans="1:16">
      <c r="A2814" s="3">
        <v>44433.264861111107</v>
      </c>
      <c r="B2814" s="4" t="str">
        <f>HYPERLINK("https://twitter.com/sergio_fajardo","@sergio_fajardo")</f>
        <v>@sergio_fajardo</v>
      </c>
      <c r="C2814" s="5" t="s">
        <v>16</v>
      </c>
      <c r="D2814" s="5" t="s">
        <v>2835</v>
      </c>
      <c r="E2814" s="6" t="str">
        <f>HYPERLINK("https://twitter.com/sergio_fajardo/status/1430331946014584834","1430331946014584834")</f>
        <v>1430331946014584834</v>
      </c>
      <c r="F2814" s="7" t="s">
        <v>23</v>
      </c>
      <c r="G2814" s="7">
        <v>1593334</v>
      </c>
      <c r="H2814" s="7">
        <v>529</v>
      </c>
      <c r="I2814" s="7">
        <v>5</v>
      </c>
      <c r="J2814" s="7">
        <v>25</v>
      </c>
      <c r="K2814" s="7" t="s">
        <v>18</v>
      </c>
      <c r="L2814" s="8">
        <v>39891.213356481479</v>
      </c>
      <c r="M2814" s="9" t="s">
        <v>19</v>
      </c>
      <c r="N2814" s="9" t="s">
        <v>22</v>
      </c>
      <c r="O2814" s="6" t="str">
        <f>HYPERLINK("https://pbs.twimg.com/profile_images/988971255679324162/jrqiIYf__normal.jpg","View")</f>
        <v>View</v>
      </c>
      <c r="P2814" s="7"/>
    </row>
    <row r="2815" spans="1:16">
      <c r="A2815" s="3">
        <v>44433.265023148153</v>
      </c>
      <c r="B2815" s="4" t="str">
        <f>HYPERLINK("https://twitter.com/sergio_fajardo","@sergio_fajardo")</f>
        <v>@sergio_fajardo</v>
      </c>
      <c r="C2815" s="5" t="s">
        <v>16</v>
      </c>
      <c r="D2815" s="5" t="s">
        <v>2836</v>
      </c>
      <c r="E2815" s="6" t="str">
        <f>HYPERLINK("https://twitter.com/sergio_fajardo/status/1430332002717388802","1430332002717388802")</f>
        <v>1430332002717388802</v>
      </c>
      <c r="F2815" s="7" t="s">
        <v>23</v>
      </c>
      <c r="G2815" s="7">
        <v>1593334</v>
      </c>
      <c r="H2815" s="7">
        <v>529</v>
      </c>
      <c r="I2815" s="7">
        <v>7</v>
      </c>
      <c r="J2815" s="7">
        <v>0</v>
      </c>
      <c r="K2815" s="7" t="s">
        <v>18</v>
      </c>
      <c r="L2815" s="8">
        <v>39891.213356481479</v>
      </c>
      <c r="M2815" s="9" t="s">
        <v>19</v>
      </c>
      <c r="N2815" s="9" t="s">
        <v>22</v>
      </c>
      <c r="O2815" s="6" t="str">
        <f>HYPERLINK("https://pbs.twimg.com/profile_images/988971255679324162/jrqiIYf__normal.jpg","View")</f>
        <v>View</v>
      </c>
      <c r="P2815" s="7"/>
    </row>
    <row r="2816" spans="1:16">
      <c r="A2816" s="3">
        <v>44433.265578703707</v>
      </c>
      <c r="B2816" s="4" t="str">
        <f>HYPERLINK("https://twitter.com/sergio_fajardo","@sergio_fajardo")</f>
        <v>@sergio_fajardo</v>
      </c>
      <c r="C2816" s="5" t="s">
        <v>16</v>
      </c>
      <c r="D2816" s="5" t="s">
        <v>2837</v>
      </c>
      <c r="E2816" s="6" t="str">
        <f>HYPERLINK("https://twitter.com/sergio_fajardo/status/1430332202986913797","1430332202986913797")</f>
        <v>1430332202986913797</v>
      </c>
      <c r="F2816" s="7" t="s">
        <v>23</v>
      </c>
      <c r="G2816" s="7">
        <v>1593334</v>
      </c>
      <c r="H2816" s="7">
        <v>529</v>
      </c>
      <c r="I2816" s="7">
        <v>8</v>
      </c>
      <c r="J2816" s="7">
        <v>0</v>
      </c>
      <c r="K2816" s="7" t="s">
        <v>18</v>
      </c>
      <c r="L2816" s="8">
        <v>39891.213356481479</v>
      </c>
      <c r="M2816" s="9" t="s">
        <v>19</v>
      </c>
      <c r="N2816" s="9" t="s">
        <v>22</v>
      </c>
      <c r="O2816" s="6" t="str">
        <f>HYPERLINK("https://pbs.twimg.com/profile_images/988971255679324162/jrqiIYf__normal.jpg","View")</f>
        <v>View</v>
      </c>
      <c r="P2816" s="7"/>
    </row>
    <row r="2817" spans="1:16">
      <c r="A2817" s="3">
        <v>44433.269675925927</v>
      </c>
      <c r="B2817" s="4" t="str">
        <f>HYPERLINK("https://twitter.com/sergio_fajardo","@sergio_fajardo")</f>
        <v>@sergio_fajardo</v>
      </c>
      <c r="C2817" s="5" t="s">
        <v>16</v>
      </c>
      <c r="D2817" s="5" t="s">
        <v>2838</v>
      </c>
      <c r="E2817" s="6" t="str">
        <f>HYPERLINK("https://twitter.com/sergio_fajardo/status/1430333688152219661","1430333688152219661")</f>
        <v>1430333688152219661</v>
      </c>
      <c r="F2817" s="7" t="s">
        <v>23</v>
      </c>
      <c r="G2817" s="7">
        <v>1593334</v>
      </c>
      <c r="H2817" s="7">
        <v>529</v>
      </c>
      <c r="I2817" s="7">
        <v>1</v>
      </c>
      <c r="J2817" s="7">
        <v>21</v>
      </c>
      <c r="K2817" s="7" t="s">
        <v>18</v>
      </c>
      <c r="L2817" s="8">
        <v>39891.213356481479</v>
      </c>
      <c r="M2817" s="9" t="s">
        <v>19</v>
      </c>
      <c r="N2817" s="9" t="s">
        <v>22</v>
      </c>
      <c r="O2817" s="6" t="str">
        <f>HYPERLINK("https://pbs.twimg.com/profile_images/988971255679324162/jrqiIYf__normal.jpg","View")</f>
        <v>View</v>
      </c>
      <c r="P2817" s="7"/>
    </row>
    <row r="2818" spans="1:16">
      <c r="A2818" s="3">
        <v>44433.30467592593</v>
      </c>
      <c r="B2818" s="4" t="str">
        <f>HYPERLINK("https://twitter.com/sergio_fajardo","@sergio_fajardo")</f>
        <v>@sergio_fajardo</v>
      </c>
      <c r="C2818" s="5" t="s">
        <v>16</v>
      </c>
      <c r="D2818" s="5" t="s">
        <v>2839</v>
      </c>
      <c r="E2818" s="6" t="str">
        <f>HYPERLINK("https://twitter.com/sergio_fajardo/status/1430346371324948481","1430346371324948481")</f>
        <v>1430346371324948481</v>
      </c>
      <c r="F2818" s="7" t="s">
        <v>17</v>
      </c>
      <c r="G2818" s="7">
        <v>1593336</v>
      </c>
      <c r="H2818" s="7">
        <v>529</v>
      </c>
      <c r="I2818" s="7">
        <v>7</v>
      </c>
      <c r="J2818" s="7">
        <v>0</v>
      </c>
      <c r="K2818" s="7" t="s">
        <v>18</v>
      </c>
      <c r="L2818" s="8">
        <v>39891.213356481479</v>
      </c>
      <c r="M2818" s="9" t="s">
        <v>19</v>
      </c>
      <c r="N2818" s="9" t="s">
        <v>22</v>
      </c>
      <c r="O2818" s="6" t="str">
        <f>HYPERLINK("https://pbs.twimg.com/profile_images/988971255679324162/jrqiIYf__normal.jpg","View")</f>
        <v>View</v>
      </c>
      <c r="P2818" s="7"/>
    </row>
    <row r="2819" spans="1:16">
      <c r="A2819" s="3">
        <v>44433.312245370369</v>
      </c>
      <c r="B2819" s="4" t="str">
        <f>HYPERLINK("https://twitter.com/sergio_fajardo","@sergio_fajardo")</f>
        <v>@sergio_fajardo</v>
      </c>
      <c r="C2819" s="5" t="s">
        <v>16</v>
      </c>
      <c r="D2819" s="5" t="s">
        <v>2840</v>
      </c>
      <c r="E2819" s="6" t="str">
        <f>HYPERLINK("https://twitter.com/sergio_fajardo/status/1430349116836655116","1430349116836655116")</f>
        <v>1430349116836655116</v>
      </c>
      <c r="F2819" s="7" t="s">
        <v>17</v>
      </c>
      <c r="G2819" s="7">
        <v>1593336</v>
      </c>
      <c r="H2819" s="7">
        <v>529</v>
      </c>
      <c r="I2819" s="7">
        <v>9</v>
      </c>
      <c r="J2819" s="7">
        <v>0</v>
      </c>
      <c r="K2819" s="7" t="s">
        <v>18</v>
      </c>
      <c r="L2819" s="8">
        <v>39891.213356481479</v>
      </c>
      <c r="M2819" s="9" t="s">
        <v>19</v>
      </c>
      <c r="N2819" s="9" t="s">
        <v>22</v>
      </c>
      <c r="O2819" s="6" t="str">
        <f>HYPERLINK("https://pbs.twimg.com/profile_images/988971255679324162/jrqiIYf__normal.jpg","View")</f>
        <v>View</v>
      </c>
      <c r="P2819" s="7"/>
    </row>
    <row r="2820" spans="1:16">
      <c r="A2820" s="3">
        <v>44433.322395833333</v>
      </c>
      <c r="B2820" s="4" t="str">
        <f>HYPERLINK("https://twitter.com/sergio_fajardo","@sergio_fajardo")</f>
        <v>@sergio_fajardo</v>
      </c>
      <c r="C2820" s="5" t="s">
        <v>16</v>
      </c>
      <c r="D2820" s="5" t="s">
        <v>2841</v>
      </c>
      <c r="E2820" s="6" t="str">
        <f>HYPERLINK("https://twitter.com/sergio_fajardo/status/1430352792292577280","1430352792292577280")</f>
        <v>1430352792292577280</v>
      </c>
      <c r="F2820" s="7" t="s">
        <v>17</v>
      </c>
      <c r="G2820" s="7">
        <v>1593342</v>
      </c>
      <c r="H2820" s="7">
        <v>529</v>
      </c>
      <c r="I2820" s="7">
        <v>31</v>
      </c>
      <c r="J2820" s="7">
        <v>0</v>
      </c>
      <c r="K2820" s="7" t="s">
        <v>18</v>
      </c>
      <c r="L2820" s="8">
        <v>39891.213356481479</v>
      </c>
      <c r="M2820" s="9" t="s">
        <v>19</v>
      </c>
      <c r="N2820" s="9" t="s">
        <v>22</v>
      </c>
      <c r="O2820" s="6" t="str">
        <f>HYPERLINK("https://pbs.twimg.com/profile_images/988971255679324162/jrqiIYf__normal.jpg","View")</f>
        <v>View</v>
      </c>
      <c r="P2820" s="7"/>
    </row>
    <row r="2821" spans="1:16">
      <c r="A2821" s="3">
        <v>44433.329652777778</v>
      </c>
      <c r="B2821" s="4" t="str">
        <f>HYPERLINK("https://twitter.com/sergio_fajardo","@sergio_fajardo")</f>
        <v>@sergio_fajardo</v>
      </c>
      <c r="C2821" s="5" t="s">
        <v>16</v>
      </c>
      <c r="D2821" s="5" t="s">
        <v>2842</v>
      </c>
      <c r="E2821" s="6" t="str">
        <f>HYPERLINK("https://twitter.com/sergio_fajardo/status/1430355425002676232","1430355425002676232")</f>
        <v>1430355425002676232</v>
      </c>
      <c r="F2821" s="7" t="s">
        <v>17</v>
      </c>
      <c r="G2821" s="7">
        <v>1593342</v>
      </c>
      <c r="H2821" s="7">
        <v>529</v>
      </c>
      <c r="I2821" s="7">
        <v>4</v>
      </c>
      <c r="J2821" s="7">
        <v>51</v>
      </c>
      <c r="K2821" s="7" t="s">
        <v>18</v>
      </c>
      <c r="L2821" s="8">
        <v>39891.213356481479</v>
      </c>
      <c r="M2821" s="9" t="s">
        <v>19</v>
      </c>
      <c r="N2821" s="9" t="s">
        <v>22</v>
      </c>
      <c r="O2821" s="6" t="str">
        <f>HYPERLINK("https://pbs.twimg.com/profile_images/988971255679324162/jrqiIYf__normal.jpg","View")</f>
        <v>View</v>
      </c>
      <c r="P2821" s="7"/>
    </row>
    <row r="2822" spans="1:16">
      <c r="A2822" s="3">
        <v>44433.334525462968</v>
      </c>
      <c r="B2822" s="4" t="str">
        <f>HYPERLINK("https://twitter.com/sergio_fajardo","@sergio_fajardo")</f>
        <v>@sergio_fajardo</v>
      </c>
      <c r="C2822" s="5" t="s">
        <v>16</v>
      </c>
      <c r="D2822" s="5" t="s">
        <v>2843</v>
      </c>
      <c r="E2822" s="6" t="str">
        <f>HYPERLINK("https://twitter.com/sergio_fajardo/status/1430357191844933635","1430357191844933635")</f>
        <v>1430357191844933635</v>
      </c>
      <c r="F2822" s="7" t="s">
        <v>17</v>
      </c>
      <c r="G2822" s="7">
        <v>1593342</v>
      </c>
      <c r="H2822" s="7">
        <v>529</v>
      </c>
      <c r="I2822" s="7">
        <v>4</v>
      </c>
      <c r="J2822" s="7">
        <v>0</v>
      </c>
      <c r="K2822" s="7" t="s">
        <v>18</v>
      </c>
      <c r="L2822" s="8">
        <v>39891.213356481479</v>
      </c>
      <c r="M2822" s="9" t="s">
        <v>19</v>
      </c>
      <c r="N2822" s="9" t="s">
        <v>22</v>
      </c>
      <c r="O2822" s="6" t="str">
        <f>HYPERLINK("https://pbs.twimg.com/profile_images/988971255679324162/jrqiIYf__normal.jpg","View")</f>
        <v>View</v>
      </c>
      <c r="P2822" s="7"/>
    </row>
    <row r="2823" spans="1:16">
      <c r="A2823" s="3">
        <v>44433.337557870371</v>
      </c>
      <c r="B2823" s="4" t="str">
        <f>HYPERLINK("https://twitter.com/sergio_fajardo","@sergio_fajardo")</f>
        <v>@sergio_fajardo</v>
      </c>
      <c r="C2823" s="5" t="s">
        <v>16</v>
      </c>
      <c r="D2823" s="5" t="s">
        <v>2844</v>
      </c>
      <c r="E2823" s="6" t="str">
        <f>HYPERLINK("https://twitter.com/sergio_fajardo/status/1430358287753560064","1430358287753560064")</f>
        <v>1430358287753560064</v>
      </c>
      <c r="F2823" s="7" t="s">
        <v>17</v>
      </c>
      <c r="G2823" s="7">
        <v>1593347</v>
      </c>
      <c r="H2823" s="7">
        <v>529</v>
      </c>
      <c r="I2823" s="7">
        <v>0</v>
      </c>
      <c r="J2823" s="7">
        <v>1</v>
      </c>
      <c r="K2823" s="7" t="s">
        <v>18</v>
      </c>
      <c r="L2823" s="8">
        <v>39891.213356481479</v>
      </c>
      <c r="M2823" s="9" t="s">
        <v>19</v>
      </c>
      <c r="N2823" s="9" t="s">
        <v>22</v>
      </c>
      <c r="O2823" s="6" t="str">
        <f>HYPERLINK("https://pbs.twimg.com/profile_images/988971255679324162/jrqiIYf__normal.jpg","View")</f>
        <v>View</v>
      </c>
      <c r="P2823" s="7"/>
    </row>
    <row r="2824" spans="1:16">
      <c r="A2824" s="3">
        <v>44433.338113425925</v>
      </c>
      <c r="B2824" s="4" t="str">
        <f>HYPERLINK("https://twitter.com/sergio_fajardo","@sergio_fajardo")</f>
        <v>@sergio_fajardo</v>
      </c>
      <c r="C2824" s="5" t="s">
        <v>16</v>
      </c>
      <c r="D2824" s="5" t="s">
        <v>2845</v>
      </c>
      <c r="E2824" s="6" t="str">
        <f>HYPERLINK("https://twitter.com/sergio_fajardo/status/1430358490816602115","1430358490816602115")</f>
        <v>1430358490816602115</v>
      </c>
      <c r="F2824" s="7" t="s">
        <v>17</v>
      </c>
      <c r="G2824" s="7">
        <v>1593347</v>
      </c>
      <c r="H2824" s="7">
        <v>529</v>
      </c>
      <c r="I2824" s="7">
        <v>10</v>
      </c>
      <c r="J2824" s="7">
        <v>61</v>
      </c>
      <c r="K2824" s="7" t="s">
        <v>18</v>
      </c>
      <c r="L2824" s="8">
        <v>39891.213356481479</v>
      </c>
      <c r="M2824" s="9" t="s">
        <v>19</v>
      </c>
      <c r="N2824" s="9" t="s">
        <v>22</v>
      </c>
      <c r="O2824" s="6" t="str">
        <f>HYPERLINK("https://pbs.twimg.com/profile_images/988971255679324162/jrqiIYf__normal.jpg","View")</f>
        <v>View</v>
      </c>
      <c r="P2824" s="7"/>
    </row>
    <row r="2825" spans="1:16">
      <c r="A2825" s="3">
        <v>44433.639224537037</v>
      </c>
      <c r="B2825" s="4" t="str">
        <f>HYPERLINK("https://twitter.com/sergio_fajardo","@sergio_fajardo")</f>
        <v>@sergio_fajardo</v>
      </c>
      <c r="C2825" s="5" t="s">
        <v>16</v>
      </c>
      <c r="D2825" s="5" t="s">
        <v>2846</v>
      </c>
      <c r="E2825" s="6" t="str">
        <f>HYPERLINK("https://twitter.com/sergio_fajardo/status/1430467610697781250","1430467610697781250")</f>
        <v>1430467610697781250</v>
      </c>
      <c r="F2825" s="7" t="s">
        <v>17</v>
      </c>
      <c r="G2825" s="7">
        <v>1593356</v>
      </c>
      <c r="H2825" s="7">
        <v>529</v>
      </c>
      <c r="I2825" s="7">
        <v>6</v>
      </c>
      <c r="J2825" s="7">
        <v>0</v>
      </c>
      <c r="K2825" s="7" t="s">
        <v>18</v>
      </c>
      <c r="L2825" s="8">
        <v>39891.213356481479</v>
      </c>
      <c r="M2825" s="9" t="s">
        <v>19</v>
      </c>
      <c r="N2825" s="9" t="s">
        <v>22</v>
      </c>
      <c r="O2825" s="6" t="str">
        <f>HYPERLINK("https://pbs.twimg.com/profile_images/988971255679324162/jrqiIYf__normal.jpg","View")</f>
        <v>View</v>
      </c>
      <c r="P2825" s="7"/>
    </row>
    <row r="2826" spans="1:16">
      <c r="A2826" s="3">
        <v>44433.63925925926</v>
      </c>
      <c r="B2826" s="4" t="str">
        <f>HYPERLINK("https://twitter.com/sergio_fajardo","@sergio_fajardo")</f>
        <v>@sergio_fajardo</v>
      </c>
      <c r="C2826" s="5" t="s">
        <v>16</v>
      </c>
      <c r="D2826" s="5" t="s">
        <v>2847</v>
      </c>
      <c r="E2826" s="6" t="str">
        <f>HYPERLINK("https://twitter.com/sergio_fajardo/status/1430467620868874245","1430467620868874245")</f>
        <v>1430467620868874245</v>
      </c>
      <c r="F2826" s="7" t="s">
        <v>17</v>
      </c>
      <c r="G2826" s="7">
        <v>1593356</v>
      </c>
      <c r="H2826" s="7">
        <v>529</v>
      </c>
      <c r="I2826" s="7">
        <v>4</v>
      </c>
      <c r="J2826" s="7">
        <v>0</v>
      </c>
      <c r="K2826" s="7" t="s">
        <v>18</v>
      </c>
      <c r="L2826" s="8">
        <v>39891.213356481479</v>
      </c>
      <c r="M2826" s="9" t="s">
        <v>19</v>
      </c>
      <c r="N2826" s="9" t="s">
        <v>22</v>
      </c>
      <c r="O2826" s="6" t="str">
        <f>HYPERLINK("https://pbs.twimg.com/profile_images/988971255679324162/jrqiIYf__normal.jpg","View")</f>
        <v>View</v>
      </c>
      <c r="P2826" s="7"/>
    </row>
    <row r="2827" spans="1:16">
      <c r="A2827" s="3">
        <v>44433.731481481482</v>
      </c>
      <c r="B2827" s="4" t="str">
        <f>HYPERLINK("https://twitter.com/sergio_fajardo","@sergio_fajardo")</f>
        <v>@sergio_fajardo</v>
      </c>
      <c r="C2827" s="5" t="s">
        <v>16</v>
      </c>
      <c r="D2827" s="5" t="s">
        <v>2848</v>
      </c>
      <c r="E2827" s="6" t="str">
        <f>HYPERLINK("https://twitter.com/sergio_fajardo/status/1430501043901763585","1430501043901763585")</f>
        <v>1430501043901763585</v>
      </c>
      <c r="F2827" s="7" t="s">
        <v>17</v>
      </c>
      <c r="G2827" s="7">
        <v>1593382</v>
      </c>
      <c r="H2827" s="7">
        <v>530</v>
      </c>
      <c r="I2827" s="7">
        <v>457</v>
      </c>
      <c r="J2827" s="7">
        <v>0</v>
      </c>
      <c r="K2827" s="7" t="s">
        <v>18</v>
      </c>
      <c r="L2827" s="8">
        <v>39891.213356481479</v>
      </c>
      <c r="M2827" s="9" t="s">
        <v>19</v>
      </c>
      <c r="N2827" s="9" t="s">
        <v>22</v>
      </c>
      <c r="O2827" s="6" t="str">
        <f>HYPERLINK("https://pbs.twimg.com/profile_images/988971255679324162/jrqiIYf__normal.jpg","View")</f>
        <v>View</v>
      </c>
      <c r="P2827" s="7"/>
    </row>
    <row r="2828" spans="1:16">
      <c r="A2828" s="3">
        <v>44433.752013888894</v>
      </c>
      <c r="B2828" s="4" t="str">
        <f>HYPERLINK("https://twitter.com/sergio_fajardo","@sergio_fajardo")</f>
        <v>@sergio_fajardo</v>
      </c>
      <c r="C2828" s="5" t="s">
        <v>16</v>
      </c>
      <c r="D2828" s="5" t="s">
        <v>2849</v>
      </c>
      <c r="E2828" s="6" t="str">
        <f>HYPERLINK("https://twitter.com/sergio_fajardo/status/1430508483653378049","1430508483653378049")</f>
        <v>1430508483653378049</v>
      </c>
      <c r="F2828" s="7" t="s">
        <v>17</v>
      </c>
      <c r="G2828" s="7">
        <v>1593383</v>
      </c>
      <c r="H2828" s="7">
        <v>531</v>
      </c>
      <c r="I2828" s="7">
        <v>2</v>
      </c>
      <c r="J2828" s="7">
        <v>18</v>
      </c>
      <c r="K2828" s="7" t="s">
        <v>18</v>
      </c>
      <c r="L2828" s="8">
        <v>39891.213356481479</v>
      </c>
      <c r="M2828" s="9" t="s">
        <v>19</v>
      </c>
      <c r="N2828" s="9" t="s">
        <v>22</v>
      </c>
      <c r="O2828" s="6" t="str">
        <f>HYPERLINK("https://pbs.twimg.com/profile_images/988971255679324162/jrqiIYf__normal.jpg","View")</f>
        <v>View</v>
      </c>
      <c r="P2828" s="7"/>
    </row>
    <row r="2829" spans="1:16">
      <c r="A2829" s="3">
        <v>44433.752129629633</v>
      </c>
      <c r="B2829" s="4" t="str">
        <f>HYPERLINK("https://twitter.com/sergio_fajardo","@sergio_fajardo")</f>
        <v>@sergio_fajardo</v>
      </c>
      <c r="C2829" s="5" t="s">
        <v>16</v>
      </c>
      <c r="D2829" s="5" t="s">
        <v>2850</v>
      </c>
      <c r="E2829" s="6" t="str">
        <f>HYPERLINK("https://twitter.com/sergio_fajardo/status/1430508523197194246","1430508523197194246")</f>
        <v>1430508523197194246</v>
      </c>
      <c r="F2829" s="7" t="s">
        <v>23</v>
      </c>
      <c r="G2829" s="7">
        <v>1593383</v>
      </c>
      <c r="H2829" s="7">
        <v>531</v>
      </c>
      <c r="I2829" s="7">
        <v>10</v>
      </c>
      <c r="J2829" s="7">
        <v>0</v>
      </c>
      <c r="K2829" s="7" t="s">
        <v>18</v>
      </c>
      <c r="L2829" s="8">
        <v>39891.213356481479</v>
      </c>
      <c r="M2829" s="9" t="s">
        <v>19</v>
      </c>
      <c r="N2829" s="9" t="s">
        <v>22</v>
      </c>
      <c r="O2829" s="6" t="str">
        <f>HYPERLINK("https://pbs.twimg.com/profile_images/988971255679324162/jrqiIYf__normal.jpg","View")</f>
        <v>View</v>
      </c>
      <c r="P2829" s="7"/>
    </row>
    <row r="2830" spans="1:16">
      <c r="A2830" s="3">
        <v>44433.790289351848</v>
      </c>
      <c r="B2830" s="4" t="str">
        <f>HYPERLINK("https://twitter.com/sergio_fajardo","@sergio_fajardo")</f>
        <v>@sergio_fajardo</v>
      </c>
      <c r="C2830" s="5" t="s">
        <v>16</v>
      </c>
      <c r="D2830" s="5" t="s">
        <v>2851</v>
      </c>
      <c r="E2830" s="6" t="str">
        <f>HYPERLINK("https://twitter.com/sergio_fajardo/status/1430522351691702272","1430522351691702272")</f>
        <v>1430522351691702272</v>
      </c>
      <c r="F2830" s="7" t="s">
        <v>17</v>
      </c>
      <c r="G2830" s="7">
        <v>1593393</v>
      </c>
      <c r="H2830" s="7">
        <v>531</v>
      </c>
      <c r="I2830" s="7">
        <v>0</v>
      </c>
      <c r="J2830" s="7">
        <v>5</v>
      </c>
      <c r="K2830" s="7" t="s">
        <v>18</v>
      </c>
      <c r="L2830" s="8">
        <v>39891.213356481479</v>
      </c>
      <c r="M2830" s="9" t="s">
        <v>19</v>
      </c>
      <c r="N2830" s="9" t="s">
        <v>22</v>
      </c>
      <c r="O2830" s="6" t="str">
        <f>HYPERLINK("https://pbs.twimg.com/profile_images/988971255679324162/jrqiIYf__normal.jpg","View")</f>
        <v>View</v>
      </c>
      <c r="P2830" s="7"/>
    </row>
    <row r="2831" spans="1:16">
      <c r="A2831" s="3">
        <v>44433.859699074077</v>
      </c>
      <c r="B2831" s="4" t="str">
        <f>HYPERLINK("https://twitter.com/sergio_fajardo","@sergio_fajardo")</f>
        <v>@sergio_fajardo</v>
      </c>
      <c r="C2831" s="5" t="s">
        <v>16</v>
      </c>
      <c r="D2831" s="5" t="s">
        <v>2852</v>
      </c>
      <c r="E2831" s="6" t="str">
        <f>HYPERLINK("https://twitter.com/sergio_fajardo/status/1430547505847152641","1430547505847152641")</f>
        <v>1430547505847152641</v>
      </c>
      <c r="F2831" s="7" t="s">
        <v>23</v>
      </c>
      <c r="G2831" s="7">
        <v>1593408</v>
      </c>
      <c r="H2831" s="7">
        <v>531</v>
      </c>
      <c r="I2831" s="7">
        <v>8</v>
      </c>
      <c r="J2831" s="7">
        <v>0</v>
      </c>
      <c r="K2831" s="7" t="s">
        <v>18</v>
      </c>
      <c r="L2831" s="8">
        <v>39891.213356481479</v>
      </c>
      <c r="M2831" s="9" t="s">
        <v>19</v>
      </c>
      <c r="N2831" s="9" t="s">
        <v>22</v>
      </c>
      <c r="O2831" s="6" t="str">
        <f>HYPERLINK("https://pbs.twimg.com/profile_images/988971255679324162/jrqiIYf__normal.jpg","View")</f>
        <v>View</v>
      </c>
      <c r="P2831" s="7"/>
    </row>
    <row r="2832" spans="1:16">
      <c r="A2832" s="3">
        <v>44433.946400462963</v>
      </c>
      <c r="B2832" s="4" t="str">
        <f>HYPERLINK("https://twitter.com/sergio_fajardo","@sergio_fajardo")</f>
        <v>@sergio_fajardo</v>
      </c>
      <c r="C2832" s="5" t="s">
        <v>16</v>
      </c>
      <c r="D2832" s="5" t="s">
        <v>2853</v>
      </c>
      <c r="E2832" s="6" t="str">
        <f>HYPERLINK("https://twitter.com/sergio_fajardo/status/1430578927974617090","1430578927974617090")</f>
        <v>1430578927974617090</v>
      </c>
      <c r="F2832" s="7" t="s">
        <v>17</v>
      </c>
      <c r="G2832" s="7">
        <v>1593431</v>
      </c>
      <c r="H2832" s="7">
        <v>531</v>
      </c>
      <c r="I2832" s="7">
        <v>7</v>
      </c>
      <c r="J2832" s="7">
        <v>0</v>
      </c>
      <c r="K2832" s="7" t="s">
        <v>18</v>
      </c>
      <c r="L2832" s="8">
        <v>39891.213356481479</v>
      </c>
      <c r="M2832" s="9" t="s">
        <v>19</v>
      </c>
      <c r="N2832" s="9" t="s">
        <v>22</v>
      </c>
      <c r="O2832" s="6" t="str">
        <f>HYPERLINK("https://pbs.twimg.com/profile_images/988971255679324162/jrqiIYf__normal.jpg","View")</f>
        <v>View</v>
      </c>
      <c r="P2832" s="7"/>
    </row>
    <row r="2833" spans="1:16">
      <c r="A2833" s="3">
        <v>44433.950960648144</v>
      </c>
      <c r="B2833" s="4" t="str">
        <f>HYPERLINK("https://twitter.com/sergio_fajardo","@sergio_fajardo")</f>
        <v>@sergio_fajardo</v>
      </c>
      <c r="C2833" s="5" t="s">
        <v>16</v>
      </c>
      <c r="D2833" s="5" t="s">
        <v>2854</v>
      </c>
      <c r="E2833" s="6" t="str">
        <f>HYPERLINK("https://twitter.com/sergio_fajardo/status/1430580579569999880","1430580579569999880")</f>
        <v>1430580579569999880</v>
      </c>
      <c r="F2833" s="7" t="s">
        <v>23</v>
      </c>
      <c r="G2833" s="7">
        <v>1593431</v>
      </c>
      <c r="H2833" s="7">
        <v>531</v>
      </c>
      <c r="I2833" s="7">
        <v>7</v>
      </c>
      <c r="J2833" s="7">
        <v>26</v>
      </c>
      <c r="K2833" s="7" t="s">
        <v>18</v>
      </c>
      <c r="L2833" s="8">
        <v>39891.213356481479</v>
      </c>
      <c r="M2833" s="9" t="s">
        <v>19</v>
      </c>
      <c r="N2833" s="9" t="s">
        <v>22</v>
      </c>
      <c r="O2833" s="6" t="str">
        <f>HYPERLINK("https://pbs.twimg.com/profile_images/988971255679324162/jrqiIYf__normal.jpg","View")</f>
        <v>View</v>
      </c>
      <c r="P2833" s="7"/>
    </row>
    <row r="2834" spans="1:16">
      <c r="A2834" s="3">
        <v>44434.093969907408</v>
      </c>
      <c r="B2834" s="4" t="str">
        <f>HYPERLINK("https://twitter.com/sergio_fajardo","@sergio_fajardo")</f>
        <v>@sergio_fajardo</v>
      </c>
      <c r="C2834" s="5" t="s">
        <v>16</v>
      </c>
      <c r="D2834" s="5" t="s">
        <v>2855</v>
      </c>
      <c r="E2834" s="6" t="str">
        <f>HYPERLINK("https://twitter.com/sergio_fajardo/status/1430632401831669761","1430632401831669761")</f>
        <v>1430632401831669761</v>
      </c>
      <c r="F2834" s="7" t="s">
        <v>23</v>
      </c>
      <c r="G2834" s="7">
        <v>1593449</v>
      </c>
      <c r="H2834" s="7">
        <v>531</v>
      </c>
      <c r="I2834" s="7">
        <v>8</v>
      </c>
      <c r="J2834" s="7">
        <v>31</v>
      </c>
      <c r="K2834" s="7" t="s">
        <v>18</v>
      </c>
      <c r="L2834" s="8">
        <v>39891.213356481479</v>
      </c>
      <c r="M2834" s="9" t="s">
        <v>19</v>
      </c>
      <c r="N2834" s="9" t="s">
        <v>22</v>
      </c>
      <c r="O2834" s="6" t="str">
        <f>HYPERLINK("https://pbs.twimg.com/profile_images/988971255679324162/jrqiIYf__normal.jpg","View")</f>
        <v>View</v>
      </c>
      <c r="P2834" s="7"/>
    </row>
    <row r="2835" spans="1:16">
      <c r="A2835" s="3">
        <v>44434.111793981487</v>
      </c>
      <c r="B2835" s="4" t="str">
        <f>HYPERLINK("https://twitter.com/sergio_fajardo","@sergio_fajardo")</f>
        <v>@sergio_fajardo</v>
      </c>
      <c r="C2835" s="5" t="s">
        <v>16</v>
      </c>
      <c r="D2835" s="5" t="s">
        <v>2856</v>
      </c>
      <c r="E2835" s="6" t="str">
        <f>HYPERLINK("https://twitter.com/sergio_fajardo/status/1430638863509241862","1430638863509241862")</f>
        <v>1430638863509241862</v>
      </c>
      <c r="F2835" s="7" t="s">
        <v>17</v>
      </c>
      <c r="G2835" s="7">
        <v>1593447</v>
      </c>
      <c r="H2835" s="7">
        <v>531</v>
      </c>
      <c r="I2835" s="7">
        <v>14</v>
      </c>
      <c r="J2835" s="7">
        <v>44</v>
      </c>
      <c r="K2835" s="7" t="s">
        <v>18</v>
      </c>
      <c r="L2835" s="8">
        <v>39891.213356481479</v>
      </c>
      <c r="M2835" s="9" t="s">
        <v>19</v>
      </c>
      <c r="N2835" s="9" t="s">
        <v>22</v>
      </c>
      <c r="O2835" s="6" t="str">
        <f>HYPERLINK("https://pbs.twimg.com/profile_images/988971255679324162/jrqiIYf__normal.jpg","View")</f>
        <v>View</v>
      </c>
      <c r="P2835" s="7"/>
    </row>
    <row r="2836" spans="1:16">
      <c r="A2836" s="3">
        <v>44434.231180555551</v>
      </c>
      <c r="B2836" s="4" t="str">
        <f>HYPERLINK("https://twitter.com/sergio_fajardo","@sergio_fajardo")</f>
        <v>@sergio_fajardo</v>
      </c>
      <c r="C2836" s="5" t="s">
        <v>16</v>
      </c>
      <c r="D2836" s="5" t="s">
        <v>2857</v>
      </c>
      <c r="E2836" s="6" t="str">
        <f>HYPERLINK("https://twitter.com/sergio_fajardo/status/1430682124923899909","1430682124923899909")</f>
        <v>1430682124923899909</v>
      </c>
      <c r="F2836" s="7" t="s">
        <v>23</v>
      </c>
      <c r="G2836" s="7">
        <v>1593457</v>
      </c>
      <c r="H2836" s="7">
        <v>531</v>
      </c>
      <c r="I2836" s="7">
        <v>4</v>
      </c>
      <c r="J2836" s="7">
        <v>16</v>
      </c>
      <c r="K2836" s="7" t="s">
        <v>18</v>
      </c>
      <c r="L2836" s="8">
        <v>39891.213356481479</v>
      </c>
      <c r="M2836" s="9" t="s">
        <v>19</v>
      </c>
      <c r="N2836" s="9" t="s">
        <v>22</v>
      </c>
      <c r="O2836" s="6" t="str">
        <f>HYPERLINK("https://pbs.twimg.com/profile_images/988971255679324162/jrqiIYf__normal.jpg","View")</f>
        <v>View</v>
      </c>
      <c r="P2836" s="7"/>
    </row>
    <row r="2837" spans="1:16">
      <c r="A2837" s="3">
        <v>44434.265335648146</v>
      </c>
      <c r="B2837" s="4" t="str">
        <f>HYPERLINK("https://twitter.com/sergio_fajardo","@sergio_fajardo")</f>
        <v>@sergio_fajardo</v>
      </c>
      <c r="C2837" s="5" t="s">
        <v>16</v>
      </c>
      <c r="D2837" s="5" t="s">
        <v>2858</v>
      </c>
      <c r="E2837" s="6" t="str">
        <f>HYPERLINK("https://twitter.com/sergio_fajardo/status/1430694502537342977","1430694502537342977")</f>
        <v>1430694502537342977</v>
      </c>
      <c r="F2837" s="7" t="s">
        <v>17</v>
      </c>
      <c r="G2837" s="7">
        <v>1593460</v>
      </c>
      <c r="H2837" s="7">
        <v>531</v>
      </c>
      <c r="I2837" s="7">
        <v>7</v>
      </c>
      <c r="J2837" s="7">
        <v>0</v>
      </c>
      <c r="K2837" s="7" t="s">
        <v>18</v>
      </c>
      <c r="L2837" s="8">
        <v>39891.213356481479</v>
      </c>
      <c r="M2837" s="9" t="s">
        <v>19</v>
      </c>
      <c r="N2837" s="9" t="s">
        <v>22</v>
      </c>
      <c r="O2837" s="6" t="str">
        <f>HYPERLINK("https://pbs.twimg.com/profile_images/988971255679324162/jrqiIYf__normal.jpg","View")</f>
        <v>View</v>
      </c>
      <c r="P2837" s="7"/>
    </row>
    <row r="2838" spans="1:16">
      <c r="A2838" s="3">
        <v>44434.268391203703</v>
      </c>
      <c r="B2838" s="4" t="str">
        <f>HYPERLINK("https://twitter.com/sergio_fajardo","@sergio_fajardo")</f>
        <v>@sergio_fajardo</v>
      </c>
      <c r="C2838" s="5" t="s">
        <v>16</v>
      </c>
      <c r="D2838" s="5" t="s">
        <v>2859</v>
      </c>
      <c r="E2838" s="6" t="str">
        <f>HYPERLINK("https://twitter.com/sergio_fajardo/status/1430695613151199241","1430695613151199241")</f>
        <v>1430695613151199241</v>
      </c>
      <c r="F2838" s="7" t="s">
        <v>17</v>
      </c>
      <c r="G2838" s="7">
        <v>1593460</v>
      </c>
      <c r="H2838" s="7">
        <v>531</v>
      </c>
      <c r="I2838" s="7">
        <v>8</v>
      </c>
      <c r="J2838" s="7">
        <v>0</v>
      </c>
      <c r="K2838" s="7" t="s">
        <v>18</v>
      </c>
      <c r="L2838" s="8">
        <v>39891.213356481479</v>
      </c>
      <c r="M2838" s="9" t="s">
        <v>19</v>
      </c>
      <c r="N2838" s="9" t="s">
        <v>22</v>
      </c>
      <c r="O2838" s="6" t="str">
        <f>HYPERLINK("https://pbs.twimg.com/profile_images/988971255679324162/jrqiIYf__normal.jpg","View")</f>
        <v>View</v>
      </c>
      <c r="P2838" s="7"/>
    </row>
    <row r="2839" spans="1:16">
      <c r="A2839" s="3">
        <v>44434.782453703709</v>
      </c>
      <c r="B2839" s="4" t="str">
        <f>HYPERLINK("https://twitter.com/sergio_fajardo","@sergio_fajardo")</f>
        <v>@sergio_fajardo</v>
      </c>
      <c r="C2839" s="5" t="s">
        <v>16</v>
      </c>
      <c r="D2839" s="5" t="s">
        <v>2860</v>
      </c>
      <c r="E2839" s="6" t="str">
        <f>HYPERLINK("https://twitter.com/sergio_fajardo/status/1430881902571962371","1430881902571962371")</f>
        <v>1430881902571962371</v>
      </c>
      <c r="F2839" s="7" t="s">
        <v>17</v>
      </c>
      <c r="G2839" s="7">
        <v>1593466</v>
      </c>
      <c r="H2839" s="7">
        <v>531</v>
      </c>
      <c r="I2839" s="7">
        <v>20</v>
      </c>
      <c r="J2839" s="7">
        <v>89</v>
      </c>
      <c r="K2839" s="7" t="s">
        <v>18</v>
      </c>
      <c r="L2839" s="8">
        <v>39891.213356481479</v>
      </c>
      <c r="M2839" s="9" t="s">
        <v>19</v>
      </c>
      <c r="N2839" s="9" t="s">
        <v>22</v>
      </c>
      <c r="O2839" s="6" t="str">
        <f>HYPERLINK("https://pbs.twimg.com/profile_images/988971255679324162/jrqiIYf__normal.jpg","View")</f>
        <v>View</v>
      </c>
      <c r="P2839" s="7"/>
    </row>
    <row r="2840" spans="1:16">
      <c r="A2840" s="3">
        <v>44434.821087962962</v>
      </c>
      <c r="B2840" s="4" t="str">
        <f>HYPERLINK("https://twitter.com/sergio_fajardo","@sergio_fajardo")</f>
        <v>@sergio_fajardo</v>
      </c>
      <c r="C2840" s="5" t="s">
        <v>16</v>
      </c>
      <c r="D2840" s="5" t="s">
        <v>2861</v>
      </c>
      <c r="E2840" s="6" t="str">
        <f>HYPERLINK("https://twitter.com/sergio_fajardo/status/1430895901258649605","1430895901258649605")</f>
        <v>1430895901258649605</v>
      </c>
      <c r="F2840" s="7" t="s">
        <v>23</v>
      </c>
      <c r="G2840" s="7">
        <v>1593394</v>
      </c>
      <c r="H2840" s="7">
        <v>531</v>
      </c>
      <c r="I2840" s="7">
        <v>9</v>
      </c>
      <c r="J2840" s="7">
        <v>27</v>
      </c>
      <c r="K2840" s="7" t="s">
        <v>18</v>
      </c>
      <c r="L2840" s="8">
        <v>39891.213356481479</v>
      </c>
      <c r="M2840" s="9" t="s">
        <v>19</v>
      </c>
      <c r="N2840" s="9" t="s">
        <v>22</v>
      </c>
      <c r="O2840" s="6" t="str">
        <f>HYPERLINK("https://pbs.twimg.com/profile_images/988971255679324162/jrqiIYf__normal.jpg","View")</f>
        <v>View</v>
      </c>
      <c r="P2840" s="7"/>
    </row>
    <row r="2841" spans="1:16">
      <c r="A2841" s="3">
        <v>44434.861655092594</v>
      </c>
      <c r="B2841" s="4" t="str">
        <f>HYPERLINK("https://twitter.com/sergio_fajardo","@sergio_fajardo")</f>
        <v>@sergio_fajardo</v>
      </c>
      <c r="C2841" s="5" t="s">
        <v>16</v>
      </c>
      <c r="D2841" s="5" t="s">
        <v>2862</v>
      </c>
      <c r="E2841" s="6" t="str">
        <f>HYPERLINK("https://twitter.com/sergio_fajardo/status/1430910602243985408","1430910602243985408")</f>
        <v>1430910602243985408</v>
      </c>
      <c r="F2841" s="7" t="s">
        <v>23</v>
      </c>
      <c r="G2841" s="7">
        <v>1593480</v>
      </c>
      <c r="H2841" s="7">
        <v>531</v>
      </c>
      <c r="I2841" s="7">
        <v>4</v>
      </c>
      <c r="J2841" s="7">
        <v>52</v>
      </c>
      <c r="K2841" s="7" t="s">
        <v>18</v>
      </c>
      <c r="L2841" s="8">
        <v>39891.213356481479</v>
      </c>
      <c r="M2841" s="9" t="s">
        <v>19</v>
      </c>
      <c r="N2841" s="9" t="s">
        <v>22</v>
      </c>
      <c r="O2841" s="6" t="str">
        <f>HYPERLINK("https://pbs.twimg.com/profile_images/988971255679324162/jrqiIYf__normal.jpg","View")</f>
        <v>View</v>
      </c>
      <c r="P2841" s="7"/>
    </row>
    <row r="2842" spans="1:16">
      <c r="A2842" s="3">
        <v>44435.147025462968</v>
      </c>
      <c r="B2842" s="4" t="str">
        <f>HYPERLINK("https://twitter.com/sergio_fajardo","@sergio_fajardo")</f>
        <v>@sergio_fajardo</v>
      </c>
      <c r="C2842" s="5" t="s">
        <v>16</v>
      </c>
      <c r="D2842" s="5" t="s">
        <v>2863</v>
      </c>
      <c r="E2842" s="6" t="str">
        <f>HYPERLINK("https://twitter.com/sergio_fajardo/status/1431014019066892290","1431014019066892290")</f>
        <v>1431014019066892290</v>
      </c>
      <c r="F2842" s="7" t="s">
        <v>20</v>
      </c>
      <c r="G2842" s="7">
        <v>1593494</v>
      </c>
      <c r="H2842" s="7">
        <v>531</v>
      </c>
      <c r="I2842" s="7">
        <v>18</v>
      </c>
      <c r="J2842" s="7">
        <v>0</v>
      </c>
      <c r="K2842" s="7" t="s">
        <v>18</v>
      </c>
      <c r="L2842" s="8">
        <v>39891.213356481479</v>
      </c>
      <c r="M2842" s="9" t="s">
        <v>19</v>
      </c>
      <c r="N2842" s="9" t="s">
        <v>22</v>
      </c>
      <c r="O2842" s="6" t="str">
        <f>HYPERLINK("https://pbs.twimg.com/profile_images/988971255679324162/jrqiIYf__normal.jpg","View")</f>
        <v>View</v>
      </c>
      <c r="P2842" s="7"/>
    </row>
    <row r="2843" spans="1:16">
      <c r="A2843" s="3">
        <v>44435.758773148147</v>
      </c>
      <c r="B2843" s="4" t="str">
        <f>HYPERLINK("https://twitter.com/sergio_fajardo","@sergio_fajardo")</f>
        <v>@sergio_fajardo</v>
      </c>
      <c r="C2843" s="5" t="s">
        <v>16</v>
      </c>
      <c r="D2843" s="5" t="s">
        <v>2864</v>
      </c>
      <c r="E2843" s="6" t="str">
        <f>HYPERLINK("https://twitter.com/sergio_fajardo/status/1431235707100663811","1431235707100663811")</f>
        <v>1431235707100663811</v>
      </c>
      <c r="F2843" s="7" t="s">
        <v>17</v>
      </c>
      <c r="G2843" s="7">
        <v>1593544</v>
      </c>
      <c r="H2843" s="7">
        <v>531</v>
      </c>
      <c r="I2843" s="7">
        <v>37</v>
      </c>
      <c r="J2843" s="7">
        <v>169</v>
      </c>
      <c r="K2843" s="7" t="s">
        <v>18</v>
      </c>
      <c r="L2843" s="8">
        <v>39891.213356481479</v>
      </c>
      <c r="M2843" s="9" t="s">
        <v>19</v>
      </c>
      <c r="N2843" s="9" t="s">
        <v>22</v>
      </c>
      <c r="O2843" s="6" t="str">
        <f>HYPERLINK("https://pbs.twimg.com/profile_images/988971255679324162/jrqiIYf__normal.jpg","View")</f>
        <v>View</v>
      </c>
      <c r="P2843" s="7"/>
    </row>
    <row r="2844" spans="1:16">
      <c r="A2844" s="3">
        <v>44435.893368055556</v>
      </c>
      <c r="B2844" s="4" t="str">
        <f>HYPERLINK("https://twitter.com/sergio_fajardo","@sergio_fajardo")</f>
        <v>@sergio_fajardo</v>
      </c>
      <c r="C2844" s="5" t="s">
        <v>16</v>
      </c>
      <c r="D2844" s="5" t="s">
        <v>2865</v>
      </c>
      <c r="E2844" s="6" t="str">
        <f>HYPERLINK("https://twitter.com/sergio_fajardo/status/1431284484624814081","1431284484624814081")</f>
        <v>1431284484624814081</v>
      </c>
      <c r="F2844" s="7" t="s">
        <v>23</v>
      </c>
      <c r="G2844" s="7">
        <v>1593570</v>
      </c>
      <c r="H2844" s="7">
        <v>531</v>
      </c>
      <c r="I2844" s="7">
        <v>7</v>
      </c>
      <c r="J2844" s="7">
        <v>66</v>
      </c>
      <c r="K2844" s="7" t="s">
        <v>18</v>
      </c>
      <c r="L2844" s="8">
        <v>39891.213356481479</v>
      </c>
      <c r="M2844" s="9" t="s">
        <v>19</v>
      </c>
      <c r="N2844" s="9" t="s">
        <v>22</v>
      </c>
      <c r="O2844" s="6" t="str">
        <f>HYPERLINK("https://pbs.twimg.com/profile_images/988971255679324162/jrqiIYf__normal.jpg","View")</f>
        <v>View</v>
      </c>
      <c r="P2844" s="7"/>
    </row>
    <row r="2845" spans="1:16">
      <c r="A2845" s="3">
        <v>44435.931180555555</v>
      </c>
      <c r="B2845" s="4" t="str">
        <f>HYPERLINK("https://twitter.com/sergio_fajardo","@sergio_fajardo")</f>
        <v>@sergio_fajardo</v>
      </c>
      <c r="C2845" s="5" t="s">
        <v>16</v>
      </c>
      <c r="D2845" s="5" t="s">
        <v>2866</v>
      </c>
      <c r="E2845" s="6" t="str">
        <f>HYPERLINK("https://twitter.com/sergio_fajardo/status/1431298186107367431","1431298186107367431")</f>
        <v>1431298186107367431</v>
      </c>
      <c r="F2845" s="7" t="s">
        <v>17</v>
      </c>
      <c r="G2845" s="7">
        <v>1593561</v>
      </c>
      <c r="H2845" s="7">
        <v>531</v>
      </c>
      <c r="I2845" s="7">
        <v>19</v>
      </c>
      <c r="J2845" s="7">
        <v>83</v>
      </c>
      <c r="K2845" s="7" t="s">
        <v>18</v>
      </c>
      <c r="L2845" s="8">
        <v>39891.213356481479</v>
      </c>
      <c r="M2845" s="9" t="s">
        <v>19</v>
      </c>
      <c r="N2845" s="9" t="s">
        <v>22</v>
      </c>
      <c r="O2845" s="6" t="str">
        <f>HYPERLINK("https://pbs.twimg.com/profile_images/988971255679324162/jrqiIYf__normal.jpg","View")</f>
        <v>View</v>
      </c>
      <c r="P2845" s="7"/>
    </row>
    <row r="2846" spans="1:16">
      <c r="A2846" s="3">
        <v>44436.031990740739</v>
      </c>
      <c r="B2846" s="4" t="str">
        <f>HYPERLINK("https://twitter.com/sergio_fajardo","@sergio_fajardo")</f>
        <v>@sergio_fajardo</v>
      </c>
      <c r="C2846" s="5" t="s">
        <v>16</v>
      </c>
      <c r="D2846" s="5" t="s">
        <v>2867</v>
      </c>
      <c r="E2846" s="6" t="str">
        <f>HYPERLINK("https://twitter.com/sergio_fajardo/status/1431334717157253122","1431334717157253122")</f>
        <v>1431334717157253122</v>
      </c>
      <c r="F2846" s="7" t="s">
        <v>17</v>
      </c>
      <c r="G2846" s="7">
        <v>1593582</v>
      </c>
      <c r="H2846" s="7">
        <v>531</v>
      </c>
      <c r="I2846" s="7">
        <v>13</v>
      </c>
      <c r="J2846" s="7">
        <v>84</v>
      </c>
      <c r="K2846" s="7" t="s">
        <v>18</v>
      </c>
      <c r="L2846" s="8">
        <v>39891.213356481479</v>
      </c>
      <c r="M2846" s="9" t="s">
        <v>19</v>
      </c>
      <c r="N2846" s="9" t="s">
        <v>22</v>
      </c>
      <c r="O2846" s="6" t="str">
        <f>HYPERLINK("https://pbs.twimg.com/profile_images/988971255679324162/jrqiIYf__normal.jpg","View")</f>
        <v>View</v>
      </c>
      <c r="P2846" s="7"/>
    </row>
    <row r="2847" spans="1:16">
      <c r="A2847" s="3">
        <v>44436.702974537038</v>
      </c>
      <c r="B2847" s="4" t="str">
        <f>HYPERLINK("https://twitter.com/sergio_fajardo","@sergio_fajardo")</f>
        <v>@sergio_fajardo</v>
      </c>
      <c r="C2847" s="5" t="s">
        <v>16</v>
      </c>
      <c r="D2847" s="5" t="s">
        <v>2868</v>
      </c>
      <c r="E2847" s="6" t="str">
        <f>HYPERLINK("https://twitter.com/sergio_fajardo/status/1431577874021208071","1431577874021208071")</f>
        <v>1431577874021208071</v>
      </c>
      <c r="F2847" s="7" t="s">
        <v>17</v>
      </c>
      <c r="G2847" s="7">
        <v>1593680</v>
      </c>
      <c r="H2847" s="7">
        <v>531</v>
      </c>
      <c r="I2847" s="7">
        <v>2</v>
      </c>
      <c r="J2847" s="7">
        <v>14</v>
      </c>
      <c r="K2847" s="7" t="s">
        <v>18</v>
      </c>
      <c r="L2847" s="8">
        <v>39891.213356481479</v>
      </c>
      <c r="M2847" s="9" t="s">
        <v>19</v>
      </c>
      <c r="N2847" s="9" t="s">
        <v>22</v>
      </c>
      <c r="O2847" s="6" t="str">
        <f>HYPERLINK("https://pbs.twimg.com/profile_images/988971255679324162/jrqiIYf__normal.jpg","View")</f>
        <v>View</v>
      </c>
      <c r="P2847" s="7"/>
    </row>
    <row r="2848" spans="1:16">
      <c r="A2848" s="3">
        <v>44437.097407407404</v>
      </c>
      <c r="B2848" s="4" t="str">
        <f>HYPERLINK("https://twitter.com/sergio_fajardo","@sergio_fajardo")</f>
        <v>@sergio_fajardo</v>
      </c>
      <c r="C2848" s="5" t="s">
        <v>16</v>
      </c>
      <c r="D2848" s="5" t="s">
        <v>2869</v>
      </c>
      <c r="E2848" s="6" t="str">
        <f>HYPERLINK("https://twitter.com/sergio_fajardo/status/1431720812390780929","1431720812390780929")</f>
        <v>1431720812390780929</v>
      </c>
      <c r="F2848" s="7" t="s">
        <v>17</v>
      </c>
      <c r="G2848" s="7">
        <v>1593748</v>
      </c>
      <c r="H2848" s="7">
        <v>531</v>
      </c>
      <c r="I2848" s="7">
        <v>3</v>
      </c>
      <c r="J2848" s="7">
        <v>30</v>
      </c>
      <c r="K2848" s="7" t="s">
        <v>18</v>
      </c>
      <c r="L2848" s="8">
        <v>39891.213356481479</v>
      </c>
      <c r="M2848" s="9" t="s">
        <v>19</v>
      </c>
      <c r="N2848" s="9" t="s">
        <v>22</v>
      </c>
      <c r="O2848" s="6" t="str">
        <f>HYPERLINK("https://pbs.twimg.com/profile_images/988971255679324162/jrqiIYf__normal.jpg","View")</f>
        <v>View</v>
      </c>
      <c r="P2848" s="7"/>
    </row>
    <row r="2849" spans="1:16">
      <c r="A2849" s="3">
        <v>44437.404664351852</v>
      </c>
      <c r="B2849" s="4" t="str">
        <f>HYPERLINK("https://twitter.com/sergio_fajardo","@sergio_fajardo")</f>
        <v>@sergio_fajardo</v>
      </c>
      <c r="C2849" s="5" t="s">
        <v>16</v>
      </c>
      <c r="D2849" s="5" t="s">
        <v>2870</v>
      </c>
      <c r="E2849" s="6" t="str">
        <f>HYPERLINK("https://twitter.com/sergio_fajardo/status/1431832157568307206","1431832157568307206")</f>
        <v>1431832157568307206</v>
      </c>
      <c r="F2849" s="7" t="s">
        <v>17</v>
      </c>
      <c r="G2849" s="7">
        <v>1593772</v>
      </c>
      <c r="H2849" s="7">
        <v>531</v>
      </c>
      <c r="I2849" s="7">
        <v>12</v>
      </c>
      <c r="J2849" s="7">
        <v>0</v>
      </c>
      <c r="K2849" s="7" t="s">
        <v>18</v>
      </c>
      <c r="L2849" s="8">
        <v>39891.213356481479</v>
      </c>
      <c r="M2849" s="9" t="s">
        <v>19</v>
      </c>
      <c r="N2849" s="9" t="s">
        <v>22</v>
      </c>
      <c r="O2849" s="6" t="str">
        <f>HYPERLINK("https://pbs.twimg.com/profile_images/988971255679324162/jrqiIYf__normal.jpg","View")</f>
        <v>View</v>
      </c>
      <c r="P2849" s="7"/>
    </row>
    <row r="2850" spans="1:16">
      <c r="A2850" s="3">
        <v>44438.850219907406</v>
      </c>
      <c r="B2850" s="4" t="str">
        <f>HYPERLINK("https://twitter.com/sergio_fajardo","@sergio_fajardo")</f>
        <v>@sergio_fajardo</v>
      </c>
      <c r="C2850" s="5" t="s">
        <v>16</v>
      </c>
      <c r="D2850" s="5" t="s">
        <v>2871</v>
      </c>
      <c r="E2850" s="6" t="str">
        <f>HYPERLINK("https://twitter.com/sergio_fajardo/status/1432356011914969090","1432356011914969090")</f>
        <v>1432356011914969090</v>
      </c>
      <c r="F2850" s="7" t="s">
        <v>17</v>
      </c>
      <c r="G2850" s="7">
        <v>1593875</v>
      </c>
      <c r="H2850" s="7">
        <v>531</v>
      </c>
      <c r="I2850" s="7">
        <v>23</v>
      </c>
      <c r="J2850" s="7">
        <v>0</v>
      </c>
      <c r="K2850" s="7" t="s">
        <v>18</v>
      </c>
      <c r="L2850" s="8">
        <v>39891.213356481479</v>
      </c>
      <c r="M2850" s="9" t="s">
        <v>19</v>
      </c>
      <c r="N2850" s="9" t="s">
        <v>22</v>
      </c>
      <c r="O2850" s="6" t="str">
        <f>HYPERLINK("https://pbs.twimg.com/profile_images/988971255679324162/jrqiIYf__normal.jpg","View")</f>
        <v>View</v>
      </c>
      <c r="P2850" s="7"/>
    </row>
    <row r="2851" spans="1:16">
      <c r="A2851" s="3">
        <v>44439.206053240741</v>
      </c>
      <c r="B2851" s="4" t="str">
        <f>HYPERLINK("https://twitter.com/sergio_fajardo","@sergio_fajardo")</f>
        <v>@sergio_fajardo</v>
      </c>
      <c r="C2851" s="5" t="s">
        <v>16</v>
      </c>
      <c r="D2851" s="5" t="s">
        <v>2872</v>
      </c>
      <c r="E2851" s="6" t="str">
        <f>HYPERLINK("https://twitter.com/sergio_fajardo/status/1432484960041046020","1432484960041046020")</f>
        <v>1432484960041046020</v>
      </c>
      <c r="F2851" s="7" t="s">
        <v>23</v>
      </c>
      <c r="G2851" s="7">
        <v>1593889</v>
      </c>
      <c r="H2851" s="7">
        <v>531</v>
      </c>
      <c r="I2851" s="7">
        <v>41</v>
      </c>
      <c r="J2851" s="7">
        <v>175</v>
      </c>
      <c r="K2851" s="7" t="s">
        <v>18</v>
      </c>
      <c r="L2851" s="8">
        <v>39891.213356481479</v>
      </c>
      <c r="M2851" s="9" t="s">
        <v>19</v>
      </c>
      <c r="N2851" s="9" t="s">
        <v>22</v>
      </c>
      <c r="O2851" s="6" t="str">
        <f>HYPERLINK("https://pbs.twimg.com/profile_images/988971255679324162/jrqiIYf__normal.jpg","View")</f>
        <v>View</v>
      </c>
      <c r="P2851" s="7"/>
    </row>
    <row r="2852" spans="1:16">
      <c r="A2852" s="3">
        <v>44440.124837962961</v>
      </c>
      <c r="B2852" s="4" t="str">
        <f>HYPERLINK("https://twitter.com/sergio_fajardo","@sergio_fajardo")</f>
        <v>@sergio_fajardo</v>
      </c>
      <c r="C2852" s="5" t="s">
        <v>16</v>
      </c>
      <c r="D2852" s="5" t="s">
        <v>2873</v>
      </c>
      <c r="E2852" s="6" t="str">
        <f>HYPERLINK("https://twitter.com/sergio_fajardo/status/1432817916513193989","1432817916513193989")</f>
        <v>1432817916513193989</v>
      </c>
      <c r="F2852" s="7" t="s">
        <v>17</v>
      </c>
      <c r="G2852" s="7">
        <v>1593970</v>
      </c>
      <c r="H2852" s="7">
        <v>531</v>
      </c>
      <c r="I2852" s="7">
        <v>2</v>
      </c>
      <c r="J2852" s="7">
        <v>0</v>
      </c>
      <c r="K2852" s="7" t="s">
        <v>18</v>
      </c>
      <c r="L2852" s="8">
        <v>39891.213356481479</v>
      </c>
      <c r="M2852" s="9" t="s">
        <v>19</v>
      </c>
      <c r="N2852" s="9" t="s">
        <v>22</v>
      </c>
      <c r="O2852" s="6" t="str">
        <f>HYPERLINK("https://pbs.twimg.com/profile_images/988971255679324162/jrqiIYf__normal.jpg","View")</f>
        <v>View</v>
      </c>
      <c r="P2852" s="7"/>
    </row>
    <row r="2853" spans="1:16">
      <c r="A2853" s="3">
        <v>44440.149930555555</v>
      </c>
      <c r="B2853" s="4" t="str">
        <f>HYPERLINK("https://twitter.com/sergio_fajardo","@sergio_fajardo")</f>
        <v>@sergio_fajardo</v>
      </c>
      <c r="C2853" s="5" t="s">
        <v>16</v>
      </c>
      <c r="D2853" s="5" t="s">
        <v>2874</v>
      </c>
      <c r="E2853" s="6" t="str">
        <f>HYPERLINK("https://twitter.com/sergio_fajardo/status/1432827012146675712","1432827012146675712")</f>
        <v>1432827012146675712</v>
      </c>
      <c r="F2853" s="7" t="s">
        <v>17</v>
      </c>
      <c r="G2853" s="7">
        <v>1593977</v>
      </c>
      <c r="H2853" s="7">
        <v>531</v>
      </c>
      <c r="I2853" s="7">
        <v>7</v>
      </c>
      <c r="J2853" s="7">
        <v>0</v>
      </c>
      <c r="K2853" s="7" t="s">
        <v>18</v>
      </c>
      <c r="L2853" s="8">
        <v>39891.213356481479</v>
      </c>
      <c r="M2853" s="9" t="s">
        <v>19</v>
      </c>
      <c r="N2853" s="9" t="s">
        <v>22</v>
      </c>
      <c r="O2853" s="6" t="str">
        <f>HYPERLINK("https://pbs.twimg.com/profile_images/988971255679324162/jrqiIYf__normal.jpg","View")</f>
        <v>View</v>
      </c>
      <c r="P2853" s="7"/>
    </row>
    <row r="2854" spans="1:16">
      <c r="A2854" s="3">
        <v>44440.247569444444</v>
      </c>
      <c r="B2854" s="4" t="str">
        <f>HYPERLINK("https://twitter.com/sergio_fajardo","@sergio_fajardo")</f>
        <v>@sergio_fajardo</v>
      </c>
      <c r="C2854" s="5" t="s">
        <v>16</v>
      </c>
      <c r="D2854" s="5" t="s">
        <v>2875</v>
      </c>
      <c r="E2854" s="6" t="str">
        <f>HYPERLINK("https://twitter.com/sergio_fajardo/status/1432862392535470080","1432862392535470080")</f>
        <v>1432862392535470080</v>
      </c>
      <c r="F2854" s="7" t="s">
        <v>17</v>
      </c>
      <c r="G2854" s="7">
        <v>1593988</v>
      </c>
      <c r="H2854" s="7">
        <v>531</v>
      </c>
      <c r="I2854" s="7">
        <v>12</v>
      </c>
      <c r="J2854" s="7">
        <v>42</v>
      </c>
      <c r="K2854" s="7" t="s">
        <v>18</v>
      </c>
      <c r="L2854" s="8">
        <v>39891.213356481479</v>
      </c>
      <c r="M2854" s="9" t="s">
        <v>19</v>
      </c>
      <c r="N2854" s="9" t="s">
        <v>22</v>
      </c>
      <c r="O2854" s="6" t="str">
        <f>HYPERLINK("https://pbs.twimg.com/profile_images/988971255679324162/jrqiIYf__normal.jpg","View")</f>
        <v>View</v>
      </c>
      <c r="P2854" s="7"/>
    </row>
    <row r="2855" spans="1:16">
      <c r="A2855" s="3">
        <v>44440.721574074079</v>
      </c>
      <c r="B2855" s="4" t="str">
        <f>HYPERLINK("https://twitter.com/sergio_fajardo","@sergio_fajardo")</f>
        <v>@sergio_fajardo</v>
      </c>
      <c r="C2855" s="5" t="s">
        <v>16</v>
      </c>
      <c r="D2855" s="5" t="s">
        <v>2876</v>
      </c>
      <c r="E2855" s="6" t="str">
        <f>HYPERLINK("https://twitter.com/sergio_fajardo/status/1433034166019502084","1433034166019502084")</f>
        <v>1433034166019502084</v>
      </c>
      <c r="F2855" s="7" t="s">
        <v>17</v>
      </c>
      <c r="G2855" s="7">
        <v>1594019</v>
      </c>
      <c r="H2855" s="7">
        <v>532</v>
      </c>
      <c r="I2855" s="7">
        <v>4</v>
      </c>
      <c r="J2855" s="7">
        <v>4</v>
      </c>
      <c r="K2855" s="7" t="s">
        <v>18</v>
      </c>
      <c r="L2855" s="8">
        <v>39891.213356481479</v>
      </c>
      <c r="M2855" s="9" t="s">
        <v>19</v>
      </c>
      <c r="N2855" s="9" t="s">
        <v>22</v>
      </c>
      <c r="O2855" s="6" t="str">
        <f>HYPERLINK("https://pbs.twimg.com/profile_images/988971255679324162/jrqiIYf__normal.jpg","View")</f>
        <v>View</v>
      </c>
      <c r="P2855" s="7"/>
    </row>
    <row r="2856" spans="1:16">
      <c r="A2856" s="3">
        <v>44440.738773148143</v>
      </c>
      <c r="B2856" s="4" t="str">
        <f>HYPERLINK("https://twitter.com/sergio_fajardo","@sergio_fajardo")</f>
        <v>@sergio_fajardo</v>
      </c>
      <c r="C2856" s="5" t="s">
        <v>16</v>
      </c>
      <c r="D2856" s="5" t="s">
        <v>2877</v>
      </c>
      <c r="E2856" s="6" t="str">
        <f>HYPERLINK("https://twitter.com/sergio_fajardo/status/1433040398637846531","1433040398637846531")</f>
        <v>1433040398637846531</v>
      </c>
      <c r="F2856" s="7" t="s">
        <v>17</v>
      </c>
      <c r="G2856" s="7">
        <v>1594022</v>
      </c>
      <c r="H2856" s="7">
        <v>533</v>
      </c>
      <c r="I2856" s="7">
        <v>7</v>
      </c>
      <c r="J2856" s="7">
        <v>24</v>
      </c>
      <c r="K2856" s="7" t="s">
        <v>18</v>
      </c>
      <c r="L2856" s="8">
        <v>39891.213356481479</v>
      </c>
      <c r="M2856" s="9" t="s">
        <v>19</v>
      </c>
      <c r="N2856" s="9" t="s">
        <v>22</v>
      </c>
      <c r="O2856" s="6" t="str">
        <f>HYPERLINK("https://pbs.twimg.com/profile_images/988971255679324162/jrqiIYf__normal.jpg","View")</f>
        <v>View</v>
      </c>
      <c r="P2856" s="7"/>
    </row>
    <row r="2857" spans="1:16">
      <c r="A2857" s="3">
        <v>44440.746620370366</v>
      </c>
      <c r="B2857" s="4" t="str">
        <f>HYPERLINK("https://twitter.com/sergio_fajardo","@sergio_fajardo")</f>
        <v>@sergio_fajardo</v>
      </c>
      <c r="C2857" s="5" t="s">
        <v>16</v>
      </c>
      <c r="D2857" s="5" t="s">
        <v>2878</v>
      </c>
      <c r="E2857" s="6" t="str">
        <f>HYPERLINK("https://twitter.com/sergio_fajardo/status/1433043244775088131","1433043244775088131")</f>
        <v>1433043244775088131</v>
      </c>
      <c r="F2857" s="7" t="s">
        <v>17</v>
      </c>
      <c r="G2857" s="7">
        <v>1594022</v>
      </c>
      <c r="H2857" s="7">
        <v>533</v>
      </c>
      <c r="I2857" s="7">
        <v>2</v>
      </c>
      <c r="J2857" s="7">
        <v>0</v>
      </c>
      <c r="K2857" s="7" t="s">
        <v>18</v>
      </c>
      <c r="L2857" s="8">
        <v>39891.213356481479</v>
      </c>
      <c r="M2857" s="9" t="s">
        <v>19</v>
      </c>
      <c r="N2857" s="9" t="s">
        <v>22</v>
      </c>
      <c r="O2857" s="6" t="str">
        <f>HYPERLINK("https://pbs.twimg.com/profile_images/988971255679324162/jrqiIYf__normal.jpg","View")</f>
        <v>View</v>
      </c>
      <c r="P2857" s="7"/>
    </row>
    <row r="2858" spans="1:16">
      <c r="A2858" s="3">
        <v>44440.746666666666</v>
      </c>
      <c r="B2858" s="4" t="str">
        <f>HYPERLINK("https://twitter.com/sergio_fajardo","@sergio_fajardo")</f>
        <v>@sergio_fajardo</v>
      </c>
      <c r="C2858" s="5" t="s">
        <v>16</v>
      </c>
      <c r="D2858" s="5" t="s">
        <v>2879</v>
      </c>
      <c r="E2858" s="6" t="str">
        <f>HYPERLINK("https://twitter.com/sergio_fajardo/status/1433043260856020999","1433043260856020999")</f>
        <v>1433043260856020999</v>
      </c>
      <c r="F2858" s="7" t="s">
        <v>17</v>
      </c>
      <c r="G2858" s="7">
        <v>1594022</v>
      </c>
      <c r="H2858" s="7">
        <v>533</v>
      </c>
      <c r="I2858" s="7">
        <v>2</v>
      </c>
      <c r="J2858" s="7">
        <v>0</v>
      </c>
      <c r="K2858" s="7" t="s">
        <v>18</v>
      </c>
      <c r="L2858" s="8">
        <v>39891.213356481479</v>
      </c>
      <c r="M2858" s="9" t="s">
        <v>19</v>
      </c>
      <c r="N2858" s="9" t="s">
        <v>22</v>
      </c>
      <c r="O2858" s="6" t="str">
        <f>HYPERLINK("https://pbs.twimg.com/profile_images/988971255679324162/jrqiIYf__normal.jpg","View")</f>
        <v>View</v>
      </c>
      <c r="P2858" s="7"/>
    </row>
    <row r="2859" spans="1:16">
      <c r="A2859" s="3">
        <v>44440.811828703707</v>
      </c>
      <c r="B2859" s="4" t="str">
        <f>HYPERLINK("https://twitter.com/sergio_fajardo","@sergio_fajardo")</f>
        <v>@sergio_fajardo</v>
      </c>
      <c r="C2859" s="5" t="s">
        <v>16</v>
      </c>
      <c r="D2859" s="5" t="s">
        <v>2880</v>
      </c>
      <c r="E2859" s="6" t="str">
        <f>HYPERLINK("https://twitter.com/sergio_fajardo/status/1433066873818685448","1433066873818685448")</f>
        <v>1433066873818685448</v>
      </c>
      <c r="F2859" s="7" t="s">
        <v>17</v>
      </c>
      <c r="G2859" s="7">
        <v>1594035</v>
      </c>
      <c r="H2859" s="7">
        <v>533</v>
      </c>
      <c r="I2859" s="7">
        <v>10</v>
      </c>
      <c r="J2859" s="7">
        <v>55</v>
      </c>
      <c r="K2859" s="7" t="s">
        <v>18</v>
      </c>
      <c r="L2859" s="8">
        <v>39891.213356481479</v>
      </c>
      <c r="M2859" s="9" t="s">
        <v>19</v>
      </c>
      <c r="N2859" s="9" t="s">
        <v>22</v>
      </c>
      <c r="O2859" s="6" t="str">
        <f>HYPERLINK("https://pbs.twimg.com/profile_images/988971255679324162/jrqiIYf__normal.jpg","View")</f>
        <v>View</v>
      </c>
      <c r="P2859" s="7"/>
    </row>
    <row r="2860" spans="1:16">
      <c r="A2860" s="3">
        <v>44440.816689814819</v>
      </c>
      <c r="B2860" s="4" t="str">
        <f>HYPERLINK("https://twitter.com/sergio_fajardo","@sergio_fajardo")</f>
        <v>@sergio_fajardo</v>
      </c>
      <c r="C2860" s="5" t="s">
        <v>16</v>
      </c>
      <c r="D2860" s="5" t="s">
        <v>2881</v>
      </c>
      <c r="E2860" s="6" t="str">
        <f>HYPERLINK("https://twitter.com/sergio_fajardo/status/1433068634256121857","1433068634256121857")</f>
        <v>1433068634256121857</v>
      </c>
      <c r="F2860" s="7" t="s">
        <v>17</v>
      </c>
      <c r="G2860" s="7">
        <v>1594038</v>
      </c>
      <c r="H2860" s="7">
        <v>535</v>
      </c>
      <c r="I2860" s="7">
        <v>3</v>
      </c>
      <c r="J2860" s="7">
        <v>0</v>
      </c>
      <c r="K2860" s="7" t="s">
        <v>18</v>
      </c>
      <c r="L2860" s="8">
        <v>39891.213356481479</v>
      </c>
      <c r="M2860" s="9" t="s">
        <v>19</v>
      </c>
      <c r="N2860" s="9" t="s">
        <v>22</v>
      </c>
      <c r="O2860" s="6" t="str">
        <f>HYPERLINK("https://pbs.twimg.com/profile_images/988971255679324162/jrqiIYf__normal.jpg","View")</f>
        <v>View</v>
      </c>
      <c r="P2860" s="7"/>
    </row>
    <row r="2861" spans="1:16">
      <c r="A2861" s="3">
        <v>44440.872094907405</v>
      </c>
      <c r="B2861" s="4" t="str">
        <f>HYPERLINK("https://twitter.com/sergio_fajardo","@sergio_fajardo")</f>
        <v>@sergio_fajardo</v>
      </c>
      <c r="C2861" s="5" t="s">
        <v>16</v>
      </c>
      <c r="D2861" s="5" t="s">
        <v>2882</v>
      </c>
      <c r="E2861" s="6" t="str">
        <f>HYPERLINK("https://twitter.com/sergio_fajardo/status/1433088714935312388","1433088714935312388")</f>
        <v>1433088714935312388</v>
      </c>
      <c r="F2861" s="7" t="s">
        <v>17</v>
      </c>
      <c r="G2861" s="7">
        <v>1594050</v>
      </c>
      <c r="H2861" s="7">
        <v>535</v>
      </c>
      <c r="I2861" s="7">
        <v>6</v>
      </c>
      <c r="J2861" s="7">
        <v>0</v>
      </c>
      <c r="K2861" s="7" t="s">
        <v>18</v>
      </c>
      <c r="L2861" s="8">
        <v>39891.213356481479</v>
      </c>
      <c r="M2861" s="9" t="s">
        <v>19</v>
      </c>
      <c r="N2861" s="9" t="s">
        <v>22</v>
      </c>
      <c r="O2861" s="6" t="str">
        <f>HYPERLINK("https://pbs.twimg.com/profile_images/988971255679324162/jrqiIYf__normal.jpg","View")</f>
        <v>View</v>
      </c>
      <c r="P2861" s="7"/>
    </row>
    <row r="2862" spans="1:16">
      <c r="A2862" s="3">
        <v>44440.936249999999</v>
      </c>
      <c r="B2862" s="4" t="str">
        <f>HYPERLINK("https://twitter.com/sergio_fajardo","@sergio_fajardo")</f>
        <v>@sergio_fajardo</v>
      </c>
      <c r="C2862" s="5" t="s">
        <v>16</v>
      </c>
      <c r="D2862" s="5" t="s">
        <v>2883</v>
      </c>
      <c r="E2862" s="6" t="str">
        <f>HYPERLINK("https://twitter.com/sergio_fajardo/status/1433111961353527297","1433111961353527297")</f>
        <v>1433111961353527297</v>
      </c>
      <c r="F2862" s="7" t="s">
        <v>17</v>
      </c>
      <c r="G2862" s="7">
        <v>1594052</v>
      </c>
      <c r="H2862" s="7">
        <v>535</v>
      </c>
      <c r="I2862" s="7">
        <v>1</v>
      </c>
      <c r="J2862" s="7">
        <v>11</v>
      </c>
      <c r="K2862" s="7" t="s">
        <v>18</v>
      </c>
      <c r="L2862" s="8">
        <v>39891.213356481479</v>
      </c>
      <c r="M2862" s="9" t="s">
        <v>19</v>
      </c>
      <c r="N2862" s="9" t="s">
        <v>22</v>
      </c>
      <c r="O2862" s="6" t="str">
        <f>HYPERLINK("https://pbs.twimg.com/profile_images/988971255679324162/jrqiIYf__normal.jpg","View")</f>
        <v>View</v>
      </c>
      <c r="P2862" s="7"/>
    </row>
    <row r="2863" spans="1:16">
      <c r="A2863" s="3">
        <v>44440.993483796294</v>
      </c>
      <c r="B2863" s="4" t="str">
        <f>HYPERLINK("https://twitter.com/sergio_fajardo","@sergio_fajardo")</f>
        <v>@sergio_fajardo</v>
      </c>
      <c r="C2863" s="5" t="s">
        <v>16</v>
      </c>
      <c r="D2863" s="5" t="s">
        <v>2884</v>
      </c>
      <c r="E2863" s="6" t="str">
        <f>HYPERLINK("https://twitter.com/sergio_fajardo/status/1433132702174257154","1433132702174257154")</f>
        <v>1433132702174257154</v>
      </c>
      <c r="F2863" s="7" t="s">
        <v>17</v>
      </c>
      <c r="G2863" s="7">
        <v>1594068</v>
      </c>
      <c r="H2863" s="7">
        <v>536</v>
      </c>
      <c r="I2863" s="7">
        <v>8</v>
      </c>
      <c r="J2863" s="7">
        <v>0</v>
      </c>
      <c r="K2863" s="7" t="s">
        <v>18</v>
      </c>
      <c r="L2863" s="8">
        <v>39891.213356481479</v>
      </c>
      <c r="M2863" s="9" t="s">
        <v>19</v>
      </c>
      <c r="N2863" s="9" t="s">
        <v>22</v>
      </c>
      <c r="O2863" s="6" t="str">
        <f>HYPERLINK("https://pbs.twimg.com/profile_images/988971255679324162/jrqiIYf__normal.jpg","View")</f>
        <v>View</v>
      </c>
      <c r="P2863" s="7"/>
    </row>
    <row r="2864" spans="1:16">
      <c r="A2864" s="3">
        <v>44441.02412037037</v>
      </c>
      <c r="B2864" s="4" t="str">
        <f>HYPERLINK("https://twitter.com/sergio_fajardo","@sergio_fajardo")</f>
        <v>@sergio_fajardo</v>
      </c>
      <c r="C2864" s="5" t="s">
        <v>16</v>
      </c>
      <c r="D2864" s="5" t="s">
        <v>2885</v>
      </c>
      <c r="E2864" s="6" t="str">
        <f>HYPERLINK("https://twitter.com/sergio_fajardo/status/1433143807898497034","1433143807898497034")</f>
        <v>1433143807898497034</v>
      </c>
      <c r="F2864" s="7" t="s">
        <v>17</v>
      </c>
      <c r="G2864" s="7">
        <v>1594079</v>
      </c>
      <c r="H2864" s="7">
        <v>536</v>
      </c>
      <c r="I2864" s="7">
        <v>21</v>
      </c>
      <c r="J2864" s="7">
        <v>263</v>
      </c>
      <c r="K2864" s="7" t="s">
        <v>18</v>
      </c>
      <c r="L2864" s="8">
        <v>39891.213356481479</v>
      </c>
      <c r="M2864" s="9" t="s">
        <v>19</v>
      </c>
      <c r="N2864" s="9" t="s">
        <v>22</v>
      </c>
      <c r="O2864" s="6" t="str">
        <f>HYPERLINK("https://pbs.twimg.com/profile_images/988971255679324162/jrqiIYf__normal.jpg","View")</f>
        <v>View</v>
      </c>
      <c r="P2864" s="7"/>
    </row>
    <row r="2865" spans="1:16">
      <c r="A2865" s="3">
        <v>44441.068043981482</v>
      </c>
      <c r="B2865" s="4" t="str">
        <f>HYPERLINK("https://twitter.com/sergio_fajardo","@sergio_fajardo")</f>
        <v>@sergio_fajardo</v>
      </c>
      <c r="C2865" s="5" t="s">
        <v>16</v>
      </c>
      <c r="D2865" s="5" t="s">
        <v>2886</v>
      </c>
      <c r="E2865" s="6" t="str">
        <f>HYPERLINK("https://twitter.com/sergio_fajardo/status/1433159725231841285","1433159725231841285")</f>
        <v>1433159725231841285</v>
      </c>
      <c r="F2865" s="7" t="s">
        <v>17</v>
      </c>
      <c r="G2865" s="7">
        <v>1594079</v>
      </c>
      <c r="H2865" s="7">
        <v>536</v>
      </c>
      <c r="I2865" s="7">
        <v>12</v>
      </c>
      <c r="J2865" s="7">
        <v>51</v>
      </c>
      <c r="K2865" s="7" t="s">
        <v>18</v>
      </c>
      <c r="L2865" s="8">
        <v>39891.213356481479</v>
      </c>
      <c r="M2865" s="9" t="s">
        <v>19</v>
      </c>
      <c r="N2865" s="9" t="s">
        <v>22</v>
      </c>
      <c r="O2865" s="6" t="str">
        <f>HYPERLINK("https://pbs.twimg.com/profile_images/988971255679324162/jrqiIYf__normal.jpg","View")</f>
        <v>View</v>
      </c>
      <c r="P2865" s="7"/>
    </row>
    <row r="2866" spans="1:16">
      <c r="A2866" s="3">
        <v>44441.073761574073</v>
      </c>
      <c r="B2866" s="4" t="str">
        <f>HYPERLINK("https://twitter.com/sergio_fajardo","@sergio_fajardo")</f>
        <v>@sergio_fajardo</v>
      </c>
      <c r="C2866" s="5" t="s">
        <v>16</v>
      </c>
      <c r="D2866" s="5" t="s">
        <v>2887</v>
      </c>
      <c r="E2866" s="6" t="str">
        <f>HYPERLINK("https://twitter.com/sergio_fajardo/status/1433161796173639687","1433161796173639687")</f>
        <v>1433161796173639687</v>
      </c>
      <c r="F2866" s="7" t="s">
        <v>17</v>
      </c>
      <c r="G2866" s="7">
        <v>1594079</v>
      </c>
      <c r="H2866" s="7">
        <v>536</v>
      </c>
      <c r="I2866" s="7">
        <v>13</v>
      </c>
      <c r="J2866" s="7">
        <v>109</v>
      </c>
      <c r="K2866" s="7" t="s">
        <v>18</v>
      </c>
      <c r="L2866" s="8">
        <v>39891.213356481479</v>
      </c>
      <c r="M2866" s="9" t="s">
        <v>19</v>
      </c>
      <c r="N2866" s="9" t="s">
        <v>22</v>
      </c>
      <c r="O2866" s="6" t="str">
        <f>HYPERLINK("https://pbs.twimg.com/profile_images/988971255679324162/jrqiIYf__normal.jpg","View")</f>
        <v>View</v>
      </c>
      <c r="P2866" s="7"/>
    </row>
    <row r="2867" spans="1:16">
      <c r="A2867" s="3">
        <v>44441.100358796291</v>
      </c>
      <c r="B2867" s="4" t="str">
        <f>HYPERLINK("https://twitter.com/sergio_fajardo","@sergio_fajardo")</f>
        <v>@sergio_fajardo</v>
      </c>
      <c r="C2867" s="5" t="s">
        <v>16</v>
      </c>
      <c r="D2867" s="5" t="s">
        <v>2888</v>
      </c>
      <c r="E2867" s="6" t="str">
        <f>HYPERLINK("https://twitter.com/sergio_fajardo/status/1433171431764934667","1433171431764934667")</f>
        <v>1433171431764934667</v>
      </c>
      <c r="F2867" s="7" t="s">
        <v>17</v>
      </c>
      <c r="G2867" s="7">
        <v>1594083</v>
      </c>
      <c r="H2867" s="7">
        <v>536</v>
      </c>
      <c r="I2867" s="7">
        <v>3</v>
      </c>
      <c r="J2867" s="7">
        <v>5</v>
      </c>
      <c r="K2867" s="7" t="s">
        <v>18</v>
      </c>
      <c r="L2867" s="8">
        <v>39891.213356481479</v>
      </c>
      <c r="M2867" s="9" t="s">
        <v>19</v>
      </c>
      <c r="N2867" s="9" t="s">
        <v>22</v>
      </c>
      <c r="O2867" s="6" t="str">
        <f>HYPERLINK("https://pbs.twimg.com/profile_images/988971255679324162/jrqiIYf__normal.jpg","View")</f>
        <v>View</v>
      </c>
      <c r="P2867" s="7"/>
    </row>
    <row r="2868" spans="1:16">
      <c r="A2868" s="3">
        <v>44441.257199074069</v>
      </c>
      <c r="B2868" s="4" t="str">
        <f>HYPERLINK("https://twitter.com/sergio_fajardo","@sergio_fajardo")</f>
        <v>@sergio_fajardo</v>
      </c>
      <c r="C2868" s="5" t="s">
        <v>16</v>
      </c>
      <c r="D2868" s="5" t="s">
        <v>2889</v>
      </c>
      <c r="E2868" s="6" t="str">
        <f>HYPERLINK("https://twitter.com/sergio_fajardo/status/1433228270489718785","1433228270489718785")</f>
        <v>1433228270489718785</v>
      </c>
      <c r="F2868" s="7" t="s">
        <v>17</v>
      </c>
      <c r="G2868" s="7">
        <v>1594083</v>
      </c>
      <c r="H2868" s="7">
        <v>536</v>
      </c>
      <c r="I2868" s="7">
        <v>26</v>
      </c>
      <c r="J2868" s="7">
        <v>143</v>
      </c>
      <c r="K2868" s="7" t="s">
        <v>18</v>
      </c>
      <c r="L2868" s="8">
        <v>39891.213356481479</v>
      </c>
      <c r="M2868" s="9" t="s">
        <v>19</v>
      </c>
      <c r="N2868" s="9" t="s">
        <v>22</v>
      </c>
      <c r="O2868" s="6" t="str">
        <f>HYPERLINK("https://pbs.twimg.com/profile_images/988971255679324162/jrqiIYf__normal.jpg","View")</f>
        <v>View</v>
      </c>
      <c r="P2868" s="7"/>
    </row>
    <row r="2869" spans="1:16">
      <c r="A2869" s="3">
        <v>44441.276018518518</v>
      </c>
      <c r="B2869" s="4" t="str">
        <f>HYPERLINK("https://twitter.com/sergio_fajardo","@sergio_fajardo")</f>
        <v>@sergio_fajardo</v>
      </c>
      <c r="C2869" s="5" t="s">
        <v>16</v>
      </c>
      <c r="D2869" s="5" t="s">
        <v>2890</v>
      </c>
      <c r="E2869" s="6" t="str">
        <f>HYPERLINK("https://twitter.com/sergio_fajardo/status/1433235092063784968","1433235092063784968")</f>
        <v>1433235092063784968</v>
      </c>
      <c r="F2869" s="7" t="s">
        <v>17</v>
      </c>
      <c r="G2869" s="7">
        <v>1594086</v>
      </c>
      <c r="H2869" s="7">
        <v>536</v>
      </c>
      <c r="I2869" s="7">
        <v>10</v>
      </c>
      <c r="J2869" s="7">
        <v>87</v>
      </c>
      <c r="K2869" s="7" t="s">
        <v>18</v>
      </c>
      <c r="L2869" s="8">
        <v>39891.213356481479</v>
      </c>
      <c r="M2869" s="9" t="s">
        <v>19</v>
      </c>
      <c r="N2869" s="9" t="s">
        <v>22</v>
      </c>
      <c r="O2869" s="6" t="str">
        <f>HYPERLINK("https://pbs.twimg.com/profile_images/988971255679324162/jrqiIYf__normal.jpg","View")</f>
        <v>View</v>
      </c>
      <c r="P2869" s="7"/>
    </row>
    <row r="2870" spans="1:16">
      <c r="A2870" s="3">
        <v>44441.27615740741</v>
      </c>
      <c r="B2870" s="4" t="str">
        <f>HYPERLINK("https://twitter.com/sergio_fajardo","@sergio_fajardo")</f>
        <v>@sergio_fajardo</v>
      </c>
      <c r="C2870" s="5" t="s">
        <v>16</v>
      </c>
      <c r="D2870" s="5" t="s">
        <v>2891</v>
      </c>
      <c r="E2870" s="6" t="str">
        <f>HYPERLINK("https://twitter.com/sergio_fajardo/status/1433235139950268416","1433235139950268416")</f>
        <v>1433235139950268416</v>
      </c>
      <c r="F2870" s="7" t="s">
        <v>17</v>
      </c>
      <c r="G2870" s="7">
        <v>1594086</v>
      </c>
      <c r="H2870" s="7">
        <v>536</v>
      </c>
      <c r="I2870" s="7">
        <v>5</v>
      </c>
      <c r="J2870" s="7">
        <v>0</v>
      </c>
      <c r="K2870" s="7" t="s">
        <v>18</v>
      </c>
      <c r="L2870" s="8">
        <v>39891.213356481479</v>
      </c>
      <c r="M2870" s="9" t="s">
        <v>19</v>
      </c>
      <c r="N2870" s="9" t="s">
        <v>22</v>
      </c>
      <c r="O2870" s="6" t="str">
        <f>HYPERLINK("https://pbs.twimg.com/profile_images/988971255679324162/jrqiIYf__normal.jpg","View")</f>
        <v>View</v>
      </c>
      <c r="P2870" s="7"/>
    </row>
    <row r="2871" spans="1:16">
      <c r="A2871" s="3">
        <v>44441.296747685185</v>
      </c>
      <c r="B2871" s="4" t="str">
        <f>HYPERLINK("https://twitter.com/sergio_fajardo","@sergio_fajardo")</f>
        <v>@sergio_fajardo</v>
      </c>
      <c r="C2871" s="5" t="s">
        <v>16</v>
      </c>
      <c r="D2871" s="5" t="s">
        <v>2892</v>
      </c>
      <c r="E2871" s="6" t="str">
        <f>HYPERLINK("https://twitter.com/sergio_fajardo/status/1433242601197539329","1433242601197539329")</f>
        <v>1433242601197539329</v>
      </c>
      <c r="F2871" s="7" t="s">
        <v>17</v>
      </c>
      <c r="G2871" s="7">
        <v>1594088</v>
      </c>
      <c r="H2871" s="7">
        <v>536</v>
      </c>
      <c r="I2871" s="7">
        <v>8</v>
      </c>
      <c r="J2871" s="7">
        <v>0</v>
      </c>
      <c r="K2871" s="7" t="s">
        <v>18</v>
      </c>
      <c r="L2871" s="8">
        <v>39891.213356481479</v>
      </c>
      <c r="M2871" s="9" t="s">
        <v>19</v>
      </c>
      <c r="N2871" s="9" t="s">
        <v>22</v>
      </c>
      <c r="O2871" s="6" t="str">
        <f>HYPERLINK("https://pbs.twimg.com/profile_images/988971255679324162/jrqiIYf__normal.jpg","View")</f>
        <v>View</v>
      </c>
      <c r="P2871" s="7"/>
    </row>
    <row r="2872" spans="1:16">
      <c r="A2872" s="3">
        <v>44441.692569444444</v>
      </c>
      <c r="B2872" s="4" t="str">
        <f>HYPERLINK("https://twitter.com/sergio_fajardo","@sergio_fajardo")</f>
        <v>@sergio_fajardo</v>
      </c>
      <c r="C2872" s="5" t="s">
        <v>16</v>
      </c>
      <c r="D2872" s="5" t="s">
        <v>2893</v>
      </c>
      <c r="E2872" s="6" t="str">
        <f>HYPERLINK("https://twitter.com/sergio_fajardo/status/1433386043777167362","1433386043777167362")</f>
        <v>1433386043777167362</v>
      </c>
      <c r="F2872" s="7" t="s">
        <v>2329</v>
      </c>
      <c r="G2872" s="7">
        <v>1594099</v>
      </c>
      <c r="H2872" s="7">
        <v>536</v>
      </c>
      <c r="I2872" s="7">
        <v>30</v>
      </c>
      <c r="J2872" s="7">
        <v>97</v>
      </c>
      <c r="K2872" s="7" t="s">
        <v>18</v>
      </c>
      <c r="L2872" s="8">
        <v>39891.213356481479</v>
      </c>
      <c r="M2872" s="9" t="s">
        <v>19</v>
      </c>
      <c r="N2872" s="9" t="s">
        <v>22</v>
      </c>
      <c r="O2872" s="6" t="str">
        <f>HYPERLINK("https://pbs.twimg.com/profile_images/988971255679324162/jrqiIYf__normal.jpg","View")</f>
        <v>View</v>
      </c>
      <c r="P2872" s="7"/>
    </row>
    <row r="2873" spans="1:16">
      <c r="A2873" s="3">
        <v>44441.767847222218</v>
      </c>
      <c r="B2873" s="4" t="str">
        <f>HYPERLINK("https://twitter.com/sergio_fajardo","@sergio_fajardo")</f>
        <v>@sergio_fajardo</v>
      </c>
      <c r="C2873" s="5" t="s">
        <v>16</v>
      </c>
      <c r="D2873" s="5" t="s">
        <v>2894</v>
      </c>
      <c r="E2873" s="6" t="str">
        <f>HYPERLINK("https://twitter.com/sergio_fajardo/status/1433413322146201608","1433413322146201608")</f>
        <v>1433413322146201608</v>
      </c>
      <c r="F2873" s="7" t="s">
        <v>17</v>
      </c>
      <c r="G2873" s="7">
        <v>1594109</v>
      </c>
      <c r="H2873" s="7">
        <v>536</v>
      </c>
      <c r="I2873" s="7">
        <v>3</v>
      </c>
      <c r="J2873" s="7">
        <v>30</v>
      </c>
      <c r="K2873" s="7" t="s">
        <v>18</v>
      </c>
      <c r="L2873" s="8">
        <v>39891.213356481479</v>
      </c>
      <c r="M2873" s="9" t="s">
        <v>19</v>
      </c>
      <c r="N2873" s="9" t="s">
        <v>22</v>
      </c>
      <c r="O2873" s="6" t="str">
        <f>HYPERLINK("https://pbs.twimg.com/profile_images/988971255679324162/jrqiIYf__normal.jpg","View")</f>
        <v>View</v>
      </c>
      <c r="P2873" s="7"/>
    </row>
    <row r="2874" spans="1:16">
      <c r="A2874" s="3">
        <v>44441.793668981481</v>
      </c>
      <c r="B2874" s="4" t="str">
        <f>HYPERLINK("https://twitter.com/sergio_fajardo","@sergio_fajardo")</f>
        <v>@sergio_fajardo</v>
      </c>
      <c r="C2874" s="5" t="s">
        <v>16</v>
      </c>
      <c r="D2874" s="5" t="s">
        <v>2895</v>
      </c>
      <c r="E2874" s="6" t="str">
        <f>HYPERLINK("https://twitter.com/sergio_fajardo/status/1433422679965671426","1433422679965671426")</f>
        <v>1433422679965671426</v>
      </c>
      <c r="F2874" s="7" t="s">
        <v>17</v>
      </c>
      <c r="G2874" s="7">
        <v>1594111</v>
      </c>
      <c r="H2874" s="7">
        <v>536</v>
      </c>
      <c r="I2874" s="7">
        <v>0</v>
      </c>
      <c r="J2874" s="7">
        <v>2</v>
      </c>
      <c r="K2874" s="7" t="s">
        <v>18</v>
      </c>
      <c r="L2874" s="8">
        <v>39891.213356481479</v>
      </c>
      <c r="M2874" s="9" t="s">
        <v>19</v>
      </c>
      <c r="N2874" s="9" t="s">
        <v>22</v>
      </c>
      <c r="O2874" s="6" t="str">
        <f>HYPERLINK("https://pbs.twimg.com/profile_images/988971255679324162/jrqiIYf__normal.jpg","View")</f>
        <v>View</v>
      </c>
      <c r="P2874" s="7"/>
    </row>
    <row r="2875" spans="1:16">
      <c r="A2875" s="3">
        <v>44441.796435185184</v>
      </c>
      <c r="B2875" s="4" t="str">
        <f>HYPERLINK("https://twitter.com/sergio_fajardo","@sergio_fajardo")</f>
        <v>@sergio_fajardo</v>
      </c>
      <c r="C2875" s="5" t="s">
        <v>16</v>
      </c>
      <c r="D2875" s="5" t="s">
        <v>2896</v>
      </c>
      <c r="E2875" s="6" t="str">
        <f>HYPERLINK("https://twitter.com/sergio_fajardo/status/1433423684027310085","1433423684027310085")</f>
        <v>1433423684027310085</v>
      </c>
      <c r="F2875" s="7" t="s">
        <v>17</v>
      </c>
      <c r="G2875" s="7">
        <v>1594032</v>
      </c>
      <c r="H2875" s="7">
        <v>536</v>
      </c>
      <c r="I2875" s="7">
        <v>28</v>
      </c>
      <c r="J2875" s="7">
        <v>179</v>
      </c>
      <c r="K2875" s="7" t="s">
        <v>18</v>
      </c>
      <c r="L2875" s="8">
        <v>39891.213356481479</v>
      </c>
      <c r="M2875" s="9" t="s">
        <v>19</v>
      </c>
      <c r="N2875" s="9" t="s">
        <v>22</v>
      </c>
      <c r="O2875" s="6" t="str">
        <f>HYPERLINK("https://pbs.twimg.com/profile_images/988971255679324162/jrqiIYf__normal.jpg","View")</f>
        <v>View</v>
      </c>
      <c r="P2875" s="7"/>
    </row>
    <row r="2876" spans="1:16">
      <c r="A2876" s="3">
        <v>44441.852280092593</v>
      </c>
      <c r="B2876" s="4" t="str">
        <f>HYPERLINK("https://twitter.com/sergio_fajardo","@sergio_fajardo")</f>
        <v>@sergio_fajardo</v>
      </c>
      <c r="C2876" s="5" t="s">
        <v>16</v>
      </c>
      <c r="D2876" s="5" t="s">
        <v>2897</v>
      </c>
      <c r="E2876" s="6" t="str">
        <f>HYPERLINK("https://twitter.com/sergio_fajardo/status/1433443921368174599","1433443921368174599")</f>
        <v>1433443921368174599</v>
      </c>
      <c r="F2876" s="7" t="s">
        <v>17</v>
      </c>
      <c r="G2876" s="7">
        <v>1594119</v>
      </c>
      <c r="H2876" s="7">
        <v>536</v>
      </c>
      <c r="I2876" s="7">
        <v>4</v>
      </c>
      <c r="J2876" s="7">
        <v>21</v>
      </c>
      <c r="K2876" s="7" t="s">
        <v>18</v>
      </c>
      <c r="L2876" s="8">
        <v>39891.213356481479</v>
      </c>
      <c r="M2876" s="9" t="s">
        <v>19</v>
      </c>
      <c r="N2876" s="9" t="s">
        <v>22</v>
      </c>
      <c r="O2876" s="6" t="str">
        <f>HYPERLINK("https://pbs.twimg.com/profile_images/988971255679324162/jrqiIYf__normal.jpg","View")</f>
        <v>View</v>
      </c>
      <c r="P2876" s="7"/>
    </row>
    <row r="2877" spans="1:16">
      <c r="A2877" s="3">
        <v>44441.853877314818</v>
      </c>
      <c r="B2877" s="4" t="str">
        <f>HYPERLINK("https://twitter.com/sergio_fajardo","@sergio_fajardo")</f>
        <v>@sergio_fajardo</v>
      </c>
      <c r="C2877" s="5" t="s">
        <v>16</v>
      </c>
      <c r="D2877" s="5" t="s">
        <v>2898</v>
      </c>
      <c r="E2877" s="6" t="str">
        <f>HYPERLINK("https://twitter.com/sergio_fajardo/status/1433444501721427972","1433444501721427972")</f>
        <v>1433444501721427972</v>
      </c>
      <c r="F2877" s="7" t="s">
        <v>17</v>
      </c>
      <c r="G2877" s="7">
        <v>1594119</v>
      </c>
      <c r="H2877" s="7">
        <v>536</v>
      </c>
      <c r="I2877" s="7">
        <v>3</v>
      </c>
      <c r="J2877" s="7">
        <v>12</v>
      </c>
      <c r="K2877" s="7" t="s">
        <v>18</v>
      </c>
      <c r="L2877" s="8">
        <v>39891.213356481479</v>
      </c>
      <c r="M2877" s="9" t="s">
        <v>19</v>
      </c>
      <c r="N2877" s="9" t="s">
        <v>22</v>
      </c>
      <c r="O2877" s="6" t="str">
        <f>HYPERLINK("https://pbs.twimg.com/profile_images/988971255679324162/jrqiIYf__normal.jpg","View")</f>
        <v>View</v>
      </c>
      <c r="P2877" s="7"/>
    </row>
    <row r="2878" spans="1:16">
      <c r="A2878" s="3">
        <v>44441.920798611114</v>
      </c>
      <c r="B2878" s="4" t="str">
        <f>HYPERLINK("https://twitter.com/sergio_fajardo","@sergio_fajardo")</f>
        <v>@sergio_fajardo</v>
      </c>
      <c r="C2878" s="5" t="s">
        <v>16</v>
      </c>
      <c r="D2878" s="5" t="s">
        <v>2899</v>
      </c>
      <c r="E2878" s="6" t="str">
        <f>HYPERLINK("https://twitter.com/sergio_fajardo/status/1433468749970034688","1433468749970034688")</f>
        <v>1433468749970034688</v>
      </c>
      <c r="F2878" s="7" t="s">
        <v>17</v>
      </c>
      <c r="G2878" s="7">
        <v>1594149</v>
      </c>
      <c r="H2878" s="7">
        <v>536</v>
      </c>
      <c r="I2878" s="7">
        <v>146</v>
      </c>
      <c r="J2878" s="7">
        <v>634</v>
      </c>
      <c r="K2878" s="7" t="s">
        <v>18</v>
      </c>
      <c r="L2878" s="8">
        <v>39891.213356481479</v>
      </c>
      <c r="M2878" s="9" t="s">
        <v>19</v>
      </c>
      <c r="N2878" s="9" t="s">
        <v>22</v>
      </c>
      <c r="O2878" s="6" t="str">
        <f>HYPERLINK("https://pbs.twimg.com/profile_images/988971255679324162/jrqiIYf__normal.jpg","View")</f>
        <v>View</v>
      </c>
      <c r="P2878" s="7"/>
    </row>
    <row r="2879" spans="1:16">
      <c r="A2879" s="3">
        <v>44442.035208333335</v>
      </c>
      <c r="B2879" s="4" t="str">
        <f>HYPERLINK("https://twitter.com/sergio_fajardo","@sergio_fajardo")</f>
        <v>@sergio_fajardo</v>
      </c>
      <c r="C2879" s="5" t="s">
        <v>16</v>
      </c>
      <c r="D2879" s="5" t="s">
        <v>2900</v>
      </c>
      <c r="E2879" s="6" t="str">
        <f>HYPERLINK("https://twitter.com/sergio_fajardo/status/1433510209872404488","1433510209872404488")</f>
        <v>1433510209872404488</v>
      </c>
      <c r="F2879" s="7" t="s">
        <v>17</v>
      </c>
      <c r="G2879" s="7">
        <v>1594171</v>
      </c>
      <c r="H2879" s="7">
        <v>536</v>
      </c>
      <c r="I2879" s="7">
        <v>10</v>
      </c>
      <c r="J2879" s="7">
        <v>28</v>
      </c>
      <c r="K2879" s="7" t="s">
        <v>18</v>
      </c>
      <c r="L2879" s="8">
        <v>39891.213356481479</v>
      </c>
      <c r="M2879" s="9" t="s">
        <v>19</v>
      </c>
      <c r="N2879" s="9" t="s">
        <v>22</v>
      </c>
      <c r="O2879" s="6" t="str">
        <f>HYPERLINK("https://pbs.twimg.com/profile_images/988971255679324162/jrqiIYf__normal.jpg","View")</f>
        <v>View</v>
      </c>
      <c r="P2879" s="7"/>
    </row>
    <row r="2880" spans="1:16">
      <c r="A2880" s="3">
        <v>44442.092789351853</v>
      </c>
      <c r="B2880" s="4" t="str">
        <f>HYPERLINK("https://twitter.com/sergio_fajardo","@sergio_fajardo")</f>
        <v>@sergio_fajardo</v>
      </c>
      <c r="C2880" s="5" t="s">
        <v>16</v>
      </c>
      <c r="D2880" s="5" t="s">
        <v>2901</v>
      </c>
      <c r="E2880" s="6" t="str">
        <f>HYPERLINK("https://twitter.com/sergio_fajardo/status/1433531078615212034","1433531078615212034")</f>
        <v>1433531078615212034</v>
      </c>
      <c r="F2880" s="7" t="s">
        <v>17</v>
      </c>
      <c r="G2880" s="7">
        <v>1594175</v>
      </c>
      <c r="H2880" s="7">
        <v>536</v>
      </c>
      <c r="I2880" s="7">
        <v>10</v>
      </c>
      <c r="J2880" s="7">
        <v>38</v>
      </c>
      <c r="K2880" s="7" t="s">
        <v>18</v>
      </c>
      <c r="L2880" s="8">
        <v>39891.213356481479</v>
      </c>
      <c r="M2880" s="9" t="s">
        <v>19</v>
      </c>
      <c r="N2880" s="9" t="s">
        <v>22</v>
      </c>
      <c r="O2880" s="6" t="str">
        <f>HYPERLINK("https://pbs.twimg.com/profile_images/988971255679324162/jrqiIYf__normal.jpg","View")</f>
        <v>View</v>
      </c>
      <c r="P2880" s="7"/>
    </row>
    <row r="2881" spans="1:16">
      <c r="A2881" s="3">
        <v>44442.214571759258</v>
      </c>
      <c r="B2881" s="4" t="str">
        <f>HYPERLINK("https://twitter.com/sergio_fajardo","@sergio_fajardo")</f>
        <v>@sergio_fajardo</v>
      </c>
      <c r="C2881" s="5" t="s">
        <v>16</v>
      </c>
      <c r="D2881" s="5" t="s">
        <v>2902</v>
      </c>
      <c r="E2881" s="6" t="str">
        <f>HYPERLINK("https://twitter.com/sergio_fajardo/status/1433575210037518351","1433575210037518351")</f>
        <v>1433575210037518351</v>
      </c>
      <c r="F2881" s="7" t="s">
        <v>17</v>
      </c>
      <c r="G2881" s="7">
        <v>1594188</v>
      </c>
      <c r="H2881" s="7">
        <v>536</v>
      </c>
      <c r="I2881" s="7">
        <v>26</v>
      </c>
      <c r="J2881" s="7">
        <v>129</v>
      </c>
      <c r="K2881" s="7" t="s">
        <v>18</v>
      </c>
      <c r="L2881" s="8">
        <v>39891.213356481479</v>
      </c>
      <c r="M2881" s="9" t="s">
        <v>19</v>
      </c>
      <c r="N2881" s="9" t="s">
        <v>22</v>
      </c>
      <c r="O2881" s="6" t="str">
        <f>HYPERLINK("https://pbs.twimg.com/profile_images/988971255679324162/jrqiIYf__normal.jpg","View")</f>
        <v>View</v>
      </c>
      <c r="P2881" s="7"/>
    </row>
    <row r="2882" spans="1:16">
      <c r="A2882" s="3">
        <v>44442.957777777774</v>
      </c>
      <c r="B2882" s="4" t="str">
        <f>HYPERLINK("https://twitter.com/sergio_fajardo","@sergio_fajardo")</f>
        <v>@sergio_fajardo</v>
      </c>
      <c r="C2882" s="5" t="s">
        <v>16</v>
      </c>
      <c r="D2882" s="5" t="s">
        <v>2903</v>
      </c>
      <c r="E2882" s="6" t="str">
        <f>HYPERLINK("https://twitter.com/sergio_fajardo/status/1433844540952268800","1433844540952268800")</f>
        <v>1433844540952268800</v>
      </c>
      <c r="F2882" s="7" t="s">
        <v>17</v>
      </c>
      <c r="G2882" s="7">
        <v>1594251</v>
      </c>
      <c r="H2882" s="7">
        <v>536</v>
      </c>
      <c r="I2882" s="7">
        <v>8</v>
      </c>
      <c r="J2882" s="7">
        <v>0</v>
      </c>
      <c r="K2882" s="7" t="s">
        <v>18</v>
      </c>
      <c r="L2882" s="8">
        <v>39891.213356481479</v>
      </c>
      <c r="M2882" s="9" t="s">
        <v>19</v>
      </c>
      <c r="N2882" s="9" t="s">
        <v>22</v>
      </c>
      <c r="O2882" s="6" t="str">
        <f>HYPERLINK("https://pbs.twimg.com/profile_images/1433591977631748099/wuGDIimB_normal.jpg","View")</f>
        <v>View</v>
      </c>
      <c r="P2882" s="7"/>
    </row>
    <row r="2883" spans="1:16">
      <c r="A2883" s="3">
        <v>44443.190069444448</v>
      </c>
      <c r="B2883" s="4" t="str">
        <f>HYPERLINK("https://twitter.com/sergio_fajardo","@sergio_fajardo")</f>
        <v>@sergio_fajardo</v>
      </c>
      <c r="C2883" s="5" t="s">
        <v>16</v>
      </c>
      <c r="D2883" s="5" t="s">
        <v>2904</v>
      </c>
      <c r="E2883" s="6" t="str">
        <f>HYPERLINK("https://twitter.com/sergio_fajardo/status/1433928718490247171","1433928718490247171")</f>
        <v>1433928718490247171</v>
      </c>
      <c r="F2883" s="7" t="s">
        <v>17</v>
      </c>
      <c r="G2883" s="7">
        <v>1594277</v>
      </c>
      <c r="H2883" s="7">
        <v>536</v>
      </c>
      <c r="I2883" s="7">
        <v>83</v>
      </c>
      <c r="J2883" s="7">
        <v>530</v>
      </c>
      <c r="K2883" s="7" t="s">
        <v>18</v>
      </c>
      <c r="L2883" s="8">
        <v>39891.213356481479</v>
      </c>
      <c r="M2883" s="9" t="s">
        <v>19</v>
      </c>
      <c r="N2883" s="9" t="s">
        <v>22</v>
      </c>
      <c r="O2883" s="6" t="str">
        <f>HYPERLINK("https://pbs.twimg.com/profile_images/1433591977631748099/wuGDIimB_normal.jpg","View")</f>
        <v>View</v>
      </c>
      <c r="P2883" s="7"/>
    </row>
    <row r="2884" spans="1:16">
      <c r="A2884" s="3">
        <v>44443.211550925931</v>
      </c>
      <c r="B2884" s="4" t="str">
        <f>HYPERLINK("https://twitter.com/sergio_fajardo","@sergio_fajardo")</f>
        <v>@sergio_fajardo</v>
      </c>
      <c r="C2884" s="5" t="s">
        <v>16</v>
      </c>
      <c r="D2884" s="5" t="s">
        <v>2905</v>
      </c>
      <c r="E2884" s="6" t="str">
        <f>HYPERLINK("https://twitter.com/sergio_fajardo/status/1433936503839789058","1433936503839789058")</f>
        <v>1433936503839789058</v>
      </c>
      <c r="F2884" s="7" t="s">
        <v>17</v>
      </c>
      <c r="G2884" s="7">
        <v>1594278</v>
      </c>
      <c r="H2884" s="7">
        <v>536</v>
      </c>
      <c r="I2884" s="7">
        <v>9</v>
      </c>
      <c r="J2884" s="7">
        <v>41</v>
      </c>
      <c r="K2884" s="7" t="s">
        <v>18</v>
      </c>
      <c r="L2884" s="8">
        <v>39891.213356481479</v>
      </c>
      <c r="M2884" s="9" t="s">
        <v>19</v>
      </c>
      <c r="N2884" s="9" t="s">
        <v>22</v>
      </c>
      <c r="O2884" s="6" t="str">
        <f>HYPERLINK("https://pbs.twimg.com/profile_images/1433591977631748099/wuGDIimB_normal.jpg","View")</f>
        <v>View</v>
      </c>
      <c r="P2884" s="7"/>
    </row>
    <row r="2885" spans="1:16">
      <c r="A2885" s="3">
        <v>44444.77548611111</v>
      </c>
      <c r="B2885" s="4" t="str">
        <f>HYPERLINK("https://twitter.com/sergio_fajardo","@sergio_fajardo")</f>
        <v>@sergio_fajardo</v>
      </c>
      <c r="C2885" s="5" t="s">
        <v>16</v>
      </c>
      <c r="D2885" s="5" t="s">
        <v>2906</v>
      </c>
      <c r="E2885" s="6" t="str">
        <f>HYPERLINK("https://twitter.com/sergio_fajardo/status/1434503255711694850","1434503255711694850")</f>
        <v>1434503255711694850</v>
      </c>
      <c r="F2885" s="7" t="s">
        <v>2329</v>
      </c>
      <c r="G2885" s="7">
        <v>1594365</v>
      </c>
      <c r="H2885" s="7">
        <v>536</v>
      </c>
      <c r="I2885" s="7">
        <v>35</v>
      </c>
      <c r="J2885" s="7">
        <v>107</v>
      </c>
      <c r="K2885" s="7" t="s">
        <v>18</v>
      </c>
      <c r="L2885" s="8">
        <v>39891.213356481479</v>
      </c>
      <c r="M2885" s="9" t="s">
        <v>19</v>
      </c>
      <c r="N2885" s="9" t="s">
        <v>22</v>
      </c>
      <c r="O2885" s="6" t="str">
        <f>HYPERLINK("https://pbs.twimg.com/profile_images/1433591977631748099/wuGDIimB_normal.jpg","View")</f>
        <v>View</v>
      </c>
      <c r="P2885" s="7"/>
    </row>
    <row r="2886" spans="1:16">
      <c r="A2886" s="3">
        <v>44444.881423611107</v>
      </c>
      <c r="B2886" s="4" t="str">
        <f>HYPERLINK("https://twitter.com/sergio_fajardo","@sergio_fajardo")</f>
        <v>@sergio_fajardo</v>
      </c>
      <c r="C2886" s="5" t="s">
        <v>16</v>
      </c>
      <c r="D2886" s="5" t="s">
        <v>2907</v>
      </c>
      <c r="E2886" s="6" t="str">
        <f>HYPERLINK("https://twitter.com/sergio_fajardo/status/1434541647505903616","1434541647505903616")</f>
        <v>1434541647505903616</v>
      </c>
      <c r="F2886" s="7" t="s">
        <v>17</v>
      </c>
      <c r="G2886" s="7">
        <v>1594368</v>
      </c>
      <c r="H2886" s="7">
        <v>536</v>
      </c>
      <c r="I2886" s="7">
        <v>18</v>
      </c>
      <c r="J2886" s="7">
        <v>79</v>
      </c>
      <c r="K2886" s="7" t="s">
        <v>18</v>
      </c>
      <c r="L2886" s="8">
        <v>39891.213356481479</v>
      </c>
      <c r="M2886" s="9" t="s">
        <v>19</v>
      </c>
      <c r="N2886" s="9" t="s">
        <v>22</v>
      </c>
      <c r="O2886" s="6" t="str">
        <f>HYPERLINK("https://pbs.twimg.com/profile_images/1433591977631748099/wuGDIimB_normal.jpg","View")</f>
        <v>View</v>
      </c>
      <c r="P2886" s="7"/>
    </row>
    <row r="2887" spans="1:16">
      <c r="A2887" s="3">
        <v>44444.881435185191</v>
      </c>
      <c r="B2887" s="4" t="str">
        <f>HYPERLINK("https://twitter.com/sergio_fajardo","@sergio_fajardo")</f>
        <v>@sergio_fajardo</v>
      </c>
      <c r="C2887" s="5" t="s">
        <v>16</v>
      </c>
      <c r="D2887" s="5" t="s">
        <v>2908</v>
      </c>
      <c r="E2887" s="6" t="str">
        <f>HYPERLINK("https://twitter.com/sergio_fajardo/status/1434541649758146560","1434541649758146560")</f>
        <v>1434541649758146560</v>
      </c>
      <c r="F2887" s="7" t="s">
        <v>17</v>
      </c>
      <c r="G2887" s="7">
        <v>1594368</v>
      </c>
      <c r="H2887" s="7">
        <v>536</v>
      </c>
      <c r="I2887" s="7">
        <v>4</v>
      </c>
      <c r="J2887" s="7">
        <v>10</v>
      </c>
      <c r="K2887" s="7" t="s">
        <v>18</v>
      </c>
      <c r="L2887" s="8">
        <v>39891.213356481479</v>
      </c>
      <c r="M2887" s="9" t="s">
        <v>19</v>
      </c>
      <c r="N2887" s="9" t="s">
        <v>22</v>
      </c>
      <c r="O2887" s="6" t="str">
        <f>HYPERLINK("https://pbs.twimg.com/profile_images/1433591977631748099/wuGDIimB_normal.jpg","View")</f>
        <v>View</v>
      </c>
      <c r="P2887" s="7"/>
    </row>
    <row r="2888" spans="1:16">
      <c r="A2888" s="3">
        <v>44444.881435185191</v>
      </c>
      <c r="B2888" s="4" t="str">
        <f>HYPERLINK("https://twitter.com/sergio_fajardo","@sergio_fajardo")</f>
        <v>@sergio_fajardo</v>
      </c>
      <c r="C2888" s="5" t="s">
        <v>16</v>
      </c>
      <c r="D2888" s="4" t="s">
        <v>2909</v>
      </c>
      <c r="E2888" s="6" t="str">
        <f>HYPERLINK("https://twitter.com/sergio_fajardo/status/1434541651448537092","1434541651448537092")</f>
        <v>1434541651448537092</v>
      </c>
      <c r="F2888" s="7" t="s">
        <v>17</v>
      </c>
      <c r="G2888" s="7">
        <v>1594368</v>
      </c>
      <c r="H2888" s="7">
        <v>536</v>
      </c>
      <c r="I2888" s="7">
        <v>2</v>
      </c>
      <c r="J2888" s="7">
        <v>8</v>
      </c>
      <c r="K2888" s="7" t="s">
        <v>18</v>
      </c>
      <c r="L2888" s="8">
        <v>39891.213356481479</v>
      </c>
      <c r="M2888" s="9" t="s">
        <v>19</v>
      </c>
      <c r="N2888" s="9" t="s">
        <v>22</v>
      </c>
      <c r="O2888" s="6" t="str">
        <f>HYPERLINK("https://pbs.twimg.com/profile_images/1433591977631748099/wuGDIimB_normal.jpg","View")</f>
        <v>View</v>
      </c>
      <c r="P2888" s="7"/>
    </row>
    <row r="2889" spans="1:16">
      <c r="A2889" s="3">
        <v>44444.88144675926</v>
      </c>
      <c r="B2889" s="4" t="str">
        <f>HYPERLINK("https://twitter.com/sergio_fajardo","@sergio_fajardo")</f>
        <v>@sergio_fajardo</v>
      </c>
      <c r="C2889" s="5" t="s">
        <v>16</v>
      </c>
      <c r="D2889" s="4" t="s">
        <v>2910</v>
      </c>
      <c r="E2889" s="6" t="str">
        <f>HYPERLINK("https://twitter.com/sergio_fajardo/status/1434541653080039425","1434541653080039425")</f>
        <v>1434541653080039425</v>
      </c>
      <c r="F2889" s="7" t="s">
        <v>17</v>
      </c>
      <c r="G2889" s="7">
        <v>1594368</v>
      </c>
      <c r="H2889" s="7">
        <v>536</v>
      </c>
      <c r="I2889" s="7">
        <v>2</v>
      </c>
      <c r="J2889" s="7">
        <v>9</v>
      </c>
      <c r="K2889" s="7" t="s">
        <v>18</v>
      </c>
      <c r="L2889" s="8">
        <v>39891.213356481479</v>
      </c>
      <c r="M2889" s="9" t="s">
        <v>19</v>
      </c>
      <c r="N2889" s="9" t="s">
        <v>22</v>
      </c>
      <c r="O2889" s="6" t="str">
        <f>HYPERLINK("https://pbs.twimg.com/profile_images/1433591977631748099/wuGDIimB_normal.jpg","View")</f>
        <v>View</v>
      </c>
      <c r="P2889" s="7"/>
    </row>
    <row r="2890" spans="1:16">
      <c r="A2890" s="3">
        <v>44445.088587962964</v>
      </c>
      <c r="B2890" s="4" t="str">
        <f>HYPERLINK("https://twitter.com/sergio_fajardo","@sergio_fajardo")</f>
        <v>@sergio_fajardo</v>
      </c>
      <c r="C2890" s="5" t="s">
        <v>16</v>
      </c>
      <c r="D2890" s="5" t="s">
        <v>2911</v>
      </c>
      <c r="E2890" s="6" t="str">
        <f>HYPERLINK("https://twitter.com/sergio_fajardo/status/1434616719855718402","1434616719855718402")</f>
        <v>1434616719855718402</v>
      </c>
      <c r="F2890" s="7" t="s">
        <v>17</v>
      </c>
      <c r="G2890" s="7">
        <v>1594395</v>
      </c>
      <c r="H2890" s="7">
        <v>536</v>
      </c>
      <c r="I2890" s="7">
        <v>3</v>
      </c>
      <c r="J2890" s="7">
        <v>7</v>
      </c>
      <c r="K2890" s="7" t="s">
        <v>18</v>
      </c>
      <c r="L2890" s="8">
        <v>39891.213356481479</v>
      </c>
      <c r="M2890" s="9" t="s">
        <v>19</v>
      </c>
      <c r="N2890" s="9" t="s">
        <v>22</v>
      </c>
      <c r="O2890" s="6" t="str">
        <f>HYPERLINK("https://pbs.twimg.com/profile_images/1433591977631748099/wuGDIimB_normal.jpg","View")</f>
        <v>View</v>
      </c>
      <c r="P2890" s="7"/>
    </row>
    <row r="2891" spans="1:16">
      <c r="A2891" s="3">
        <v>44445.777094907404</v>
      </c>
      <c r="B2891" s="4" t="str">
        <f>HYPERLINK("https://twitter.com/sergio_fajardo","@sergio_fajardo")</f>
        <v>@sergio_fajardo</v>
      </c>
      <c r="C2891" s="5" t="s">
        <v>16</v>
      </c>
      <c r="D2891" s="5" t="s">
        <v>2912</v>
      </c>
      <c r="E2891" s="6" t="str">
        <f>HYPERLINK("https://twitter.com/sergio_fajardo/status/1434866226325594112","1434866226325594112")</f>
        <v>1434866226325594112</v>
      </c>
      <c r="F2891" s="7" t="s">
        <v>23</v>
      </c>
      <c r="G2891" s="7">
        <v>1594408</v>
      </c>
      <c r="H2891" s="7">
        <v>536</v>
      </c>
      <c r="I2891" s="7">
        <v>9</v>
      </c>
      <c r="J2891" s="7">
        <v>62</v>
      </c>
      <c r="K2891" s="7" t="s">
        <v>18</v>
      </c>
      <c r="L2891" s="8">
        <v>39891.213356481479</v>
      </c>
      <c r="M2891" s="9" t="s">
        <v>19</v>
      </c>
      <c r="N2891" s="9" t="s">
        <v>22</v>
      </c>
      <c r="O2891" s="6" t="str">
        <f>HYPERLINK("https://pbs.twimg.com/profile_images/1433591977631748099/wuGDIimB_normal.jpg","View")</f>
        <v>View</v>
      </c>
      <c r="P2891" s="7"/>
    </row>
    <row r="2892" spans="1:16">
      <c r="A2892" s="3">
        <v>44445.781435185185</v>
      </c>
      <c r="B2892" s="4" t="str">
        <f>HYPERLINK("https://twitter.com/sergio_fajardo","@sergio_fajardo")</f>
        <v>@sergio_fajardo</v>
      </c>
      <c r="C2892" s="5" t="s">
        <v>16</v>
      </c>
      <c r="D2892" s="5" t="s">
        <v>2913</v>
      </c>
      <c r="E2892" s="6" t="str">
        <f>HYPERLINK("https://twitter.com/sergio_fajardo/status/1434867800271622153","1434867800271622153")</f>
        <v>1434867800271622153</v>
      </c>
      <c r="F2892" s="7" t="s">
        <v>23</v>
      </c>
      <c r="G2892" s="7">
        <v>1594408</v>
      </c>
      <c r="H2892" s="7">
        <v>536</v>
      </c>
      <c r="I2892" s="7">
        <v>5</v>
      </c>
      <c r="J2892" s="7">
        <v>20</v>
      </c>
      <c r="K2892" s="7" t="s">
        <v>18</v>
      </c>
      <c r="L2892" s="8">
        <v>39891.213356481479</v>
      </c>
      <c r="M2892" s="9" t="s">
        <v>19</v>
      </c>
      <c r="N2892" s="9" t="s">
        <v>22</v>
      </c>
      <c r="O2892" s="6" t="str">
        <f>HYPERLINK("https://pbs.twimg.com/profile_images/1433591977631748099/wuGDIimB_normal.jpg","View")</f>
        <v>View</v>
      </c>
      <c r="P2892" s="7"/>
    </row>
    <row r="2893" spans="1:16">
      <c r="A2893" s="3">
        <v>44445.839942129634</v>
      </c>
      <c r="B2893" s="4" t="str">
        <f>HYPERLINK("https://twitter.com/sergio_fajardo","@sergio_fajardo")</f>
        <v>@sergio_fajardo</v>
      </c>
      <c r="C2893" s="5" t="s">
        <v>16</v>
      </c>
      <c r="D2893" s="5" t="s">
        <v>2914</v>
      </c>
      <c r="E2893" s="6" t="str">
        <f>HYPERLINK("https://twitter.com/sergio_fajardo/status/1434889003153731588","1434889003153731588")</f>
        <v>1434889003153731588</v>
      </c>
      <c r="F2893" s="7" t="s">
        <v>23</v>
      </c>
      <c r="G2893" s="7">
        <v>1594331</v>
      </c>
      <c r="H2893" s="7">
        <v>536</v>
      </c>
      <c r="I2893" s="7">
        <v>6</v>
      </c>
      <c r="J2893" s="7">
        <v>40</v>
      </c>
      <c r="K2893" s="7" t="s">
        <v>18</v>
      </c>
      <c r="L2893" s="8">
        <v>39891.213356481479</v>
      </c>
      <c r="M2893" s="9" t="s">
        <v>19</v>
      </c>
      <c r="N2893" s="9" t="s">
        <v>22</v>
      </c>
      <c r="O2893" s="6" t="str">
        <f>HYPERLINK("https://pbs.twimg.com/profile_images/1433591977631748099/wuGDIimB_normal.jpg","View")</f>
        <v>View</v>
      </c>
      <c r="P2893" s="7"/>
    </row>
    <row r="2894" spans="1:16">
      <c r="A2894" s="3">
        <v>44445.85869212963</v>
      </c>
      <c r="B2894" s="4" t="str">
        <f>HYPERLINK("https://twitter.com/sergio_fajardo","@sergio_fajardo")</f>
        <v>@sergio_fajardo</v>
      </c>
      <c r="C2894" s="5" t="s">
        <v>16</v>
      </c>
      <c r="D2894" s="5" t="s">
        <v>2915</v>
      </c>
      <c r="E2894" s="6" t="str">
        <f>HYPERLINK("https://twitter.com/sergio_fajardo/status/1434895794071642113","1434895794071642113")</f>
        <v>1434895794071642113</v>
      </c>
      <c r="F2894" s="7" t="s">
        <v>23</v>
      </c>
      <c r="G2894" s="7">
        <v>1594331</v>
      </c>
      <c r="H2894" s="7">
        <v>536</v>
      </c>
      <c r="I2894" s="7">
        <v>8</v>
      </c>
      <c r="J2894" s="7">
        <v>58</v>
      </c>
      <c r="K2894" s="7" t="s">
        <v>18</v>
      </c>
      <c r="L2894" s="8">
        <v>39891.213356481479</v>
      </c>
      <c r="M2894" s="9" t="s">
        <v>19</v>
      </c>
      <c r="N2894" s="9" t="s">
        <v>22</v>
      </c>
      <c r="O2894" s="6" t="str">
        <f>HYPERLINK("https://pbs.twimg.com/profile_images/1433591977631748099/wuGDIimB_normal.jpg","View")</f>
        <v>View</v>
      </c>
      <c r="P2894" s="7"/>
    </row>
    <row r="2895" spans="1:16">
      <c r="A2895" s="3">
        <v>44446.004444444443</v>
      </c>
      <c r="B2895" s="4" t="str">
        <f>HYPERLINK("https://twitter.com/sergio_fajardo","@sergio_fajardo")</f>
        <v>@sergio_fajardo</v>
      </c>
      <c r="C2895" s="5" t="s">
        <v>16</v>
      </c>
      <c r="D2895" s="5" t="s">
        <v>2916</v>
      </c>
      <c r="E2895" s="6" t="str">
        <f>HYPERLINK("https://twitter.com/sergio_fajardo/status/1434948612807708677","1434948612807708677")</f>
        <v>1434948612807708677</v>
      </c>
      <c r="F2895" s="7" t="s">
        <v>17</v>
      </c>
      <c r="G2895" s="7">
        <v>1594423</v>
      </c>
      <c r="H2895" s="7">
        <v>543</v>
      </c>
      <c r="I2895" s="7">
        <v>41</v>
      </c>
      <c r="J2895" s="7">
        <v>160</v>
      </c>
      <c r="K2895" s="7" t="s">
        <v>18</v>
      </c>
      <c r="L2895" s="8">
        <v>39891.213356481479</v>
      </c>
      <c r="M2895" s="9" t="s">
        <v>19</v>
      </c>
      <c r="N2895" s="9" t="s">
        <v>22</v>
      </c>
      <c r="O2895" s="6" t="str">
        <f>HYPERLINK("https://pbs.twimg.com/profile_images/1433591977631748099/wuGDIimB_normal.jpg","View")</f>
        <v>View</v>
      </c>
      <c r="P2895" s="7"/>
    </row>
    <row r="2896" spans="1:16">
      <c r="A2896" s="3">
        <v>44446.843182870369</v>
      </c>
      <c r="B2896" s="4" t="str">
        <f>HYPERLINK("https://twitter.com/sergio_fajardo","@sergio_fajardo")</f>
        <v>@sergio_fajardo</v>
      </c>
      <c r="C2896" s="5" t="s">
        <v>16</v>
      </c>
      <c r="D2896" s="5" t="s">
        <v>2917</v>
      </c>
      <c r="E2896" s="6" t="str">
        <f>HYPERLINK("https://twitter.com/sergio_fajardo/status/1435252565365690368","1435252565365690368")</f>
        <v>1435252565365690368</v>
      </c>
      <c r="F2896" s="7" t="s">
        <v>17</v>
      </c>
      <c r="G2896" s="7">
        <v>1594532</v>
      </c>
      <c r="H2896" s="7">
        <v>543</v>
      </c>
      <c r="I2896" s="7">
        <v>10</v>
      </c>
      <c r="J2896" s="7">
        <v>0</v>
      </c>
      <c r="K2896" s="7" t="s">
        <v>18</v>
      </c>
      <c r="L2896" s="8">
        <v>39891.213356481479</v>
      </c>
      <c r="M2896" s="9" t="s">
        <v>19</v>
      </c>
      <c r="N2896" s="9" t="s">
        <v>22</v>
      </c>
      <c r="O2896" s="6" t="str">
        <f>HYPERLINK("https://pbs.twimg.com/profile_images/1433591977631748099/wuGDIimB_normal.jpg","View")</f>
        <v>View</v>
      </c>
      <c r="P2896" s="7"/>
    </row>
    <row r="2897" spans="1:16">
      <c r="A2897" s="3">
        <v>44446.843576388885</v>
      </c>
      <c r="B2897" s="4" t="str">
        <f>HYPERLINK("https://twitter.com/sergio_fajardo","@sergio_fajardo")</f>
        <v>@sergio_fajardo</v>
      </c>
      <c r="C2897" s="5" t="s">
        <v>16</v>
      </c>
      <c r="D2897" s="5" t="s">
        <v>2918</v>
      </c>
      <c r="E2897" s="6" t="str">
        <f>HYPERLINK("https://twitter.com/sergio_fajardo/status/1435252705962889221","1435252705962889221")</f>
        <v>1435252705962889221</v>
      </c>
      <c r="F2897" s="7" t="s">
        <v>17</v>
      </c>
      <c r="G2897" s="7">
        <v>1594532</v>
      </c>
      <c r="H2897" s="7">
        <v>543</v>
      </c>
      <c r="I2897" s="7">
        <v>7</v>
      </c>
      <c r="J2897" s="7">
        <v>0</v>
      </c>
      <c r="K2897" s="7" t="s">
        <v>18</v>
      </c>
      <c r="L2897" s="8">
        <v>39891.213356481479</v>
      </c>
      <c r="M2897" s="9" t="s">
        <v>19</v>
      </c>
      <c r="N2897" s="9" t="s">
        <v>22</v>
      </c>
      <c r="O2897" s="6" t="str">
        <f>HYPERLINK("https://pbs.twimg.com/profile_images/1433591977631748099/wuGDIimB_normal.jpg","View")</f>
        <v>View</v>
      </c>
      <c r="P2897" s="7"/>
    </row>
    <row r="2898" spans="1:16">
      <c r="A2898" s="3">
        <v>44446.843715277777</v>
      </c>
      <c r="B2898" s="4" t="str">
        <f>HYPERLINK("https://twitter.com/sergio_fajardo","@sergio_fajardo")</f>
        <v>@sergio_fajardo</v>
      </c>
      <c r="C2898" s="5" t="s">
        <v>16</v>
      </c>
      <c r="D2898" s="5" t="s">
        <v>2919</v>
      </c>
      <c r="E2898" s="6" t="str">
        <f>HYPERLINK("https://twitter.com/sergio_fajardo/status/1435252757330644993","1435252757330644993")</f>
        <v>1435252757330644993</v>
      </c>
      <c r="F2898" s="7" t="s">
        <v>17</v>
      </c>
      <c r="G2898" s="7">
        <v>1594532</v>
      </c>
      <c r="H2898" s="7">
        <v>543</v>
      </c>
      <c r="I2898" s="7">
        <v>15</v>
      </c>
      <c r="J2898" s="7">
        <v>0</v>
      </c>
      <c r="K2898" s="7" t="s">
        <v>18</v>
      </c>
      <c r="L2898" s="8">
        <v>39891.213356481479</v>
      </c>
      <c r="M2898" s="9" t="s">
        <v>19</v>
      </c>
      <c r="N2898" s="9" t="s">
        <v>22</v>
      </c>
      <c r="O2898" s="6" t="str">
        <f>HYPERLINK("https://pbs.twimg.com/profile_images/1433591977631748099/wuGDIimB_normal.jpg","View")</f>
        <v>View</v>
      </c>
      <c r="P2898" s="7"/>
    </row>
    <row r="2899" spans="1:16">
      <c r="A2899" s="3">
        <v>44446.847245370373</v>
      </c>
      <c r="B2899" s="4" t="str">
        <f>HYPERLINK("https://twitter.com/sergio_fajardo","@sergio_fajardo")</f>
        <v>@sergio_fajardo</v>
      </c>
      <c r="C2899" s="5" t="s">
        <v>16</v>
      </c>
      <c r="D2899" s="5" t="s">
        <v>2920</v>
      </c>
      <c r="E2899" s="6" t="str">
        <f>HYPERLINK("https://twitter.com/sergio_fajardo/status/1435254035955818499","1435254035955818499")</f>
        <v>1435254035955818499</v>
      </c>
      <c r="F2899" s="7" t="s">
        <v>17</v>
      </c>
      <c r="G2899" s="7">
        <v>1594539</v>
      </c>
      <c r="H2899" s="7">
        <v>543</v>
      </c>
      <c r="I2899" s="7">
        <v>2</v>
      </c>
      <c r="J2899" s="7">
        <v>0</v>
      </c>
      <c r="K2899" s="7" t="s">
        <v>18</v>
      </c>
      <c r="L2899" s="8">
        <v>39891.213356481479</v>
      </c>
      <c r="M2899" s="9" t="s">
        <v>19</v>
      </c>
      <c r="N2899" s="9" t="s">
        <v>22</v>
      </c>
      <c r="O2899" s="6" t="str">
        <f>HYPERLINK("https://pbs.twimg.com/profile_images/1433591977631748099/wuGDIimB_normal.jpg","View")</f>
        <v>View</v>
      </c>
      <c r="P2899" s="7"/>
    </row>
    <row r="2900" spans="1:16">
      <c r="A2900" s="3">
        <v>44446.848668981482</v>
      </c>
      <c r="B2900" s="4" t="str">
        <f>HYPERLINK("https://twitter.com/sergio_fajardo","@sergio_fajardo")</f>
        <v>@sergio_fajardo</v>
      </c>
      <c r="C2900" s="5" t="s">
        <v>16</v>
      </c>
      <c r="D2900" s="5" t="s">
        <v>2921</v>
      </c>
      <c r="E2900" s="6" t="str">
        <f>HYPERLINK("https://twitter.com/sergio_fajardo/status/1435254552635269120","1435254552635269120")</f>
        <v>1435254552635269120</v>
      </c>
      <c r="F2900" s="7" t="s">
        <v>17</v>
      </c>
      <c r="G2900" s="7">
        <v>1594539</v>
      </c>
      <c r="H2900" s="7">
        <v>543</v>
      </c>
      <c r="I2900" s="7">
        <v>23</v>
      </c>
      <c r="J2900" s="7">
        <v>72</v>
      </c>
      <c r="K2900" s="7" t="s">
        <v>18</v>
      </c>
      <c r="L2900" s="8">
        <v>39891.213356481479</v>
      </c>
      <c r="M2900" s="9" t="s">
        <v>19</v>
      </c>
      <c r="N2900" s="9" t="s">
        <v>22</v>
      </c>
      <c r="O2900" s="6" t="str">
        <f>HYPERLINK("https://pbs.twimg.com/profile_images/1433591977631748099/wuGDIimB_normal.jpg","View")</f>
        <v>View</v>
      </c>
      <c r="P2900" s="7"/>
    </row>
    <row r="2901" spans="1:16">
      <c r="A2901" s="3">
        <v>44446.855150462958</v>
      </c>
      <c r="B2901" s="4" t="str">
        <f>HYPERLINK("https://twitter.com/sergio_fajardo","@sergio_fajardo")</f>
        <v>@sergio_fajardo</v>
      </c>
      <c r="C2901" s="5" t="s">
        <v>16</v>
      </c>
      <c r="D2901" s="5" t="s">
        <v>2922</v>
      </c>
      <c r="E2901" s="6" t="str">
        <f>HYPERLINK("https://twitter.com/sergio_fajardo/status/1435256902284451848","1435256902284451848")</f>
        <v>1435256902284451848</v>
      </c>
      <c r="F2901" s="7" t="s">
        <v>17</v>
      </c>
      <c r="G2901" s="7">
        <v>1594539</v>
      </c>
      <c r="H2901" s="7">
        <v>543</v>
      </c>
      <c r="I2901" s="7">
        <v>3</v>
      </c>
      <c r="J2901" s="7">
        <v>0</v>
      </c>
      <c r="K2901" s="7" t="s">
        <v>18</v>
      </c>
      <c r="L2901" s="8">
        <v>39891.213356481479</v>
      </c>
      <c r="M2901" s="9" t="s">
        <v>19</v>
      </c>
      <c r="N2901" s="9" t="s">
        <v>22</v>
      </c>
      <c r="O2901" s="6" t="str">
        <f>HYPERLINK("https://pbs.twimg.com/profile_images/1433591977631748099/wuGDIimB_normal.jpg","View")</f>
        <v>View</v>
      </c>
      <c r="P2901" s="7"/>
    </row>
    <row r="2902" spans="1:16">
      <c r="A2902" s="3">
        <v>44446.855624999997</v>
      </c>
      <c r="B2902" s="4" t="str">
        <f>HYPERLINK("https://twitter.com/sergio_fajardo","@sergio_fajardo")</f>
        <v>@sergio_fajardo</v>
      </c>
      <c r="C2902" s="5" t="s">
        <v>16</v>
      </c>
      <c r="D2902" s="5" t="s">
        <v>2923</v>
      </c>
      <c r="E2902" s="6" t="str">
        <f>HYPERLINK("https://twitter.com/sergio_fajardo/status/1435257071574917126","1435257071574917126")</f>
        <v>1435257071574917126</v>
      </c>
      <c r="F2902" s="7" t="s">
        <v>17</v>
      </c>
      <c r="G2902" s="7">
        <v>1594539</v>
      </c>
      <c r="H2902" s="7">
        <v>543</v>
      </c>
      <c r="I2902" s="7">
        <v>10</v>
      </c>
      <c r="J2902" s="7">
        <v>0</v>
      </c>
      <c r="K2902" s="7" t="s">
        <v>18</v>
      </c>
      <c r="L2902" s="8">
        <v>39891.213356481479</v>
      </c>
      <c r="M2902" s="9" t="s">
        <v>19</v>
      </c>
      <c r="N2902" s="9" t="s">
        <v>22</v>
      </c>
      <c r="O2902" s="6" t="str">
        <f>HYPERLINK("https://pbs.twimg.com/profile_images/1433591977631748099/wuGDIimB_normal.jpg","View")</f>
        <v>View</v>
      </c>
      <c r="P2902" s="7"/>
    </row>
    <row r="2903" spans="1:16">
      <c r="A2903" s="3">
        <v>44446.88481481481</v>
      </c>
      <c r="B2903" s="4" t="str">
        <f>HYPERLINK("https://twitter.com/sergio_fajardo","@sergio_fajardo")</f>
        <v>@sergio_fajardo</v>
      </c>
      <c r="C2903" s="5" t="s">
        <v>16</v>
      </c>
      <c r="D2903" s="5" t="s">
        <v>2924</v>
      </c>
      <c r="E2903" s="6" t="str">
        <f>HYPERLINK("https://twitter.com/sergio_fajardo/status/1435267651132141570","1435267651132141570")</f>
        <v>1435267651132141570</v>
      </c>
      <c r="F2903" s="7" t="s">
        <v>23</v>
      </c>
      <c r="G2903" s="7">
        <v>1594543</v>
      </c>
      <c r="H2903" s="7">
        <v>543</v>
      </c>
      <c r="I2903" s="7">
        <v>2</v>
      </c>
      <c r="J2903" s="7">
        <v>0</v>
      </c>
      <c r="K2903" s="7" t="s">
        <v>18</v>
      </c>
      <c r="L2903" s="8">
        <v>39891.213356481479</v>
      </c>
      <c r="M2903" s="9" t="s">
        <v>19</v>
      </c>
      <c r="N2903" s="9" t="s">
        <v>22</v>
      </c>
      <c r="O2903" s="6" t="str">
        <f>HYPERLINK("https://pbs.twimg.com/profile_images/1433591977631748099/wuGDIimB_normal.jpg","View")</f>
        <v>View</v>
      </c>
      <c r="P2903" s="7"/>
    </row>
    <row r="2904" spans="1:16">
      <c r="A2904" s="3">
        <v>44446.884976851856</v>
      </c>
      <c r="B2904" s="4" t="str">
        <f>HYPERLINK("https://twitter.com/sergio_fajardo","@sergio_fajardo")</f>
        <v>@sergio_fajardo</v>
      </c>
      <c r="C2904" s="5" t="s">
        <v>16</v>
      </c>
      <c r="D2904" s="5" t="s">
        <v>2925</v>
      </c>
      <c r="E2904" s="6" t="str">
        <f>HYPERLINK("https://twitter.com/sergio_fajardo/status/1435267709051318274","1435267709051318274")</f>
        <v>1435267709051318274</v>
      </c>
      <c r="F2904" s="7" t="s">
        <v>23</v>
      </c>
      <c r="G2904" s="7">
        <v>1594543</v>
      </c>
      <c r="H2904" s="7">
        <v>543</v>
      </c>
      <c r="I2904" s="7">
        <v>10</v>
      </c>
      <c r="J2904" s="7">
        <v>0</v>
      </c>
      <c r="K2904" s="7" t="s">
        <v>18</v>
      </c>
      <c r="L2904" s="8">
        <v>39891.213356481479</v>
      </c>
      <c r="M2904" s="9" t="s">
        <v>19</v>
      </c>
      <c r="N2904" s="9" t="s">
        <v>22</v>
      </c>
      <c r="O2904" s="6" t="str">
        <f>HYPERLINK("https://pbs.twimg.com/profile_images/1433591977631748099/wuGDIimB_normal.jpg","View")</f>
        <v>View</v>
      </c>
      <c r="P2904" s="7"/>
    </row>
    <row r="2905" spans="1:16">
      <c r="A2905" s="3">
        <v>44446.885104166664</v>
      </c>
      <c r="B2905" s="4" t="str">
        <f>HYPERLINK("https://twitter.com/sergio_fajardo","@sergio_fajardo")</f>
        <v>@sergio_fajardo</v>
      </c>
      <c r="C2905" s="5" t="s">
        <v>16</v>
      </c>
      <c r="D2905" s="5" t="s">
        <v>2926</v>
      </c>
      <c r="E2905" s="6" t="str">
        <f>HYPERLINK("https://twitter.com/sergio_fajardo/status/1435267754190385156","1435267754190385156")</f>
        <v>1435267754190385156</v>
      </c>
      <c r="F2905" s="7" t="s">
        <v>23</v>
      </c>
      <c r="G2905" s="7">
        <v>1594543</v>
      </c>
      <c r="H2905" s="7">
        <v>543</v>
      </c>
      <c r="I2905" s="7">
        <v>3</v>
      </c>
      <c r="J2905" s="7">
        <v>0</v>
      </c>
      <c r="K2905" s="7" t="s">
        <v>18</v>
      </c>
      <c r="L2905" s="8">
        <v>39891.213356481479</v>
      </c>
      <c r="M2905" s="9" t="s">
        <v>19</v>
      </c>
      <c r="N2905" s="9" t="s">
        <v>22</v>
      </c>
      <c r="O2905" s="6" t="str">
        <f>HYPERLINK("https://pbs.twimg.com/profile_images/1433591977631748099/wuGDIimB_normal.jpg","View")</f>
        <v>View</v>
      </c>
      <c r="P2905" s="7"/>
    </row>
    <row r="2906" spans="1:16">
      <c r="A2906" s="3">
        <v>44446.901967592596</v>
      </c>
      <c r="B2906" s="4" t="str">
        <f>HYPERLINK("https://twitter.com/sergio_fajardo","@sergio_fajardo")</f>
        <v>@sergio_fajardo</v>
      </c>
      <c r="C2906" s="5" t="s">
        <v>16</v>
      </c>
      <c r="D2906" s="5" t="s">
        <v>2927</v>
      </c>
      <c r="E2906" s="6" t="str">
        <f>HYPERLINK("https://twitter.com/sergio_fajardo/status/1435273866780319758","1435273866780319758")</f>
        <v>1435273866780319758</v>
      </c>
      <c r="F2906" s="7" t="s">
        <v>23</v>
      </c>
      <c r="G2906" s="7">
        <v>1594466</v>
      </c>
      <c r="H2906" s="7">
        <v>543</v>
      </c>
      <c r="I2906" s="7">
        <v>7</v>
      </c>
      <c r="J2906" s="7">
        <v>0</v>
      </c>
      <c r="K2906" s="7" t="s">
        <v>18</v>
      </c>
      <c r="L2906" s="8">
        <v>39891.213356481479</v>
      </c>
      <c r="M2906" s="9" t="s">
        <v>19</v>
      </c>
      <c r="N2906" s="9" t="s">
        <v>22</v>
      </c>
      <c r="O2906" s="6" t="str">
        <f>HYPERLINK("https://pbs.twimg.com/profile_images/1433591977631748099/wuGDIimB_normal.jpg","View")</f>
        <v>View</v>
      </c>
      <c r="P2906" s="7"/>
    </row>
    <row r="2907" spans="1:16">
      <c r="A2907" s="3">
        <v>44447.087430555555</v>
      </c>
      <c r="B2907" s="4" t="str">
        <f>HYPERLINK("https://twitter.com/sergio_fajardo","@sergio_fajardo")</f>
        <v>@sergio_fajardo</v>
      </c>
      <c r="C2907" s="5" t="s">
        <v>16</v>
      </c>
      <c r="D2907" s="5" t="s">
        <v>2928</v>
      </c>
      <c r="E2907" s="6" t="str">
        <f>HYPERLINK("https://twitter.com/sergio_fajardo/status/1435341076487983113","1435341076487983113")</f>
        <v>1435341076487983113</v>
      </c>
      <c r="F2907" s="7" t="s">
        <v>23</v>
      </c>
      <c r="G2907" s="7">
        <v>1594574</v>
      </c>
      <c r="H2907" s="7">
        <v>543</v>
      </c>
      <c r="I2907" s="7">
        <v>2</v>
      </c>
      <c r="J2907" s="7">
        <v>0</v>
      </c>
      <c r="K2907" s="7" t="s">
        <v>18</v>
      </c>
      <c r="L2907" s="8">
        <v>39891.213356481479</v>
      </c>
      <c r="M2907" s="9" t="s">
        <v>19</v>
      </c>
      <c r="N2907" s="9" t="s">
        <v>22</v>
      </c>
      <c r="O2907" s="6" t="str">
        <f>HYPERLINK("https://pbs.twimg.com/profile_images/1433591977631748099/wuGDIimB_normal.jpg","View")</f>
        <v>View</v>
      </c>
      <c r="P2907" s="7"/>
    </row>
    <row r="2908" spans="1:16">
      <c r="A2908" s="3">
        <v>44447.087465277778</v>
      </c>
      <c r="B2908" s="4" t="str">
        <f>HYPERLINK("https://twitter.com/sergio_fajardo","@sergio_fajardo")</f>
        <v>@sergio_fajardo</v>
      </c>
      <c r="C2908" s="5" t="s">
        <v>16</v>
      </c>
      <c r="D2908" s="5" t="s">
        <v>2929</v>
      </c>
      <c r="E2908" s="6" t="str">
        <f>HYPERLINK("https://twitter.com/sergio_fajardo/status/1435341088978575362","1435341088978575362")</f>
        <v>1435341088978575362</v>
      </c>
      <c r="F2908" s="7" t="s">
        <v>23</v>
      </c>
      <c r="G2908" s="7">
        <v>1594574</v>
      </c>
      <c r="H2908" s="7">
        <v>543</v>
      </c>
      <c r="I2908" s="7">
        <v>4</v>
      </c>
      <c r="J2908" s="7">
        <v>0</v>
      </c>
      <c r="K2908" s="7" t="s">
        <v>18</v>
      </c>
      <c r="L2908" s="8">
        <v>39891.213356481479</v>
      </c>
      <c r="M2908" s="9" t="s">
        <v>19</v>
      </c>
      <c r="N2908" s="9" t="s">
        <v>22</v>
      </c>
      <c r="O2908" s="6" t="str">
        <f>HYPERLINK("https://pbs.twimg.com/profile_images/1433591977631748099/wuGDIimB_normal.jpg","View")</f>
        <v>View</v>
      </c>
      <c r="P2908" s="7"/>
    </row>
    <row r="2909" spans="1:16">
      <c r="A2909" s="3">
        <v>44447.092916666668</v>
      </c>
      <c r="B2909" s="4" t="str">
        <f>HYPERLINK("https://twitter.com/sergio_fajardo","@sergio_fajardo")</f>
        <v>@sergio_fajardo</v>
      </c>
      <c r="C2909" s="5" t="s">
        <v>16</v>
      </c>
      <c r="D2909" s="5" t="s">
        <v>2930</v>
      </c>
      <c r="E2909" s="6" t="str">
        <f>HYPERLINK("https://twitter.com/sergio_fajardo/status/1435343062490832896","1435343062490832896")</f>
        <v>1435343062490832896</v>
      </c>
      <c r="F2909" s="7" t="s">
        <v>17</v>
      </c>
      <c r="G2909" s="7">
        <v>1594574</v>
      </c>
      <c r="H2909" s="7">
        <v>543</v>
      </c>
      <c r="I2909" s="7">
        <v>4</v>
      </c>
      <c r="J2909" s="7">
        <v>0</v>
      </c>
      <c r="K2909" s="7" t="s">
        <v>18</v>
      </c>
      <c r="L2909" s="8">
        <v>39891.213356481479</v>
      </c>
      <c r="M2909" s="9" t="s">
        <v>19</v>
      </c>
      <c r="N2909" s="9" t="s">
        <v>22</v>
      </c>
      <c r="O2909" s="6" t="str">
        <f>HYPERLINK("https://pbs.twimg.com/profile_images/1433591977631748099/wuGDIimB_normal.jpg","View")</f>
        <v>View</v>
      </c>
      <c r="P2909" s="7"/>
    </row>
    <row r="2910" spans="1:16">
      <c r="A2910" s="3">
        <v>44447.154328703706</v>
      </c>
      <c r="B2910" s="4" t="str">
        <f>HYPERLINK("https://twitter.com/sergio_fajardo","@sergio_fajardo")</f>
        <v>@sergio_fajardo</v>
      </c>
      <c r="C2910" s="5" t="s">
        <v>16</v>
      </c>
      <c r="D2910" s="5" t="s">
        <v>2931</v>
      </c>
      <c r="E2910" s="6" t="str">
        <f>HYPERLINK("https://twitter.com/sergio_fajardo/status/1435365318340263943","1435365318340263943")</f>
        <v>1435365318340263943</v>
      </c>
      <c r="F2910" s="7" t="s">
        <v>17</v>
      </c>
      <c r="G2910" s="7">
        <v>1594582</v>
      </c>
      <c r="H2910" s="7">
        <v>543</v>
      </c>
      <c r="I2910" s="7">
        <v>35</v>
      </c>
      <c r="J2910" s="7">
        <v>148</v>
      </c>
      <c r="K2910" s="7" t="s">
        <v>18</v>
      </c>
      <c r="L2910" s="8">
        <v>39891.213356481479</v>
      </c>
      <c r="M2910" s="9" t="s">
        <v>19</v>
      </c>
      <c r="N2910" s="9" t="s">
        <v>22</v>
      </c>
      <c r="O2910" s="6" t="str">
        <f>HYPERLINK("https://pbs.twimg.com/profile_images/1433591977631748099/wuGDIimB_normal.jpg","View")</f>
        <v>View</v>
      </c>
      <c r="P2910" s="7"/>
    </row>
    <row r="2911" spans="1:16">
      <c r="A2911" s="3">
        <v>44448.011215277773</v>
      </c>
      <c r="B2911" s="4" t="str">
        <f>HYPERLINK("https://twitter.com/sergio_fajardo","@sergio_fajardo")</f>
        <v>@sergio_fajardo</v>
      </c>
      <c r="C2911" s="5" t="s">
        <v>16</v>
      </c>
      <c r="D2911" s="5" t="s">
        <v>2932</v>
      </c>
      <c r="E2911" s="6" t="str">
        <f>HYPERLINK("https://twitter.com/sergio_fajardo/status/1435675843343360010","1435675843343360010")</f>
        <v>1435675843343360010</v>
      </c>
      <c r="F2911" s="7" t="s">
        <v>17</v>
      </c>
      <c r="G2911" s="7">
        <v>1594672</v>
      </c>
      <c r="H2911" s="7">
        <v>544</v>
      </c>
      <c r="I2911" s="7">
        <v>4</v>
      </c>
      <c r="J2911" s="7">
        <v>20</v>
      </c>
      <c r="K2911" s="7" t="s">
        <v>18</v>
      </c>
      <c r="L2911" s="8">
        <v>39891.213356481479</v>
      </c>
      <c r="M2911" s="9" t="s">
        <v>19</v>
      </c>
      <c r="N2911" s="9" t="s">
        <v>22</v>
      </c>
      <c r="O2911" s="6" t="str">
        <f>HYPERLINK("https://pbs.twimg.com/profile_images/1433591977631748099/wuGDIimB_normal.jpg","View")</f>
        <v>View</v>
      </c>
      <c r="P2911" s="7"/>
    </row>
    <row r="2912" spans="1:16">
      <c r="A2912" s="3">
        <v>44448.041307870371</v>
      </c>
      <c r="B2912" s="4" t="str">
        <f>HYPERLINK("https://twitter.com/sergio_fajardo","@sergio_fajardo")</f>
        <v>@sergio_fajardo</v>
      </c>
      <c r="C2912" s="5" t="s">
        <v>16</v>
      </c>
      <c r="D2912" s="5" t="s">
        <v>2933</v>
      </c>
      <c r="E2912" s="6" t="str">
        <f>HYPERLINK("https://twitter.com/sergio_fajardo/status/1435686750375092225","1435686750375092225")</f>
        <v>1435686750375092225</v>
      </c>
      <c r="F2912" s="7" t="s">
        <v>17</v>
      </c>
      <c r="G2912" s="7">
        <v>1594673</v>
      </c>
      <c r="H2912" s="7">
        <v>544</v>
      </c>
      <c r="I2912" s="7">
        <v>17</v>
      </c>
      <c r="J2912" s="7">
        <v>0</v>
      </c>
      <c r="K2912" s="7" t="s">
        <v>18</v>
      </c>
      <c r="L2912" s="8">
        <v>39891.213356481479</v>
      </c>
      <c r="M2912" s="9" t="s">
        <v>19</v>
      </c>
      <c r="N2912" s="9" t="s">
        <v>22</v>
      </c>
      <c r="O2912" s="6" t="str">
        <f>HYPERLINK("https://pbs.twimg.com/profile_images/1433591977631748099/wuGDIimB_normal.jpg","View")</f>
        <v>View</v>
      </c>
      <c r="P2912" s="7"/>
    </row>
    <row r="2913" spans="1:16">
      <c r="A2913" s="3">
        <v>44448.313738425924</v>
      </c>
      <c r="B2913" s="4" t="str">
        <f>HYPERLINK("https://twitter.com/sergio_fajardo","@sergio_fajardo")</f>
        <v>@sergio_fajardo</v>
      </c>
      <c r="C2913" s="5" t="s">
        <v>16</v>
      </c>
      <c r="D2913" s="5" t="s">
        <v>2934</v>
      </c>
      <c r="E2913" s="6" t="str">
        <f>HYPERLINK("https://twitter.com/sergio_fajardo/status/1435785475680313350","1435785475680313350")</f>
        <v>1435785475680313350</v>
      </c>
      <c r="F2913" s="7" t="s">
        <v>2329</v>
      </c>
      <c r="G2913" s="7">
        <v>1594689</v>
      </c>
      <c r="H2913" s="7">
        <v>544</v>
      </c>
      <c r="I2913" s="7">
        <v>39</v>
      </c>
      <c r="J2913" s="7">
        <v>124</v>
      </c>
      <c r="K2913" s="7" t="s">
        <v>18</v>
      </c>
      <c r="L2913" s="8">
        <v>39891.213356481479</v>
      </c>
      <c r="M2913" s="9" t="s">
        <v>19</v>
      </c>
      <c r="N2913" s="9" t="s">
        <v>22</v>
      </c>
      <c r="O2913" s="6" t="str">
        <f>HYPERLINK("https://pbs.twimg.com/profile_images/1433591977631748099/wuGDIimB_normal.jpg","View")</f>
        <v>View</v>
      </c>
      <c r="P2913" s="7"/>
    </row>
    <row r="2914" spans="1:16">
      <c r="A2914" s="3">
        <v>44448.684386574074</v>
      </c>
      <c r="B2914" s="4" t="str">
        <f>HYPERLINK("https://twitter.com/sergio_fajardo","@sergio_fajardo")</f>
        <v>@sergio_fajardo</v>
      </c>
      <c r="C2914" s="5" t="s">
        <v>16</v>
      </c>
      <c r="D2914" s="5" t="s">
        <v>2935</v>
      </c>
      <c r="E2914" s="6" t="str">
        <f>HYPERLINK("https://twitter.com/sergio_fajardo/status/1435919794696560645","1435919794696560645")</f>
        <v>1435919794696560645</v>
      </c>
      <c r="F2914" s="7" t="s">
        <v>17</v>
      </c>
      <c r="G2914" s="7">
        <v>1594693</v>
      </c>
      <c r="H2914" s="7">
        <v>544</v>
      </c>
      <c r="I2914" s="7">
        <v>1</v>
      </c>
      <c r="J2914" s="7">
        <v>18</v>
      </c>
      <c r="K2914" s="7" t="s">
        <v>18</v>
      </c>
      <c r="L2914" s="8">
        <v>39891.213356481479</v>
      </c>
      <c r="M2914" s="9" t="s">
        <v>19</v>
      </c>
      <c r="N2914" s="9" t="s">
        <v>22</v>
      </c>
      <c r="O2914" s="6" t="str">
        <f>HYPERLINK("https://pbs.twimg.com/profile_images/1433591977631748099/wuGDIimB_normal.jpg","View")</f>
        <v>View</v>
      </c>
      <c r="P2914" s="7"/>
    </row>
    <row r="2915" spans="1:16">
      <c r="A2915" s="3">
        <v>44448.686041666668</v>
      </c>
      <c r="B2915" s="4" t="str">
        <f>HYPERLINK("https://twitter.com/sergio_fajardo","@sergio_fajardo")</f>
        <v>@sergio_fajardo</v>
      </c>
      <c r="C2915" s="5" t="s">
        <v>16</v>
      </c>
      <c r="D2915" s="5" t="s">
        <v>2936</v>
      </c>
      <c r="E2915" s="6" t="str">
        <f>HYPERLINK("https://twitter.com/sergio_fajardo/status/1435920392359759875","1435920392359759875")</f>
        <v>1435920392359759875</v>
      </c>
      <c r="F2915" s="7" t="s">
        <v>17</v>
      </c>
      <c r="G2915" s="7">
        <v>1594693</v>
      </c>
      <c r="H2915" s="7">
        <v>544</v>
      </c>
      <c r="I2915" s="7">
        <v>1</v>
      </c>
      <c r="J2915" s="7">
        <v>27</v>
      </c>
      <c r="K2915" s="7" t="s">
        <v>18</v>
      </c>
      <c r="L2915" s="8">
        <v>39891.213356481479</v>
      </c>
      <c r="M2915" s="9" t="s">
        <v>19</v>
      </c>
      <c r="N2915" s="9" t="s">
        <v>22</v>
      </c>
      <c r="O2915" s="6" t="str">
        <f>HYPERLINK("https://pbs.twimg.com/profile_images/1433591977631748099/wuGDIimB_normal.jpg","View")</f>
        <v>View</v>
      </c>
      <c r="P2915" s="7"/>
    </row>
    <row r="2916" spans="1:16">
      <c r="A2916" s="3">
        <v>44448.710312499999</v>
      </c>
      <c r="B2916" s="4" t="str">
        <f>HYPERLINK("https://twitter.com/sergio_fajardo","@sergio_fajardo")</f>
        <v>@sergio_fajardo</v>
      </c>
      <c r="C2916" s="5" t="s">
        <v>16</v>
      </c>
      <c r="D2916" s="5" t="s">
        <v>2937</v>
      </c>
      <c r="E2916" s="6" t="str">
        <f>HYPERLINK("https://twitter.com/sergio_fajardo/status/1435929187076935685","1435929187076935685")</f>
        <v>1435929187076935685</v>
      </c>
      <c r="F2916" s="7" t="s">
        <v>17</v>
      </c>
      <c r="G2916" s="7">
        <v>1594691</v>
      </c>
      <c r="H2916" s="7">
        <v>544</v>
      </c>
      <c r="I2916" s="7">
        <v>3</v>
      </c>
      <c r="J2916" s="7">
        <v>36</v>
      </c>
      <c r="K2916" s="7" t="s">
        <v>18</v>
      </c>
      <c r="L2916" s="8">
        <v>39891.213356481479</v>
      </c>
      <c r="M2916" s="9" t="s">
        <v>19</v>
      </c>
      <c r="N2916" s="9" t="s">
        <v>22</v>
      </c>
      <c r="O2916" s="6" t="str">
        <f>HYPERLINK("https://pbs.twimg.com/profile_images/1433591977631748099/wuGDIimB_normal.jpg","View")</f>
        <v>View</v>
      </c>
      <c r="P2916" s="7"/>
    </row>
    <row r="2917" spans="1:16">
      <c r="A2917" s="3">
        <v>44448.710497685184</v>
      </c>
      <c r="B2917" s="4" t="str">
        <f>HYPERLINK("https://twitter.com/sergio_fajardo","@sergio_fajardo")</f>
        <v>@sergio_fajardo</v>
      </c>
      <c r="C2917" s="5" t="s">
        <v>16</v>
      </c>
      <c r="D2917" s="5" t="s">
        <v>2938</v>
      </c>
      <c r="E2917" s="6" t="str">
        <f>HYPERLINK("https://twitter.com/sergio_fajardo/status/1435929256492679169","1435929256492679169")</f>
        <v>1435929256492679169</v>
      </c>
      <c r="F2917" s="7" t="s">
        <v>17</v>
      </c>
      <c r="G2917" s="7">
        <v>1594691</v>
      </c>
      <c r="H2917" s="7">
        <v>544</v>
      </c>
      <c r="I2917" s="7">
        <v>6</v>
      </c>
      <c r="J2917" s="7">
        <v>0</v>
      </c>
      <c r="K2917" s="7" t="s">
        <v>18</v>
      </c>
      <c r="L2917" s="8">
        <v>39891.213356481479</v>
      </c>
      <c r="M2917" s="9" t="s">
        <v>19</v>
      </c>
      <c r="N2917" s="9" t="s">
        <v>22</v>
      </c>
      <c r="O2917" s="6" t="str">
        <f>HYPERLINK("https://pbs.twimg.com/profile_images/1433591977631748099/wuGDIimB_normal.jpg","View")</f>
        <v>View</v>
      </c>
      <c r="P2917" s="7"/>
    </row>
    <row r="2918" spans="1:16">
      <c r="A2918" s="3">
        <v>44448.799826388888</v>
      </c>
      <c r="B2918" s="4" t="str">
        <f>HYPERLINK("https://twitter.com/sergio_fajardo","@sergio_fajardo")</f>
        <v>@sergio_fajardo</v>
      </c>
      <c r="C2918" s="5" t="s">
        <v>16</v>
      </c>
      <c r="D2918" s="5" t="s">
        <v>2939</v>
      </c>
      <c r="E2918" s="6" t="str">
        <f>HYPERLINK("https://twitter.com/sergio_fajardo/status/1435961628449771520","1435961628449771520")</f>
        <v>1435961628449771520</v>
      </c>
      <c r="F2918" s="7" t="s">
        <v>17</v>
      </c>
      <c r="G2918" s="7">
        <v>1594711</v>
      </c>
      <c r="H2918" s="7">
        <v>544</v>
      </c>
      <c r="I2918" s="7">
        <v>13</v>
      </c>
      <c r="J2918" s="7">
        <v>30</v>
      </c>
      <c r="K2918" s="7" t="s">
        <v>18</v>
      </c>
      <c r="L2918" s="8">
        <v>39891.213356481479</v>
      </c>
      <c r="M2918" s="9" t="s">
        <v>19</v>
      </c>
      <c r="N2918" s="9" t="s">
        <v>22</v>
      </c>
      <c r="O2918" s="6" t="str">
        <f>HYPERLINK("https://pbs.twimg.com/profile_images/1433591977631748099/wuGDIimB_normal.jpg","View")</f>
        <v>View</v>
      </c>
      <c r="P2918" s="7"/>
    </row>
    <row r="2919" spans="1:16">
      <c r="A2919" s="3">
        <v>44448.812222222223</v>
      </c>
      <c r="B2919" s="4" t="str">
        <f>HYPERLINK("https://twitter.com/sergio_fajardo","@sergio_fajardo")</f>
        <v>@sergio_fajardo</v>
      </c>
      <c r="C2919" s="5" t="s">
        <v>16</v>
      </c>
      <c r="D2919" s="5" t="s">
        <v>2940</v>
      </c>
      <c r="E2919" s="6" t="str">
        <f>HYPERLINK("https://twitter.com/sergio_fajardo/status/1435966120352124930","1435966120352124930")</f>
        <v>1435966120352124930</v>
      </c>
      <c r="F2919" s="7" t="s">
        <v>17</v>
      </c>
      <c r="G2919" s="7">
        <v>1594707</v>
      </c>
      <c r="H2919" s="7">
        <v>544</v>
      </c>
      <c r="I2919" s="7">
        <v>31</v>
      </c>
      <c r="J2919" s="7">
        <v>227</v>
      </c>
      <c r="K2919" s="7" t="s">
        <v>18</v>
      </c>
      <c r="L2919" s="8">
        <v>39891.213356481479</v>
      </c>
      <c r="M2919" s="9" t="s">
        <v>19</v>
      </c>
      <c r="N2919" s="9" t="s">
        <v>22</v>
      </c>
      <c r="O2919" s="6" t="str">
        <f>HYPERLINK("https://pbs.twimg.com/profile_images/1433591977631748099/wuGDIimB_normal.jpg","View")</f>
        <v>View</v>
      </c>
      <c r="P2919" s="7"/>
    </row>
    <row r="2920" spans="1:16">
      <c r="A2920" s="3">
        <v>44448.828680555554</v>
      </c>
      <c r="B2920" s="4" t="str">
        <f>HYPERLINK("https://twitter.com/sergio_fajardo","@sergio_fajardo")</f>
        <v>@sergio_fajardo</v>
      </c>
      <c r="C2920" s="5" t="s">
        <v>16</v>
      </c>
      <c r="D2920" s="5" t="s">
        <v>2941</v>
      </c>
      <c r="E2920" s="6" t="str">
        <f>HYPERLINK("https://twitter.com/sergio_fajardo/status/1435972082815361024","1435972082815361024")</f>
        <v>1435972082815361024</v>
      </c>
      <c r="F2920" s="7" t="s">
        <v>17</v>
      </c>
      <c r="G2920" s="7">
        <v>1594712</v>
      </c>
      <c r="H2920" s="7">
        <v>544</v>
      </c>
      <c r="I2920" s="7">
        <v>2</v>
      </c>
      <c r="J2920" s="7">
        <v>34</v>
      </c>
      <c r="K2920" s="7" t="s">
        <v>18</v>
      </c>
      <c r="L2920" s="8">
        <v>39891.213356481479</v>
      </c>
      <c r="M2920" s="9" t="s">
        <v>19</v>
      </c>
      <c r="N2920" s="9" t="s">
        <v>22</v>
      </c>
      <c r="O2920" s="6" t="str">
        <f>HYPERLINK("https://pbs.twimg.com/profile_images/1433591977631748099/wuGDIimB_normal.jpg","View")</f>
        <v>View</v>
      </c>
      <c r="P2920" s="7"/>
    </row>
    <row r="2921" spans="1:16">
      <c r="A2921" s="3">
        <v>44448.833298611113</v>
      </c>
      <c r="B2921" s="4" t="str">
        <f>HYPERLINK("https://twitter.com/sergio_fajardo","@sergio_fajardo")</f>
        <v>@sergio_fajardo</v>
      </c>
      <c r="C2921" s="5" t="s">
        <v>16</v>
      </c>
      <c r="D2921" s="5" t="s">
        <v>2942</v>
      </c>
      <c r="E2921" s="6" t="str">
        <f>HYPERLINK("https://twitter.com/sergio_fajardo/status/1435973758267842564","1435973758267842564")</f>
        <v>1435973758267842564</v>
      </c>
      <c r="F2921" s="7" t="s">
        <v>17</v>
      </c>
      <c r="G2921" s="7">
        <v>1594712</v>
      </c>
      <c r="H2921" s="7">
        <v>544</v>
      </c>
      <c r="I2921" s="7">
        <v>0</v>
      </c>
      <c r="J2921" s="7">
        <v>18</v>
      </c>
      <c r="K2921" s="7" t="s">
        <v>18</v>
      </c>
      <c r="L2921" s="8">
        <v>39891.213356481479</v>
      </c>
      <c r="M2921" s="9" t="s">
        <v>19</v>
      </c>
      <c r="N2921" s="9" t="s">
        <v>22</v>
      </c>
      <c r="O2921" s="6" t="str">
        <f>HYPERLINK("https://pbs.twimg.com/profile_images/1433591977631748099/wuGDIimB_normal.jpg","View")</f>
        <v>View</v>
      </c>
      <c r="P2921" s="7"/>
    </row>
    <row r="2922" spans="1:16">
      <c r="A2922" s="3">
        <v>44448.846886574072</v>
      </c>
      <c r="B2922" s="4" t="str">
        <f>HYPERLINK("https://twitter.com/sergio_fajardo","@sergio_fajardo")</f>
        <v>@sergio_fajardo</v>
      </c>
      <c r="C2922" s="5" t="s">
        <v>16</v>
      </c>
      <c r="D2922" s="5" t="s">
        <v>2943</v>
      </c>
      <c r="E2922" s="6" t="str">
        <f>HYPERLINK("https://twitter.com/sergio_fajardo/status/1435978680602447877","1435978680602447877")</f>
        <v>1435978680602447877</v>
      </c>
      <c r="F2922" s="7" t="s">
        <v>17</v>
      </c>
      <c r="G2922" s="7">
        <v>1594713</v>
      </c>
      <c r="H2922" s="7">
        <v>544</v>
      </c>
      <c r="I2922" s="7">
        <v>3</v>
      </c>
      <c r="J2922" s="7">
        <v>26</v>
      </c>
      <c r="K2922" s="7" t="s">
        <v>18</v>
      </c>
      <c r="L2922" s="8">
        <v>39891.213356481479</v>
      </c>
      <c r="M2922" s="9" t="s">
        <v>19</v>
      </c>
      <c r="N2922" s="9" t="s">
        <v>22</v>
      </c>
      <c r="O2922" s="6" t="str">
        <f>HYPERLINK("https://pbs.twimg.com/profile_images/1433591977631748099/wuGDIimB_normal.jpg","View")</f>
        <v>View</v>
      </c>
      <c r="P2922" s="7"/>
    </row>
    <row r="2923" spans="1:16">
      <c r="A2923" s="3">
        <v>44448.851365740746</v>
      </c>
      <c r="B2923" s="4" t="str">
        <f>HYPERLINK("https://twitter.com/sergio_fajardo","@sergio_fajardo")</f>
        <v>@sergio_fajardo</v>
      </c>
      <c r="C2923" s="5" t="s">
        <v>16</v>
      </c>
      <c r="D2923" s="5" t="s">
        <v>2944</v>
      </c>
      <c r="E2923" s="6" t="str">
        <f>HYPERLINK("https://twitter.com/sergio_fajardo/status/1435980304980791299","1435980304980791299")</f>
        <v>1435980304980791299</v>
      </c>
      <c r="F2923" s="7" t="s">
        <v>17</v>
      </c>
      <c r="G2923" s="7">
        <v>1594713</v>
      </c>
      <c r="H2923" s="7">
        <v>544</v>
      </c>
      <c r="I2923" s="7">
        <v>1</v>
      </c>
      <c r="J2923" s="7">
        <v>24</v>
      </c>
      <c r="K2923" s="7" t="s">
        <v>18</v>
      </c>
      <c r="L2923" s="8">
        <v>39891.213356481479</v>
      </c>
      <c r="M2923" s="9" t="s">
        <v>19</v>
      </c>
      <c r="N2923" s="9" t="s">
        <v>22</v>
      </c>
      <c r="O2923" s="6" t="str">
        <f>HYPERLINK("https://pbs.twimg.com/profile_images/1433591977631748099/wuGDIimB_normal.jpg","View")</f>
        <v>View</v>
      </c>
      <c r="P2923" s="7"/>
    </row>
    <row r="2924" spans="1:16">
      <c r="A2924" s="3">
        <v>44448.909548611111</v>
      </c>
      <c r="B2924" s="4" t="str">
        <f>HYPERLINK("https://twitter.com/sergio_fajardo","@sergio_fajardo")</f>
        <v>@sergio_fajardo</v>
      </c>
      <c r="C2924" s="5" t="s">
        <v>16</v>
      </c>
      <c r="D2924" s="5" t="s">
        <v>2945</v>
      </c>
      <c r="E2924" s="6" t="str">
        <f>HYPERLINK("https://twitter.com/sergio_fajardo/status/1436001388044165127","1436001388044165127")</f>
        <v>1436001388044165127</v>
      </c>
      <c r="F2924" s="7" t="s">
        <v>17</v>
      </c>
      <c r="G2924" s="7">
        <v>1594713</v>
      </c>
      <c r="H2924" s="7">
        <v>544</v>
      </c>
      <c r="I2924" s="7">
        <v>3</v>
      </c>
      <c r="J2924" s="7">
        <v>22</v>
      </c>
      <c r="K2924" s="7" t="s">
        <v>18</v>
      </c>
      <c r="L2924" s="8">
        <v>39891.213356481479</v>
      </c>
      <c r="M2924" s="9" t="s">
        <v>19</v>
      </c>
      <c r="N2924" s="9" t="s">
        <v>22</v>
      </c>
      <c r="O2924" s="6" t="str">
        <f>HYPERLINK("https://pbs.twimg.com/profile_images/1433591977631748099/wuGDIimB_normal.jpg","View")</f>
        <v>View</v>
      </c>
      <c r="P2924" s="7"/>
    </row>
    <row r="2925" spans="1:16">
      <c r="A2925" s="3">
        <v>44449.048449074078</v>
      </c>
      <c r="B2925" s="4" t="str">
        <f>HYPERLINK("https://twitter.com/sergio_fajardo","@sergio_fajardo")</f>
        <v>@sergio_fajardo</v>
      </c>
      <c r="C2925" s="5" t="s">
        <v>16</v>
      </c>
      <c r="D2925" s="5" t="s">
        <v>2946</v>
      </c>
      <c r="E2925" s="6" t="str">
        <f>HYPERLINK("https://twitter.com/sergio_fajardo/status/1436051724393984000","1436051724393984000")</f>
        <v>1436051724393984000</v>
      </c>
      <c r="F2925" s="7" t="s">
        <v>17</v>
      </c>
      <c r="G2925" s="7">
        <v>1594709</v>
      </c>
      <c r="H2925" s="7">
        <v>544</v>
      </c>
      <c r="I2925" s="7">
        <v>8</v>
      </c>
      <c r="J2925" s="7">
        <v>24</v>
      </c>
      <c r="K2925" s="7" t="s">
        <v>18</v>
      </c>
      <c r="L2925" s="8">
        <v>39891.213356481479</v>
      </c>
      <c r="M2925" s="9" t="s">
        <v>19</v>
      </c>
      <c r="N2925" s="9" t="s">
        <v>22</v>
      </c>
      <c r="O2925" s="6" t="str">
        <f>HYPERLINK("https://pbs.twimg.com/profile_images/1433591977631748099/wuGDIimB_normal.jpg","View")</f>
        <v>View</v>
      </c>
      <c r="P2925" s="7"/>
    </row>
    <row r="2926" spans="1:16">
      <c r="A2926" s="3">
        <v>44449.164456018523</v>
      </c>
      <c r="B2926" s="4" t="str">
        <f>HYPERLINK("https://twitter.com/sergio_fajardo","@sergio_fajardo")</f>
        <v>@sergio_fajardo</v>
      </c>
      <c r="C2926" s="5" t="s">
        <v>16</v>
      </c>
      <c r="D2926" s="5" t="s">
        <v>2947</v>
      </c>
      <c r="E2926" s="6" t="str">
        <f>HYPERLINK("https://twitter.com/sergio_fajardo/status/1436093762724376581","1436093762724376581")</f>
        <v>1436093762724376581</v>
      </c>
      <c r="F2926" s="7" t="s">
        <v>17</v>
      </c>
      <c r="G2926" s="7">
        <v>1594739</v>
      </c>
      <c r="H2926" s="7">
        <v>544</v>
      </c>
      <c r="I2926" s="7">
        <v>18</v>
      </c>
      <c r="J2926" s="7">
        <v>0</v>
      </c>
      <c r="K2926" s="7" t="s">
        <v>18</v>
      </c>
      <c r="L2926" s="8">
        <v>39891.213356481479</v>
      </c>
      <c r="M2926" s="9" t="s">
        <v>19</v>
      </c>
      <c r="N2926" s="9" t="s">
        <v>22</v>
      </c>
      <c r="O2926" s="6" t="str">
        <f>HYPERLINK("https://pbs.twimg.com/profile_images/1433591977631748099/wuGDIimB_normal.jpg","View")</f>
        <v>View</v>
      </c>
      <c r="P2926" s="7"/>
    </row>
    <row r="2927" spans="1:16">
      <c r="A2927" s="3">
        <v>44449.323171296295</v>
      </c>
      <c r="B2927" s="4" t="str">
        <f>HYPERLINK("https://twitter.com/sergio_fajardo","@sergio_fajardo")</f>
        <v>@sergio_fajardo</v>
      </c>
      <c r="C2927" s="5" t="s">
        <v>16</v>
      </c>
      <c r="D2927" s="5" t="s">
        <v>2948</v>
      </c>
      <c r="E2927" s="6" t="str">
        <f>HYPERLINK("https://twitter.com/sergio_fajardo/status/1436151280385380353","1436151280385380353")</f>
        <v>1436151280385380353</v>
      </c>
      <c r="F2927" s="7" t="s">
        <v>17</v>
      </c>
      <c r="G2927" s="7">
        <v>1594757</v>
      </c>
      <c r="H2927" s="7">
        <v>544</v>
      </c>
      <c r="I2927" s="7">
        <v>3</v>
      </c>
      <c r="J2927" s="7">
        <v>19</v>
      </c>
      <c r="K2927" s="7" t="s">
        <v>18</v>
      </c>
      <c r="L2927" s="8">
        <v>39891.213356481479</v>
      </c>
      <c r="M2927" s="9" t="s">
        <v>19</v>
      </c>
      <c r="N2927" s="9" t="s">
        <v>22</v>
      </c>
      <c r="O2927" s="6" t="str">
        <f>HYPERLINK("https://pbs.twimg.com/profile_images/1433591977631748099/wuGDIimB_normal.jpg","View")</f>
        <v>View</v>
      </c>
      <c r="P2927" s="7"/>
    </row>
    <row r="2928" spans="1:16">
      <c r="A2928" s="3">
        <v>44449.337916666671</v>
      </c>
      <c r="B2928" s="4" t="str">
        <f>HYPERLINK("https://twitter.com/sergio_fajardo","@sergio_fajardo")</f>
        <v>@sergio_fajardo</v>
      </c>
      <c r="C2928" s="5" t="s">
        <v>16</v>
      </c>
      <c r="D2928" s="5" t="s">
        <v>2949</v>
      </c>
      <c r="E2928" s="6" t="str">
        <f>HYPERLINK("https://twitter.com/sergio_fajardo/status/1436156626352971776","1436156626352971776")</f>
        <v>1436156626352971776</v>
      </c>
      <c r="F2928" s="7" t="s">
        <v>17</v>
      </c>
      <c r="G2928" s="7">
        <v>1594762</v>
      </c>
      <c r="H2928" s="7">
        <v>544</v>
      </c>
      <c r="I2928" s="7">
        <v>4</v>
      </c>
      <c r="J2928" s="7">
        <v>27</v>
      </c>
      <c r="K2928" s="7" t="s">
        <v>18</v>
      </c>
      <c r="L2928" s="8">
        <v>39891.213356481479</v>
      </c>
      <c r="M2928" s="9" t="s">
        <v>19</v>
      </c>
      <c r="N2928" s="9" t="s">
        <v>22</v>
      </c>
      <c r="O2928" s="6" t="str">
        <f>HYPERLINK("https://pbs.twimg.com/profile_images/1433591977631748099/wuGDIimB_normal.jpg","View")</f>
        <v>View</v>
      </c>
      <c r="P2928" s="7"/>
    </row>
    <row r="2929" spans="1:16">
      <c r="A2929" s="3">
        <v>44449.94636574074</v>
      </c>
      <c r="B2929" s="4" t="str">
        <f>HYPERLINK("https://twitter.com/sergio_fajardo","@sergio_fajardo")</f>
        <v>@sergio_fajardo</v>
      </c>
      <c r="C2929" s="5" t="s">
        <v>16</v>
      </c>
      <c r="D2929" s="5" t="s">
        <v>2950</v>
      </c>
      <c r="E2929" s="6" t="str">
        <f>HYPERLINK("https://twitter.com/sergio_fajardo/status/1436377117240053768","1436377117240053768")</f>
        <v>1436377117240053768</v>
      </c>
      <c r="F2929" s="7" t="s">
        <v>17</v>
      </c>
      <c r="G2929" s="7">
        <v>1594783</v>
      </c>
      <c r="H2929" s="7">
        <v>545</v>
      </c>
      <c r="I2929" s="7">
        <v>1</v>
      </c>
      <c r="J2929" s="7">
        <v>6</v>
      </c>
      <c r="K2929" s="7" t="s">
        <v>18</v>
      </c>
      <c r="L2929" s="8">
        <v>39891.213356481479</v>
      </c>
      <c r="M2929" s="9" t="s">
        <v>19</v>
      </c>
      <c r="N2929" s="9" t="s">
        <v>22</v>
      </c>
      <c r="O2929" s="6" t="str">
        <f>HYPERLINK("https://pbs.twimg.com/profile_images/1433591977631748099/wuGDIimB_normal.jpg","View")</f>
        <v>View</v>
      </c>
      <c r="P2929" s="7"/>
    </row>
    <row r="2930" spans="1:16">
      <c r="A2930" s="3">
        <v>44450.180300925931</v>
      </c>
      <c r="B2930" s="4" t="str">
        <f>HYPERLINK("https://twitter.com/sergio_fajardo","@sergio_fajardo")</f>
        <v>@sergio_fajardo</v>
      </c>
      <c r="C2930" s="5" t="s">
        <v>16</v>
      </c>
      <c r="D2930" s="5" t="s">
        <v>2951</v>
      </c>
      <c r="E2930" s="6" t="str">
        <f>HYPERLINK("https://twitter.com/sergio_fajardo/status/1436461895540674560","1436461895540674560")</f>
        <v>1436461895540674560</v>
      </c>
      <c r="F2930" s="7" t="s">
        <v>23</v>
      </c>
      <c r="G2930" s="7">
        <v>1594792</v>
      </c>
      <c r="H2930" s="7">
        <v>545</v>
      </c>
      <c r="I2930" s="7">
        <v>17</v>
      </c>
      <c r="J2930" s="7">
        <v>126</v>
      </c>
      <c r="K2930" s="7" t="s">
        <v>18</v>
      </c>
      <c r="L2930" s="8">
        <v>39891.213356481479</v>
      </c>
      <c r="M2930" s="9" t="s">
        <v>19</v>
      </c>
      <c r="N2930" s="9" t="s">
        <v>22</v>
      </c>
      <c r="O2930" s="6" t="str">
        <f>HYPERLINK("https://pbs.twimg.com/profile_images/1433591977631748099/wuGDIimB_normal.jpg","View")</f>
        <v>View</v>
      </c>
      <c r="P2930" s="7"/>
    </row>
    <row r="2931" spans="1:16">
      <c r="A2931" s="3">
        <v>44450.220972222218</v>
      </c>
      <c r="B2931" s="4" t="str">
        <f>HYPERLINK("https://twitter.com/sergio_fajardo","@sergio_fajardo")</f>
        <v>@sergio_fajardo</v>
      </c>
      <c r="C2931" s="5" t="s">
        <v>16</v>
      </c>
      <c r="D2931" s="5" t="s">
        <v>2952</v>
      </c>
      <c r="E2931" s="6" t="str">
        <f>HYPERLINK("https://twitter.com/sergio_fajardo/status/1436476633666424833","1436476633666424833")</f>
        <v>1436476633666424833</v>
      </c>
      <c r="F2931" s="7" t="s">
        <v>17</v>
      </c>
      <c r="G2931" s="7">
        <v>1594796</v>
      </c>
      <c r="H2931" s="7">
        <v>545</v>
      </c>
      <c r="I2931" s="7">
        <v>13</v>
      </c>
      <c r="J2931" s="7">
        <v>70</v>
      </c>
      <c r="K2931" s="7" t="s">
        <v>18</v>
      </c>
      <c r="L2931" s="8">
        <v>39891.213356481479</v>
      </c>
      <c r="M2931" s="9" t="s">
        <v>19</v>
      </c>
      <c r="N2931" s="9" t="s">
        <v>22</v>
      </c>
      <c r="O2931" s="6" t="str">
        <f>HYPERLINK("https://pbs.twimg.com/profile_images/1433591977631748099/wuGDIimB_normal.jpg","View")</f>
        <v>View</v>
      </c>
      <c r="P2931" s="7"/>
    </row>
    <row r="2932" spans="1:16">
      <c r="A2932" s="3">
        <v>44450.246192129634</v>
      </c>
      <c r="B2932" s="4" t="str">
        <f>HYPERLINK("https://twitter.com/sergio_fajardo","@sergio_fajardo")</f>
        <v>@sergio_fajardo</v>
      </c>
      <c r="C2932" s="5" t="s">
        <v>16</v>
      </c>
      <c r="D2932" s="5" t="s">
        <v>2953</v>
      </c>
      <c r="E2932" s="6" t="str">
        <f>HYPERLINK("https://twitter.com/sergio_fajardo/status/1436485771519791109","1436485771519791109")</f>
        <v>1436485771519791109</v>
      </c>
      <c r="F2932" s="7" t="s">
        <v>17</v>
      </c>
      <c r="G2932" s="7">
        <v>1594800</v>
      </c>
      <c r="H2932" s="7">
        <v>545</v>
      </c>
      <c r="I2932" s="7">
        <v>16</v>
      </c>
      <c r="J2932" s="7">
        <v>65</v>
      </c>
      <c r="K2932" s="7" t="s">
        <v>18</v>
      </c>
      <c r="L2932" s="8">
        <v>39891.213356481479</v>
      </c>
      <c r="M2932" s="9" t="s">
        <v>19</v>
      </c>
      <c r="N2932" s="9" t="s">
        <v>22</v>
      </c>
      <c r="O2932" s="6" t="str">
        <f>HYPERLINK("https://pbs.twimg.com/profile_images/1433591977631748099/wuGDIimB_normal.jpg","View")</f>
        <v>View</v>
      </c>
      <c r="P2932" s="7"/>
    </row>
    <row r="2933" spans="1:16">
      <c r="A2933" s="3">
        <v>44451.188148148147</v>
      </c>
      <c r="B2933" s="4" t="str">
        <f>HYPERLINK("https://twitter.com/sergio_fajardo","@sergio_fajardo")</f>
        <v>@sergio_fajardo</v>
      </c>
      <c r="C2933" s="5" t="s">
        <v>16</v>
      </c>
      <c r="D2933" s="5" t="s">
        <v>2954</v>
      </c>
      <c r="E2933" s="6" t="str">
        <f>HYPERLINK("https://twitter.com/sergio_fajardo/status/1436827124338466824","1436827124338466824")</f>
        <v>1436827124338466824</v>
      </c>
      <c r="F2933" s="7" t="s">
        <v>2329</v>
      </c>
      <c r="G2933" s="7">
        <v>1594852</v>
      </c>
      <c r="H2933" s="7">
        <v>545</v>
      </c>
      <c r="I2933" s="7">
        <v>13</v>
      </c>
      <c r="J2933" s="7">
        <v>68</v>
      </c>
      <c r="K2933" s="7" t="s">
        <v>18</v>
      </c>
      <c r="L2933" s="8">
        <v>39891.213356481479</v>
      </c>
      <c r="M2933" s="9" t="s">
        <v>19</v>
      </c>
      <c r="N2933" s="9" t="s">
        <v>22</v>
      </c>
      <c r="O2933" s="6" t="str">
        <f>HYPERLINK("https://pbs.twimg.com/profile_images/1433591977631748099/wuGDIimB_normal.jpg","View")</f>
        <v>View</v>
      </c>
      <c r="P2933" s="7"/>
    </row>
    <row r="2934" spans="1:16">
      <c r="A2934" s="3">
        <v>44451.868888888886</v>
      </c>
      <c r="B2934" s="4" t="str">
        <f>HYPERLINK("https://twitter.com/sergio_fajardo","@sergio_fajardo")</f>
        <v>@sergio_fajardo</v>
      </c>
      <c r="C2934" s="5" t="s">
        <v>16</v>
      </c>
      <c r="D2934" s="5" t="s">
        <v>2955</v>
      </c>
      <c r="E2934" s="6" t="str">
        <f>HYPERLINK("https://twitter.com/sergio_fajardo/status/1437073817688580097","1437073817688580097")</f>
        <v>1437073817688580097</v>
      </c>
      <c r="F2934" s="7" t="s">
        <v>17</v>
      </c>
      <c r="G2934" s="7">
        <v>1594871</v>
      </c>
      <c r="H2934" s="7">
        <v>545</v>
      </c>
      <c r="I2934" s="7">
        <v>14</v>
      </c>
      <c r="J2934" s="7">
        <v>48</v>
      </c>
      <c r="K2934" s="7" t="s">
        <v>18</v>
      </c>
      <c r="L2934" s="8">
        <v>39891.213356481479</v>
      </c>
      <c r="M2934" s="9" t="s">
        <v>19</v>
      </c>
      <c r="N2934" s="9" t="s">
        <v>22</v>
      </c>
      <c r="O2934" s="6" t="str">
        <f>HYPERLINK("https://pbs.twimg.com/profile_images/1433591977631748099/wuGDIimB_normal.jpg","View")</f>
        <v>View</v>
      </c>
      <c r="P2934" s="7"/>
    </row>
    <row r="2935" spans="1:16">
      <c r="A2935" s="3">
        <v>44452.018530092595</v>
      </c>
      <c r="B2935" s="4" t="str">
        <f>HYPERLINK("https://twitter.com/sergio_fajardo","@sergio_fajardo")</f>
        <v>@sergio_fajardo</v>
      </c>
      <c r="C2935" s="5" t="s">
        <v>16</v>
      </c>
      <c r="D2935" s="5" t="s">
        <v>2956</v>
      </c>
      <c r="E2935" s="6" t="str">
        <f>HYPERLINK("https://twitter.com/sergio_fajardo/status/1437128044481847301","1437128044481847301")</f>
        <v>1437128044481847301</v>
      </c>
      <c r="F2935" s="7" t="s">
        <v>17</v>
      </c>
      <c r="G2935" s="7">
        <v>1594877</v>
      </c>
      <c r="H2935" s="7">
        <v>545</v>
      </c>
      <c r="I2935" s="7">
        <v>14</v>
      </c>
      <c r="J2935" s="7">
        <v>113</v>
      </c>
      <c r="K2935" s="7" t="s">
        <v>18</v>
      </c>
      <c r="L2935" s="8">
        <v>39891.213356481479</v>
      </c>
      <c r="M2935" s="9" t="s">
        <v>19</v>
      </c>
      <c r="N2935" s="9" t="s">
        <v>22</v>
      </c>
      <c r="O2935" s="6" t="str">
        <f>HYPERLINK("https://pbs.twimg.com/profile_images/1433591977631748099/wuGDIimB_normal.jpg","View")</f>
        <v>View</v>
      </c>
      <c r="P2935" s="7"/>
    </row>
    <row r="2936" spans="1:16">
      <c r="A2936" s="3">
        <v>44452.174814814818</v>
      </c>
      <c r="B2936" s="4" t="str">
        <f>HYPERLINK("https://twitter.com/sergio_fajardo","@sergio_fajardo")</f>
        <v>@sergio_fajardo</v>
      </c>
      <c r="C2936" s="5" t="s">
        <v>16</v>
      </c>
      <c r="D2936" s="5" t="s">
        <v>2957</v>
      </c>
      <c r="E2936" s="6" t="str">
        <f>HYPERLINK("https://twitter.com/sergio_fajardo/status/1437184681913602050","1437184681913602050")</f>
        <v>1437184681913602050</v>
      </c>
      <c r="F2936" s="7" t="s">
        <v>2329</v>
      </c>
      <c r="G2936" s="7">
        <v>1594880</v>
      </c>
      <c r="H2936" s="7">
        <v>545</v>
      </c>
      <c r="I2936" s="7">
        <v>2</v>
      </c>
      <c r="J2936" s="7">
        <v>16</v>
      </c>
      <c r="K2936" s="7" t="s">
        <v>18</v>
      </c>
      <c r="L2936" s="8">
        <v>39891.213356481479</v>
      </c>
      <c r="M2936" s="9" t="s">
        <v>19</v>
      </c>
      <c r="N2936" s="9" t="s">
        <v>22</v>
      </c>
      <c r="O2936" s="6" t="str">
        <f>HYPERLINK("https://pbs.twimg.com/profile_images/1433591977631748099/wuGDIimB_normal.jpg","View")</f>
        <v>View</v>
      </c>
      <c r="P2936" s="7"/>
    </row>
    <row r="2937" spans="1:16">
      <c r="A2937" s="3">
        <v>44453.245775462958</v>
      </c>
      <c r="B2937" s="4" t="str">
        <f>HYPERLINK("https://twitter.com/sergio_fajardo","@sergio_fajardo")</f>
        <v>@sergio_fajardo</v>
      </c>
      <c r="C2937" s="5" t="s">
        <v>16</v>
      </c>
      <c r="D2937" s="5" t="s">
        <v>2958</v>
      </c>
      <c r="E2937" s="6" t="str">
        <f>HYPERLINK("https://twitter.com/sergio_fajardo/status/1437572785346338817","1437572785346338817")</f>
        <v>1437572785346338817</v>
      </c>
      <c r="F2937" s="7" t="s">
        <v>17</v>
      </c>
      <c r="G2937" s="7">
        <v>1595008</v>
      </c>
      <c r="H2937" s="7">
        <v>547</v>
      </c>
      <c r="I2937" s="7">
        <v>61</v>
      </c>
      <c r="J2937" s="7">
        <v>197</v>
      </c>
      <c r="K2937" s="7" t="s">
        <v>18</v>
      </c>
      <c r="L2937" s="8">
        <v>39891.213356481479</v>
      </c>
      <c r="M2937" s="9" t="s">
        <v>19</v>
      </c>
      <c r="N2937" s="9" t="s">
        <v>22</v>
      </c>
      <c r="O2937" s="6" t="str">
        <f>HYPERLINK("https://pbs.twimg.com/profile_images/1433591977631748099/wuGDIimB_normal.jpg","View")</f>
        <v>View</v>
      </c>
      <c r="P2937" s="7"/>
    </row>
    <row r="2938" spans="1:16">
      <c r="A2938" s="3">
        <v>44453.245775462958</v>
      </c>
      <c r="B2938" s="4" t="str">
        <f>HYPERLINK("https://twitter.com/sergio_fajardo","@sergio_fajardo")</f>
        <v>@sergio_fajardo</v>
      </c>
      <c r="C2938" s="5" t="s">
        <v>16</v>
      </c>
      <c r="D2938" s="5" t="s">
        <v>2959</v>
      </c>
      <c r="E2938" s="6" t="str">
        <f>HYPERLINK("https://twitter.com/sergio_fajardo/status/1437572786571128835","1437572786571128835")</f>
        <v>1437572786571128835</v>
      </c>
      <c r="F2938" s="7" t="s">
        <v>17</v>
      </c>
      <c r="G2938" s="7">
        <v>1595008</v>
      </c>
      <c r="H2938" s="7">
        <v>547</v>
      </c>
      <c r="I2938" s="7">
        <v>19</v>
      </c>
      <c r="J2938" s="7">
        <v>106</v>
      </c>
      <c r="K2938" s="7" t="s">
        <v>18</v>
      </c>
      <c r="L2938" s="8">
        <v>39891.213356481479</v>
      </c>
      <c r="M2938" s="9" t="s">
        <v>19</v>
      </c>
      <c r="N2938" s="9" t="s">
        <v>22</v>
      </c>
      <c r="O2938" s="6" t="str">
        <f>HYPERLINK("https://pbs.twimg.com/profile_images/1433591977631748099/wuGDIimB_normal.jpg","View")</f>
        <v>View</v>
      </c>
      <c r="P2938" s="7"/>
    </row>
    <row r="2939" spans="1:16">
      <c r="A2939" s="3">
        <v>44453.245787037042</v>
      </c>
      <c r="B2939" s="4" t="str">
        <f>HYPERLINK("https://twitter.com/sergio_fajardo","@sergio_fajardo")</f>
        <v>@sergio_fajardo</v>
      </c>
      <c r="C2939" s="5" t="s">
        <v>16</v>
      </c>
      <c r="D2939" s="5" t="s">
        <v>2960</v>
      </c>
      <c r="E2939" s="6" t="str">
        <f>HYPERLINK("https://twitter.com/sergio_fajardo/status/1437572787682611208","1437572787682611208")</f>
        <v>1437572787682611208</v>
      </c>
      <c r="F2939" s="7" t="s">
        <v>17</v>
      </c>
      <c r="G2939" s="7">
        <v>1595008</v>
      </c>
      <c r="H2939" s="7">
        <v>547</v>
      </c>
      <c r="I2939" s="7">
        <v>21</v>
      </c>
      <c r="J2939" s="7">
        <v>80</v>
      </c>
      <c r="K2939" s="7" t="s">
        <v>18</v>
      </c>
      <c r="L2939" s="8">
        <v>39891.213356481479</v>
      </c>
      <c r="M2939" s="9" t="s">
        <v>19</v>
      </c>
      <c r="N2939" s="9" t="s">
        <v>22</v>
      </c>
      <c r="O2939" s="6" t="str">
        <f>HYPERLINK("https://pbs.twimg.com/profile_images/1433591977631748099/wuGDIimB_normal.jpg","View")</f>
        <v>View</v>
      </c>
      <c r="P2939" s="7"/>
    </row>
    <row r="2940" spans="1:16">
      <c r="A2940" s="3">
        <v>44453.265902777777</v>
      </c>
      <c r="B2940" s="4" t="str">
        <f>HYPERLINK("https://twitter.com/sergio_fajardo","@sergio_fajardo")</f>
        <v>@sergio_fajardo</v>
      </c>
      <c r="C2940" s="5" t="s">
        <v>16</v>
      </c>
      <c r="D2940" s="5" t="s">
        <v>2961</v>
      </c>
      <c r="E2940" s="6" t="str">
        <f>HYPERLINK("https://twitter.com/sergio_fajardo/status/1437580077559074816","1437580077559074816")</f>
        <v>1437580077559074816</v>
      </c>
      <c r="F2940" s="7" t="s">
        <v>17</v>
      </c>
      <c r="G2940" s="7">
        <v>1595012</v>
      </c>
      <c r="H2940" s="7">
        <v>547</v>
      </c>
      <c r="I2940" s="7">
        <v>19</v>
      </c>
      <c r="J2940" s="7">
        <v>0</v>
      </c>
      <c r="K2940" s="7" t="s">
        <v>18</v>
      </c>
      <c r="L2940" s="8">
        <v>39891.213356481479</v>
      </c>
      <c r="M2940" s="9" t="s">
        <v>19</v>
      </c>
      <c r="N2940" s="9" t="s">
        <v>22</v>
      </c>
      <c r="O2940" s="6" t="str">
        <f>HYPERLINK("https://pbs.twimg.com/profile_images/1433591977631748099/wuGDIimB_normal.jpg","View")</f>
        <v>View</v>
      </c>
      <c r="P2940" s="7"/>
    </row>
    <row r="2941" spans="1:16">
      <c r="A2941" s="3">
        <v>44453.739942129629</v>
      </c>
      <c r="B2941" s="4" t="str">
        <f>HYPERLINK("https://twitter.com/sergio_fajardo","@sergio_fajardo")</f>
        <v>@sergio_fajardo</v>
      </c>
      <c r="C2941" s="5" t="s">
        <v>16</v>
      </c>
      <c r="D2941" s="5" t="s">
        <v>2962</v>
      </c>
      <c r="E2941" s="6" t="str">
        <f>HYPERLINK("https://twitter.com/sergio_fajardo/status/1437751864687271937","1437751864687271937")</f>
        <v>1437751864687271937</v>
      </c>
      <c r="F2941" s="7" t="s">
        <v>2329</v>
      </c>
      <c r="G2941" s="7">
        <v>1595012</v>
      </c>
      <c r="H2941" s="7">
        <v>547</v>
      </c>
      <c r="I2941" s="7">
        <v>7</v>
      </c>
      <c r="J2941" s="7">
        <v>31</v>
      </c>
      <c r="K2941" s="7" t="s">
        <v>18</v>
      </c>
      <c r="L2941" s="8">
        <v>39891.213356481479</v>
      </c>
      <c r="M2941" s="9" t="s">
        <v>19</v>
      </c>
      <c r="N2941" s="9" t="s">
        <v>22</v>
      </c>
      <c r="O2941" s="6" t="str">
        <f>HYPERLINK("https://pbs.twimg.com/profile_images/1433591977631748099/wuGDIimB_normal.jpg","View")</f>
        <v>View</v>
      </c>
      <c r="P2941" s="7"/>
    </row>
    <row r="2942" spans="1:16">
      <c r="A2942" s="3">
        <v>44453.755520833336</v>
      </c>
      <c r="B2942" s="4" t="str">
        <f>HYPERLINK("https://twitter.com/sergio_fajardo","@sergio_fajardo")</f>
        <v>@sergio_fajardo</v>
      </c>
      <c r="C2942" s="5" t="s">
        <v>16</v>
      </c>
      <c r="D2942" s="5" t="s">
        <v>2963</v>
      </c>
      <c r="E2942" s="6" t="str">
        <f>HYPERLINK("https://twitter.com/sergio_fajardo/status/1437757509582917634","1437757509582917634")</f>
        <v>1437757509582917634</v>
      </c>
      <c r="F2942" s="7" t="s">
        <v>17</v>
      </c>
      <c r="G2942" s="7">
        <v>1595015</v>
      </c>
      <c r="H2942" s="7">
        <v>547</v>
      </c>
      <c r="I2942" s="7">
        <v>15</v>
      </c>
      <c r="J2942" s="7">
        <v>75</v>
      </c>
      <c r="K2942" s="7" t="s">
        <v>18</v>
      </c>
      <c r="L2942" s="8">
        <v>39891.213356481479</v>
      </c>
      <c r="M2942" s="9" t="s">
        <v>19</v>
      </c>
      <c r="N2942" s="9" t="s">
        <v>22</v>
      </c>
      <c r="O2942" s="6" t="str">
        <f>HYPERLINK("https://pbs.twimg.com/profile_images/1433591977631748099/wuGDIimB_normal.jpg","View")</f>
        <v>View</v>
      </c>
      <c r="P2942" s="7"/>
    </row>
    <row r="2943" spans="1:16">
      <c r="A2943" s="3">
        <v>44453.779166666667</v>
      </c>
      <c r="B2943" s="4" t="str">
        <f>HYPERLINK("https://twitter.com/sergio_fajardo","@sergio_fajardo")</f>
        <v>@sergio_fajardo</v>
      </c>
      <c r="C2943" s="5" t="s">
        <v>16</v>
      </c>
      <c r="D2943" s="5" t="s">
        <v>2964</v>
      </c>
      <c r="E2943" s="6" t="str">
        <f>HYPERLINK("https://twitter.com/sergio_fajardo/status/1437766080160747523","1437766080160747523")</f>
        <v>1437766080160747523</v>
      </c>
      <c r="F2943" s="7" t="s">
        <v>2329</v>
      </c>
      <c r="G2943" s="7">
        <v>1595015</v>
      </c>
      <c r="H2943" s="7">
        <v>547</v>
      </c>
      <c r="I2943" s="7">
        <v>23</v>
      </c>
      <c r="J2943" s="7">
        <v>60</v>
      </c>
      <c r="K2943" s="7" t="s">
        <v>18</v>
      </c>
      <c r="L2943" s="8">
        <v>39891.213356481479</v>
      </c>
      <c r="M2943" s="9" t="s">
        <v>19</v>
      </c>
      <c r="N2943" s="9" t="s">
        <v>22</v>
      </c>
      <c r="O2943" s="6" t="str">
        <f>HYPERLINK("https://pbs.twimg.com/profile_images/1433591977631748099/wuGDIimB_normal.jpg","View")</f>
        <v>View</v>
      </c>
      <c r="P2943" s="7"/>
    </row>
    <row r="2944" spans="1:16">
      <c r="A2944" s="3">
        <v>44453.83975694445</v>
      </c>
      <c r="B2944" s="4" t="str">
        <f>HYPERLINK("https://twitter.com/sergio_fajardo","@sergio_fajardo")</f>
        <v>@sergio_fajardo</v>
      </c>
      <c r="C2944" s="5" t="s">
        <v>16</v>
      </c>
      <c r="D2944" s="5" t="s">
        <v>2965</v>
      </c>
      <c r="E2944" s="6" t="str">
        <f>HYPERLINK("https://twitter.com/sergio_fajardo/status/1437788036499181569","1437788036499181569")</f>
        <v>1437788036499181569</v>
      </c>
      <c r="F2944" s="7" t="s">
        <v>2329</v>
      </c>
      <c r="G2944" s="7">
        <v>1595027</v>
      </c>
      <c r="H2944" s="7">
        <v>547</v>
      </c>
      <c r="I2944" s="7">
        <v>18</v>
      </c>
      <c r="J2944" s="7">
        <v>38</v>
      </c>
      <c r="K2944" s="7" t="s">
        <v>18</v>
      </c>
      <c r="L2944" s="8">
        <v>39891.213356481479</v>
      </c>
      <c r="M2944" s="9" t="s">
        <v>19</v>
      </c>
      <c r="N2944" s="9" t="s">
        <v>22</v>
      </c>
      <c r="O2944" s="6" t="str">
        <f>HYPERLINK("https://pbs.twimg.com/profile_images/1433591977631748099/wuGDIimB_normal.jpg","View")</f>
        <v>View</v>
      </c>
      <c r="P2944" s="7"/>
    </row>
    <row r="2945" spans="1:16">
      <c r="A2945" s="3">
        <v>44453.920578703706</v>
      </c>
      <c r="B2945" s="4" t="str">
        <f>HYPERLINK("https://twitter.com/sergio_fajardo","@sergio_fajardo")</f>
        <v>@sergio_fajardo</v>
      </c>
      <c r="C2945" s="5" t="s">
        <v>16</v>
      </c>
      <c r="D2945" s="5" t="s">
        <v>2966</v>
      </c>
      <c r="E2945" s="6" t="str">
        <f>HYPERLINK("https://twitter.com/sergio_fajardo/status/1437817323977646080","1437817323977646080")</f>
        <v>1437817323977646080</v>
      </c>
      <c r="F2945" s="7" t="s">
        <v>17</v>
      </c>
      <c r="G2945" s="7">
        <v>1595041</v>
      </c>
      <c r="H2945" s="7">
        <v>548</v>
      </c>
      <c r="I2945" s="7">
        <v>2</v>
      </c>
      <c r="J2945" s="7">
        <v>15</v>
      </c>
      <c r="K2945" s="7" t="s">
        <v>18</v>
      </c>
      <c r="L2945" s="8">
        <v>39891.213356481479</v>
      </c>
      <c r="M2945" s="9" t="s">
        <v>19</v>
      </c>
      <c r="N2945" s="9" t="s">
        <v>22</v>
      </c>
      <c r="O2945" s="6" t="str">
        <f>HYPERLINK("https://pbs.twimg.com/profile_images/1433591977631748099/wuGDIimB_normal.jpg","View")</f>
        <v>View</v>
      </c>
      <c r="P2945" s="7"/>
    </row>
    <row r="2946" spans="1:16">
      <c r="A2946" s="3">
        <v>44454.27344907407</v>
      </c>
      <c r="B2946" s="4" t="str">
        <f>HYPERLINK("https://twitter.com/sergio_fajardo","@sergio_fajardo")</f>
        <v>@sergio_fajardo</v>
      </c>
      <c r="C2946" s="5" t="s">
        <v>16</v>
      </c>
      <c r="D2946" s="5" t="s">
        <v>2967</v>
      </c>
      <c r="E2946" s="6" t="str">
        <f>HYPERLINK("https://twitter.com/sergio_fajardo/status/1437945200526123010","1437945200526123010")</f>
        <v>1437945200526123010</v>
      </c>
      <c r="F2946" s="7" t="s">
        <v>17</v>
      </c>
      <c r="G2946" s="7">
        <v>1595068</v>
      </c>
      <c r="H2946" s="7">
        <v>548</v>
      </c>
      <c r="I2946" s="7">
        <v>12</v>
      </c>
      <c r="J2946" s="7">
        <v>58</v>
      </c>
      <c r="K2946" s="7" t="s">
        <v>18</v>
      </c>
      <c r="L2946" s="8">
        <v>39891.213356481479</v>
      </c>
      <c r="M2946" s="9" t="s">
        <v>19</v>
      </c>
      <c r="N2946" s="9" t="s">
        <v>22</v>
      </c>
      <c r="O2946" s="6" t="str">
        <f>HYPERLINK("https://pbs.twimg.com/profile_images/1433591977631748099/wuGDIimB_normal.jpg","View")</f>
        <v>View</v>
      </c>
      <c r="P2946" s="7"/>
    </row>
    <row r="2947" spans="1:16">
      <c r="A2947" s="3">
        <v>44454.691458333335</v>
      </c>
      <c r="B2947" s="4" t="str">
        <f>HYPERLINK("https://twitter.com/sergio_fajardo","@sergio_fajardo")</f>
        <v>@sergio_fajardo</v>
      </c>
      <c r="C2947" s="5" t="s">
        <v>16</v>
      </c>
      <c r="D2947" s="5" t="s">
        <v>2968</v>
      </c>
      <c r="E2947" s="6" t="str">
        <f>HYPERLINK("https://twitter.com/sergio_fajardo/status/1438096685037654020","1438096685037654020")</f>
        <v>1438096685037654020</v>
      </c>
      <c r="F2947" s="7" t="s">
        <v>20</v>
      </c>
      <c r="G2947" s="7">
        <v>1595061</v>
      </c>
      <c r="H2947" s="7">
        <v>548</v>
      </c>
      <c r="I2947" s="7">
        <v>9</v>
      </c>
      <c r="J2947" s="7">
        <v>0</v>
      </c>
      <c r="K2947" s="7" t="s">
        <v>18</v>
      </c>
      <c r="L2947" s="8">
        <v>39891.213356481479</v>
      </c>
      <c r="M2947" s="9" t="s">
        <v>19</v>
      </c>
      <c r="N2947" s="9" t="s">
        <v>22</v>
      </c>
      <c r="O2947" s="6" t="str">
        <f>HYPERLINK("https://pbs.twimg.com/profile_images/1433591977631748099/wuGDIimB_normal.jpg","View")</f>
        <v>View</v>
      </c>
      <c r="P2947" s="7"/>
    </row>
    <row r="2948" spans="1:16">
      <c r="A2948" s="3">
        <v>44454.763368055559</v>
      </c>
      <c r="B2948" s="4" t="str">
        <f>HYPERLINK("https://twitter.com/sergio_fajardo","@sergio_fajardo")</f>
        <v>@sergio_fajardo</v>
      </c>
      <c r="C2948" s="5" t="s">
        <v>16</v>
      </c>
      <c r="D2948" s="5" t="s">
        <v>2969</v>
      </c>
      <c r="E2948" s="6" t="str">
        <f>HYPERLINK("https://twitter.com/sergio_fajardo/status/1438122744311320579","1438122744311320579")</f>
        <v>1438122744311320579</v>
      </c>
      <c r="F2948" s="7" t="s">
        <v>17</v>
      </c>
      <c r="G2948" s="7">
        <v>1595062</v>
      </c>
      <c r="H2948" s="7">
        <v>548</v>
      </c>
      <c r="I2948" s="7">
        <v>11</v>
      </c>
      <c r="J2948" s="7">
        <v>58</v>
      </c>
      <c r="K2948" s="7" t="s">
        <v>18</v>
      </c>
      <c r="L2948" s="8">
        <v>39891.213356481479</v>
      </c>
      <c r="M2948" s="9" t="s">
        <v>19</v>
      </c>
      <c r="N2948" s="9" t="s">
        <v>22</v>
      </c>
      <c r="O2948" s="6" t="str">
        <f>HYPERLINK("https://pbs.twimg.com/profile_images/1433591977631748099/wuGDIimB_normal.jpg","View")</f>
        <v>View</v>
      </c>
      <c r="P2948" s="7"/>
    </row>
    <row r="2949" spans="1:16">
      <c r="A2949" s="3">
        <v>44454.766712962963</v>
      </c>
      <c r="B2949" s="4" t="str">
        <f>HYPERLINK("https://twitter.com/sergio_fajardo","@sergio_fajardo")</f>
        <v>@sergio_fajardo</v>
      </c>
      <c r="C2949" s="5" t="s">
        <v>16</v>
      </c>
      <c r="D2949" s="5" t="s">
        <v>2970</v>
      </c>
      <c r="E2949" s="6" t="str">
        <f>HYPERLINK("https://twitter.com/sergio_fajardo/status/1438123956372901890","1438123956372901890")</f>
        <v>1438123956372901890</v>
      </c>
      <c r="F2949" s="7" t="s">
        <v>17</v>
      </c>
      <c r="G2949" s="7">
        <v>1595062</v>
      </c>
      <c r="H2949" s="7">
        <v>548</v>
      </c>
      <c r="I2949" s="7">
        <v>14</v>
      </c>
      <c r="J2949" s="7">
        <v>0</v>
      </c>
      <c r="K2949" s="7" t="s">
        <v>18</v>
      </c>
      <c r="L2949" s="8">
        <v>39891.213356481479</v>
      </c>
      <c r="M2949" s="9" t="s">
        <v>19</v>
      </c>
      <c r="N2949" s="9" t="s">
        <v>22</v>
      </c>
      <c r="O2949" s="6" t="str">
        <f>HYPERLINK("https://pbs.twimg.com/profile_images/1433591977631748099/wuGDIimB_normal.jpg","View")</f>
        <v>View</v>
      </c>
      <c r="P2949" s="7"/>
    </row>
    <row r="2950" spans="1:16">
      <c r="A2950" s="3">
        <v>44454.766921296294</v>
      </c>
      <c r="B2950" s="4" t="str">
        <f>HYPERLINK("https://twitter.com/sergio_fajardo","@sergio_fajardo")</f>
        <v>@sergio_fajardo</v>
      </c>
      <c r="C2950" s="5" t="s">
        <v>16</v>
      </c>
      <c r="D2950" s="5" t="s">
        <v>2971</v>
      </c>
      <c r="E2950" s="6" t="str">
        <f>HYPERLINK("https://twitter.com/sergio_fajardo/status/1438124031547482115","1438124031547482115")</f>
        <v>1438124031547482115</v>
      </c>
      <c r="F2950" s="7" t="s">
        <v>17</v>
      </c>
      <c r="G2950" s="7">
        <v>1595062</v>
      </c>
      <c r="H2950" s="7">
        <v>548</v>
      </c>
      <c r="I2950" s="7">
        <v>11</v>
      </c>
      <c r="J2950" s="7">
        <v>0</v>
      </c>
      <c r="K2950" s="7" t="s">
        <v>18</v>
      </c>
      <c r="L2950" s="8">
        <v>39891.213356481479</v>
      </c>
      <c r="M2950" s="9" t="s">
        <v>19</v>
      </c>
      <c r="N2950" s="9" t="s">
        <v>22</v>
      </c>
      <c r="O2950" s="6" t="str">
        <f>HYPERLINK("https://pbs.twimg.com/profile_images/1433591977631748099/wuGDIimB_normal.jpg","View")</f>
        <v>View</v>
      </c>
      <c r="P2950" s="7"/>
    </row>
    <row r="2951" spans="1:16">
      <c r="A2951" s="3">
        <v>44454.807650462964</v>
      </c>
      <c r="B2951" s="4" t="str">
        <f>HYPERLINK("https://twitter.com/sergio_fajardo","@sergio_fajardo")</f>
        <v>@sergio_fajardo</v>
      </c>
      <c r="C2951" s="5" t="s">
        <v>16</v>
      </c>
      <c r="D2951" s="5" t="s">
        <v>2972</v>
      </c>
      <c r="E2951" s="6" t="str">
        <f>HYPERLINK("https://twitter.com/sergio_fajardo/status/1438138790237909005","1438138790237909005")</f>
        <v>1438138790237909005</v>
      </c>
      <c r="F2951" s="7" t="s">
        <v>17</v>
      </c>
      <c r="G2951" s="7">
        <v>1595057</v>
      </c>
      <c r="H2951" s="7">
        <v>548</v>
      </c>
      <c r="I2951" s="7">
        <v>1</v>
      </c>
      <c r="J2951" s="7">
        <v>7</v>
      </c>
      <c r="K2951" s="7" t="s">
        <v>18</v>
      </c>
      <c r="L2951" s="8">
        <v>39891.213356481479</v>
      </c>
      <c r="M2951" s="9" t="s">
        <v>19</v>
      </c>
      <c r="N2951" s="9" t="s">
        <v>22</v>
      </c>
      <c r="O2951" s="6" t="str">
        <f>HYPERLINK("https://pbs.twimg.com/profile_images/1433591977631748099/wuGDIimB_normal.jpg","View")</f>
        <v>View</v>
      </c>
      <c r="P2951" s="7"/>
    </row>
    <row r="2952" spans="1:16">
      <c r="A2952" s="3">
        <v>44454.863379629634</v>
      </c>
      <c r="B2952" s="4" t="str">
        <f>HYPERLINK("https://twitter.com/sergio_fajardo","@sergio_fajardo")</f>
        <v>@sergio_fajardo</v>
      </c>
      <c r="C2952" s="5" t="s">
        <v>16</v>
      </c>
      <c r="D2952" s="5" t="s">
        <v>2973</v>
      </c>
      <c r="E2952" s="6" t="str">
        <f>HYPERLINK("https://twitter.com/sergio_fajardo/status/1438158987179012100","1438158987179012100")</f>
        <v>1438158987179012100</v>
      </c>
      <c r="F2952" s="7" t="s">
        <v>17</v>
      </c>
      <c r="G2952" s="7">
        <v>1595062</v>
      </c>
      <c r="H2952" s="7">
        <v>548</v>
      </c>
      <c r="I2952" s="7">
        <v>11</v>
      </c>
      <c r="J2952" s="7">
        <v>79</v>
      </c>
      <c r="K2952" s="7" t="s">
        <v>18</v>
      </c>
      <c r="L2952" s="8">
        <v>39891.213356481479</v>
      </c>
      <c r="M2952" s="9" t="s">
        <v>19</v>
      </c>
      <c r="N2952" s="9" t="s">
        <v>22</v>
      </c>
      <c r="O2952" s="6" t="str">
        <f>HYPERLINK("https://pbs.twimg.com/profile_images/1433591977631748099/wuGDIimB_normal.jpg","View")</f>
        <v>View</v>
      </c>
      <c r="P2952" s="7"/>
    </row>
    <row r="2953" spans="1:16">
      <c r="A2953" s="3">
        <v>44454.944664351853</v>
      </c>
      <c r="B2953" s="4" t="str">
        <f>HYPERLINK("https://twitter.com/sergio_fajardo","@sergio_fajardo")</f>
        <v>@sergio_fajardo</v>
      </c>
      <c r="C2953" s="5" t="s">
        <v>16</v>
      </c>
      <c r="D2953" s="5" t="s">
        <v>2974</v>
      </c>
      <c r="E2953" s="6" t="str">
        <f>HYPERLINK("https://twitter.com/sergio_fajardo/status/1438188440089239582","1438188440089239582")</f>
        <v>1438188440089239582</v>
      </c>
      <c r="F2953" s="7" t="s">
        <v>17</v>
      </c>
      <c r="G2953" s="7">
        <v>1595067</v>
      </c>
      <c r="H2953" s="7">
        <v>548</v>
      </c>
      <c r="I2953" s="7">
        <v>17</v>
      </c>
      <c r="J2953" s="7">
        <v>62</v>
      </c>
      <c r="K2953" s="7" t="s">
        <v>18</v>
      </c>
      <c r="L2953" s="8">
        <v>39891.213356481479</v>
      </c>
      <c r="M2953" s="9" t="s">
        <v>19</v>
      </c>
      <c r="N2953" s="9" t="s">
        <v>22</v>
      </c>
      <c r="O2953" s="6" t="str">
        <f>HYPERLINK("https://pbs.twimg.com/profile_images/1433591977631748099/wuGDIimB_normal.jpg","View")</f>
        <v>View</v>
      </c>
      <c r="P2953" s="7"/>
    </row>
    <row r="2954" spans="1:16">
      <c r="A2954" s="3">
        <v>44454.962534722217</v>
      </c>
      <c r="B2954" s="4" t="str">
        <f>HYPERLINK("https://twitter.com/sergio_fajardo","@sergio_fajardo")</f>
        <v>@sergio_fajardo</v>
      </c>
      <c r="C2954" s="5" t="s">
        <v>16</v>
      </c>
      <c r="D2954" s="5" t="s">
        <v>2975</v>
      </c>
      <c r="E2954" s="6" t="str">
        <f>HYPERLINK("https://twitter.com/sergio_fajardo/status/1438194918107848711","1438194918107848711")</f>
        <v>1438194918107848711</v>
      </c>
      <c r="F2954" s="7" t="s">
        <v>17</v>
      </c>
      <c r="G2954" s="7">
        <v>1595064</v>
      </c>
      <c r="H2954" s="7">
        <v>548</v>
      </c>
      <c r="I2954" s="7">
        <v>23</v>
      </c>
      <c r="J2954" s="7">
        <v>120</v>
      </c>
      <c r="K2954" s="7" t="s">
        <v>18</v>
      </c>
      <c r="L2954" s="8">
        <v>39891.213356481479</v>
      </c>
      <c r="M2954" s="9" t="s">
        <v>19</v>
      </c>
      <c r="N2954" s="9" t="s">
        <v>22</v>
      </c>
      <c r="O2954" s="6" t="str">
        <f>HYPERLINK("https://pbs.twimg.com/profile_images/1433591977631748099/wuGDIimB_normal.jpg","View")</f>
        <v>View</v>
      </c>
      <c r="P2954" s="7"/>
    </row>
    <row r="2955" spans="1:16">
      <c r="A2955" s="3">
        <v>44455.085231481484</v>
      </c>
      <c r="B2955" s="4" t="str">
        <f>HYPERLINK("https://twitter.com/sergio_fajardo","@sergio_fajardo")</f>
        <v>@sergio_fajardo</v>
      </c>
      <c r="C2955" s="5" t="s">
        <v>16</v>
      </c>
      <c r="D2955" s="5" t="s">
        <v>2976</v>
      </c>
      <c r="E2955" s="6" t="str">
        <f>HYPERLINK("https://twitter.com/sergio_fajardo/status/1438239381953957893","1438239381953957893")</f>
        <v>1438239381953957893</v>
      </c>
      <c r="F2955" s="7" t="s">
        <v>17</v>
      </c>
      <c r="G2955" s="7">
        <v>1595064</v>
      </c>
      <c r="H2955" s="7">
        <v>548</v>
      </c>
      <c r="I2955" s="7">
        <v>5</v>
      </c>
      <c r="J2955" s="7">
        <v>43</v>
      </c>
      <c r="K2955" s="7" t="s">
        <v>18</v>
      </c>
      <c r="L2955" s="8">
        <v>39891.213356481479</v>
      </c>
      <c r="M2955" s="9" t="s">
        <v>19</v>
      </c>
      <c r="N2955" s="9" t="s">
        <v>22</v>
      </c>
      <c r="O2955" s="6" t="str">
        <f>HYPERLINK("https://pbs.twimg.com/profile_images/1433591977631748099/wuGDIimB_normal.jpg","View")</f>
        <v>View</v>
      </c>
      <c r="P2955" s="7"/>
    </row>
    <row r="2956" spans="1:16">
      <c r="A2956" s="3">
        <v>44455.208865740744</v>
      </c>
      <c r="B2956" s="4" t="str">
        <f>HYPERLINK("https://twitter.com/sergio_fajardo","@sergio_fajardo")</f>
        <v>@sergio_fajardo</v>
      </c>
      <c r="C2956" s="5" t="s">
        <v>16</v>
      </c>
      <c r="D2956" s="5" t="s">
        <v>2977</v>
      </c>
      <c r="E2956" s="6" t="str">
        <f>HYPERLINK("https://twitter.com/sergio_fajardo/status/1438284186813702146","1438284186813702146")</f>
        <v>1438284186813702146</v>
      </c>
      <c r="F2956" s="7" t="s">
        <v>2329</v>
      </c>
      <c r="G2956" s="7">
        <v>1595060</v>
      </c>
      <c r="H2956" s="7">
        <v>548</v>
      </c>
      <c r="I2956" s="7">
        <v>3</v>
      </c>
      <c r="J2956" s="7">
        <v>10</v>
      </c>
      <c r="K2956" s="7" t="s">
        <v>18</v>
      </c>
      <c r="L2956" s="8">
        <v>39891.213356481479</v>
      </c>
      <c r="M2956" s="9" t="s">
        <v>19</v>
      </c>
      <c r="N2956" s="9" t="s">
        <v>22</v>
      </c>
      <c r="O2956" s="6" t="str">
        <f>HYPERLINK("https://pbs.twimg.com/profile_images/1433591977631748099/wuGDIimB_normal.jpg","View")</f>
        <v>View</v>
      </c>
      <c r="P2956" s="7"/>
    </row>
    <row r="2957" spans="1:16">
      <c r="A2957" s="3">
        <v>44455.219490740739</v>
      </c>
      <c r="B2957" s="4" t="str">
        <f>HYPERLINK("https://twitter.com/sergio_fajardo","@sergio_fajardo")</f>
        <v>@sergio_fajardo</v>
      </c>
      <c r="C2957" s="5" t="s">
        <v>16</v>
      </c>
      <c r="D2957" s="5" t="s">
        <v>2978</v>
      </c>
      <c r="E2957" s="6" t="str">
        <f>HYPERLINK("https://twitter.com/sergio_fajardo/status/1438288034445856776","1438288034445856776")</f>
        <v>1438288034445856776</v>
      </c>
      <c r="F2957" s="7" t="s">
        <v>23</v>
      </c>
      <c r="G2957" s="7">
        <v>1595059</v>
      </c>
      <c r="H2957" s="7">
        <v>548</v>
      </c>
      <c r="I2957" s="7">
        <v>2</v>
      </c>
      <c r="J2957" s="7">
        <v>22</v>
      </c>
      <c r="K2957" s="7" t="s">
        <v>18</v>
      </c>
      <c r="L2957" s="8">
        <v>39891.213356481479</v>
      </c>
      <c r="M2957" s="9" t="s">
        <v>19</v>
      </c>
      <c r="N2957" s="9" t="s">
        <v>22</v>
      </c>
      <c r="O2957" s="6" t="str">
        <f>HYPERLINK("https://pbs.twimg.com/profile_images/1433591977631748099/wuGDIimB_normal.jpg","View")</f>
        <v>View</v>
      </c>
      <c r="P2957" s="7"/>
    </row>
    <row r="2958" spans="1:16">
      <c r="A2958" s="3">
        <v>44455.219930555555</v>
      </c>
      <c r="B2958" s="4" t="str">
        <f>HYPERLINK("https://twitter.com/sergio_fajardo","@sergio_fajardo")</f>
        <v>@sergio_fajardo</v>
      </c>
      <c r="C2958" s="5" t="s">
        <v>16</v>
      </c>
      <c r="D2958" s="5" t="s">
        <v>2979</v>
      </c>
      <c r="E2958" s="6" t="str">
        <f>HYPERLINK("https://twitter.com/sergio_fajardo/status/1438288193959469056","1438288193959469056")</f>
        <v>1438288193959469056</v>
      </c>
      <c r="F2958" s="7" t="s">
        <v>23</v>
      </c>
      <c r="G2958" s="7">
        <v>1595059</v>
      </c>
      <c r="H2958" s="7">
        <v>548</v>
      </c>
      <c r="I2958" s="7">
        <v>10</v>
      </c>
      <c r="J2958" s="7">
        <v>0</v>
      </c>
      <c r="K2958" s="7" t="s">
        <v>18</v>
      </c>
      <c r="L2958" s="8">
        <v>39891.213356481479</v>
      </c>
      <c r="M2958" s="9" t="s">
        <v>19</v>
      </c>
      <c r="N2958" s="9" t="s">
        <v>22</v>
      </c>
      <c r="O2958" s="6" t="str">
        <f>HYPERLINK("https://pbs.twimg.com/profile_images/1433591977631748099/wuGDIimB_normal.jpg","View")</f>
        <v>View</v>
      </c>
      <c r="P2958" s="7"/>
    </row>
    <row r="2959" spans="1:16">
      <c r="A2959" s="3">
        <v>44455.305173611108</v>
      </c>
      <c r="B2959" s="4" t="str">
        <f>HYPERLINK("https://twitter.com/sergio_fajardo","@sergio_fajardo")</f>
        <v>@sergio_fajardo</v>
      </c>
      <c r="C2959" s="5" t="s">
        <v>16</v>
      </c>
      <c r="D2959" s="5" t="s">
        <v>2980</v>
      </c>
      <c r="E2959" s="6" t="str">
        <f>HYPERLINK("https://twitter.com/sergio_fajardo/status/1438319085981417473","1438319085981417473")</f>
        <v>1438319085981417473</v>
      </c>
      <c r="F2959" s="7" t="s">
        <v>17</v>
      </c>
      <c r="G2959" s="7">
        <v>1595058</v>
      </c>
      <c r="H2959" s="7">
        <v>548</v>
      </c>
      <c r="I2959" s="7">
        <v>6</v>
      </c>
      <c r="J2959" s="7">
        <v>28</v>
      </c>
      <c r="K2959" s="7" t="s">
        <v>18</v>
      </c>
      <c r="L2959" s="8">
        <v>39891.213356481479</v>
      </c>
      <c r="M2959" s="9" t="s">
        <v>19</v>
      </c>
      <c r="N2959" s="9" t="s">
        <v>22</v>
      </c>
      <c r="O2959" s="6" t="str">
        <f>HYPERLINK("https://pbs.twimg.com/profile_images/1433591977631748099/wuGDIimB_normal.jpg","View")</f>
        <v>View</v>
      </c>
      <c r="P2959" s="7"/>
    </row>
    <row r="2960" spans="1:16">
      <c r="A2960" s="3">
        <v>44455.307986111111</v>
      </c>
      <c r="B2960" s="4" t="str">
        <f>HYPERLINK("https://twitter.com/sergio_fajardo","@sergio_fajardo")</f>
        <v>@sergio_fajardo</v>
      </c>
      <c r="C2960" s="5" t="s">
        <v>16</v>
      </c>
      <c r="D2960" s="5" t="s">
        <v>2981</v>
      </c>
      <c r="E2960" s="6" t="str">
        <f>HYPERLINK("https://twitter.com/sergio_fajardo/status/1438320104580780039","1438320104580780039")</f>
        <v>1438320104580780039</v>
      </c>
      <c r="F2960" s="7" t="s">
        <v>17</v>
      </c>
      <c r="G2960" s="7">
        <v>1595058</v>
      </c>
      <c r="H2960" s="7">
        <v>548</v>
      </c>
      <c r="I2960" s="7">
        <v>1</v>
      </c>
      <c r="J2960" s="7">
        <v>28</v>
      </c>
      <c r="K2960" s="7" t="s">
        <v>18</v>
      </c>
      <c r="L2960" s="8">
        <v>39891.213356481479</v>
      </c>
      <c r="M2960" s="9" t="s">
        <v>19</v>
      </c>
      <c r="N2960" s="9" t="s">
        <v>22</v>
      </c>
      <c r="O2960" s="6" t="str">
        <f>HYPERLINK("https://pbs.twimg.com/profile_images/1433591977631748099/wuGDIimB_normal.jpg","View")</f>
        <v>View</v>
      </c>
      <c r="P2960" s="7"/>
    </row>
    <row r="2961" spans="1:16">
      <c r="A2961" s="3">
        <v>44455.312604166669</v>
      </c>
      <c r="B2961" s="4" t="str">
        <f>HYPERLINK("https://twitter.com/sergio_fajardo","@sergio_fajardo")</f>
        <v>@sergio_fajardo</v>
      </c>
      <c r="C2961" s="5" t="s">
        <v>16</v>
      </c>
      <c r="D2961" s="5" t="s">
        <v>2982</v>
      </c>
      <c r="E2961" s="6" t="str">
        <f>HYPERLINK("https://twitter.com/sergio_fajardo/status/1438321780352028677","1438321780352028677")</f>
        <v>1438321780352028677</v>
      </c>
      <c r="F2961" s="7" t="s">
        <v>17</v>
      </c>
      <c r="G2961" s="7">
        <v>1595058</v>
      </c>
      <c r="H2961" s="7">
        <v>548</v>
      </c>
      <c r="I2961" s="7">
        <v>0</v>
      </c>
      <c r="J2961" s="7">
        <v>8</v>
      </c>
      <c r="K2961" s="7" t="s">
        <v>18</v>
      </c>
      <c r="L2961" s="8">
        <v>39891.213356481479</v>
      </c>
      <c r="M2961" s="9" t="s">
        <v>19</v>
      </c>
      <c r="N2961" s="9" t="s">
        <v>22</v>
      </c>
      <c r="O2961" s="6" t="str">
        <f>HYPERLINK("https://pbs.twimg.com/profile_images/1433591977631748099/wuGDIimB_normal.jpg","View")</f>
        <v>View</v>
      </c>
      <c r="P2961" s="7"/>
    </row>
    <row r="2962" spans="1:16">
      <c r="A2962" s="3">
        <v>44455.315787037034</v>
      </c>
      <c r="B2962" s="4" t="str">
        <f>HYPERLINK("https://twitter.com/sergio_fajardo","@sergio_fajardo")</f>
        <v>@sergio_fajardo</v>
      </c>
      <c r="C2962" s="5" t="s">
        <v>16</v>
      </c>
      <c r="D2962" s="5" t="s">
        <v>2983</v>
      </c>
      <c r="E2962" s="6" t="str">
        <f>HYPERLINK("https://twitter.com/sergio_fajardo/status/1438322930585423876","1438322930585423876")</f>
        <v>1438322930585423876</v>
      </c>
      <c r="F2962" s="7" t="s">
        <v>17</v>
      </c>
      <c r="G2962" s="7">
        <v>1595056</v>
      </c>
      <c r="H2962" s="7">
        <v>548</v>
      </c>
      <c r="I2962" s="7">
        <v>1</v>
      </c>
      <c r="J2962" s="7">
        <v>13</v>
      </c>
      <c r="K2962" s="7" t="s">
        <v>18</v>
      </c>
      <c r="L2962" s="8">
        <v>39891.213356481479</v>
      </c>
      <c r="M2962" s="9" t="s">
        <v>19</v>
      </c>
      <c r="N2962" s="9" t="s">
        <v>22</v>
      </c>
      <c r="O2962" s="6" t="str">
        <f>HYPERLINK("https://pbs.twimg.com/profile_images/1433591977631748099/wuGDIimB_normal.jpg","View")</f>
        <v>View</v>
      </c>
      <c r="P2962" s="7"/>
    </row>
    <row r="2963" spans="1:16">
      <c r="A2963" s="3">
        <v>44455.318379629629</v>
      </c>
      <c r="B2963" s="4" t="str">
        <f>HYPERLINK("https://twitter.com/sergio_fajardo","@sergio_fajardo")</f>
        <v>@sergio_fajardo</v>
      </c>
      <c r="C2963" s="5" t="s">
        <v>16</v>
      </c>
      <c r="D2963" s="5" t="s">
        <v>2984</v>
      </c>
      <c r="E2963" s="6" t="str">
        <f>HYPERLINK("https://twitter.com/sergio_fajardo/status/1438323871778852875","1438323871778852875")</f>
        <v>1438323871778852875</v>
      </c>
      <c r="F2963" s="7" t="s">
        <v>17</v>
      </c>
      <c r="G2963" s="7">
        <v>1595056</v>
      </c>
      <c r="H2963" s="7">
        <v>548</v>
      </c>
      <c r="I2963" s="7">
        <v>8</v>
      </c>
      <c r="J2963" s="7">
        <v>54</v>
      </c>
      <c r="K2963" s="7" t="s">
        <v>18</v>
      </c>
      <c r="L2963" s="8">
        <v>39891.213356481479</v>
      </c>
      <c r="M2963" s="9" t="s">
        <v>19</v>
      </c>
      <c r="N2963" s="9" t="s">
        <v>22</v>
      </c>
      <c r="O2963" s="6" t="str">
        <f>HYPERLINK("https://pbs.twimg.com/profile_images/1433591977631748099/wuGDIimB_normal.jpg","View")</f>
        <v>View</v>
      </c>
      <c r="P2963" s="7"/>
    </row>
    <row r="2964" spans="1:16">
      <c r="A2964" s="3">
        <v>44455.321342592593</v>
      </c>
      <c r="B2964" s="4" t="str">
        <f>HYPERLINK("https://twitter.com/sergio_fajardo","@sergio_fajardo")</f>
        <v>@sergio_fajardo</v>
      </c>
      <c r="C2964" s="5" t="s">
        <v>16</v>
      </c>
      <c r="D2964" s="5" t="s">
        <v>2985</v>
      </c>
      <c r="E2964" s="6" t="str">
        <f>HYPERLINK("https://twitter.com/sergio_fajardo/status/1438324944698494983","1438324944698494983")</f>
        <v>1438324944698494983</v>
      </c>
      <c r="F2964" s="7" t="s">
        <v>17</v>
      </c>
      <c r="G2964" s="7">
        <v>1595056</v>
      </c>
      <c r="H2964" s="7">
        <v>548</v>
      </c>
      <c r="I2964" s="7">
        <v>1</v>
      </c>
      <c r="J2964" s="7">
        <v>14</v>
      </c>
      <c r="K2964" s="7" t="s">
        <v>18</v>
      </c>
      <c r="L2964" s="8">
        <v>39891.213356481479</v>
      </c>
      <c r="M2964" s="9" t="s">
        <v>19</v>
      </c>
      <c r="N2964" s="9" t="s">
        <v>22</v>
      </c>
      <c r="O2964" s="6" t="str">
        <f>HYPERLINK("https://pbs.twimg.com/profile_images/1433591977631748099/wuGDIimB_normal.jpg","View")</f>
        <v>View</v>
      </c>
      <c r="P2964" s="7"/>
    </row>
    <row r="2965" spans="1:16">
      <c r="A2965" s="3">
        <v>44455.323124999995</v>
      </c>
      <c r="B2965" s="4" t="str">
        <f>HYPERLINK("https://twitter.com/sergio_fajardo","@sergio_fajardo")</f>
        <v>@sergio_fajardo</v>
      </c>
      <c r="C2965" s="5" t="s">
        <v>16</v>
      </c>
      <c r="D2965" s="5" t="s">
        <v>2986</v>
      </c>
      <c r="E2965" s="6" t="str">
        <f>HYPERLINK("https://twitter.com/sergio_fajardo/status/1438325590130675714","1438325590130675714")</f>
        <v>1438325590130675714</v>
      </c>
      <c r="F2965" s="7" t="s">
        <v>17</v>
      </c>
      <c r="G2965" s="7">
        <v>1595056</v>
      </c>
      <c r="H2965" s="7">
        <v>548</v>
      </c>
      <c r="I2965" s="7">
        <v>21</v>
      </c>
      <c r="J2965" s="7">
        <v>298</v>
      </c>
      <c r="K2965" s="7" t="s">
        <v>18</v>
      </c>
      <c r="L2965" s="8">
        <v>39891.213356481479</v>
      </c>
      <c r="M2965" s="9" t="s">
        <v>19</v>
      </c>
      <c r="N2965" s="9" t="s">
        <v>22</v>
      </c>
      <c r="O2965" s="6" t="str">
        <f>HYPERLINK("https://pbs.twimg.com/profile_images/1433591977631748099/wuGDIimB_normal.jpg","View")</f>
        <v>View</v>
      </c>
      <c r="P2965" s="7"/>
    </row>
    <row r="2966" spans="1:16">
      <c r="A2966" s="3">
        <v>44455.80369212963</v>
      </c>
      <c r="B2966" s="4" t="str">
        <f>HYPERLINK("https://twitter.com/sergio_fajardo","@sergio_fajardo")</f>
        <v>@sergio_fajardo</v>
      </c>
      <c r="C2966" s="5" t="s">
        <v>16</v>
      </c>
      <c r="D2966" s="5" t="s">
        <v>2987</v>
      </c>
      <c r="E2966" s="6" t="str">
        <f>HYPERLINK("https://twitter.com/sergio_fajardo/status/1438499743097708548","1438499743097708548")</f>
        <v>1438499743097708548</v>
      </c>
      <c r="F2966" s="7" t="s">
        <v>23</v>
      </c>
      <c r="G2966" s="7">
        <v>1594938</v>
      </c>
      <c r="H2966" s="7">
        <v>548</v>
      </c>
      <c r="I2966" s="7">
        <v>2</v>
      </c>
      <c r="J2966" s="7">
        <v>15</v>
      </c>
      <c r="K2966" s="7" t="s">
        <v>18</v>
      </c>
      <c r="L2966" s="8">
        <v>39891.213356481479</v>
      </c>
      <c r="M2966" s="9" t="s">
        <v>19</v>
      </c>
      <c r="N2966" s="9" t="s">
        <v>22</v>
      </c>
      <c r="O2966" s="6" t="str">
        <f>HYPERLINK("https://pbs.twimg.com/profile_images/1433591977631748099/wuGDIimB_normal.jpg","View")</f>
        <v>View</v>
      </c>
      <c r="P2966" s="7"/>
    </row>
    <row r="2967" spans="1:16">
      <c r="A2967" s="3">
        <v>44455.805381944447</v>
      </c>
      <c r="B2967" s="4" t="str">
        <f>HYPERLINK("https://twitter.com/sergio_fajardo","@sergio_fajardo")</f>
        <v>@sergio_fajardo</v>
      </c>
      <c r="C2967" s="5" t="s">
        <v>16</v>
      </c>
      <c r="D2967" s="5" t="s">
        <v>2988</v>
      </c>
      <c r="E2967" s="6" t="str">
        <f>HYPERLINK("https://twitter.com/sergio_fajardo/status/1438500354149085186","1438500354149085186")</f>
        <v>1438500354149085186</v>
      </c>
      <c r="F2967" s="7" t="s">
        <v>23</v>
      </c>
      <c r="G2967" s="7">
        <v>1594938</v>
      </c>
      <c r="H2967" s="7">
        <v>548</v>
      </c>
      <c r="I2967" s="7">
        <v>2</v>
      </c>
      <c r="J2967" s="7">
        <v>14</v>
      </c>
      <c r="K2967" s="7" t="s">
        <v>18</v>
      </c>
      <c r="L2967" s="8">
        <v>39891.213356481479</v>
      </c>
      <c r="M2967" s="9" t="s">
        <v>19</v>
      </c>
      <c r="N2967" s="9" t="s">
        <v>22</v>
      </c>
      <c r="O2967" s="6" t="str">
        <f>HYPERLINK("https://pbs.twimg.com/profile_images/1433591977631748099/wuGDIimB_normal.jpg","View")</f>
        <v>View</v>
      </c>
      <c r="P2967" s="7"/>
    </row>
    <row r="2968" spans="1:16">
      <c r="A2968" s="3">
        <v>44455.807303240741</v>
      </c>
      <c r="B2968" s="4" t="str">
        <f>HYPERLINK("https://twitter.com/sergio_fajardo","@sergio_fajardo")</f>
        <v>@sergio_fajardo</v>
      </c>
      <c r="C2968" s="5" t="s">
        <v>16</v>
      </c>
      <c r="D2968" s="5" t="s">
        <v>2989</v>
      </c>
      <c r="E2968" s="6" t="str">
        <f>HYPERLINK("https://twitter.com/sergio_fajardo/status/1438501052857323523","1438501052857323523")</f>
        <v>1438501052857323523</v>
      </c>
      <c r="F2968" s="7" t="s">
        <v>17</v>
      </c>
      <c r="G2968" s="7">
        <v>1594938</v>
      </c>
      <c r="H2968" s="7">
        <v>548</v>
      </c>
      <c r="I2968" s="7">
        <v>3</v>
      </c>
      <c r="J2968" s="7">
        <v>24</v>
      </c>
      <c r="K2968" s="7" t="s">
        <v>18</v>
      </c>
      <c r="L2968" s="8">
        <v>39891.213356481479</v>
      </c>
      <c r="M2968" s="9" t="s">
        <v>19</v>
      </c>
      <c r="N2968" s="9" t="s">
        <v>22</v>
      </c>
      <c r="O2968" s="6" t="str">
        <f>HYPERLINK("https://pbs.twimg.com/profile_images/1433591977631748099/wuGDIimB_normal.jpg","View")</f>
        <v>View</v>
      </c>
      <c r="P2968" s="7"/>
    </row>
    <row r="2969" spans="1:16">
      <c r="A2969" s="3">
        <v>44455.807650462964</v>
      </c>
      <c r="B2969" s="4" t="str">
        <f>HYPERLINK("https://twitter.com/sergio_fajardo","@sergio_fajardo")</f>
        <v>@sergio_fajardo</v>
      </c>
      <c r="C2969" s="5" t="s">
        <v>16</v>
      </c>
      <c r="D2969" s="5" t="s">
        <v>2990</v>
      </c>
      <c r="E2969" s="6" t="str">
        <f>HYPERLINK("https://twitter.com/sergio_fajardo/status/1438501177994346498","1438501177994346498")</f>
        <v>1438501177994346498</v>
      </c>
      <c r="F2969" s="7" t="s">
        <v>17</v>
      </c>
      <c r="G2969" s="7">
        <v>1594938</v>
      </c>
      <c r="H2969" s="7">
        <v>548</v>
      </c>
      <c r="I2969" s="7">
        <v>5</v>
      </c>
      <c r="J2969" s="7">
        <v>0</v>
      </c>
      <c r="K2969" s="7" t="s">
        <v>18</v>
      </c>
      <c r="L2969" s="8">
        <v>39891.213356481479</v>
      </c>
      <c r="M2969" s="9" t="s">
        <v>19</v>
      </c>
      <c r="N2969" s="9" t="s">
        <v>22</v>
      </c>
      <c r="O2969" s="6" t="str">
        <f>HYPERLINK("https://pbs.twimg.com/profile_images/1433591977631748099/wuGDIimB_normal.jpg","View")</f>
        <v>View</v>
      </c>
      <c r="P2969" s="7"/>
    </row>
    <row r="2970" spans="1:16">
      <c r="A2970" s="3">
        <v>44455.81040509259</v>
      </c>
      <c r="B2970" s="4" t="str">
        <f>HYPERLINK("https://twitter.com/sergio_fajardo","@sergio_fajardo")</f>
        <v>@sergio_fajardo</v>
      </c>
      <c r="C2970" s="5" t="s">
        <v>16</v>
      </c>
      <c r="D2970" s="5" t="s">
        <v>2991</v>
      </c>
      <c r="E2970" s="6" t="str">
        <f>HYPERLINK("https://twitter.com/sergio_fajardo/status/1438502176523894784","1438502176523894784")</f>
        <v>1438502176523894784</v>
      </c>
      <c r="F2970" s="7" t="s">
        <v>23</v>
      </c>
      <c r="G2970" s="7">
        <v>1594938</v>
      </c>
      <c r="H2970" s="7">
        <v>548</v>
      </c>
      <c r="I2970" s="7">
        <v>0</v>
      </c>
      <c r="J2970" s="7">
        <v>5</v>
      </c>
      <c r="K2970" s="7" t="s">
        <v>18</v>
      </c>
      <c r="L2970" s="8">
        <v>39891.213356481479</v>
      </c>
      <c r="M2970" s="9" t="s">
        <v>19</v>
      </c>
      <c r="N2970" s="9" t="s">
        <v>22</v>
      </c>
      <c r="O2970" s="6" t="str">
        <f>HYPERLINK("https://pbs.twimg.com/profile_images/1433591977631748099/wuGDIimB_normal.jpg","View")</f>
        <v>View</v>
      </c>
      <c r="P2970" s="7"/>
    </row>
    <row r="2971" spans="1:16">
      <c r="A2971" s="3">
        <v>44455.94326388889</v>
      </c>
      <c r="B2971" s="4" t="str">
        <f>HYPERLINK("https://twitter.com/sergio_fajardo","@sergio_fajardo")</f>
        <v>@sergio_fajardo</v>
      </c>
      <c r="C2971" s="5" t="s">
        <v>16</v>
      </c>
      <c r="D2971" s="5" t="s">
        <v>2992</v>
      </c>
      <c r="E2971" s="6" t="str">
        <f>HYPERLINK("https://twitter.com/sergio_fajardo/status/1438550323841404939","1438550323841404939")</f>
        <v>1438550323841404939</v>
      </c>
      <c r="F2971" s="7" t="s">
        <v>17</v>
      </c>
      <c r="G2971" s="7">
        <v>1595011</v>
      </c>
      <c r="H2971" s="7">
        <v>549</v>
      </c>
      <c r="I2971" s="7">
        <v>18</v>
      </c>
      <c r="J2971" s="7">
        <v>0</v>
      </c>
      <c r="K2971" s="7" t="s">
        <v>18</v>
      </c>
      <c r="L2971" s="8">
        <v>39891.213356481479</v>
      </c>
      <c r="M2971" s="9" t="s">
        <v>19</v>
      </c>
      <c r="N2971" s="9" t="s">
        <v>22</v>
      </c>
      <c r="O2971" s="6" t="str">
        <f>HYPERLINK("https://pbs.twimg.com/profile_images/1433591977631748099/wuGDIimB_normal.jpg","View")</f>
        <v>View</v>
      </c>
      <c r="P2971" s="7"/>
    </row>
    <row r="2972" spans="1:16">
      <c r="A2972" s="3">
        <v>44455.94331018519</v>
      </c>
      <c r="B2972" s="4" t="str">
        <f>HYPERLINK("https://twitter.com/sergio_fajardo","@sergio_fajardo")</f>
        <v>@sergio_fajardo</v>
      </c>
      <c r="C2972" s="5" t="s">
        <v>16</v>
      </c>
      <c r="D2972" s="5" t="s">
        <v>2993</v>
      </c>
      <c r="E2972" s="6" t="str">
        <f>HYPERLINK("https://twitter.com/sergio_fajardo/status/1438550337690951682","1438550337690951682")</f>
        <v>1438550337690951682</v>
      </c>
      <c r="F2972" s="7" t="s">
        <v>17</v>
      </c>
      <c r="G2972" s="7">
        <v>1595011</v>
      </c>
      <c r="H2972" s="7">
        <v>549</v>
      </c>
      <c r="I2972" s="7">
        <v>7</v>
      </c>
      <c r="J2972" s="7">
        <v>0</v>
      </c>
      <c r="K2972" s="7" t="s">
        <v>18</v>
      </c>
      <c r="L2972" s="8">
        <v>39891.213356481479</v>
      </c>
      <c r="M2972" s="9" t="s">
        <v>19</v>
      </c>
      <c r="N2972" s="9" t="s">
        <v>22</v>
      </c>
      <c r="O2972" s="6" t="str">
        <f>HYPERLINK("https://pbs.twimg.com/profile_images/1433591977631748099/wuGDIimB_normal.jpg","View")</f>
        <v>View</v>
      </c>
      <c r="P2972" s="7"/>
    </row>
    <row r="2973" spans="1:16">
      <c r="A2973" s="3">
        <v>44455.97755787037</v>
      </c>
      <c r="B2973" s="4" t="str">
        <f>HYPERLINK("https://twitter.com/sergio_fajardo","@sergio_fajardo")</f>
        <v>@sergio_fajardo</v>
      </c>
      <c r="C2973" s="5" t="s">
        <v>16</v>
      </c>
      <c r="D2973" s="5" t="s">
        <v>2994</v>
      </c>
      <c r="E2973" s="6" t="str">
        <f>HYPERLINK("https://twitter.com/sergio_fajardo/status/1438562749706035205","1438562749706035205")</f>
        <v>1438562749706035205</v>
      </c>
      <c r="F2973" s="7" t="s">
        <v>17</v>
      </c>
      <c r="G2973" s="7">
        <v>1595010</v>
      </c>
      <c r="H2973" s="7">
        <v>549</v>
      </c>
      <c r="I2973" s="7">
        <v>6</v>
      </c>
      <c r="J2973" s="7">
        <v>18</v>
      </c>
      <c r="K2973" s="7" t="s">
        <v>18</v>
      </c>
      <c r="L2973" s="8">
        <v>39891.213356481479</v>
      </c>
      <c r="M2973" s="9" t="s">
        <v>19</v>
      </c>
      <c r="N2973" s="9" t="s">
        <v>22</v>
      </c>
      <c r="O2973" s="6" t="str">
        <f>HYPERLINK("https://pbs.twimg.com/profile_images/1433591977631748099/wuGDIimB_normal.jpg","View")</f>
        <v>View</v>
      </c>
      <c r="P2973" s="7"/>
    </row>
    <row r="2974" spans="1:16">
      <c r="A2974" s="3">
        <v>44456.04855324074</v>
      </c>
      <c r="B2974" s="4" t="str">
        <f>HYPERLINK("https://twitter.com/sergio_fajardo","@sergio_fajardo")</f>
        <v>@sergio_fajardo</v>
      </c>
      <c r="C2974" s="5" t="s">
        <v>16</v>
      </c>
      <c r="D2974" s="5" t="s">
        <v>2995</v>
      </c>
      <c r="E2974" s="6" t="str">
        <f>HYPERLINK("https://twitter.com/sergio_fajardo/status/1438588477910786056","1438588477910786056")</f>
        <v>1438588477910786056</v>
      </c>
      <c r="F2974" s="7" t="s">
        <v>17</v>
      </c>
      <c r="G2974" s="7">
        <v>1594997</v>
      </c>
      <c r="H2974" s="7">
        <v>549</v>
      </c>
      <c r="I2974" s="7">
        <v>31</v>
      </c>
      <c r="J2974" s="7">
        <v>125</v>
      </c>
      <c r="K2974" s="7" t="s">
        <v>18</v>
      </c>
      <c r="L2974" s="8">
        <v>39891.213356481479</v>
      </c>
      <c r="M2974" s="9" t="s">
        <v>19</v>
      </c>
      <c r="N2974" s="9" t="s">
        <v>22</v>
      </c>
      <c r="O2974" s="6" t="str">
        <f>HYPERLINK("https://pbs.twimg.com/profile_images/1433591977631748099/wuGDIimB_normal.jpg","View")</f>
        <v>View</v>
      </c>
      <c r="P2974" s="7"/>
    </row>
    <row r="2975" spans="1:16">
      <c r="A2975" s="3">
        <v>44456.193032407406</v>
      </c>
      <c r="B2975" s="4" t="str">
        <f>HYPERLINK("https://twitter.com/sergio_fajardo","@sergio_fajardo")</f>
        <v>@sergio_fajardo</v>
      </c>
      <c r="C2975" s="5" t="s">
        <v>16</v>
      </c>
      <c r="D2975" s="5" t="s">
        <v>2996</v>
      </c>
      <c r="E2975" s="6" t="str">
        <f>HYPERLINK("https://twitter.com/sergio_fajardo/status/1438640836917477379","1438640836917477379")</f>
        <v>1438640836917477379</v>
      </c>
      <c r="F2975" s="7" t="s">
        <v>17</v>
      </c>
      <c r="G2975" s="7">
        <v>1595006</v>
      </c>
      <c r="H2975" s="7">
        <v>549</v>
      </c>
      <c r="I2975" s="7">
        <v>7</v>
      </c>
      <c r="J2975" s="7">
        <v>47</v>
      </c>
      <c r="K2975" s="7" t="s">
        <v>18</v>
      </c>
      <c r="L2975" s="8">
        <v>39891.213356481479</v>
      </c>
      <c r="M2975" s="9" t="s">
        <v>19</v>
      </c>
      <c r="N2975" s="9" t="s">
        <v>22</v>
      </c>
      <c r="O2975" s="6" t="str">
        <f>HYPERLINK("https://pbs.twimg.com/profile_images/1433591977631748099/wuGDIimB_normal.jpg","View")</f>
        <v>View</v>
      </c>
      <c r="P2975" s="7"/>
    </row>
    <row r="2976" spans="1:16">
      <c r="A2976" s="3">
        <v>44456.230462962965</v>
      </c>
      <c r="B2976" s="4" t="str">
        <f>HYPERLINK("https://twitter.com/sergio_fajardo","@sergio_fajardo")</f>
        <v>@sergio_fajardo</v>
      </c>
      <c r="C2976" s="5" t="s">
        <v>16</v>
      </c>
      <c r="D2976" s="5" t="s">
        <v>2997</v>
      </c>
      <c r="E2976" s="6" t="str">
        <f>HYPERLINK("https://twitter.com/sergio_fajardo/status/1438654399518285828","1438654399518285828")</f>
        <v>1438654399518285828</v>
      </c>
      <c r="F2976" s="7" t="s">
        <v>2329</v>
      </c>
      <c r="G2976" s="7">
        <v>1595005</v>
      </c>
      <c r="H2976" s="7">
        <v>549</v>
      </c>
      <c r="I2976" s="7">
        <v>2</v>
      </c>
      <c r="J2976" s="7">
        <v>4</v>
      </c>
      <c r="K2976" s="7" t="s">
        <v>18</v>
      </c>
      <c r="L2976" s="8">
        <v>39891.213356481479</v>
      </c>
      <c r="M2976" s="9" t="s">
        <v>19</v>
      </c>
      <c r="N2976" s="9" t="s">
        <v>22</v>
      </c>
      <c r="O2976" s="6" t="str">
        <f>HYPERLINK("https://pbs.twimg.com/profile_images/1433591977631748099/wuGDIimB_normal.jpg","View")</f>
        <v>View</v>
      </c>
      <c r="P2976" s="7"/>
    </row>
    <row r="2977" spans="1:16">
      <c r="A2977" s="3">
        <v>44456.796203703707</v>
      </c>
      <c r="B2977" s="4" t="str">
        <f>HYPERLINK("https://twitter.com/sergio_fajardo","@sergio_fajardo")</f>
        <v>@sergio_fajardo</v>
      </c>
      <c r="C2977" s="5" t="s">
        <v>16</v>
      </c>
      <c r="D2977" s="5" t="s">
        <v>2998</v>
      </c>
      <c r="E2977" s="6" t="str">
        <f>HYPERLINK("https://twitter.com/sergio_fajardo/status/1438859417072685067","1438859417072685067")</f>
        <v>1438859417072685067</v>
      </c>
      <c r="F2977" s="7" t="s">
        <v>17</v>
      </c>
      <c r="G2977" s="7">
        <v>1595031</v>
      </c>
      <c r="H2977" s="7">
        <v>550</v>
      </c>
      <c r="I2977" s="7">
        <v>2</v>
      </c>
      <c r="J2977" s="7">
        <v>0</v>
      </c>
      <c r="K2977" s="7" t="s">
        <v>18</v>
      </c>
      <c r="L2977" s="8">
        <v>39891.213356481479</v>
      </c>
      <c r="M2977" s="9" t="s">
        <v>19</v>
      </c>
      <c r="N2977" s="9" t="s">
        <v>22</v>
      </c>
      <c r="O2977" s="6" t="str">
        <f>HYPERLINK("https://pbs.twimg.com/profile_images/1433591977631748099/wuGDIimB_normal.jpg","View")</f>
        <v>View</v>
      </c>
      <c r="P2977" s="7"/>
    </row>
    <row r="2978" spans="1:16">
      <c r="A2978" s="3">
        <v>44456.843692129631</v>
      </c>
      <c r="B2978" s="4" t="str">
        <f>HYPERLINK("https://twitter.com/sergio_fajardo","@sergio_fajardo")</f>
        <v>@sergio_fajardo</v>
      </c>
      <c r="C2978" s="5" t="s">
        <v>16</v>
      </c>
      <c r="D2978" s="5" t="s">
        <v>2999</v>
      </c>
      <c r="E2978" s="6" t="str">
        <f>HYPERLINK("https://twitter.com/sergio_fajardo/status/1438876628457766922","1438876628457766922")</f>
        <v>1438876628457766922</v>
      </c>
      <c r="F2978" s="7" t="s">
        <v>17</v>
      </c>
      <c r="G2978" s="7">
        <v>1595036</v>
      </c>
      <c r="H2978" s="7">
        <v>550</v>
      </c>
      <c r="I2978" s="7">
        <v>2</v>
      </c>
      <c r="J2978" s="7">
        <v>42</v>
      </c>
      <c r="K2978" s="7" t="s">
        <v>18</v>
      </c>
      <c r="L2978" s="8">
        <v>39891.213356481479</v>
      </c>
      <c r="M2978" s="9" t="s">
        <v>19</v>
      </c>
      <c r="N2978" s="9" t="s">
        <v>22</v>
      </c>
      <c r="O2978" s="6" t="str">
        <f>HYPERLINK("https://pbs.twimg.com/profile_images/1433591977631748099/wuGDIimB_normal.jpg","View")</f>
        <v>View</v>
      </c>
      <c r="P2978" s="7"/>
    </row>
    <row r="2979" spans="1:16">
      <c r="A2979" s="3">
        <v>44456.950590277775</v>
      </c>
      <c r="B2979" s="4" t="str">
        <f>HYPERLINK("https://twitter.com/sergio_fajardo","@sergio_fajardo")</f>
        <v>@sergio_fajardo</v>
      </c>
      <c r="C2979" s="5" t="s">
        <v>16</v>
      </c>
      <c r="D2979" s="5" t="s">
        <v>3000</v>
      </c>
      <c r="E2979" s="6" t="str">
        <f>HYPERLINK("https://twitter.com/sergio_fajardo/status/1438915366349115396","1438915366349115396")</f>
        <v>1438915366349115396</v>
      </c>
      <c r="F2979" s="7" t="s">
        <v>17</v>
      </c>
      <c r="G2979" s="7">
        <v>1595056</v>
      </c>
      <c r="H2979" s="7">
        <v>550</v>
      </c>
      <c r="I2979" s="7">
        <v>8</v>
      </c>
      <c r="J2979" s="7">
        <v>93</v>
      </c>
      <c r="K2979" s="7" t="s">
        <v>18</v>
      </c>
      <c r="L2979" s="8">
        <v>39891.213356481479</v>
      </c>
      <c r="M2979" s="9" t="s">
        <v>19</v>
      </c>
      <c r="N2979" s="9" t="s">
        <v>22</v>
      </c>
      <c r="O2979" s="6" t="str">
        <f>HYPERLINK("https://pbs.twimg.com/profile_images/1433591977631748099/wuGDIimB_normal.jpg","View")</f>
        <v>View</v>
      </c>
      <c r="P2979" s="7"/>
    </row>
    <row r="2980" spans="1:16">
      <c r="A2980" s="3">
        <v>44457.083043981482</v>
      </c>
      <c r="B2980" s="4" t="str">
        <f>HYPERLINK("https://twitter.com/sergio_fajardo","@sergio_fajardo")</f>
        <v>@sergio_fajardo</v>
      </c>
      <c r="C2980" s="5" t="s">
        <v>16</v>
      </c>
      <c r="D2980" s="5" t="s">
        <v>3001</v>
      </c>
      <c r="E2980" s="6" t="str">
        <f>HYPERLINK("https://twitter.com/sergio_fajardo/status/1438963366496817154","1438963366496817154")</f>
        <v>1438963366496817154</v>
      </c>
      <c r="F2980" s="7" t="s">
        <v>17</v>
      </c>
      <c r="G2980" s="7">
        <v>1595053</v>
      </c>
      <c r="H2980" s="7">
        <v>550</v>
      </c>
      <c r="I2980" s="7">
        <v>7</v>
      </c>
      <c r="J2980" s="7">
        <v>59</v>
      </c>
      <c r="K2980" s="7" t="s">
        <v>18</v>
      </c>
      <c r="L2980" s="8">
        <v>39891.213356481479</v>
      </c>
      <c r="M2980" s="9" t="s">
        <v>19</v>
      </c>
      <c r="N2980" s="9" t="s">
        <v>22</v>
      </c>
      <c r="O2980" s="6" t="str">
        <f>HYPERLINK("https://pbs.twimg.com/profile_images/1433591977631748099/wuGDIimB_normal.jpg","View")</f>
        <v>View</v>
      </c>
      <c r="P2980" s="7"/>
    </row>
    <row r="2981" spans="1:16">
      <c r="A2981" s="3">
        <v>44457.127349537041</v>
      </c>
      <c r="B2981" s="4" t="str">
        <f>HYPERLINK("https://twitter.com/sergio_fajardo","@sergio_fajardo")</f>
        <v>@sergio_fajardo</v>
      </c>
      <c r="C2981" s="5" t="s">
        <v>16</v>
      </c>
      <c r="D2981" s="5" t="s">
        <v>3002</v>
      </c>
      <c r="E2981" s="6" t="str">
        <f>HYPERLINK("https://twitter.com/sergio_fajardo/status/1438979420321193985","1438979420321193985")</f>
        <v>1438979420321193985</v>
      </c>
      <c r="F2981" s="7" t="s">
        <v>2329</v>
      </c>
      <c r="G2981" s="7">
        <v>1595057</v>
      </c>
      <c r="H2981" s="7">
        <v>550</v>
      </c>
      <c r="I2981" s="7">
        <v>9</v>
      </c>
      <c r="J2981" s="7">
        <v>36</v>
      </c>
      <c r="K2981" s="7" t="s">
        <v>18</v>
      </c>
      <c r="L2981" s="8">
        <v>39891.213356481479</v>
      </c>
      <c r="M2981" s="9" t="s">
        <v>19</v>
      </c>
      <c r="N2981" s="9" t="s">
        <v>22</v>
      </c>
      <c r="O2981" s="6" t="str">
        <f>HYPERLINK("https://pbs.twimg.com/profile_images/1433591977631748099/wuGDIimB_normal.jpg","View")</f>
        <v>View</v>
      </c>
      <c r="P2981" s="7"/>
    </row>
    <row r="2982" spans="1:16">
      <c r="A2982" s="3">
        <v>44457.245844907404</v>
      </c>
      <c r="B2982" s="4" t="str">
        <f>HYPERLINK("https://twitter.com/sergio_fajardo","@sergio_fajardo")</f>
        <v>@sergio_fajardo</v>
      </c>
      <c r="C2982" s="5" t="s">
        <v>16</v>
      </c>
      <c r="D2982" s="5" t="s">
        <v>3003</v>
      </c>
      <c r="E2982" s="6" t="str">
        <f>HYPERLINK("https://twitter.com/sergio_fajardo/status/1439022361001476098","1439022361001476098")</f>
        <v>1439022361001476098</v>
      </c>
      <c r="F2982" s="7" t="s">
        <v>2329</v>
      </c>
      <c r="G2982" s="7">
        <v>1595068</v>
      </c>
      <c r="H2982" s="7">
        <v>550</v>
      </c>
      <c r="I2982" s="7">
        <v>16</v>
      </c>
      <c r="J2982" s="7">
        <v>66</v>
      </c>
      <c r="K2982" s="7" t="s">
        <v>18</v>
      </c>
      <c r="L2982" s="8">
        <v>39891.213356481479</v>
      </c>
      <c r="M2982" s="9" t="s">
        <v>19</v>
      </c>
      <c r="N2982" s="9" t="s">
        <v>22</v>
      </c>
      <c r="O2982" s="6" t="str">
        <f>HYPERLINK("https://pbs.twimg.com/profile_images/1433591977631748099/wuGDIimB_normal.jpg","View")</f>
        <v>View</v>
      </c>
      <c r="P2982" s="7"/>
    </row>
    <row r="2983" spans="1:16">
      <c r="A2983" s="3">
        <v>44457.261921296296</v>
      </c>
      <c r="B2983" s="4" t="str">
        <f>HYPERLINK("https://twitter.com/sergio_fajardo","@sergio_fajardo")</f>
        <v>@sergio_fajardo</v>
      </c>
      <c r="C2983" s="5" t="s">
        <v>16</v>
      </c>
      <c r="D2983" s="5" t="s">
        <v>3004</v>
      </c>
      <c r="E2983" s="6" t="str">
        <f>HYPERLINK("https://twitter.com/sergio_fajardo/status/1439028187938295820","1439028187938295820")</f>
        <v>1439028187938295820</v>
      </c>
      <c r="F2983" s="7" t="s">
        <v>17</v>
      </c>
      <c r="G2983" s="7">
        <v>1595068</v>
      </c>
      <c r="H2983" s="7">
        <v>550</v>
      </c>
      <c r="I2983" s="7">
        <v>0</v>
      </c>
      <c r="J2983" s="7">
        <v>0</v>
      </c>
      <c r="K2983" s="7" t="s">
        <v>18</v>
      </c>
      <c r="L2983" s="8">
        <v>39891.213356481479</v>
      </c>
      <c r="M2983" s="9" t="s">
        <v>19</v>
      </c>
      <c r="N2983" s="9" t="s">
        <v>22</v>
      </c>
      <c r="O2983" s="6" t="str">
        <f>HYPERLINK("https://pbs.twimg.com/profile_images/1433591977631748099/wuGDIimB_normal.jpg","View")</f>
        <v>View</v>
      </c>
      <c r="P2983" s="7"/>
    </row>
    <row r="2984" spans="1:16">
      <c r="A2984" s="3">
        <v>44457.263877314814</v>
      </c>
      <c r="B2984" s="4" t="str">
        <f>HYPERLINK("https://twitter.com/sergio_fajardo","@sergio_fajardo")</f>
        <v>@sergio_fajardo</v>
      </c>
      <c r="C2984" s="5" t="s">
        <v>16</v>
      </c>
      <c r="D2984" s="5" t="s">
        <v>3005</v>
      </c>
      <c r="E2984" s="6" t="str">
        <f>HYPERLINK("https://twitter.com/sergio_fajardo/status/1439028896486330368","1439028896486330368")</f>
        <v>1439028896486330368</v>
      </c>
      <c r="F2984" s="7" t="s">
        <v>17</v>
      </c>
      <c r="G2984" s="7">
        <v>1595067</v>
      </c>
      <c r="H2984" s="7">
        <v>550</v>
      </c>
      <c r="I2984" s="7">
        <v>2</v>
      </c>
      <c r="J2984" s="7">
        <v>15</v>
      </c>
      <c r="K2984" s="7" t="s">
        <v>18</v>
      </c>
      <c r="L2984" s="8">
        <v>39891.213356481479</v>
      </c>
      <c r="M2984" s="9" t="s">
        <v>19</v>
      </c>
      <c r="N2984" s="9" t="s">
        <v>22</v>
      </c>
      <c r="O2984" s="6" t="str">
        <f>HYPERLINK("https://pbs.twimg.com/profile_images/1433591977631748099/wuGDIimB_normal.jpg","View")</f>
        <v>View</v>
      </c>
      <c r="P2984" s="7"/>
    </row>
    <row r="2985" spans="1:16">
      <c r="A2985" s="3">
        <v>44457.762638888889</v>
      </c>
      <c r="B2985" s="4" t="str">
        <f>HYPERLINK("https://twitter.com/sergio_fajardo","@sergio_fajardo")</f>
        <v>@sergio_fajardo</v>
      </c>
      <c r="C2985" s="5" t="s">
        <v>16</v>
      </c>
      <c r="D2985" s="5" t="s">
        <v>3006</v>
      </c>
      <c r="E2985" s="6" t="str">
        <f>HYPERLINK("https://twitter.com/sergio_fajardo/status/1439209642517835777","1439209642517835777")</f>
        <v>1439209642517835777</v>
      </c>
      <c r="F2985" s="7" t="s">
        <v>17</v>
      </c>
      <c r="G2985" s="7">
        <v>1595078</v>
      </c>
      <c r="H2985" s="7">
        <v>550</v>
      </c>
      <c r="I2985" s="7">
        <v>28</v>
      </c>
      <c r="J2985" s="7">
        <v>0</v>
      </c>
      <c r="K2985" s="7" t="s">
        <v>18</v>
      </c>
      <c r="L2985" s="8">
        <v>39891.213356481479</v>
      </c>
      <c r="M2985" s="9" t="s">
        <v>19</v>
      </c>
      <c r="N2985" s="9" t="s">
        <v>22</v>
      </c>
      <c r="O2985" s="6" t="str">
        <f>HYPERLINK("https://pbs.twimg.com/profile_images/1433591977631748099/wuGDIimB_normal.jpg","View")</f>
        <v>View</v>
      </c>
      <c r="P2985" s="7"/>
    </row>
    <row r="2986" spans="1:16">
      <c r="A2986" s="3">
        <v>44457.77961805556</v>
      </c>
      <c r="B2986" s="4" t="str">
        <f>HYPERLINK("https://twitter.com/sergio_fajardo","@sergio_fajardo")</f>
        <v>@sergio_fajardo</v>
      </c>
      <c r="C2986" s="5" t="s">
        <v>16</v>
      </c>
      <c r="D2986" s="5" t="s">
        <v>3007</v>
      </c>
      <c r="E2986" s="6" t="str">
        <f>HYPERLINK("https://twitter.com/sergio_fajardo/status/1439215796312584195","1439215796312584195")</f>
        <v>1439215796312584195</v>
      </c>
      <c r="F2986" s="7" t="s">
        <v>2329</v>
      </c>
      <c r="G2986" s="7">
        <v>1595078</v>
      </c>
      <c r="H2986" s="7">
        <v>550</v>
      </c>
      <c r="I2986" s="7">
        <v>4</v>
      </c>
      <c r="J2986" s="7">
        <v>16</v>
      </c>
      <c r="K2986" s="7" t="s">
        <v>18</v>
      </c>
      <c r="L2986" s="8">
        <v>39891.213356481479</v>
      </c>
      <c r="M2986" s="9" t="s">
        <v>19</v>
      </c>
      <c r="N2986" s="9" t="s">
        <v>22</v>
      </c>
      <c r="O2986" s="6" t="str">
        <f>HYPERLINK("https://pbs.twimg.com/profile_images/1433591977631748099/wuGDIimB_normal.jpg","View")</f>
        <v>View</v>
      </c>
      <c r="P2986" s="7"/>
    </row>
    <row r="2987" spans="1:16">
      <c r="A2987" s="3">
        <v>44457.887708333335</v>
      </c>
      <c r="B2987" s="4" t="str">
        <f>HYPERLINK("https://twitter.com/sergio_fajardo","@sergio_fajardo")</f>
        <v>@sergio_fajardo</v>
      </c>
      <c r="C2987" s="5" t="s">
        <v>16</v>
      </c>
      <c r="D2987" s="5" t="s">
        <v>3008</v>
      </c>
      <c r="E2987" s="6" t="str">
        <f>HYPERLINK("https://twitter.com/sergio_fajardo/status/1439254967584497666","1439254967584497666")</f>
        <v>1439254967584497666</v>
      </c>
      <c r="F2987" s="7" t="s">
        <v>17</v>
      </c>
      <c r="G2987" s="7">
        <v>1595090</v>
      </c>
      <c r="H2987" s="7">
        <v>551</v>
      </c>
      <c r="I2987" s="7">
        <v>62</v>
      </c>
      <c r="J2987" s="7">
        <v>0</v>
      </c>
      <c r="K2987" s="7" t="s">
        <v>18</v>
      </c>
      <c r="L2987" s="8">
        <v>39891.213356481479</v>
      </c>
      <c r="M2987" s="9" t="s">
        <v>19</v>
      </c>
      <c r="N2987" s="9" t="s">
        <v>22</v>
      </c>
      <c r="O2987" s="6" t="str">
        <f>HYPERLINK("https://pbs.twimg.com/profile_images/1433591977631748099/wuGDIimB_normal.jpg","View")</f>
        <v>View</v>
      </c>
      <c r="P2987" s="7"/>
    </row>
    <row r="2988" spans="1:16">
      <c r="A2988" s="3">
        <v>44457.888611111106</v>
      </c>
      <c r="B2988" s="4" t="str">
        <f>HYPERLINK("https://twitter.com/sergio_fajardo","@sergio_fajardo")</f>
        <v>@sergio_fajardo</v>
      </c>
      <c r="C2988" s="5" t="s">
        <v>16</v>
      </c>
      <c r="D2988" s="5" t="s">
        <v>3009</v>
      </c>
      <c r="E2988" s="6" t="str">
        <f>HYPERLINK("https://twitter.com/sergio_fajardo/status/1439255291913195520","1439255291913195520")</f>
        <v>1439255291913195520</v>
      </c>
      <c r="F2988" s="7" t="s">
        <v>17</v>
      </c>
      <c r="G2988" s="7">
        <v>1595090</v>
      </c>
      <c r="H2988" s="7">
        <v>551</v>
      </c>
      <c r="I2988" s="7">
        <v>3</v>
      </c>
      <c r="J2988" s="7">
        <v>33</v>
      </c>
      <c r="K2988" s="7" t="s">
        <v>18</v>
      </c>
      <c r="L2988" s="8">
        <v>39891.213356481479</v>
      </c>
      <c r="M2988" s="9" t="s">
        <v>19</v>
      </c>
      <c r="N2988" s="9" t="s">
        <v>22</v>
      </c>
      <c r="O2988" s="6" t="str">
        <f>HYPERLINK("https://pbs.twimg.com/profile_images/1433591977631748099/wuGDIimB_normal.jpg","View")</f>
        <v>View</v>
      </c>
      <c r="P2988" s="7"/>
    </row>
    <row r="2989" spans="1:16">
      <c r="A2989" s="3">
        <v>44457.972546296296</v>
      </c>
      <c r="B2989" s="4" t="str">
        <f>HYPERLINK("https://twitter.com/sergio_fajardo","@sergio_fajardo")</f>
        <v>@sergio_fajardo</v>
      </c>
      <c r="C2989" s="5" t="s">
        <v>16</v>
      </c>
      <c r="D2989" s="5" t="s">
        <v>3010</v>
      </c>
      <c r="E2989" s="6" t="str">
        <f>HYPERLINK("https://twitter.com/sergio_fajardo/status/1439285711400808448","1439285711400808448")</f>
        <v>1439285711400808448</v>
      </c>
      <c r="F2989" s="7" t="s">
        <v>17</v>
      </c>
      <c r="G2989" s="7">
        <v>1595100</v>
      </c>
      <c r="H2989" s="7">
        <v>551</v>
      </c>
      <c r="I2989" s="7">
        <v>10</v>
      </c>
      <c r="J2989" s="7">
        <v>49</v>
      </c>
      <c r="K2989" s="7" t="s">
        <v>18</v>
      </c>
      <c r="L2989" s="8">
        <v>39891.213356481479</v>
      </c>
      <c r="M2989" s="9" t="s">
        <v>19</v>
      </c>
      <c r="N2989" s="9" t="s">
        <v>22</v>
      </c>
      <c r="O2989" s="6" t="str">
        <f>HYPERLINK("https://pbs.twimg.com/profile_images/1433591977631748099/wuGDIimB_normal.jpg","View")</f>
        <v>View</v>
      </c>
      <c r="P2989" s="7"/>
    </row>
    <row r="2990" spans="1:16">
      <c r="A2990" s="3">
        <v>44458.193101851852</v>
      </c>
      <c r="B2990" s="4" t="str">
        <f>HYPERLINK("https://twitter.com/sergio_fajardo","@sergio_fajardo")</f>
        <v>@sergio_fajardo</v>
      </c>
      <c r="C2990" s="5" t="s">
        <v>16</v>
      </c>
      <c r="D2990" s="5" t="s">
        <v>3011</v>
      </c>
      <c r="E2990" s="6" t="str">
        <f>HYPERLINK("https://twitter.com/sergio_fajardo/status/1439365636224860165","1439365636224860165")</f>
        <v>1439365636224860165</v>
      </c>
      <c r="F2990" s="7" t="s">
        <v>2329</v>
      </c>
      <c r="G2990" s="7">
        <v>1595107</v>
      </c>
      <c r="H2990" s="7">
        <v>551</v>
      </c>
      <c r="I2990" s="7">
        <v>9</v>
      </c>
      <c r="J2990" s="7">
        <v>22</v>
      </c>
      <c r="K2990" s="7" t="s">
        <v>18</v>
      </c>
      <c r="L2990" s="8">
        <v>39891.213356481479</v>
      </c>
      <c r="M2990" s="9" t="s">
        <v>19</v>
      </c>
      <c r="N2990" s="9" t="s">
        <v>22</v>
      </c>
      <c r="O2990" s="6" t="str">
        <f>HYPERLINK("https://pbs.twimg.com/profile_images/1433591977631748099/wuGDIimB_normal.jpg","View")</f>
        <v>View</v>
      </c>
      <c r="P2990" s="7"/>
    </row>
    <row r="2991" spans="1:16">
      <c r="A2991" s="3">
        <v>44458.754247685181</v>
      </c>
      <c r="B2991" s="4" t="str">
        <f>HYPERLINK("https://twitter.com/sergio_fajardo","@sergio_fajardo")</f>
        <v>@sergio_fajardo</v>
      </c>
      <c r="C2991" s="5" t="s">
        <v>16</v>
      </c>
      <c r="D2991" s="5" t="s">
        <v>3012</v>
      </c>
      <c r="E2991" s="6" t="str">
        <f>HYPERLINK("https://twitter.com/sergio_fajardo/status/1439568986916675589","1439568986916675589")</f>
        <v>1439568986916675589</v>
      </c>
      <c r="F2991" s="7" t="s">
        <v>17</v>
      </c>
      <c r="G2991" s="7">
        <v>1595141</v>
      </c>
      <c r="H2991" s="7">
        <v>551</v>
      </c>
      <c r="I2991" s="7">
        <v>10</v>
      </c>
      <c r="J2991" s="7">
        <v>0</v>
      </c>
      <c r="K2991" s="7" t="s">
        <v>18</v>
      </c>
      <c r="L2991" s="8">
        <v>39891.213356481479</v>
      </c>
      <c r="M2991" s="9" t="s">
        <v>19</v>
      </c>
      <c r="N2991" s="9" t="s">
        <v>22</v>
      </c>
      <c r="O2991" s="6" t="str">
        <f>HYPERLINK("https://pbs.twimg.com/profile_images/1433591977631748099/wuGDIimB_normal.jpg","View")</f>
        <v>View</v>
      </c>
      <c r="P2991" s="7"/>
    </row>
    <row r="2992" spans="1:16">
      <c r="A2992" s="3">
        <v>44459.146886574075</v>
      </c>
      <c r="B2992" s="4" t="str">
        <f>HYPERLINK("https://twitter.com/sergio_fajardo","@sergio_fajardo")</f>
        <v>@sergio_fajardo</v>
      </c>
      <c r="C2992" s="5" t="s">
        <v>16</v>
      </c>
      <c r="D2992" s="5" t="s">
        <v>3013</v>
      </c>
      <c r="E2992" s="6" t="str">
        <f>HYPERLINK("https://twitter.com/sergio_fajardo/status/1439711277367058436","1439711277367058436")</f>
        <v>1439711277367058436</v>
      </c>
      <c r="F2992" s="7" t="s">
        <v>17</v>
      </c>
      <c r="G2992" s="7">
        <v>1595171</v>
      </c>
      <c r="H2992" s="7">
        <v>552</v>
      </c>
      <c r="I2992" s="7">
        <v>14</v>
      </c>
      <c r="J2992" s="7">
        <v>44</v>
      </c>
      <c r="K2992" s="7" t="s">
        <v>18</v>
      </c>
      <c r="L2992" s="8">
        <v>39891.213356481479</v>
      </c>
      <c r="M2992" s="9" t="s">
        <v>19</v>
      </c>
      <c r="N2992" s="9" t="s">
        <v>22</v>
      </c>
      <c r="O2992" s="6" t="str">
        <f>HYPERLINK("https://pbs.twimg.com/profile_images/1433591977631748099/wuGDIimB_normal.jpg","View")</f>
        <v>View</v>
      </c>
      <c r="P2992" s="7"/>
    </row>
    <row r="2993" spans="1:16">
      <c r="A2993" s="3">
        <v>44459.465891203705</v>
      </c>
      <c r="B2993" s="4" t="str">
        <f>HYPERLINK("https://twitter.com/sergio_fajardo","@sergio_fajardo")</f>
        <v>@sergio_fajardo</v>
      </c>
      <c r="C2993" s="5" t="s">
        <v>16</v>
      </c>
      <c r="D2993" s="4" t="s">
        <v>3014</v>
      </c>
      <c r="E2993" s="6" t="str">
        <f>HYPERLINK("https://twitter.com/sergio_fajardo/status/1439826880975314945","1439826880975314945")</f>
        <v>1439826880975314945</v>
      </c>
      <c r="F2993" s="7" t="s">
        <v>17</v>
      </c>
      <c r="G2993" s="7">
        <v>1595200</v>
      </c>
      <c r="H2993" s="7">
        <v>552</v>
      </c>
      <c r="I2993" s="7">
        <v>0</v>
      </c>
      <c r="J2993" s="7">
        <v>2</v>
      </c>
      <c r="K2993" s="7" t="s">
        <v>18</v>
      </c>
      <c r="L2993" s="8">
        <v>39891.213356481479</v>
      </c>
      <c r="M2993" s="9" t="s">
        <v>19</v>
      </c>
      <c r="N2993" s="9" t="s">
        <v>22</v>
      </c>
      <c r="O2993" s="6" t="str">
        <f>HYPERLINK("https://pbs.twimg.com/profile_images/1433591977631748099/wuGDIimB_normal.jpg","View")</f>
        <v>View</v>
      </c>
      <c r="P2993" s="7"/>
    </row>
    <row r="2994" spans="1:16">
      <c r="A2994" s="3">
        <v>44459.739282407405</v>
      </c>
      <c r="B2994" s="4" t="str">
        <f>HYPERLINK("https://twitter.com/sergio_fajardo","@sergio_fajardo")</f>
        <v>@sergio_fajardo</v>
      </c>
      <c r="C2994" s="5" t="s">
        <v>16</v>
      </c>
      <c r="D2994" s="5" t="s">
        <v>3015</v>
      </c>
      <c r="E2994" s="6" t="str">
        <f>HYPERLINK("https://twitter.com/sergio_fajardo/status/1439925952306454533","1439925952306454533")</f>
        <v>1439925952306454533</v>
      </c>
      <c r="F2994" s="7" t="s">
        <v>2329</v>
      </c>
      <c r="G2994" s="7">
        <v>1595199</v>
      </c>
      <c r="H2994" s="7">
        <v>552</v>
      </c>
      <c r="I2994" s="7">
        <v>4</v>
      </c>
      <c r="J2994" s="7">
        <v>12</v>
      </c>
      <c r="K2994" s="7" t="s">
        <v>18</v>
      </c>
      <c r="L2994" s="8">
        <v>39891.213356481479</v>
      </c>
      <c r="M2994" s="9" t="s">
        <v>19</v>
      </c>
      <c r="N2994" s="9" t="s">
        <v>22</v>
      </c>
      <c r="O2994" s="6" t="str">
        <f>HYPERLINK("https://pbs.twimg.com/profile_images/1433591977631748099/wuGDIimB_normal.jpg","View")</f>
        <v>View</v>
      </c>
      <c r="P2994" s="7"/>
    </row>
    <row r="2995" spans="1:16">
      <c r="A2995" s="3">
        <v>44459.748738425929</v>
      </c>
      <c r="B2995" s="4" t="str">
        <f>HYPERLINK("https://twitter.com/sergio_fajardo","@sergio_fajardo")</f>
        <v>@sergio_fajardo</v>
      </c>
      <c r="C2995" s="5" t="s">
        <v>16</v>
      </c>
      <c r="D2995" s="5" t="s">
        <v>3016</v>
      </c>
      <c r="E2995" s="6" t="str">
        <f>HYPERLINK("https://twitter.com/sergio_fajardo/status/1439929379098972166","1439929379098972166")</f>
        <v>1439929379098972166</v>
      </c>
      <c r="F2995" s="7" t="s">
        <v>2329</v>
      </c>
      <c r="G2995" s="7">
        <v>1595203</v>
      </c>
      <c r="H2995" s="7">
        <v>552</v>
      </c>
      <c r="I2995" s="7">
        <v>35</v>
      </c>
      <c r="J2995" s="7">
        <v>100</v>
      </c>
      <c r="K2995" s="7" t="s">
        <v>18</v>
      </c>
      <c r="L2995" s="8">
        <v>39891.213356481479</v>
      </c>
      <c r="M2995" s="9" t="s">
        <v>19</v>
      </c>
      <c r="N2995" s="9" t="s">
        <v>22</v>
      </c>
      <c r="O2995" s="6" t="str">
        <f>HYPERLINK("https://pbs.twimg.com/profile_images/1433591977631748099/wuGDIimB_normal.jpg","View")</f>
        <v>View</v>
      </c>
      <c r="P2995" s="7"/>
    </row>
    <row r="2996" spans="1:16">
      <c r="A2996" s="3">
        <v>44459.758043981477</v>
      </c>
      <c r="B2996" s="4" t="str">
        <f>HYPERLINK("https://twitter.com/sergio_fajardo","@sergio_fajardo")</f>
        <v>@sergio_fajardo</v>
      </c>
      <c r="C2996" s="5" t="s">
        <v>16</v>
      </c>
      <c r="D2996" s="5" t="s">
        <v>3017</v>
      </c>
      <c r="E2996" s="6" t="str">
        <f>HYPERLINK("https://twitter.com/sergio_fajardo/status/1439932754020421635","1439932754020421635")</f>
        <v>1439932754020421635</v>
      </c>
      <c r="F2996" s="7" t="s">
        <v>2329</v>
      </c>
      <c r="G2996" s="7">
        <v>1595203</v>
      </c>
      <c r="H2996" s="7">
        <v>552</v>
      </c>
      <c r="I2996" s="7">
        <v>6</v>
      </c>
      <c r="J2996" s="7">
        <v>20</v>
      </c>
      <c r="K2996" s="7" t="s">
        <v>18</v>
      </c>
      <c r="L2996" s="8">
        <v>39891.213356481479</v>
      </c>
      <c r="M2996" s="9" t="s">
        <v>19</v>
      </c>
      <c r="N2996" s="9" t="s">
        <v>22</v>
      </c>
      <c r="O2996" s="6" t="str">
        <f>HYPERLINK("https://pbs.twimg.com/profile_images/1433591977631748099/wuGDIimB_normal.jpg","View")</f>
        <v>View</v>
      </c>
      <c r="P2996" s="7"/>
    </row>
    <row r="2997" spans="1:16">
      <c r="A2997" s="3">
        <v>44459.771273148144</v>
      </c>
      <c r="B2997" s="4" t="str">
        <f>HYPERLINK("https://twitter.com/sergio_fajardo","@sergio_fajardo")</f>
        <v>@sergio_fajardo</v>
      </c>
      <c r="C2997" s="5" t="s">
        <v>16</v>
      </c>
      <c r="D2997" s="5" t="s">
        <v>3018</v>
      </c>
      <c r="E2997" s="6" t="str">
        <f>HYPERLINK("https://twitter.com/sergio_fajardo/status/1439937548411867146","1439937548411867146")</f>
        <v>1439937548411867146</v>
      </c>
      <c r="F2997" s="7" t="s">
        <v>2329</v>
      </c>
      <c r="G2997" s="7">
        <v>1595205</v>
      </c>
      <c r="H2997" s="7">
        <v>552</v>
      </c>
      <c r="I2997" s="7">
        <v>16</v>
      </c>
      <c r="J2997" s="7">
        <v>55</v>
      </c>
      <c r="K2997" s="7" t="s">
        <v>18</v>
      </c>
      <c r="L2997" s="8">
        <v>39891.213356481479</v>
      </c>
      <c r="M2997" s="9" t="s">
        <v>19</v>
      </c>
      <c r="N2997" s="9" t="s">
        <v>22</v>
      </c>
      <c r="O2997" s="6" t="str">
        <f>HYPERLINK("https://pbs.twimg.com/profile_images/1433591977631748099/wuGDIimB_normal.jpg","View")</f>
        <v>View</v>
      </c>
      <c r="P2997" s="7"/>
    </row>
    <row r="2998" spans="1:16">
      <c r="A2998" s="3">
        <v>44459.78528935185</v>
      </c>
      <c r="B2998" s="4" t="str">
        <f>HYPERLINK("https://twitter.com/sergio_fajardo","@sergio_fajardo")</f>
        <v>@sergio_fajardo</v>
      </c>
      <c r="C2998" s="5" t="s">
        <v>16</v>
      </c>
      <c r="D2998" s="5" t="s">
        <v>3019</v>
      </c>
      <c r="E2998" s="6" t="str">
        <f>HYPERLINK("https://twitter.com/sergio_fajardo/status/1439942626464120835","1439942626464120835")</f>
        <v>1439942626464120835</v>
      </c>
      <c r="F2998" s="7" t="s">
        <v>2329</v>
      </c>
      <c r="G2998" s="7">
        <v>1595216</v>
      </c>
      <c r="H2998" s="7">
        <v>552</v>
      </c>
      <c r="I2998" s="7">
        <v>12</v>
      </c>
      <c r="J2998" s="7">
        <v>36</v>
      </c>
      <c r="K2998" s="7" t="s">
        <v>18</v>
      </c>
      <c r="L2998" s="8">
        <v>39891.213356481479</v>
      </c>
      <c r="M2998" s="9" t="s">
        <v>19</v>
      </c>
      <c r="N2998" s="9" t="s">
        <v>22</v>
      </c>
      <c r="O2998" s="6" t="str">
        <f>HYPERLINK("https://pbs.twimg.com/profile_images/1433591977631748099/wuGDIimB_normal.jpg","View")</f>
        <v>View</v>
      </c>
      <c r="P2998" s="7"/>
    </row>
    <row r="2999" spans="1:16">
      <c r="A2999" s="3">
        <v>44459.851435185185</v>
      </c>
      <c r="B2999" s="4" t="str">
        <f>HYPERLINK("https://twitter.com/sergio_fajardo","@sergio_fajardo")</f>
        <v>@sergio_fajardo</v>
      </c>
      <c r="C2999" s="5" t="s">
        <v>16</v>
      </c>
      <c r="D2999" s="5" t="s">
        <v>3020</v>
      </c>
      <c r="E2999" s="6" t="str">
        <f>HYPERLINK("https://twitter.com/sergio_fajardo/status/1439966596819214346","1439966596819214346")</f>
        <v>1439966596819214346</v>
      </c>
      <c r="F2999" s="7" t="s">
        <v>17</v>
      </c>
      <c r="G2999" s="7">
        <v>1595226</v>
      </c>
      <c r="H2999" s="7">
        <v>552</v>
      </c>
      <c r="I2999" s="7">
        <v>6</v>
      </c>
      <c r="J2999" s="7">
        <v>0</v>
      </c>
      <c r="K2999" s="7" t="s">
        <v>18</v>
      </c>
      <c r="L2999" s="8">
        <v>39891.213356481479</v>
      </c>
      <c r="M2999" s="9" t="s">
        <v>19</v>
      </c>
      <c r="N2999" s="9" t="s">
        <v>22</v>
      </c>
      <c r="O2999" s="6" t="str">
        <f>HYPERLINK("https://pbs.twimg.com/profile_images/1433591977631748099/wuGDIimB_normal.jpg","View")</f>
        <v>View</v>
      </c>
      <c r="P2999" s="7"/>
    </row>
    <row r="3000" spans="1:16">
      <c r="A3000" s="3">
        <v>44459.852175925931</v>
      </c>
      <c r="B3000" s="4" t="str">
        <f>HYPERLINK("https://twitter.com/sergio_fajardo","@sergio_fajardo")</f>
        <v>@sergio_fajardo</v>
      </c>
      <c r="C3000" s="5" t="s">
        <v>16</v>
      </c>
      <c r="D3000" s="5" t="s">
        <v>3021</v>
      </c>
      <c r="E3000" s="6" t="str">
        <f>HYPERLINK("https://twitter.com/sergio_fajardo/status/1439966863157497857","1439966863157497857")</f>
        <v>1439966863157497857</v>
      </c>
      <c r="F3000" s="7" t="s">
        <v>17</v>
      </c>
      <c r="G3000" s="7">
        <v>1595226</v>
      </c>
      <c r="H3000" s="7">
        <v>552</v>
      </c>
      <c r="I3000" s="7">
        <v>7</v>
      </c>
      <c r="J3000" s="7">
        <v>42</v>
      </c>
      <c r="K3000" s="7" t="s">
        <v>18</v>
      </c>
      <c r="L3000" s="8">
        <v>39891.213356481479</v>
      </c>
      <c r="M3000" s="9" t="s">
        <v>19</v>
      </c>
      <c r="N3000" s="9" t="s">
        <v>22</v>
      </c>
      <c r="O3000" s="6" t="str">
        <f>HYPERLINK("https://pbs.twimg.com/profile_images/1433591977631748099/wuGDIimB_normal.jpg","View")</f>
        <v>View</v>
      </c>
      <c r="P3000" s="7"/>
    </row>
    <row r="3001" spans="1:16">
      <c r="A3001" s="3">
        <v>44459.856608796297</v>
      </c>
      <c r="B3001" s="4" t="str">
        <f>HYPERLINK("https://twitter.com/sergio_fajardo","@sergio_fajardo")</f>
        <v>@sergio_fajardo</v>
      </c>
      <c r="C3001" s="5" t="s">
        <v>16</v>
      </c>
      <c r="D3001" s="5" t="s">
        <v>3022</v>
      </c>
      <c r="E3001" s="6" t="str">
        <f>HYPERLINK("https://twitter.com/sergio_fajardo/status/1439968472566468619","1439968472566468619")</f>
        <v>1439968472566468619</v>
      </c>
      <c r="F3001" s="7" t="s">
        <v>17</v>
      </c>
      <c r="G3001" s="7">
        <v>1595226</v>
      </c>
      <c r="H3001" s="7">
        <v>552</v>
      </c>
      <c r="I3001" s="7">
        <v>13</v>
      </c>
      <c r="J3001" s="7">
        <v>0</v>
      </c>
      <c r="K3001" s="7" t="s">
        <v>18</v>
      </c>
      <c r="L3001" s="8">
        <v>39891.213356481479</v>
      </c>
      <c r="M3001" s="9" t="s">
        <v>19</v>
      </c>
      <c r="N3001" s="9" t="s">
        <v>22</v>
      </c>
      <c r="O3001" s="6" t="str">
        <f>HYPERLINK("https://pbs.twimg.com/profile_images/1433591977631748099/wuGDIimB_normal.jpg","View")</f>
        <v>View</v>
      </c>
      <c r="P3001" s="7"/>
    </row>
    <row r="3002" spans="1:16">
      <c r="A3002" s="3">
        <v>44459.886261574073</v>
      </c>
      <c r="B3002" s="4" t="str">
        <f>HYPERLINK("https://twitter.com/sergio_fajardo","@sergio_fajardo")</f>
        <v>@sergio_fajardo</v>
      </c>
      <c r="C3002" s="5" t="s">
        <v>16</v>
      </c>
      <c r="D3002" s="5" t="s">
        <v>3023</v>
      </c>
      <c r="E3002" s="6" t="str">
        <f>HYPERLINK("https://twitter.com/sergio_fajardo/status/1439979215185715203","1439979215185715203")</f>
        <v>1439979215185715203</v>
      </c>
      <c r="F3002" s="7" t="s">
        <v>2329</v>
      </c>
      <c r="G3002" s="7">
        <v>1595229</v>
      </c>
      <c r="H3002" s="7">
        <v>552</v>
      </c>
      <c r="I3002" s="7">
        <v>2</v>
      </c>
      <c r="J3002" s="7">
        <v>8</v>
      </c>
      <c r="K3002" s="7" t="s">
        <v>18</v>
      </c>
      <c r="L3002" s="8">
        <v>39891.213356481479</v>
      </c>
      <c r="M3002" s="9" t="s">
        <v>19</v>
      </c>
      <c r="N3002" s="9" t="s">
        <v>22</v>
      </c>
      <c r="O3002" s="6" t="str">
        <f>HYPERLINK("https://pbs.twimg.com/profile_images/1433591977631748099/wuGDIimB_normal.jpg","View")</f>
        <v>View</v>
      </c>
      <c r="P3002" s="7"/>
    </row>
    <row r="3003" spans="1:16">
      <c r="A3003" s="3">
        <v>44460.045543981483</v>
      </c>
      <c r="B3003" s="4" t="str">
        <f>HYPERLINK("https://twitter.com/sergio_fajardo","@sergio_fajardo")</f>
        <v>@sergio_fajardo</v>
      </c>
      <c r="C3003" s="5" t="s">
        <v>16</v>
      </c>
      <c r="D3003" s="5" t="s">
        <v>3024</v>
      </c>
      <c r="E3003" s="6" t="str">
        <f>HYPERLINK("https://twitter.com/sergio_fajardo/status/1440036938174455808","1440036938174455808")</f>
        <v>1440036938174455808</v>
      </c>
      <c r="F3003" s="7" t="s">
        <v>17</v>
      </c>
      <c r="G3003" s="7">
        <v>1595164</v>
      </c>
      <c r="H3003" s="7">
        <v>552</v>
      </c>
      <c r="I3003" s="7">
        <v>7</v>
      </c>
      <c r="J3003" s="7">
        <v>0</v>
      </c>
      <c r="K3003" s="7" t="s">
        <v>18</v>
      </c>
      <c r="L3003" s="8">
        <v>39891.213356481479</v>
      </c>
      <c r="M3003" s="9" t="s">
        <v>19</v>
      </c>
      <c r="N3003" s="9" t="s">
        <v>22</v>
      </c>
      <c r="O3003" s="6" t="str">
        <f>HYPERLINK("https://pbs.twimg.com/profile_images/1433591977631748099/wuGDIimB_normal.jpg","View")</f>
        <v>View</v>
      </c>
      <c r="P3003" s="7"/>
    </row>
    <row r="3004" spans="1:16">
      <c r="A3004" s="3">
        <v>44460.07240740741</v>
      </c>
      <c r="B3004" s="4" t="str">
        <f>HYPERLINK("https://twitter.com/sergio_fajardo","@sergio_fajardo")</f>
        <v>@sergio_fajardo</v>
      </c>
      <c r="C3004" s="5" t="s">
        <v>16</v>
      </c>
      <c r="D3004" s="5" t="s">
        <v>3025</v>
      </c>
      <c r="E3004" s="6" t="str">
        <f>HYPERLINK("https://twitter.com/sergio_fajardo/status/1440046672092880900","1440046672092880900")</f>
        <v>1440046672092880900</v>
      </c>
      <c r="F3004" s="7" t="s">
        <v>23</v>
      </c>
      <c r="G3004" s="7">
        <v>1595166</v>
      </c>
      <c r="H3004" s="7">
        <v>552</v>
      </c>
      <c r="I3004" s="7">
        <v>8</v>
      </c>
      <c r="J3004" s="7">
        <v>0</v>
      </c>
      <c r="K3004" s="7" t="s">
        <v>18</v>
      </c>
      <c r="L3004" s="8">
        <v>39891.213356481479</v>
      </c>
      <c r="M3004" s="9" t="s">
        <v>19</v>
      </c>
      <c r="N3004" s="9" t="s">
        <v>22</v>
      </c>
      <c r="O3004" s="6" t="str">
        <f>HYPERLINK("https://pbs.twimg.com/profile_images/1433591977631748099/wuGDIimB_normal.jpg","View")</f>
        <v>View</v>
      </c>
      <c r="P3004" s="7"/>
    </row>
    <row r="3005" spans="1:16">
      <c r="A3005" s="3">
        <v>44460.073229166665</v>
      </c>
      <c r="B3005" s="4" t="str">
        <f>HYPERLINK("https://twitter.com/sergio_fajardo","@sergio_fajardo")</f>
        <v>@sergio_fajardo</v>
      </c>
      <c r="C3005" s="5" t="s">
        <v>16</v>
      </c>
      <c r="D3005" s="5" t="s">
        <v>3026</v>
      </c>
      <c r="E3005" s="6" t="str">
        <f>HYPERLINK("https://twitter.com/sergio_fajardo/status/1440046972849639433","1440046972849639433")</f>
        <v>1440046972849639433</v>
      </c>
      <c r="F3005" s="7" t="s">
        <v>23</v>
      </c>
      <c r="G3005" s="7">
        <v>1595166</v>
      </c>
      <c r="H3005" s="7">
        <v>552</v>
      </c>
      <c r="I3005" s="7">
        <v>46</v>
      </c>
      <c r="J3005" s="7">
        <v>0</v>
      </c>
      <c r="K3005" s="7" t="s">
        <v>18</v>
      </c>
      <c r="L3005" s="8">
        <v>39891.213356481479</v>
      </c>
      <c r="M3005" s="9" t="s">
        <v>19</v>
      </c>
      <c r="N3005" s="9" t="s">
        <v>22</v>
      </c>
      <c r="O3005" s="6" t="str">
        <f>HYPERLINK("https://pbs.twimg.com/profile_images/1433591977631748099/wuGDIimB_normal.jpg","View")</f>
        <v>View</v>
      </c>
      <c r="P3005" s="7"/>
    </row>
    <row r="3006" spans="1:16">
      <c r="A3006" s="3">
        <v>44460.167662037042</v>
      </c>
      <c r="B3006" s="4" t="str">
        <f>HYPERLINK("https://twitter.com/sergio_fajardo","@sergio_fajardo")</f>
        <v>@sergio_fajardo</v>
      </c>
      <c r="C3006" s="5" t="s">
        <v>16</v>
      </c>
      <c r="D3006" s="5" t="s">
        <v>3027</v>
      </c>
      <c r="E3006" s="6" t="str">
        <f>HYPERLINK("https://twitter.com/sergio_fajardo/status/1440081192942850062","1440081192942850062")</f>
        <v>1440081192942850062</v>
      </c>
      <c r="F3006" s="7" t="s">
        <v>20</v>
      </c>
      <c r="G3006" s="7">
        <v>1595176</v>
      </c>
      <c r="H3006" s="7">
        <v>552</v>
      </c>
      <c r="I3006" s="7">
        <v>7</v>
      </c>
      <c r="J3006" s="7">
        <v>0</v>
      </c>
      <c r="K3006" s="7" t="s">
        <v>18</v>
      </c>
      <c r="L3006" s="8">
        <v>39891.213356481479</v>
      </c>
      <c r="M3006" s="9" t="s">
        <v>19</v>
      </c>
      <c r="N3006" s="9" t="s">
        <v>22</v>
      </c>
      <c r="O3006" s="6" t="str">
        <f>HYPERLINK("https://pbs.twimg.com/profile_images/1433591977631748099/wuGDIimB_normal.jpg","View")</f>
        <v>View</v>
      </c>
      <c r="P3006" s="7"/>
    </row>
    <row r="3007" spans="1:16">
      <c r="A3007" s="3">
        <v>44460.258854166663</v>
      </c>
      <c r="B3007" s="4" t="str">
        <f>HYPERLINK("https://twitter.com/sergio_fajardo","@sergio_fajardo")</f>
        <v>@sergio_fajardo</v>
      </c>
      <c r="C3007" s="5" t="s">
        <v>16</v>
      </c>
      <c r="D3007" s="5" t="s">
        <v>3028</v>
      </c>
      <c r="E3007" s="6" t="str">
        <f>HYPERLINK("https://twitter.com/sergio_fajardo/status/1440114239276937224","1440114239276937224")</f>
        <v>1440114239276937224</v>
      </c>
      <c r="F3007" s="7" t="s">
        <v>2329</v>
      </c>
      <c r="G3007" s="7">
        <v>1595259</v>
      </c>
      <c r="H3007" s="7">
        <v>552</v>
      </c>
      <c r="I3007" s="7">
        <v>5</v>
      </c>
      <c r="J3007" s="7">
        <v>10</v>
      </c>
      <c r="K3007" s="7" t="s">
        <v>18</v>
      </c>
      <c r="L3007" s="8">
        <v>39891.213356481479</v>
      </c>
      <c r="M3007" s="9" t="s">
        <v>19</v>
      </c>
      <c r="N3007" s="9" t="s">
        <v>22</v>
      </c>
      <c r="O3007" s="6" t="str">
        <f>HYPERLINK("https://pbs.twimg.com/profile_images/1433591977631748099/wuGDIimB_normal.jpg","View")</f>
        <v>View</v>
      </c>
      <c r="P3007" s="7"/>
    </row>
    <row r="3008" spans="1:16">
      <c r="A3008" s="3">
        <v>44460.276238425926</v>
      </c>
      <c r="B3008" s="4" t="str">
        <f>HYPERLINK("https://twitter.com/sergio_fajardo","@sergio_fajardo")</f>
        <v>@sergio_fajardo</v>
      </c>
      <c r="C3008" s="5" t="s">
        <v>16</v>
      </c>
      <c r="D3008" s="5" t="s">
        <v>3029</v>
      </c>
      <c r="E3008" s="6" t="str">
        <f>HYPERLINK("https://twitter.com/sergio_fajardo/status/1440120540338040840","1440120540338040840")</f>
        <v>1440120540338040840</v>
      </c>
      <c r="F3008" s="7" t="s">
        <v>17</v>
      </c>
      <c r="G3008" s="7">
        <v>1595256</v>
      </c>
      <c r="H3008" s="7">
        <v>552</v>
      </c>
      <c r="I3008" s="7">
        <v>1</v>
      </c>
      <c r="J3008" s="7">
        <v>20</v>
      </c>
      <c r="K3008" s="7" t="s">
        <v>18</v>
      </c>
      <c r="L3008" s="8">
        <v>39891.213356481479</v>
      </c>
      <c r="M3008" s="9" t="s">
        <v>19</v>
      </c>
      <c r="N3008" s="9" t="s">
        <v>22</v>
      </c>
      <c r="O3008" s="6" t="str">
        <f>HYPERLINK("https://pbs.twimg.com/profile_images/1433591977631748099/wuGDIimB_normal.jpg","View")</f>
        <v>View</v>
      </c>
      <c r="P3008" s="7"/>
    </row>
    <row r="3009" spans="1:16">
      <c r="A3009" s="3">
        <v>44460.295011574075</v>
      </c>
      <c r="B3009" s="4" t="str">
        <f>HYPERLINK("https://twitter.com/sergio_fajardo","@sergio_fajardo")</f>
        <v>@sergio_fajardo</v>
      </c>
      <c r="C3009" s="5" t="s">
        <v>16</v>
      </c>
      <c r="D3009" s="5" t="s">
        <v>3030</v>
      </c>
      <c r="E3009" s="6" t="str">
        <f>HYPERLINK("https://twitter.com/sergio_fajardo/status/1440127343134134276","1440127343134134276")</f>
        <v>1440127343134134276</v>
      </c>
      <c r="F3009" s="7" t="s">
        <v>17</v>
      </c>
      <c r="G3009" s="7">
        <v>1595260</v>
      </c>
      <c r="H3009" s="7">
        <v>552</v>
      </c>
      <c r="I3009" s="7">
        <v>0</v>
      </c>
      <c r="J3009" s="7">
        <v>19</v>
      </c>
      <c r="K3009" s="7" t="s">
        <v>18</v>
      </c>
      <c r="L3009" s="8">
        <v>39891.213356481479</v>
      </c>
      <c r="M3009" s="9" t="s">
        <v>19</v>
      </c>
      <c r="N3009" s="9" t="s">
        <v>22</v>
      </c>
      <c r="O3009" s="6" t="str">
        <f>HYPERLINK("https://pbs.twimg.com/profile_images/1433591977631748099/wuGDIimB_normal.jpg","View")</f>
        <v>View</v>
      </c>
      <c r="P3009" s="7"/>
    </row>
    <row r="3010" spans="1:16">
      <c r="A3010" s="3">
        <v>44460.29991898148</v>
      </c>
      <c r="B3010" s="4" t="str">
        <f>HYPERLINK("https://twitter.com/sergio_fajardo","@sergio_fajardo")</f>
        <v>@sergio_fajardo</v>
      </c>
      <c r="C3010" s="5" t="s">
        <v>16</v>
      </c>
      <c r="D3010" s="5" t="s">
        <v>3031</v>
      </c>
      <c r="E3010" s="6" t="str">
        <f>HYPERLINK("https://twitter.com/sergio_fajardo/status/1440129120097161218","1440129120097161218")</f>
        <v>1440129120097161218</v>
      </c>
      <c r="F3010" s="7" t="s">
        <v>17</v>
      </c>
      <c r="G3010" s="7">
        <v>1595260</v>
      </c>
      <c r="H3010" s="7">
        <v>552</v>
      </c>
      <c r="I3010" s="7">
        <v>1</v>
      </c>
      <c r="J3010" s="7">
        <v>15</v>
      </c>
      <c r="K3010" s="7" t="s">
        <v>18</v>
      </c>
      <c r="L3010" s="8">
        <v>39891.213356481479</v>
      </c>
      <c r="M3010" s="9" t="s">
        <v>19</v>
      </c>
      <c r="N3010" s="9" t="s">
        <v>22</v>
      </c>
      <c r="O3010" s="6" t="str">
        <f>HYPERLINK("https://pbs.twimg.com/profile_images/1433591977631748099/wuGDIimB_normal.jpg","View")</f>
        <v>View</v>
      </c>
      <c r="P3010" s="7"/>
    </row>
    <row r="3011" spans="1:16">
      <c r="A3011" s="3">
        <v>44460.306909722218</v>
      </c>
      <c r="B3011" s="4" t="str">
        <f>HYPERLINK("https://twitter.com/sergio_fajardo","@sergio_fajardo")</f>
        <v>@sergio_fajardo</v>
      </c>
      <c r="C3011" s="5" t="s">
        <v>16</v>
      </c>
      <c r="D3011" s="5" t="s">
        <v>3032</v>
      </c>
      <c r="E3011" s="6" t="str">
        <f>HYPERLINK("https://twitter.com/sergio_fajardo/status/1440131653712613381","1440131653712613381")</f>
        <v>1440131653712613381</v>
      </c>
      <c r="F3011" s="7" t="s">
        <v>17</v>
      </c>
      <c r="G3011" s="7">
        <v>1595264</v>
      </c>
      <c r="H3011" s="7">
        <v>552</v>
      </c>
      <c r="I3011" s="7">
        <v>13</v>
      </c>
      <c r="J3011" s="7">
        <v>0</v>
      </c>
      <c r="K3011" s="7" t="s">
        <v>18</v>
      </c>
      <c r="L3011" s="8">
        <v>39891.213356481479</v>
      </c>
      <c r="M3011" s="9" t="s">
        <v>19</v>
      </c>
      <c r="N3011" s="9" t="s">
        <v>22</v>
      </c>
      <c r="O3011" s="6" t="str">
        <f>HYPERLINK("https://pbs.twimg.com/profile_images/1433591977631748099/wuGDIimB_normal.jpg","View")</f>
        <v>View</v>
      </c>
      <c r="P3011" s="7"/>
    </row>
    <row r="3012" spans="1:16">
      <c r="A3012" s="3">
        <v>44460.327916666662</v>
      </c>
      <c r="B3012" s="4" t="str">
        <f>HYPERLINK("https://twitter.com/sergio_fajardo","@sergio_fajardo")</f>
        <v>@sergio_fajardo</v>
      </c>
      <c r="C3012" s="5" t="s">
        <v>16</v>
      </c>
      <c r="D3012" s="5" t="s">
        <v>3033</v>
      </c>
      <c r="E3012" s="6" t="str">
        <f>HYPERLINK("https://twitter.com/sergio_fajardo/status/1440139269486514180","1440139269486514180")</f>
        <v>1440139269486514180</v>
      </c>
      <c r="F3012" s="7" t="s">
        <v>17</v>
      </c>
      <c r="G3012" s="7">
        <v>1595193</v>
      </c>
      <c r="H3012" s="7">
        <v>552</v>
      </c>
      <c r="I3012" s="7">
        <v>8</v>
      </c>
      <c r="J3012" s="7">
        <v>243</v>
      </c>
      <c r="K3012" s="7" t="s">
        <v>18</v>
      </c>
      <c r="L3012" s="8">
        <v>39891.213356481479</v>
      </c>
      <c r="M3012" s="9" t="s">
        <v>19</v>
      </c>
      <c r="N3012" s="9" t="s">
        <v>22</v>
      </c>
      <c r="O3012" s="6" t="str">
        <f>HYPERLINK("https://pbs.twimg.com/profile_images/1433591977631748099/wuGDIimB_normal.jpg","View")</f>
        <v>View</v>
      </c>
      <c r="P3012" s="7"/>
    </row>
    <row r="3013" spans="1:16">
      <c r="A3013" s="3">
        <v>44460.329560185186</v>
      </c>
      <c r="B3013" s="4" t="str">
        <f>HYPERLINK("https://twitter.com/sergio_fajardo","@sergio_fajardo")</f>
        <v>@sergio_fajardo</v>
      </c>
      <c r="C3013" s="5" t="s">
        <v>16</v>
      </c>
      <c r="D3013" s="5" t="s">
        <v>3034</v>
      </c>
      <c r="E3013" s="6" t="str">
        <f>HYPERLINK("https://twitter.com/sergio_fajardo/status/1440139861122379778","1440139861122379778")</f>
        <v>1440139861122379778</v>
      </c>
      <c r="F3013" s="7" t="s">
        <v>17</v>
      </c>
      <c r="G3013" s="7">
        <v>1595193</v>
      </c>
      <c r="H3013" s="7">
        <v>552</v>
      </c>
      <c r="I3013" s="7">
        <v>3</v>
      </c>
      <c r="J3013" s="7">
        <v>43</v>
      </c>
      <c r="K3013" s="7" t="s">
        <v>18</v>
      </c>
      <c r="L3013" s="8">
        <v>39891.213356481479</v>
      </c>
      <c r="M3013" s="9" t="s">
        <v>19</v>
      </c>
      <c r="N3013" s="9" t="s">
        <v>22</v>
      </c>
      <c r="O3013" s="6" t="str">
        <f>HYPERLINK("https://pbs.twimg.com/profile_images/1433591977631748099/wuGDIimB_normal.jpg","View")</f>
        <v>View</v>
      </c>
      <c r="P3013" s="7"/>
    </row>
    <row r="3014" spans="1:16">
      <c r="A3014" s="3">
        <v>44460.660231481481</v>
      </c>
      <c r="B3014" s="4" t="str">
        <f>HYPERLINK("https://twitter.com/sergio_fajardo","@sergio_fajardo")</f>
        <v>@sergio_fajardo</v>
      </c>
      <c r="C3014" s="5" t="s">
        <v>16</v>
      </c>
      <c r="D3014" s="5" t="s">
        <v>3035</v>
      </c>
      <c r="E3014" s="6" t="str">
        <f>HYPERLINK("https://twitter.com/sergio_fajardo/status/1440259695122403330","1440259695122403330")</f>
        <v>1440259695122403330</v>
      </c>
      <c r="F3014" s="7" t="s">
        <v>17</v>
      </c>
      <c r="G3014" s="7">
        <v>1595205</v>
      </c>
      <c r="H3014" s="7">
        <v>552</v>
      </c>
      <c r="I3014" s="7">
        <v>2</v>
      </c>
      <c r="J3014" s="7">
        <v>15</v>
      </c>
      <c r="K3014" s="7" t="s">
        <v>18</v>
      </c>
      <c r="L3014" s="8">
        <v>39891.213356481479</v>
      </c>
      <c r="M3014" s="9" t="s">
        <v>19</v>
      </c>
      <c r="N3014" s="9" t="s">
        <v>22</v>
      </c>
      <c r="O3014" s="6" t="str">
        <f>HYPERLINK("https://pbs.twimg.com/profile_images/1433591977631748099/wuGDIimB_normal.jpg","View")</f>
        <v>View</v>
      </c>
      <c r="P3014" s="7"/>
    </row>
    <row r="3015" spans="1:16">
      <c r="A3015" s="3">
        <v>44461.103379629625</v>
      </c>
      <c r="B3015" s="4" t="str">
        <f>HYPERLINK("https://twitter.com/sergio_fajardo","@sergio_fajardo")</f>
        <v>@sergio_fajardo</v>
      </c>
      <c r="C3015" s="5" t="s">
        <v>16</v>
      </c>
      <c r="D3015" s="5" t="s">
        <v>3036</v>
      </c>
      <c r="E3015" s="6" t="str">
        <f>HYPERLINK("https://twitter.com/sergio_fajardo/status/1440420285929299974","1440420285929299974")</f>
        <v>1440420285929299974</v>
      </c>
      <c r="F3015" s="7" t="s">
        <v>17</v>
      </c>
      <c r="G3015" s="7">
        <v>1595230</v>
      </c>
      <c r="H3015" s="7">
        <v>555</v>
      </c>
      <c r="I3015" s="7">
        <v>660</v>
      </c>
      <c r="J3015" s="7">
        <v>0</v>
      </c>
      <c r="K3015" s="7" t="s">
        <v>18</v>
      </c>
      <c r="L3015" s="8">
        <v>39891.213356481479</v>
      </c>
      <c r="M3015" s="9" t="s">
        <v>19</v>
      </c>
      <c r="N3015" s="9" t="s">
        <v>22</v>
      </c>
      <c r="O3015" s="6" t="str">
        <f>HYPERLINK("https://pbs.twimg.com/profile_images/1433591977631748099/wuGDIimB_normal.jpg","View")</f>
        <v>View</v>
      </c>
      <c r="P3015" s="7"/>
    </row>
    <row r="3016" spans="1:16">
      <c r="A3016" s="3">
        <v>44461.280949074076</v>
      </c>
      <c r="B3016" s="4" t="str">
        <f>HYPERLINK("https://twitter.com/sergio_fajardo","@sergio_fajardo")</f>
        <v>@sergio_fajardo</v>
      </c>
      <c r="C3016" s="5" t="s">
        <v>16</v>
      </c>
      <c r="D3016" s="5" t="s">
        <v>3037</v>
      </c>
      <c r="E3016" s="6" t="str">
        <f>HYPERLINK("https://twitter.com/sergio_fajardo/status/1440484633599111170","1440484633599111170")</f>
        <v>1440484633599111170</v>
      </c>
      <c r="F3016" s="7" t="s">
        <v>2329</v>
      </c>
      <c r="G3016" s="7">
        <v>1595258</v>
      </c>
      <c r="H3016" s="7">
        <v>555</v>
      </c>
      <c r="I3016" s="7">
        <v>5</v>
      </c>
      <c r="J3016" s="7">
        <v>17</v>
      </c>
      <c r="K3016" s="7" t="s">
        <v>18</v>
      </c>
      <c r="L3016" s="8">
        <v>39891.213356481479</v>
      </c>
      <c r="M3016" s="9" t="s">
        <v>19</v>
      </c>
      <c r="N3016" s="9" t="s">
        <v>22</v>
      </c>
      <c r="O3016" s="6" t="str">
        <f>HYPERLINK("https://pbs.twimg.com/profile_images/1433591977631748099/wuGDIimB_normal.jpg","View")</f>
        <v>View</v>
      </c>
      <c r="P3016" s="7"/>
    </row>
    <row r="3017" spans="1:16">
      <c r="A3017" s="3">
        <v>44461.690196759257</v>
      </c>
      <c r="B3017" s="4" t="str">
        <f>HYPERLINK("https://twitter.com/sergio_fajardo","@sergio_fajardo")</f>
        <v>@sergio_fajardo</v>
      </c>
      <c r="C3017" s="5" t="s">
        <v>16</v>
      </c>
      <c r="D3017" s="5" t="s">
        <v>3038</v>
      </c>
      <c r="E3017" s="6" t="str">
        <f>HYPERLINK("https://twitter.com/sergio_fajardo/status/1440632942544384007","1440632942544384007")</f>
        <v>1440632942544384007</v>
      </c>
      <c r="F3017" s="7" t="s">
        <v>2329</v>
      </c>
      <c r="G3017" s="7">
        <v>1595279</v>
      </c>
      <c r="H3017" s="7">
        <v>555</v>
      </c>
      <c r="I3017" s="7">
        <v>3</v>
      </c>
      <c r="J3017" s="7">
        <v>22</v>
      </c>
      <c r="K3017" s="7" t="s">
        <v>18</v>
      </c>
      <c r="L3017" s="8">
        <v>39891.213356481479</v>
      </c>
      <c r="M3017" s="9" t="s">
        <v>19</v>
      </c>
      <c r="N3017" s="9" t="s">
        <v>22</v>
      </c>
      <c r="O3017" s="6" t="str">
        <f>HYPERLINK("https://pbs.twimg.com/profile_images/1433591977631748099/wuGDIimB_normal.jpg","View")</f>
        <v>View</v>
      </c>
      <c r="P3017" s="7"/>
    </row>
    <row r="3018" spans="1:16">
      <c r="A3018" s="3">
        <v>44461.805347222224</v>
      </c>
      <c r="B3018" s="4" t="str">
        <f>HYPERLINK("https://twitter.com/sergio_fajardo","@sergio_fajardo")</f>
        <v>@sergio_fajardo</v>
      </c>
      <c r="C3018" s="5" t="s">
        <v>16</v>
      </c>
      <c r="D3018" s="5" t="s">
        <v>3039</v>
      </c>
      <c r="E3018" s="6" t="str">
        <f>HYPERLINK("https://twitter.com/sergio_fajardo/status/1440674668407443466","1440674668407443466")</f>
        <v>1440674668407443466</v>
      </c>
      <c r="F3018" s="7" t="s">
        <v>17</v>
      </c>
      <c r="G3018" s="7">
        <v>1595297</v>
      </c>
      <c r="H3018" s="7">
        <v>555</v>
      </c>
      <c r="I3018" s="7">
        <v>13</v>
      </c>
      <c r="J3018" s="7">
        <v>38</v>
      </c>
      <c r="K3018" s="7" t="s">
        <v>18</v>
      </c>
      <c r="L3018" s="8">
        <v>39891.213356481479</v>
      </c>
      <c r="M3018" s="9" t="s">
        <v>19</v>
      </c>
      <c r="N3018" s="9" t="s">
        <v>22</v>
      </c>
      <c r="O3018" s="6" t="str">
        <f>HYPERLINK("https://pbs.twimg.com/profile_images/1433591977631748099/wuGDIimB_normal.jpg","View")</f>
        <v>View</v>
      </c>
      <c r="P3018" s="7"/>
    </row>
    <row r="3019" spans="1:16">
      <c r="A3019" s="3">
        <v>44461.816423611112</v>
      </c>
      <c r="B3019" s="4" t="str">
        <f>HYPERLINK("https://twitter.com/sergio_fajardo","@sergio_fajardo")</f>
        <v>@sergio_fajardo</v>
      </c>
      <c r="C3019" s="5" t="s">
        <v>16</v>
      </c>
      <c r="D3019" s="5" t="s">
        <v>3040</v>
      </c>
      <c r="E3019" s="6" t="str">
        <f>HYPERLINK("https://twitter.com/sergio_fajardo/status/1440678684168359936","1440678684168359936")</f>
        <v>1440678684168359936</v>
      </c>
      <c r="F3019" s="7" t="s">
        <v>17</v>
      </c>
      <c r="G3019" s="7">
        <v>1595297</v>
      </c>
      <c r="H3019" s="7">
        <v>555</v>
      </c>
      <c r="I3019" s="7">
        <v>46</v>
      </c>
      <c r="J3019" s="7">
        <v>127</v>
      </c>
      <c r="K3019" s="7" t="s">
        <v>18</v>
      </c>
      <c r="L3019" s="8">
        <v>39891.213356481479</v>
      </c>
      <c r="M3019" s="9" t="s">
        <v>19</v>
      </c>
      <c r="N3019" s="9" t="s">
        <v>22</v>
      </c>
      <c r="O3019" s="6" t="str">
        <f>HYPERLINK("https://pbs.twimg.com/profile_images/1433591977631748099/wuGDIimB_normal.jpg","View")</f>
        <v>View</v>
      </c>
      <c r="P3019" s="7"/>
    </row>
    <row r="3020" spans="1:16">
      <c r="A3020" s="3">
        <v>44461.842627314814</v>
      </c>
      <c r="B3020" s="4" t="str">
        <f>HYPERLINK("https://twitter.com/sergio_fajardo","@sergio_fajardo")</f>
        <v>@sergio_fajardo</v>
      </c>
      <c r="C3020" s="5" t="s">
        <v>16</v>
      </c>
      <c r="D3020" s="5" t="s">
        <v>3041</v>
      </c>
      <c r="E3020" s="6" t="str">
        <f>HYPERLINK("https://twitter.com/sergio_fajardo/status/1440688179586080777","1440688179586080777")</f>
        <v>1440688179586080777</v>
      </c>
      <c r="F3020" s="7" t="s">
        <v>17</v>
      </c>
      <c r="G3020" s="7">
        <v>1595299</v>
      </c>
      <c r="H3020" s="7">
        <v>555</v>
      </c>
      <c r="I3020" s="7">
        <v>26</v>
      </c>
      <c r="J3020" s="7">
        <v>0</v>
      </c>
      <c r="K3020" s="7" t="s">
        <v>18</v>
      </c>
      <c r="L3020" s="8">
        <v>39891.213356481479</v>
      </c>
      <c r="M3020" s="9" t="s">
        <v>19</v>
      </c>
      <c r="N3020" s="9" t="s">
        <v>22</v>
      </c>
      <c r="O3020" s="6" t="str">
        <f>HYPERLINK("https://pbs.twimg.com/profile_images/1433591977631748099/wuGDIimB_normal.jpg","View")</f>
        <v>View</v>
      </c>
      <c r="P3020" s="7"/>
    </row>
    <row r="3021" spans="1:16">
      <c r="A3021" s="3">
        <v>44462.140833333338</v>
      </c>
      <c r="B3021" s="4" t="str">
        <f>HYPERLINK("https://twitter.com/sergio_fajardo","@sergio_fajardo")</f>
        <v>@sergio_fajardo</v>
      </c>
      <c r="C3021" s="5" t="s">
        <v>16</v>
      </c>
      <c r="D3021" s="5" t="s">
        <v>3042</v>
      </c>
      <c r="E3021" s="6" t="str">
        <f>HYPERLINK("https://twitter.com/sergio_fajardo/status/1440796247921549312","1440796247921549312")</f>
        <v>1440796247921549312</v>
      </c>
      <c r="F3021" s="7" t="s">
        <v>17</v>
      </c>
      <c r="G3021" s="7">
        <v>1595307</v>
      </c>
      <c r="H3021" s="7">
        <v>555</v>
      </c>
      <c r="I3021" s="7">
        <v>13</v>
      </c>
      <c r="J3021" s="7">
        <v>54</v>
      </c>
      <c r="K3021" s="7" t="s">
        <v>18</v>
      </c>
      <c r="L3021" s="8">
        <v>39891.213356481479</v>
      </c>
      <c r="M3021" s="9" t="s">
        <v>19</v>
      </c>
      <c r="N3021" s="9" t="s">
        <v>22</v>
      </c>
      <c r="O3021" s="6" t="str">
        <f>HYPERLINK("https://pbs.twimg.com/profile_images/1433591977631748099/wuGDIimB_normal.jpg","View")</f>
        <v>View</v>
      </c>
      <c r="P3021" s="7"/>
    </row>
    <row r="3022" spans="1:16">
      <c r="A3022" s="3">
        <v>44462.142812499995</v>
      </c>
      <c r="B3022" s="4" t="str">
        <f>HYPERLINK("https://twitter.com/sergio_fajardo","@sergio_fajardo")</f>
        <v>@sergio_fajardo</v>
      </c>
      <c r="C3022" s="5" t="s">
        <v>16</v>
      </c>
      <c r="D3022" s="5" t="s">
        <v>3043</v>
      </c>
      <c r="E3022" s="6" t="str">
        <f>HYPERLINK("https://twitter.com/sergio_fajardo/status/1440796964686204935","1440796964686204935")</f>
        <v>1440796964686204935</v>
      </c>
      <c r="F3022" s="7" t="s">
        <v>17</v>
      </c>
      <c r="G3022" s="7">
        <v>1595307</v>
      </c>
      <c r="H3022" s="7">
        <v>555</v>
      </c>
      <c r="I3022" s="7">
        <v>36</v>
      </c>
      <c r="J3022" s="7">
        <v>0</v>
      </c>
      <c r="K3022" s="7" t="s">
        <v>18</v>
      </c>
      <c r="L3022" s="8">
        <v>39891.213356481479</v>
      </c>
      <c r="M3022" s="9" t="s">
        <v>19</v>
      </c>
      <c r="N3022" s="9" t="s">
        <v>22</v>
      </c>
      <c r="O3022" s="6" t="str">
        <f>HYPERLINK("https://pbs.twimg.com/profile_images/1433591977631748099/wuGDIimB_normal.jpg","View")</f>
        <v>View</v>
      </c>
      <c r="P3022" s="7"/>
    </row>
    <row r="3023" spans="1:16">
      <c r="A3023" s="3">
        <v>44462.194074074076</v>
      </c>
      <c r="B3023" s="4" t="str">
        <f>HYPERLINK("https://twitter.com/sergio_fajardo","@sergio_fajardo")</f>
        <v>@sergio_fajardo</v>
      </c>
      <c r="C3023" s="5" t="s">
        <v>16</v>
      </c>
      <c r="D3023" s="5" t="s">
        <v>3044</v>
      </c>
      <c r="E3023" s="6" t="str">
        <f>HYPERLINK("https://twitter.com/sergio_fajardo/status/1440815541644455943","1440815541644455943")</f>
        <v>1440815541644455943</v>
      </c>
      <c r="F3023" s="7" t="s">
        <v>17</v>
      </c>
      <c r="G3023" s="7">
        <v>1595393</v>
      </c>
      <c r="H3023" s="7">
        <v>555</v>
      </c>
      <c r="I3023" s="7">
        <v>6</v>
      </c>
      <c r="J3023" s="7">
        <v>0</v>
      </c>
      <c r="K3023" s="7" t="s">
        <v>18</v>
      </c>
      <c r="L3023" s="8">
        <v>39891.213356481479</v>
      </c>
      <c r="M3023" s="9" t="s">
        <v>19</v>
      </c>
      <c r="N3023" s="9" t="s">
        <v>22</v>
      </c>
      <c r="O3023" s="6" t="str">
        <f>HYPERLINK("https://pbs.twimg.com/profile_images/1433591977631748099/wuGDIimB_normal.jpg","View")</f>
        <v>View</v>
      </c>
      <c r="P3023" s="7"/>
    </row>
    <row r="3024" spans="1:16">
      <c r="A3024" s="3">
        <v>44462.251388888893</v>
      </c>
      <c r="B3024" s="4" t="str">
        <f>HYPERLINK("https://twitter.com/sergio_fajardo","@sergio_fajardo")</f>
        <v>@sergio_fajardo</v>
      </c>
      <c r="C3024" s="5" t="s">
        <v>16</v>
      </c>
      <c r="D3024" s="5" t="s">
        <v>3045</v>
      </c>
      <c r="E3024" s="6" t="str">
        <f>HYPERLINK("https://twitter.com/sergio_fajardo/status/1440836310881628168","1440836310881628168")</f>
        <v>1440836310881628168</v>
      </c>
      <c r="F3024" s="7" t="s">
        <v>17</v>
      </c>
      <c r="G3024" s="7">
        <v>1595395</v>
      </c>
      <c r="H3024" s="7">
        <v>555</v>
      </c>
      <c r="I3024" s="7">
        <v>34</v>
      </c>
      <c r="J3024" s="7">
        <v>0</v>
      </c>
      <c r="K3024" s="7" t="s">
        <v>18</v>
      </c>
      <c r="L3024" s="8">
        <v>39891.213356481479</v>
      </c>
      <c r="M3024" s="9" t="s">
        <v>19</v>
      </c>
      <c r="N3024" s="9" t="s">
        <v>22</v>
      </c>
      <c r="O3024" s="6" t="str">
        <f>HYPERLINK("https://pbs.twimg.com/profile_images/1433591977631748099/wuGDIimB_normal.jpg","View")</f>
        <v>View</v>
      </c>
      <c r="P3024" s="7"/>
    </row>
    <row r="3025" spans="1:16">
      <c r="A3025" s="3">
        <v>44462.298946759256</v>
      </c>
      <c r="B3025" s="4" t="str">
        <f>HYPERLINK("https://twitter.com/sergio_fajardo","@sergio_fajardo")</f>
        <v>@sergio_fajardo</v>
      </c>
      <c r="C3025" s="5" t="s">
        <v>16</v>
      </c>
      <c r="D3025" s="5" t="s">
        <v>3046</v>
      </c>
      <c r="E3025" s="6" t="str">
        <f>HYPERLINK("https://twitter.com/sergio_fajardo/status/1440853546786648071","1440853546786648071")</f>
        <v>1440853546786648071</v>
      </c>
      <c r="F3025" s="7" t="s">
        <v>23</v>
      </c>
      <c r="G3025" s="7">
        <v>1595411</v>
      </c>
      <c r="H3025" s="7">
        <v>555</v>
      </c>
      <c r="I3025" s="7">
        <v>12</v>
      </c>
      <c r="J3025" s="7">
        <v>0</v>
      </c>
      <c r="K3025" s="7" t="s">
        <v>18</v>
      </c>
      <c r="L3025" s="8">
        <v>39891.213356481479</v>
      </c>
      <c r="M3025" s="9" t="s">
        <v>19</v>
      </c>
      <c r="N3025" s="9" t="s">
        <v>22</v>
      </c>
      <c r="O3025" s="6" t="str">
        <f>HYPERLINK("https://pbs.twimg.com/profile_images/1433591977631748099/wuGDIimB_normal.jpg","View")</f>
        <v>View</v>
      </c>
      <c r="P3025" s="7"/>
    </row>
    <row r="3026" spans="1:16">
      <c r="A3026" s="3">
        <v>44462.29987268518</v>
      </c>
      <c r="B3026" s="4" t="str">
        <f>HYPERLINK("https://twitter.com/sergio_fajardo","@sergio_fajardo")</f>
        <v>@sergio_fajardo</v>
      </c>
      <c r="C3026" s="5" t="s">
        <v>16</v>
      </c>
      <c r="D3026" s="5" t="s">
        <v>3047</v>
      </c>
      <c r="E3026" s="6" t="str">
        <f>HYPERLINK("https://twitter.com/sergio_fajardo/status/1440853880049311749","1440853880049311749")</f>
        <v>1440853880049311749</v>
      </c>
      <c r="F3026" s="7" t="s">
        <v>23</v>
      </c>
      <c r="G3026" s="7">
        <v>1595411</v>
      </c>
      <c r="H3026" s="7">
        <v>555</v>
      </c>
      <c r="I3026" s="7">
        <v>7</v>
      </c>
      <c r="J3026" s="7">
        <v>18</v>
      </c>
      <c r="K3026" s="7" t="s">
        <v>18</v>
      </c>
      <c r="L3026" s="8">
        <v>39891.213356481479</v>
      </c>
      <c r="M3026" s="9" t="s">
        <v>19</v>
      </c>
      <c r="N3026" s="9" t="s">
        <v>22</v>
      </c>
      <c r="O3026" s="6" t="str">
        <f>HYPERLINK("https://pbs.twimg.com/profile_images/1433591977631748099/wuGDIimB_normal.jpg","View")</f>
        <v>View</v>
      </c>
      <c r="P3026" s="7"/>
    </row>
    <row r="3027" spans="1:16">
      <c r="A3027" s="3">
        <v>44462.319178240738</v>
      </c>
      <c r="B3027" s="4" t="str">
        <f>HYPERLINK("https://twitter.com/sergio_fajardo","@sergio_fajardo")</f>
        <v>@sergio_fajardo</v>
      </c>
      <c r="C3027" s="5" t="s">
        <v>16</v>
      </c>
      <c r="D3027" s="5" t="s">
        <v>3048</v>
      </c>
      <c r="E3027" s="6" t="str">
        <f>HYPERLINK("https://twitter.com/sergio_fajardo/status/1440860876437815305","1440860876437815305")</f>
        <v>1440860876437815305</v>
      </c>
      <c r="F3027" s="7" t="s">
        <v>17</v>
      </c>
      <c r="G3027" s="7">
        <v>1595421</v>
      </c>
      <c r="H3027" s="7">
        <v>555</v>
      </c>
      <c r="I3027" s="7">
        <v>7</v>
      </c>
      <c r="J3027" s="7">
        <v>0</v>
      </c>
      <c r="K3027" s="7" t="s">
        <v>18</v>
      </c>
      <c r="L3027" s="8">
        <v>39891.213356481479</v>
      </c>
      <c r="M3027" s="9" t="s">
        <v>19</v>
      </c>
      <c r="N3027" s="9" t="s">
        <v>22</v>
      </c>
      <c r="O3027" s="6" t="str">
        <f>HYPERLINK("https://pbs.twimg.com/profile_images/1433591977631748099/wuGDIimB_normal.jpg","View")</f>
        <v>View</v>
      </c>
      <c r="P3027" s="7"/>
    </row>
    <row r="3028" spans="1:16">
      <c r="A3028" s="3">
        <v>44462.319212962961</v>
      </c>
      <c r="B3028" s="4" t="str">
        <f>HYPERLINK("https://twitter.com/sergio_fajardo","@sergio_fajardo")</f>
        <v>@sergio_fajardo</v>
      </c>
      <c r="C3028" s="5" t="s">
        <v>16</v>
      </c>
      <c r="D3028" s="5" t="s">
        <v>3049</v>
      </c>
      <c r="E3028" s="6" t="str">
        <f>HYPERLINK("https://twitter.com/sergio_fajardo/status/1440860889800794113","1440860889800794113")</f>
        <v>1440860889800794113</v>
      </c>
      <c r="F3028" s="7" t="s">
        <v>17</v>
      </c>
      <c r="G3028" s="7">
        <v>1595421</v>
      </c>
      <c r="H3028" s="7">
        <v>555</v>
      </c>
      <c r="I3028" s="7">
        <v>6</v>
      </c>
      <c r="J3028" s="7">
        <v>0</v>
      </c>
      <c r="K3028" s="7" t="s">
        <v>18</v>
      </c>
      <c r="L3028" s="8">
        <v>39891.213356481479</v>
      </c>
      <c r="M3028" s="9" t="s">
        <v>19</v>
      </c>
      <c r="N3028" s="9" t="s">
        <v>22</v>
      </c>
      <c r="O3028" s="6" t="str">
        <f>HYPERLINK("https://pbs.twimg.com/profile_images/1433591977631748099/wuGDIimB_normal.jpg","View")</f>
        <v>View</v>
      </c>
      <c r="P3028" s="7"/>
    </row>
    <row r="3029" spans="1:16">
      <c r="A3029" s="3">
        <v>44462.327800925923</v>
      </c>
      <c r="B3029" s="4" t="str">
        <f>HYPERLINK("https://twitter.com/sergio_fajardo","@sergio_fajardo")</f>
        <v>@sergio_fajardo</v>
      </c>
      <c r="C3029" s="5" t="s">
        <v>16</v>
      </c>
      <c r="D3029" s="5" t="s">
        <v>3050</v>
      </c>
      <c r="E3029" s="6" t="str">
        <f>HYPERLINK("https://twitter.com/sergio_fajardo/status/1440864001613774850","1440864001613774850")</f>
        <v>1440864001613774850</v>
      </c>
      <c r="F3029" s="7" t="s">
        <v>17</v>
      </c>
      <c r="G3029" s="7">
        <v>1595421</v>
      </c>
      <c r="H3029" s="7">
        <v>555</v>
      </c>
      <c r="I3029" s="7">
        <v>22</v>
      </c>
      <c r="J3029" s="7">
        <v>85</v>
      </c>
      <c r="K3029" s="7" t="s">
        <v>18</v>
      </c>
      <c r="L3029" s="8">
        <v>39891.213356481479</v>
      </c>
      <c r="M3029" s="9" t="s">
        <v>19</v>
      </c>
      <c r="N3029" s="9" t="s">
        <v>22</v>
      </c>
      <c r="O3029" s="6" t="str">
        <f>HYPERLINK("https://pbs.twimg.com/profile_images/1433591977631748099/wuGDIimB_normal.jpg","View")</f>
        <v>View</v>
      </c>
      <c r="P3029" s="7"/>
    </row>
    <row r="3030" spans="1:16">
      <c r="A3030" s="3">
        <v>44462.349143518513</v>
      </c>
      <c r="B3030" s="4" t="str">
        <f>HYPERLINK("https://twitter.com/sergio_fajardo","@sergio_fajardo")</f>
        <v>@sergio_fajardo</v>
      </c>
      <c r="C3030" s="5" t="s">
        <v>16</v>
      </c>
      <c r="D3030" s="5" t="s">
        <v>3051</v>
      </c>
      <c r="E3030" s="6" t="str">
        <f>HYPERLINK("https://twitter.com/sergio_fajardo/status/1440871735549562882","1440871735549562882")</f>
        <v>1440871735549562882</v>
      </c>
      <c r="F3030" s="7" t="s">
        <v>17</v>
      </c>
      <c r="G3030" s="7">
        <v>1595423</v>
      </c>
      <c r="H3030" s="7">
        <v>555</v>
      </c>
      <c r="I3030" s="7">
        <v>7</v>
      </c>
      <c r="J3030" s="7">
        <v>0</v>
      </c>
      <c r="K3030" s="7" t="s">
        <v>18</v>
      </c>
      <c r="L3030" s="8">
        <v>39891.213356481479</v>
      </c>
      <c r="M3030" s="9" t="s">
        <v>19</v>
      </c>
      <c r="N3030" s="9" t="s">
        <v>22</v>
      </c>
      <c r="O3030" s="6" t="str">
        <f>HYPERLINK("https://pbs.twimg.com/profile_images/1433591977631748099/wuGDIimB_normal.jpg","View")</f>
        <v>View</v>
      </c>
      <c r="P3030" s="7"/>
    </row>
    <row r="3031" spans="1:16">
      <c r="A3031" s="3">
        <v>44462.368495370371</v>
      </c>
      <c r="B3031" s="4" t="str">
        <f>HYPERLINK("https://twitter.com/sergio_fajardo","@sergio_fajardo")</f>
        <v>@sergio_fajardo</v>
      </c>
      <c r="C3031" s="5" t="s">
        <v>16</v>
      </c>
      <c r="D3031" s="5" t="s">
        <v>3052</v>
      </c>
      <c r="E3031" s="6" t="str">
        <f>HYPERLINK("https://twitter.com/sergio_fajardo/status/1440878746874036225","1440878746874036225")</f>
        <v>1440878746874036225</v>
      </c>
      <c r="F3031" s="7" t="s">
        <v>17</v>
      </c>
      <c r="G3031" s="7">
        <v>1595428</v>
      </c>
      <c r="H3031" s="7">
        <v>555</v>
      </c>
      <c r="I3031" s="7">
        <v>108</v>
      </c>
      <c r="J3031" s="7">
        <v>0</v>
      </c>
      <c r="K3031" s="7" t="s">
        <v>18</v>
      </c>
      <c r="L3031" s="8">
        <v>39891.213356481479</v>
      </c>
      <c r="M3031" s="9" t="s">
        <v>19</v>
      </c>
      <c r="N3031" s="9" t="s">
        <v>22</v>
      </c>
      <c r="O3031" s="6" t="str">
        <f>HYPERLINK("https://pbs.twimg.com/profile_images/1433591977631748099/wuGDIimB_normal.jpg","View")</f>
        <v>View</v>
      </c>
      <c r="P3031" s="7"/>
    </row>
    <row r="3032" spans="1:16">
      <c r="A3032" s="3">
        <v>44462.370868055557</v>
      </c>
      <c r="B3032" s="4" t="str">
        <f>HYPERLINK("https://twitter.com/sergio_fajardo","@sergio_fajardo")</f>
        <v>@sergio_fajardo</v>
      </c>
      <c r="C3032" s="5" t="s">
        <v>16</v>
      </c>
      <c r="D3032" s="5" t="s">
        <v>3053</v>
      </c>
      <c r="E3032" s="6" t="str">
        <f>HYPERLINK("https://twitter.com/sergio_fajardo/status/1440879607096430600","1440879607096430600")</f>
        <v>1440879607096430600</v>
      </c>
      <c r="F3032" s="7" t="s">
        <v>17</v>
      </c>
      <c r="G3032" s="7">
        <v>1595428</v>
      </c>
      <c r="H3032" s="7">
        <v>555</v>
      </c>
      <c r="I3032" s="7">
        <v>7</v>
      </c>
      <c r="J3032" s="7">
        <v>28</v>
      </c>
      <c r="K3032" s="7" t="s">
        <v>18</v>
      </c>
      <c r="L3032" s="8">
        <v>39891.213356481479</v>
      </c>
      <c r="M3032" s="9" t="s">
        <v>19</v>
      </c>
      <c r="N3032" s="9" t="s">
        <v>22</v>
      </c>
      <c r="O3032" s="6" t="str">
        <f>HYPERLINK("https://pbs.twimg.com/profile_images/1433591977631748099/wuGDIimB_normal.jpg","View")</f>
        <v>View</v>
      </c>
      <c r="P3032" s="7"/>
    </row>
    <row r="3033" spans="1:16">
      <c r="A3033" s="3">
        <v>44462.755914351852</v>
      </c>
      <c r="B3033" s="4" t="str">
        <f>HYPERLINK("https://twitter.com/sergio_fajardo","@sergio_fajardo")</f>
        <v>@sergio_fajardo</v>
      </c>
      <c r="C3033" s="5" t="s">
        <v>16</v>
      </c>
      <c r="D3033" s="5" t="s">
        <v>3054</v>
      </c>
      <c r="E3033" s="6" t="str">
        <f>HYPERLINK("https://twitter.com/sergio_fajardo/status/1441019143298424839","1441019143298424839")</f>
        <v>1441019143298424839</v>
      </c>
      <c r="F3033" s="7" t="s">
        <v>2329</v>
      </c>
      <c r="G3033" s="7">
        <v>1595436</v>
      </c>
      <c r="H3033" s="7">
        <v>555</v>
      </c>
      <c r="I3033" s="7">
        <v>9</v>
      </c>
      <c r="J3033" s="7">
        <v>26</v>
      </c>
      <c r="K3033" s="7" t="s">
        <v>18</v>
      </c>
      <c r="L3033" s="8">
        <v>39891.213356481479</v>
      </c>
      <c r="M3033" s="9" t="s">
        <v>19</v>
      </c>
      <c r="N3033" s="9" t="s">
        <v>22</v>
      </c>
      <c r="O3033" s="6" t="str">
        <f>HYPERLINK("https://pbs.twimg.com/profile_images/1433591977631748099/wuGDIimB_normal.jpg","View")</f>
        <v>View</v>
      </c>
      <c r="P3033" s="7"/>
    </row>
    <row r="3034" spans="1:16">
      <c r="A3034" s="3">
        <v>44463.188680555555</v>
      </c>
      <c r="B3034" s="4" t="str">
        <f>HYPERLINK("https://twitter.com/sergio_fajardo","@sergio_fajardo")</f>
        <v>@sergio_fajardo</v>
      </c>
      <c r="C3034" s="5" t="s">
        <v>16</v>
      </c>
      <c r="D3034" s="5" t="s">
        <v>3055</v>
      </c>
      <c r="E3034" s="6" t="str">
        <f>HYPERLINK("https://twitter.com/sergio_fajardo/status/1441175972833730563","1441175972833730563")</f>
        <v>1441175972833730563</v>
      </c>
      <c r="F3034" s="7" t="s">
        <v>17</v>
      </c>
      <c r="G3034" s="7">
        <v>1595409</v>
      </c>
      <c r="H3034" s="7">
        <v>555</v>
      </c>
      <c r="I3034" s="7">
        <v>8</v>
      </c>
      <c r="J3034" s="7">
        <v>23</v>
      </c>
      <c r="K3034" s="7" t="s">
        <v>18</v>
      </c>
      <c r="L3034" s="8">
        <v>39891.213356481479</v>
      </c>
      <c r="M3034" s="9" t="s">
        <v>19</v>
      </c>
      <c r="N3034" s="9" t="s">
        <v>22</v>
      </c>
      <c r="O3034" s="6" t="str">
        <f>HYPERLINK("https://pbs.twimg.com/profile_images/1433591977631748099/wuGDIimB_normal.jpg","View")</f>
        <v>View</v>
      </c>
      <c r="P3034" s="7"/>
    </row>
    <row r="3035" spans="1:16">
      <c r="A3035" s="3">
        <v>44463.224189814813</v>
      </c>
      <c r="B3035" s="4" t="str">
        <f>HYPERLINK("https://twitter.com/sergio_fajardo","@sergio_fajardo")</f>
        <v>@sergio_fajardo</v>
      </c>
      <c r="C3035" s="5" t="s">
        <v>16</v>
      </c>
      <c r="D3035" s="5" t="s">
        <v>3056</v>
      </c>
      <c r="E3035" s="6" t="str">
        <f>HYPERLINK("https://twitter.com/sergio_fajardo/status/1441188841495400448","1441188841495400448")</f>
        <v>1441188841495400448</v>
      </c>
      <c r="F3035" s="7" t="s">
        <v>17</v>
      </c>
      <c r="G3035" s="7">
        <v>1595406</v>
      </c>
      <c r="H3035" s="7">
        <v>555</v>
      </c>
      <c r="I3035" s="7">
        <v>21</v>
      </c>
      <c r="J3035" s="7">
        <v>0</v>
      </c>
      <c r="K3035" s="7" t="s">
        <v>18</v>
      </c>
      <c r="L3035" s="8">
        <v>39891.213356481479</v>
      </c>
      <c r="M3035" s="9" t="s">
        <v>19</v>
      </c>
      <c r="N3035" s="9" t="s">
        <v>22</v>
      </c>
      <c r="O3035" s="6" t="str">
        <f>HYPERLINK("https://pbs.twimg.com/profile_images/1433591977631748099/wuGDIimB_normal.jpg","View")</f>
        <v>View</v>
      </c>
      <c r="P3035" s="7"/>
    </row>
    <row r="3036" spans="1:16">
      <c r="A3036" s="3">
        <v>44463.227349537032</v>
      </c>
      <c r="B3036" s="4" t="str">
        <f>HYPERLINK("https://twitter.com/sergio_fajardo","@sergio_fajardo")</f>
        <v>@sergio_fajardo</v>
      </c>
      <c r="C3036" s="5" t="s">
        <v>16</v>
      </c>
      <c r="D3036" s="5" t="s">
        <v>3057</v>
      </c>
      <c r="E3036" s="6" t="str">
        <f>HYPERLINK("https://twitter.com/sergio_fajardo/status/1441189986192093185","1441189986192093185")</f>
        <v>1441189986192093185</v>
      </c>
      <c r="F3036" s="7" t="s">
        <v>17</v>
      </c>
      <c r="G3036" s="7">
        <v>1595406</v>
      </c>
      <c r="H3036" s="7">
        <v>555</v>
      </c>
      <c r="I3036" s="7">
        <v>90</v>
      </c>
      <c r="J3036" s="7">
        <v>496</v>
      </c>
      <c r="K3036" s="7" t="s">
        <v>18</v>
      </c>
      <c r="L3036" s="8">
        <v>39891.213356481479</v>
      </c>
      <c r="M3036" s="9" t="s">
        <v>19</v>
      </c>
      <c r="N3036" s="9" t="s">
        <v>22</v>
      </c>
      <c r="O3036" s="6" t="str">
        <f>HYPERLINK("https://pbs.twimg.com/profile_images/1433591977631748099/wuGDIimB_normal.jpg","View")</f>
        <v>View</v>
      </c>
      <c r="P3036" s="7"/>
    </row>
    <row r="3037" spans="1:16">
      <c r="A3037" s="3">
        <v>44463.255532407406</v>
      </c>
      <c r="B3037" s="4" t="str">
        <f>HYPERLINK("https://twitter.com/sergio_fajardo","@sergio_fajardo")</f>
        <v>@sergio_fajardo</v>
      </c>
      <c r="C3037" s="5" t="s">
        <v>16</v>
      </c>
      <c r="D3037" s="5" t="s">
        <v>3058</v>
      </c>
      <c r="E3037" s="6" t="str">
        <f>HYPERLINK("https://twitter.com/sergio_fajardo/status/1441200198366208005","1441200198366208005")</f>
        <v>1441200198366208005</v>
      </c>
      <c r="F3037" s="7" t="s">
        <v>2329</v>
      </c>
      <c r="G3037" s="7">
        <v>1595404</v>
      </c>
      <c r="H3037" s="7">
        <v>555</v>
      </c>
      <c r="I3037" s="7">
        <v>3</v>
      </c>
      <c r="J3037" s="7">
        <v>13</v>
      </c>
      <c r="K3037" s="7" t="s">
        <v>18</v>
      </c>
      <c r="L3037" s="8">
        <v>39891.213356481479</v>
      </c>
      <c r="M3037" s="9" t="s">
        <v>19</v>
      </c>
      <c r="N3037" s="9" t="s">
        <v>22</v>
      </c>
      <c r="O3037" s="6" t="str">
        <f>HYPERLINK("https://pbs.twimg.com/profile_images/1433591977631748099/wuGDIimB_normal.jpg","View")</f>
        <v>View</v>
      </c>
      <c r="P3037" s="7"/>
    </row>
    <row r="3038" spans="1:16">
      <c r="A3038" s="3">
        <v>44463.29965277778</v>
      </c>
      <c r="B3038" s="4" t="str">
        <f>HYPERLINK("https://twitter.com/sergio_fajardo","@sergio_fajardo")</f>
        <v>@sergio_fajardo</v>
      </c>
      <c r="C3038" s="5" t="s">
        <v>16</v>
      </c>
      <c r="D3038" s="5" t="s">
        <v>3059</v>
      </c>
      <c r="E3038" s="6" t="str">
        <f>HYPERLINK("https://twitter.com/sergio_fajardo/status/1441216189917769731","1441216189917769731")</f>
        <v>1441216189917769731</v>
      </c>
      <c r="F3038" s="7" t="s">
        <v>17</v>
      </c>
      <c r="G3038" s="7">
        <v>1595486</v>
      </c>
      <c r="H3038" s="7">
        <v>555</v>
      </c>
      <c r="I3038" s="7">
        <v>38</v>
      </c>
      <c r="J3038" s="7">
        <v>171</v>
      </c>
      <c r="K3038" s="7" t="s">
        <v>18</v>
      </c>
      <c r="L3038" s="8">
        <v>39891.213356481479</v>
      </c>
      <c r="M3038" s="9" t="s">
        <v>19</v>
      </c>
      <c r="N3038" s="9" t="s">
        <v>22</v>
      </c>
      <c r="O3038" s="6" t="str">
        <f>HYPERLINK("https://pbs.twimg.com/profile_images/1433591977631748099/wuGDIimB_normal.jpg","View")</f>
        <v>View</v>
      </c>
      <c r="P3038" s="7"/>
    </row>
    <row r="3039" spans="1:16">
      <c r="A3039" s="3">
        <v>44463.749074074076</v>
      </c>
      <c r="B3039" s="4" t="str">
        <f>HYPERLINK("https://twitter.com/sergio_fajardo","@sergio_fajardo")</f>
        <v>@sergio_fajardo</v>
      </c>
      <c r="C3039" s="5" t="s">
        <v>16</v>
      </c>
      <c r="D3039" s="5" t="s">
        <v>3060</v>
      </c>
      <c r="E3039" s="6" t="str">
        <f>HYPERLINK("https://twitter.com/sergio_fajardo/status/1441379052833566726","1441379052833566726")</f>
        <v>1441379052833566726</v>
      </c>
      <c r="F3039" s="7" t="s">
        <v>17</v>
      </c>
      <c r="G3039" s="7">
        <v>1595473</v>
      </c>
      <c r="H3039" s="7">
        <v>555</v>
      </c>
      <c r="I3039" s="7">
        <v>20</v>
      </c>
      <c r="J3039" s="7">
        <v>0</v>
      </c>
      <c r="K3039" s="7" t="s">
        <v>18</v>
      </c>
      <c r="L3039" s="8">
        <v>39891.213356481479</v>
      </c>
      <c r="M3039" s="9" t="s">
        <v>19</v>
      </c>
      <c r="N3039" s="9" t="s">
        <v>22</v>
      </c>
      <c r="O3039" s="6" t="str">
        <f>HYPERLINK("https://pbs.twimg.com/profile_images/1433591977631748099/wuGDIimB_normal.jpg","View")</f>
        <v>View</v>
      </c>
      <c r="P3039" s="7"/>
    </row>
    <row r="3040" spans="1:16">
      <c r="A3040" s="3">
        <v>44463.821076388893</v>
      </c>
      <c r="B3040" s="4" t="str">
        <f>HYPERLINK("https://twitter.com/sergio_fajardo","@sergio_fajardo")</f>
        <v>@sergio_fajardo</v>
      </c>
      <c r="C3040" s="5" t="s">
        <v>16</v>
      </c>
      <c r="D3040" s="5" t="s">
        <v>3061</v>
      </c>
      <c r="E3040" s="6" t="str">
        <f>HYPERLINK("https://twitter.com/sergio_fajardo/status/1441405145397571585","1441405145397571585")</f>
        <v>1441405145397571585</v>
      </c>
      <c r="F3040" s="7" t="s">
        <v>17</v>
      </c>
      <c r="G3040" s="7">
        <v>1595483</v>
      </c>
      <c r="H3040" s="7">
        <v>555</v>
      </c>
      <c r="I3040" s="7">
        <v>11</v>
      </c>
      <c r="J3040" s="7">
        <v>0</v>
      </c>
      <c r="K3040" s="7" t="s">
        <v>18</v>
      </c>
      <c r="L3040" s="8">
        <v>39891.213356481479</v>
      </c>
      <c r="M3040" s="9" t="s">
        <v>19</v>
      </c>
      <c r="N3040" s="9" t="s">
        <v>22</v>
      </c>
      <c r="O3040" s="6" t="str">
        <f>HYPERLINK("https://pbs.twimg.com/profile_images/1433591977631748099/wuGDIimB_normal.jpg","View")</f>
        <v>View</v>
      </c>
      <c r="P3040" s="7"/>
    </row>
    <row r="3041" spans="1:16">
      <c r="A3041" s="3">
        <v>44463.824895833328</v>
      </c>
      <c r="B3041" s="4" t="str">
        <f>HYPERLINK("https://twitter.com/sergio_fajardo","@sergio_fajardo")</f>
        <v>@sergio_fajardo</v>
      </c>
      <c r="C3041" s="5" t="s">
        <v>16</v>
      </c>
      <c r="D3041" s="5" t="s">
        <v>3062</v>
      </c>
      <c r="E3041" s="6" t="str">
        <f>HYPERLINK("https://twitter.com/sergio_fajardo/status/1441406528670486538","1441406528670486538")</f>
        <v>1441406528670486538</v>
      </c>
      <c r="F3041" s="7" t="s">
        <v>2329</v>
      </c>
      <c r="G3041" s="7">
        <v>1595567</v>
      </c>
      <c r="H3041" s="7">
        <v>555</v>
      </c>
      <c r="I3041" s="7">
        <v>4</v>
      </c>
      <c r="J3041" s="7">
        <v>16</v>
      </c>
      <c r="K3041" s="7" t="s">
        <v>18</v>
      </c>
      <c r="L3041" s="8">
        <v>39891.213356481479</v>
      </c>
      <c r="M3041" s="9" t="s">
        <v>19</v>
      </c>
      <c r="N3041" s="9" t="s">
        <v>22</v>
      </c>
      <c r="O3041" s="6" t="str">
        <f>HYPERLINK("https://pbs.twimg.com/profile_images/1433591977631748099/wuGDIimB_normal.jpg","View")</f>
        <v>View</v>
      </c>
      <c r="P3041" s="7"/>
    </row>
    <row r="3042" spans="1:16">
      <c r="A3042" s="3">
        <v>44464.172361111108</v>
      </c>
      <c r="B3042" s="4" t="str">
        <f>HYPERLINK("https://twitter.com/sergio_fajardo","@sergio_fajardo")</f>
        <v>@sergio_fajardo</v>
      </c>
      <c r="C3042" s="5" t="s">
        <v>16</v>
      </c>
      <c r="D3042" s="5" t="s">
        <v>3063</v>
      </c>
      <c r="E3042" s="6" t="str">
        <f>HYPERLINK("https://twitter.com/sergio_fajardo/status/1441532446907015168","1441532446907015168")</f>
        <v>1441532446907015168</v>
      </c>
      <c r="F3042" s="7" t="s">
        <v>23</v>
      </c>
      <c r="G3042" s="7">
        <v>1595534</v>
      </c>
      <c r="H3042" s="7">
        <v>557</v>
      </c>
      <c r="I3042" s="7">
        <v>6</v>
      </c>
      <c r="J3042" s="7">
        <v>23</v>
      </c>
      <c r="K3042" s="7" t="s">
        <v>18</v>
      </c>
      <c r="L3042" s="8">
        <v>39891.213356481479</v>
      </c>
      <c r="M3042" s="9" t="s">
        <v>19</v>
      </c>
      <c r="N3042" s="9" t="s">
        <v>22</v>
      </c>
      <c r="O3042" s="6" t="str">
        <f>HYPERLINK("https://pbs.twimg.com/profile_images/1433591977631748099/wuGDIimB_normal.jpg","View")</f>
        <v>View</v>
      </c>
      <c r="P3042" s="7"/>
    </row>
    <row r="3043" spans="1:16">
      <c r="A3043" s="3">
        <v>44464.197256944448</v>
      </c>
      <c r="B3043" s="4" t="str">
        <f>HYPERLINK("https://twitter.com/sergio_fajardo","@sergio_fajardo")</f>
        <v>@sergio_fajardo</v>
      </c>
      <c r="C3043" s="5" t="s">
        <v>16</v>
      </c>
      <c r="D3043" s="5" t="s">
        <v>3064</v>
      </c>
      <c r="E3043" s="6" t="str">
        <f>HYPERLINK("https://twitter.com/sergio_fajardo/status/1441541470108852224","1441541470108852224")</f>
        <v>1441541470108852224</v>
      </c>
      <c r="F3043" s="7" t="s">
        <v>23</v>
      </c>
      <c r="G3043" s="7">
        <v>1595536</v>
      </c>
      <c r="H3043" s="7">
        <v>558</v>
      </c>
      <c r="I3043" s="7">
        <v>5</v>
      </c>
      <c r="J3043" s="7">
        <v>15</v>
      </c>
      <c r="K3043" s="7" t="s">
        <v>18</v>
      </c>
      <c r="L3043" s="8">
        <v>39891.213356481479</v>
      </c>
      <c r="M3043" s="9" t="s">
        <v>19</v>
      </c>
      <c r="N3043" s="9" t="s">
        <v>22</v>
      </c>
      <c r="O3043" s="6" t="str">
        <f>HYPERLINK("https://pbs.twimg.com/profile_images/1433591977631748099/wuGDIimB_normal.jpg","View")</f>
        <v>View</v>
      </c>
      <c r="P3043" s="7"/>
    </row>
    <row r="3044" spans="1:16">
      <c r="A3044" s="3">
        <v>44464.206006944441</v>
      </c>
      <c r="B3044" s="4" t="str">
        <f>HYPERLINK("https://twitter.com/sergio_fajardo","@sergio_fajardo")</f>
        <v>@sergio_fajardo</v>
      </c>
      <c r="C3044" s="5" t="s">
        <v>16</v>
      </c>
      <c r="D3044" s="5" t="s">
        <v>3065</v>
      </c>
      <c r="E3044" s="6" t="str">
        <f>HYPERLINK("https://twitter.com/sergio_fajardo/status/1441544638318485505","1441544638318485505")</f>
        <v>1441544638318485505</v>
      </c>
      <c r="F3044" s="7" t="s">
        <v>23</v>
      </c>
      <c r="G3044" s="7">
        <v>1595537</v>
      </c>
      <c r="H3044" s="7">
        <v>558</v>
      </c>
      <c r="I3044" s="7">
        <v>4</v>
      </c>
      <c r="J3044" s="7">
        <v>17</v>
      </c>
      <c r="K3044" s="7" t="s">
        <v>18</v>
      </c>
      <c r="L3044" s="8">
        <v>39891.213356481479</v>
      </c>
      <c r="M3044" s="9" t="s">
        <v>19</v>
      </c>
      <c r="N3044" s="9" t="s">
        <v>22</v>
      </c>
      <c r="O3044" s="6" t="str">
        <f>HYPERLINK("https://pbs.twimg.com/profile_images/1433591977631748099/wuGDIimB_normal.jpg","View")</f>
        <v>View</v>
      </c>
      <c r="P3044" s="7"/>
    </row>
    <row r="3045" spans="1:16">
      <c r="A3045" s="3">
        <v>44464.214687500003</v>
      </c>
      <c r="B3045" s="4" t="str">
        <f>HYPERLINK("https://twitter.com/sergio_fajardo","@sergio_fajardo")</f>
        <v>@sergio_fajardo</v>
      </c>
      <c r="C3045" s="5" t="s">
        <v>16</v>
      </c>
      <c r="D3045" s="5" t="s">
        <v>3066</v>
      </c>
      <c r="E3045" s="6" t="str">
        <f>HYPERLINK("https://twitter.com/sergio_fajardo/status/1441547784331554824","1441547784331554824")</f>
        <v>1441547784331554824</v>
      </c>
      <c r="F3045" s="7" t="s">
        <v>23</v>
      </c>
      <c r="G3045" s="7">
        <v>1595537</v>
      </c>
      <c r="H3045" s="7">
        <v>558</v>
      </c>
      <c r="I3045" s="7">
        <v>3</v>
      </c>
      <c r="J3045" s="7">
        <v>15</v>
      </c>
      <c r="K3045" s="7" t="s">
        <v>18</v>
      </c>
      <c r="L3045" s="8">
        <v>39891.213356481479</v>
      </c>
      <c r="M3045" s="9" t="s">
        <v>19</v>
      </c>
      <c r="N3045" s="9" t="s">
        <v>22</v>
      </c>
      <c r="O3045" s="6" t="str">
        <f>HYPERLINK("https://pbs.twimg.com/profile_images/1433591977631748099/wuGDIimB_normal.jpg","View")</f>
        <v>View</v>
      </c>
      <c r="P3045" s="7"/>
    </row>
    <row r="3046" spans="1:16">
      <c r="A3046" s="3">
        <v>44464.227361111116</v>
      </c>
      <c r="B3046" s="4" t="str">
        <f>HYPERLINK("https://twitter.com/sergio_fajardo","@sergio_fajardo")</f>
        <v>@sergio_fajardo</v>
      </c>
      <c r="C3046" s="5" t="s">
        <v>16</v>
      </c>
      <c r="D3046" s="5" t="s">
        <v>3067</v>
      </c>
      <c r="E3046" s="6" t="str">
        <f>HYPERLINK("https://twitter.com/sergio_fajardo/status/1441552380332494848","1441552380332494848")</f>
        <v>1441552380332494848</v>
      </c>
      <c r="F3046" s="7" t="s">
        <v>17</v>
      </c>
      <c r="G3046" s="7">
        <v>1595531</v>
      </c>
      <c r="H3046" s="7">
        <v>559</v>
      </c>
      <c r="I3046" s="7">
        <v>0</v>
      </c>
      <c r="J3046" s="7">
        <v>21</v>
      </c>
      <c r="K3046" s="7" t="s">
        <v>18</v>
      </c>
      <c r="L3046" s="8">
        <v>39891.213356481479</v>
      </c>
      <c r="M3046" s="9" t="s">
        <v>19</v>
      </c>
      <c r="N3046" s="9" t="s">
        <v>22</v>
      </c>
      <c r="O3046" s="6" t="str">
        <f>HYPERLINK("https://pbs.twimg.com/profile_images/1433591977631748099/wuGDIimB_normal.jpg","View")</f>
        <v>View</v>
      </c>
      <c r="P3046" s="7"/>
    </row>
    <row r="3047" spans="1:16">
      <c r="A3047" s="3">
        <v>44464.229479166665</v>
      </c>
      <c r="B3047" s="4" t="str">
        <f>HYPERLINK("https://twitter.com/sergio_fajardo","@sergio_fajardo")</f>
        <v>@sergio_fajardo</v>
      </c>
      <c r="C3047" s="5" t="s">
        <v>16</v>
      </c>
      <c r="D3047" s="5" t="s">
        <v>3068</v>
      </c>
      <c r="E3047" s="6" t="str">
        <f>HYPERLINK("https://twitter.com/sergio_fajardo/status/1441553145281138689","1441553145281138689")</f>
        <v>1441553145281138689</v>
      </c>
      <c r="F3047" s="7" t="s">
        <v>17</v>
      </c>
      <c r="G3047" s="7">
        <v>1595531</v>
      </c>
      <c r="H3047" s="7">
        <v>559</v>
      </c>
      <c r="I3047" s="7">
        <v>5</v>
      </c>
      <c r="J3047" s="7">
        <v>37</v>
      </c>
      <c r="K3047" s="7" t="s">
        <v>18</v>
      </c>
      <c r="L3047" s="8">
        <v>39891.213356481479</v>
      </c>
      <c r="M3047" s="9" t="s">
        <v>19</v>
      </c>
      <c r="N3047" s="9" t="s">
        <v>22</v>
      </c>
      <c r="O3047" s="6" t="str">
        <f>HYPERLINK("https://pbs.twimg.com/profile_images/1433591977631748099/wuGDIimB_normal.jpg","View")</f>
        <v>View</v>
      </c>
      <c r="P3047" s="7"/>
    </row>
    <row r="3048" spans="1:16">
      <c r="A3048" s="3">
        <v>44464.24496527778</v>
      </c>
      <c r="B3048" s="4" t="str">
        <f>HYPERLINK("https://twitter.com/sergio_fajardo","@sergio_fajardo")</f>
        <v>@sergio_fajardo</v>
      </c>
      <c r="C3048" s="5" t="s">
        <v>16</v>
      </c>
      <c r="D3048" s="5" t="s">
        <v>3069</v>
      </c>
      <c r="E3048" s="6" t="str">
        <f>HYPERLINK("https://twitter.com/sergio_fajardo/status/1441558756978987009","1441558756978987009")</f>
        <v>1441558756978987009</v>
      </c>
      <c r="F3048" s="7" t="s">
        <v>17</v>
      </c>
      <c r="G3048" s="7">
        <v>1595530</v>
      </c>
      <c r="H3048" s="7">
        <v>559</v>
      </c>
      <c r="I3048" s="7">
        <v>7</v>
      </c>
      <c r="J3048" s="7">
        <v>35</v>
      </c>
      <c r="K3048" s="7" t="s">
        <v>18</v>
      </c>
      <c r="L3048" s="8">
        <v>39891.213356481479</v>
      </c>
      <c r="M3048" s="9" t="s">
        <v>19</v>
      </c>
      <c r="N3048" s="9" t="s">
        <v>22</v>
      </c>
      <c r="O3048" s="6" t="str">
        <f>HYPERLINK("https://pbs.twimg.com/profile_images/1433591977631748099/wuGDIimB_normal.jpg","View")</f>
        <v>View</v>
      </c>
      <c r="P3048" s="7"/>
    </row>
    <row r="3049" spans="1:16">
      <c r="A3049" s="3">
        <v>44464.251238425924</v>
      </c>
      <c r="B3049" s="4" t="str">
        <f>HYPERLINK("https://twitter.com/sergio_fajardo","@sergio_fajardo")</f>
        <v>@sergio_fajardo</v>
      </c>
      <c r="C3049" s="5" t="s">
        <v>16</v>
      </c>
      <c r="D3049" s="5" t="s">
        <v>3070</v>
      </c>
      <c r="E3049" s="6" t="str">
        <f>HYPERLINK("https://twitter.com/sergio_fajardo/status/1441561030140862466","1441561030140862466")</f>
        <v>1441561030140862466</v>
      </c>
      <c r="F3049" s="7" t="s">
        <v>17</v>
      </c>
      <c r="G3049" s="7">
        <v>1595530</v>
      </c>
      <c r="H3049" s="7">
        <v>559</v>
      </c>
      <c r="I3049" s="7">
        <v>0</v>
      </c>
      <c r="J3049" s="7">
        <v>5</v>
      </c>
      <c r="K3049" s="7" t="s">
        <v>18</v>
      </c>
      <c r="L3049" s="8">
        <v>39891.213356481479</v>
      </c>
      <c r="M3049" s="9" t="s">
        <v>19</v>
      </c>
      <c r="N3049" s="9" t="s">
        <v>22</v>
      </c>
      <c r="O3049" s="6" t="str">
        <f>HYPERLINK("https://pbs.twimg.com/profile_images/1433591977631748099/wuGDIimB_normal.jpg","View")</f>
        <v>View</v>
      </c>
      <c r="P3049" s="7"/>
    </row>
    <row r="3050" spans="1:16">
      <c r="A3050" s="3">
        <v>44464.66300925926</v>
      </c>
      <c r="B3050" s="4" t="str">
        <f>HYPERLINK("https://twitter.com/sergio_fajardo","@sergio_fajardo")</f>
        <v>@sergio_fajardo</v>
      </c>
      <c r="C3050" s="5" t="s">
        <v>16</v>
      </c>
      <c r="D3050" s="5" t="s">
        <v>3071</v>
      </c>
      <c r="E3050" s="6" t="str">
        <f>HYPERLINK("https://twitter.com/sergio_fajardo/status/1441710251250700293","1441710251250700293")</f>
        <v>1441710251250700293</v>
      </c>
      <c r="F3050" s="7" t="s">
        <v>17</v>
      </c>
      <c r="G3050" s="7">
        <v>1595622</v>
      </c>
      <c r="H3050" s="7">
        <v>559</v>
      </c>
      <c r="I3050" s="7">
        <v>7</v>
      </c>
      <c r="J3050" s="7">
        <v>61</v>
      </c>
      <c r="K3050" s="7" t="s">
        <v>18</v>
      </c>
      <c r="L3050" s="8">
        <v>39891.213356481479</v>
      </c>
      <c r="M3050" s="9" t="s">
        <v>19</v>
      </c>
      <c r="N3050" s="9" t="s">
        <v>22</v>
      </c>
      <c r="O3050" s="6" t="str">
        <f>HYPERLINK("https://pbs.twimg.com/profile_images/1433591977631748099/wuGDIimB_normal.jpg","View")</f>
        <v>View</v>
      </c>
      <c r="P3050" s="7"/>
    </row>
    <row r="3051" spans="1:16">
      <c r="A3051" s="3">
        <v>44464.665046296301</v>
      </c>
      <c r="B3051" s="4" t="str">
        <f>HYPERLINK("https://twitter.com/sergio_fajardo","@sergio_fajardo")</f>
        <v>@sergio_fajardo</v>
      </c>
      <c r="C3051" s="5" t="s">
        <v>16</v>
      </c>
      <c r="D3051" s="5" t="s">
        <v>3072</v>
      </c>
      <c r="E3051" s="6" t="str">
        <f>HYPERLINK("https://twitter.com/sergio_fajardo/status/1441710989762777091","1441710989762777091")</f>
        <v>1441710989762777091</v>
      </c>
      <c r="F3051" s="7" t="s">
        <v>17</v>
      </c>
      <c r="G3051" s="7">
        <v>1595622</v>
      </c>
      <c r="H3051" s="7">
        <v>559</v>
      </c>
      <c r="I3051" s="7">
        <v>1</v>
      </c>
      <c r="J3051" s="7">
        <v>10</v>
      </c>
      <c r="K3051" s="7" t="s">
        <v>18</v>
      </c>
      <c r="L3051" s="8">
        <v>39891.213356481479</v>
      </c>
      <c r="M3051" s="9" t="s">
        <v>19</v>
      </c>
      <c r="N3051" s="9" t="s">
        <v>22</v>
      </c>
      <c r="O3051" s="6" t="str">
        <f>HYPERLINK("https://pbs.twimg.com/profile_images/1433591977631748099/wuGDIimB_normal.jpg","View")</f>
        <v>View</v>
      </c>
      <c r="P3051" s="7"/>
    </row>
    <row r="3052" spans="1:16">
      <c r="A3052" s="3">
        <v>44464.988541666666</v>
      </c>
      <c r="B3052" s="4" t="str">
        <f>HYPERLINK("https://twitter.com/sergio_fajardo","@sergio_fajardo")</f>
        <v>@sergio_fajardo</v>
      </c>
      <c r="C3052" s="5" t="s">
        <v>16</v>
      </c>
      <c r="D3052" s="5" t="s">
        <v>3073</v>
      </c>
      <c r="E3052" s="6" t="str">
        <f>HYPERLINK("https://twitter.com/sergio_fajardo/status/1441828219494223873","1441828219494223873")</f>
        <v>1441828219494223873</v>
      </c>
      <c r="F3052" s="7" t="s">
        <v>17</v>
      </c>
      <c r="G3052" s="7">
        <v>1595552</v>
      </c>
      <c r="H3052" s="7">
        <v>559</v>
      </c>
      <c r="I3052" s="7">
        <v>4</v>
      </c>
      <c r="J3052" s="7">
        <v>33</v>
      </c>
      <c r="K3052" s="7" t="s">
        <v>18</v>
      </c>
      <c r="L3052" s="8">
        <v>39891.213356481479</v>
      </c>
      <c r="M3052" s="9" t="s">
        <v>19</v>
      </c>
      <c r="N3052" s="9" t="s">
        <v>22</v>
      </c>
      <c r="O3052" s="6" t="str">
        <f>HYPERLINK("https://pbs.twimg.com/profile_images/1433591977631748099/wuGDIimB_normal.jpg","View")</f>
        <v>View</v>
      </c>
      <c r="P3052" s="7"/>
    </row>
    <row r="3053" spans="1:16">
      <c r="A3053" s="3">
        <v>44465.225347222222</v>
      </c>
      <c r="B3053" s="4" t="str">
        <f>HYPERLINK("https://twitter.com/sergio_fajardo","@sergio_fajardo")</f>
        <v>@sergio_fajardo</v>
      </c>
      <c r="C3053" s="5" t="s">
        <v>16</v>
      </c>
      <c r="D3053" s="5" t="s">
        <v>3074</v>
      </c>
      <c r="E3053" s="6" t="str">
        <f>HYPERLINK("https://twitter.com/sergio_fajardo/status/1441914037957185537","1441914037957185537")</f>
        <v>1441914037957185537</v>
      </c>
      <c r="F3053" s="7" t="s">
        <v>17</v>
      </c>
      <c r="G3053" s="7">
        <v>1595557</v>
      </c>
      <c r="H3053" s="7">
        <v>559</v>
      </c>
      <c r="I3053" s="7">
        <v>4</v>
      </c>
      <c r="J3053" s="7">
        <v>0</v>
      </c>
      <c r="K3053" s="7" t="s">
        <v>18</v>
      </c>
      <c r="L3053" s="8">
        <v>39891.213356481479</v>
      </c>
      <c r="M3053" s="9" t="s">
        <v>19</v>
      </c>
      <c r="N3053" s="9" t="s">
        <v>22</v>
      </c>
      <c r="O3053" s="6" t="str">
        <f>HYPERLINK("https://pbs.twimg.com/profile_images/1433591977631748099/wuGDIimB_normal.jpg","View")</f>
        <v>View</v>
      </c>
      <c r="P3053" s="7"/>
    </row>
    <row r="3054" spans="1:16">
      <c r="A3054" s="3">
        <v>44466.143518518518</v>
      </c>
      <c r="B3054" s="4" t="str">
        <f>HYPERLINK("https://twitter.com/sergio_fajardo","@sergio_fajardo")</f>
        <v>@sergio_fajardo</v>
      </c>
      <c r="C3054" s="5" t="s">
        <v>16</v>
      </c>
      <c r="D3054" s="5" t="s">
        <v>3075</v>
      </c>
      <c r="E3054" s="6" t="str">
        <f>HYPERLINK("https://twitter.com/sergio_fajardo/status/1442246772647206914","1442246772647206914")</f>
        <v>1442246772647206914</v>
      </c>
      <c r="F3054" s="7" t="s">
        <v>17</v>
      </c>
      <c r="G3054" s="7">
        <v>1595581</v>
      </c>
      <c r="H3054" s="7">
        <v>559</v>
      </c>
      <c r="I3054" s="7">
        <v>34</v>
      </c>
      <c r="J3054" s="7">
        <v>35</v>
      </c>
      <c r="K3054" s="7" t="s">
        <v>18</v>
      </c>
      <c r="L3054" s="8">
        <v>39891.213356481479</v>
      </c>
      <c r="M3054" s="9" t="s">
        <v>19</v>
      </c>
      <c r="N3054" s="9" t="s">
        <v>22</v>
      </c>
      <c r="O3054" s="6" t="str">
        <f>HYPERLINK("https://pbs.twimg.com/profile_images/1433591977631748099/wuGDIimB_normal.jpg","View")</f>
        <v>View</v>
      </c>
      <c r="P3054" s="7"/>
    </row>
    <row r="3055" spans="1:16">
      <c r="A3055" s="3">
        <v>44466.190104166672</v>
      </c>
      <c r="B3055" s="4" t="str">
        <f>HYPERLINK("https://twitter.com/sergio_fajardo","@sergio_fajardo")</f>
        <v>@sergio_fajardo</v>
      </c>
      <c r="C3055" s="5" t="s">
        <v>16</v>
      </c>
      <c r="D3055" s="5" t="s">
        <v>3076</v>
      </c>
      <c r="E3055" s="6" t="str">
        <f>HYPERLINK("https://twitter.com/sergio_fajardo/status/1442263652179054593","1442263652179054593")</f>
        <v>1442263652179054593</v>
      </c>
      <c r="F3055" s="7" t="s">
        <v>17</v>
      </c>
      <c r="G3055" s="7">
        <v>1595660</v>
      </c>
      <c r="H3055" s="7">
        <v>559</v>
      </c>
      <c r="I3055" s="7">
        <v>19</v>
      </c>
      <c r="J3055" s="7">
        <v>0</v>
      </c>
      <c r="K3055" s="7" t="s">
        <v>18</v>
      </c>
      <c r="L3055" s="8">
        <v>39891.213356481479</v>
      </c>
      <c r="M3055" s="9" t="s">
        <v>19</v>
      </c>
      <c r="N3055" s="9" t="s">
        <v>22</v>
      </c>
      <c r="O3055" s="6" t="str">
        <f>HYPERLINK("https://pbs.twimg.com/profile_images/1433591977631748099/wuGDIimB_normal.jpg","View")</f>
        <v>View</v>
      </c>
      <c r="P3055" s="7"/>
    </row>
    <row r="3056" spans="1:16">
      <c r="A3056" s="3">
        <v>44466.235706018517</v>
      </c>
      <c r="B3056" s="4" t="str">
        <f>HYPERLINK("https://twitter.com/sergio_fajardo","@sergio_fajardo")</f>
        <v>@sergio_fajardo</v>
      </c>
      <c r="C3056" s="5" t="s">
        <v>16</v>
      </c>
      <c r="D3056" s="5" t="s">
        <v>3077</v>
      </c>
      <c r="E3056" s="6" t="str">
        <f>HYPERLINK("https://twitter.com/sergio_fajardo/status/1442280177979977729","1442280177979977729")</f>
        <v>1442280177979977729</v>
      </c>
      <c r="F3056" s="7" t="s">
        <v>17</v>
      </c>
      <c r="G3056" s="7">
        <v>1595587</v>
      </c>
      <c r="H3056" s="7">
        <v>559</v>
      </c>
      <c r="I3056" s="7">
        <v>15</v>
      </c>
      <c r="J3056" s="7">
        <v>21</v>
      </c>
      <c r="K3056" s="7" t="s">
        <v>18</v>
      </c>
      <c r="L3056" s="8">
        <v>39891.213356481479</v>
      </c>
      <c r="M3056" s="9" t="s">
        <v>19</v>
      </c>
      <c r="N3056" s="9" t="s">
        <v>22</v>
      </c>
      <c r="O3056" s="6" t="str">
        <f>HYPERLINK("https://pbs.twimg.com/profile_images/1433591977631748099/wuGDIimB_normal.jpg","View")</f>
        <v>View</v>
      </c>
      <c r="P3056" s="7"/>
    </row>
    <row r="3057" spans="1:16">
      <c r="A3057" s="3">
        <v>44466.268888888888</v>
      </c>
      <c r="B3057" s="4" t="str">
        <f>HYPERLINK("https://twitter.com/sergio_fajardo","@sergio_fajardo")</f>
        <v>@sergio_fajardo</v>
      </c>
      <c r="C3057" s="5" t="s">
        <v>16</v>
      </c>
      <c r="D3057" s="5" t="s">
        <v>3078</v>
      </c>
      <c r="E3057" s="6" t="str">
        <f>HYPERLINK("https://twitter.com/sergio_fajardo/status/1442292203573821445","1442292203573821445")</f>
        <v>1442292203573821445</v>
      </c>
      <c r="F3057" s="7" t="s">
        <v>17</v>
      </c>
      <c r="G3057" s="7">
        <v>1595585</v>
      </c>
      <c r="H3057" s="7">
        <v>559</v>
      </c>
      <c r="I3057" s="7">
        <v>15</v>
      </c>
      <c r="J3057" s="7">
        <v>68</v>
      </c>
      <c r="K3057" s="7" t="s">
        <v>18</v>
      </c>
      <c r="L3057" s="8">
        <v>39891.213356481479</v>
      </c>
      <c r="M3057" s="9" t="s">
        <v>19</v>
      </c>
      <c r="N3057" s="9" t="s">
        <v>22</v>
      </c>
      <c r="O3057" s="6" t="str">
        <f>HYPERLINK("https://pbs.twimg.com/profile_images/1433591977631748099/wuGDIimB_normal.jpg","View")</f>
        <v>View</v>
      </c>
      <c r="P3057" s="7"/>
    </row>
    <row r="3058" spans="1:16">
      <c r="A3058" s="3">
        <v>44466.29724537037</v>
      </c>
      <c r="B3058" s="4" t="str">
        <f>HYPERLINK("https://twitter.com/sergio_fajardo","@sergio_fajardo")</f>
        <v>@sergio_fajardo</v>
      </c>
      <c r="C3058" s="5" t="s">
        <v>16</v>
      </c>
      <c r="D3058" s="5" t="s">
        <v>3079</v>
      </c>
      <c r="E3058" s="6" t="str">
        <f>HYPERLINK("https://twitter.com/sergio_fajardo/status/1442302479140536322","1442302479140536322")</f>
        <v>1442302479140536322</v>
      </c>
      <c r="F3058" s="7" t="s">
        <v>17</v>
      </c>
      <c r="G3058" s="7">
        <v>1595586</v>
      </c>
      <c r="H3058" s="7">
        <v>559</v>
      </c>
      <c r="I3058" s="7">
        <v>39</v>
      </c>
      <c r="J3058" s="7">
        <v>0</v>
      </c>
      <c r="K3058" s="7" t="s">
        <v>18</v>
      </c>
      <c r="L3058" s="8">
        <v>39891.213356481479</v>
      </c>
      <c r="M3058" s="9" t="s">
        <v>19</v>
      </c>
      <c r="N3058" s="9" t="s">
        <v>22</v>
      </c>
      <c r="O3058" s="6" t="str">
        <f>HYPERLINK("https://pbs.twimg.com/profile_images/1433591977631748099/wuGDIimB_normal.jpg","View")</f>
        <v>View</v>
      </c>
      <c r="P3058" s="7"/>
    </row>
    <row r="3059" spans="1:16">
      <c r="A3059" s="3">
        <v>44466.698055555556</v>
      </c>
      <c r="B3059" s="4" t="str">
        <f>HYPERLINK("https://twitter.com/sergio_fajardo","@sergio_fajardo")</f>
        <v>@sergio_fajardo</v>
      </c>
      <c r="C3059" s="5" t="s">
        <v>16</v>
      </c>
      <c r="D3059" s="5" t="s">
        <v>3080</v>
      </c>
      <c r="E3059" s="6" t="str">
        <f>HYPERLINK("https://twitter.com/sergio_fajardo/status/1442447727682457600","1442447727682457600")</f>
        <v>1442447727682457600</v>
      </c>
      <c r="F3059" s="7" t="s">
        <v>17</v>
      </c>
      <c r="G3059" s="7">
        <v>1595575</v>
      </c>
      <c r="H3059" s="7">
        <v>559</v>
      </c>
      <c r="I3059" s="7">
        <v>5</v>
      </c>
      <c r="J3059" s="7">
        <v>17</v>
      </c>
      <c r="K3059" s="7" t="s">
        <v>18</v>
      </c>
      <c r="L3059" s="8">
        <v>39891.213356481479</v>
      </c>
      <c r="M3059" s="9" t="s">
        <v>19</v>
      </c>
      <c r="N3059" s="9" t="s">
        <v>22</v>
      </c>
      <c r="O3059" s="6" t="str">
        <f>HYPERLINK("https://pbs.twimg.com/profile_images/1433591977631748099/wuGDIimB_normal.jpg","View")</f>
        <v>View</v>
      </c>
      <c r="P3059" s="7"/>
    </row>
    <row r="3060" spans="1:16">
      <c r="A3060" s="3">
        <v>44467.328379629631</v>
      </c>
      <c r="B3060" s="4" t="str">
        <f>HYPERLINK("https://twitter.com/sergio_fajardo","@sergio_fajardo")</f>
        <v>@sergio_fajardo</v>
      </c>
      <c r="C3060" s="5" t="s">
        <v>16</v>
      </c>
      <c r="D3060" s="5" t="s">
        <v>3081</v>
      </c>
      <c r="E3060" s="6" t="str">
        <f>HYPERLINK("https://twitter.com/sergio_fajardo/status/1442676152074649602","1442676152074649602")</f>
        <v>1442676152074649602</v>
      </c>
      <c r="F3060" s="7" t="s">
        <v>17</v>
      </c>
      <c r="G3060" s="7">
        <v>1595700</v>
      </c>
      <c r="H3060" s="7">
        <v>559</v>
      </c>
      <c r="I3060" s="7">
        <v>21</v>
      </c>
      <c r="J3060" s="7">
        <v>196</v>
      </c>
      <c r="K3060" s="7" t="s">
        <v>18</v>
      </c>
      <c r="L3060" s="8">
        <v>39891.213356481479</v>
      </c>
      <c r="M3060" s="9" t="s">
        <v>19</v>
      </c>
      <c r="N3060" s="9" t="s">
        <v>22</v>
      </c>
      <c r="O3060" s="6" t="str">
        <f>HYPERLINK("https://pbs.twimg.com/profile_images/1433591977631748099/wuGDIimB_normal.jpg","View")</f>
        <v>View</v>
      </c>
      <c r="P3060" s="7"/>
    </row>
    <row r="3061" spans="1:16">
      <c r="A3061" s="3">
        <v>44467.889872685184</v>
      </c>
      <c r="B3061" s="4" t="str">
        <f>HYPERLINK("https://twitter.com/sergio_fajardo","@sergio_fajardo")</f>
        <v>@sergio_fajardo</v>
      </c>
      <c r="C3061" s="5" t="s">
        <v>16</v>
      </c>
      <c r="D3061" s="5" t="s">
        <v>3082</v>
      </c>
      <c r="E3061" s="6" t="str">
        <f>HYPERLINK("https://twitter.com/sergio_fajardo/status/1442879629283442692","1442879629283442692")</f>
        <v>1442879629283442692</v>
      </c>
      <c r="F3061" s="7" t="s">
        <v>17</v>
      </c>
      <c r="G3061" s="7">
        <v>1595742</v>
      </c>
      <c r="H3061" s="7">
        <v>559</v>
      </c>
      <c r="I3061" s="7">
        <v>14</v>
      </c>
      <c r="J3061" s="7">
        <v>39</v>
      </c>
      <c r="K3061" s="7" t="s">
        <v>18</v>
      </c>
      <c r="L3061" s="8">
        <v>39891.213356481479</v>
      </c>
      <c r="M3061" s="9" t="s">
        <v>19</v>
      </c>
      <c r="N3061" s="9" t="s">
        <v>22</v>
      </c>
      <c r="O3061" s="6" t="str">
        <f>HYPERLINK("https://pbs.twimg.com/profile_images/1433591977631748099/wuGDIimB_normal.jpg","View")</f>
        <v>View</v>
      </c>
      <c r="P3061" s="7"/>
    </row>
    <row r="3062" spans="1:16">
      <c r="A3062" s="3">
        <v>44468.234629629631</v>
      </c>
      <c r="B3062" s="4" t="str">
        <f>HYPERLINK("https://twitter.com/sergio_fajardo","@sergio_fajardo")</f>
        <v>@sergio_fajardo</v>
      </c>
      <c r="C3062" s="5" t="s">
        <v>16</v>
      </c>
      <c r="D3062" s="5" t="s">
        <v>3083</v>
      </c>
      <c r="E3062" s="6" t="str">
        <f>HYPERLINK("https://twitter.com/sergio_fajardo/status/1443004563154513921","1443004563154513921")</f>
        <v>1443004563154513921</v>
      </c>
      <c r="F3062" s="7" t="s">
        <v>17</v>
      </c>
      <c r="G3062" s="7">
        <v>1595770</v>
      </c>
      <c r="H3062" s="7">
        <v>559</v>
      </c>
      <c r="I3062" s="7">
        <v>5</v>
      </c>
      <c r="J3062" s="7">
        <v>19</v>
      </c>
      <c r="K3062" s="7" t="s">
        <v>18</v>
      </c>
      <c r="L3062" s="8">
        <v>39891.213356481479</v>
      </c>
      <c r="M3062" s="9" t="s">
        <v>19</v>
      </c>
      <c r="N3062" s="9" t="s">
        <v>22</v>
      </c>
      <c r="O3062" s="6" t="str">
        <f>HYPERLINK("https://pbs.twimg.com/profile_images/1433591977631748099/wuGDIimB_normal.jpg","View")</f>
        <v>View</v>
      </c>
      <c r="P3062" s="7"/>
    </row>
    <row r="3063" spans="1:16">
      <c r="A3063" s="3">
        <v>44468.732523148152</v>
      </c>
      <c r="B3063" s="4" t="str">
        <f>HYPERLINK("https://twitter.com/sergio_fajardo","@sergio_fajardo")</f>
        <v>@sergio_fajardo</v>
      </c>
      <c r="C3063" s="5" t="s">
        <v>16</v>
      </c>
      <c r="D3063" s="5" t="s">
        <v>3084</v>
      </c>
      <c r="E3063" s="6" t="str">
        <f>HYPERLINK("https://twitter.com/sergio_fajardo/status/1443184996580220934","1443184996580220934")</f>
        <v>1443184996580220934</v>
      </c>
      <c r="F3063" s="7" t="s">
        <v>2329</v>
      </c>
      <c r="G3063" s="7">
        <v>1595808</v>
      </c>
      <c r="H3063" s="7">
        <v>561</v>
      </c>
      <c r="I3063" s="7">
        <v>7</v>
      </c>
      <c r="J3063" s="7">
        <v>64</v>
      </c>
      <c r="K3063" s="7" t="s">
        <v>18</v>
      </c>
      <c r="L3063" s="8">
        <v>39891.213356481479</v>
      </c>
      <c r="M3063" s="9" t="s">
        <v>19</v>
      </c>
      <c r="N3063" s="9" t="s">
        <v>22</v>
      </c>
      <c r="O3063" s="6" t="str">
        <f>HYPERLINK("https://pbs.twimg.com/profile_images/1433591977631748099/wuGDIimB_normal.jpg","View")</f>
        <v>View</v>
      </c>
      <c r="P3063" s="7"/>
    </row>
    <row r="3064" spans="1:16">
      <c r="A3064" s="3">
        <v>44468.751157407409</v>
      </c>
      <c r="B3064" s="4" t="str">
        <f>HYPERLINK("https://twitter.com/sergio_fajardo","@sergio_fajardo")</f>
        <v>@sergio_fajardo</v>
      </c>
      <c r="C3064" s="5" t="s">
        <v>16</v>
      </c>
      <c r="D3064" s="5" t="s">
        <v>3085</v>
      </c>
      <c r="E3064" s="6" t="str">
        <f>HYPERLINK("https://twitter.com/sergio_fajardo/status/1443191748218527746","1443191748218527746")</f>
        <v>1443191748218527746</v>
      </c>
      <c r="F3064" s="7" t="s">
        <v>2329</v>
      </c>
      <c r="G3064" s="7">
        <v>1595808</v>
      </c>
      <c r="H3064" s="7">
        <v>561</v>
      </c>
      <c r="I3064" s="7">
        <v>0</v>
      </c>
      <c r="J3064" s="7">
        <v>4</v>
      </c>
      <c r="K3064" s="7" t="s">
        <v>18</v>
      </c>
      <c r="L3064" s="8">
        <v>39891.213356481479</v>
      </c>
      <c r="M3064" s="9" t="s">
        <v>19</v>
      </c>
      <c r="N3064" s="9" t="s">
        <v>22</v>
      </c>
      <c r="O3064" s="6" t="str">
        <f>HYPERLINK("https://pbs.twimg.com/profile_images/1433591977631748099/wuGDIimB_normal.jpg","View")</f>
        <v>View</v>
      </c>
      <c r="P3064" s="7"/>
    </row>
    <row r="3065" spans="1:16">
      <c r="A3065" s="3">
        <v>44468.777719907404</v>
      </c>
      <c r="B3065" s="4" t="str">
        <f>HYPERLINK("https://twitter.com/sergio_fajardo","@sergio_fajardo")</f>
        <v>@sergio_fajardo</v>
      </c>
      <c r="C3065" s="5" t="s">
        <v>16</v>
      </c>
      <c r="D3065" s="5" t="s">
        <v>3086</v>
      </c>
      <c r="E3065" s="6" t="str">
        <f>HYPERLINK("https://twitter.com/sergio_fajardo/status/1443201371478560772","1443201371478560772")</f>
        <v>1443201371478560772</v>
      </c>
      <c r="F3065" s="7" t="s">
        <v>2329</v>
      </c>
      <c r="G3065" s="7">
        <v>1595805</v>
      </c>
      <c r="H3065" s="7">
        <v>561</v>
      </c>
      <c r="I3065" s="7">
        <v>6</v>
      </c>
      <c r="J3065" s="7">
        <v>25</v>
      </c>
      <c r="K3065" s="7" t="s">
        <v>18</v>
      </c>
      <c r="L3065" s="8">
        <v>39891.213356481479</v>
      </c>
      <c r="M3065" s="9" t="s">
        <v>19</v>
      </c>
      <c r="N3065" s="9" t="s">
        <v>22</v>
      </c>
      <c r="O3065" s="6" t="str">
        <f>HYPERLINK("https://pbs.twimg.com/profile_images/1433591977631748099/wuGDIimB_normal.jpg","View")</f>
        <v>View</v>
      </c>
      <c r="P3065" s="7"/>
    </row>
    <row r="3066" spans="1:16">
      <c r="A3066" s="3">
        <v>44468.828750000001</v>
      </c>
      <c r="B3066" s="4" t="str">
        <f>HYPERLINK("https://twitter.com/sergio_fajardo","@sergio_fajardo")</f>
        <v>@sergio_fajardo</v>
      </c>
      <c r="C3066" s="5" t="s">
        <v>16</v>
      </c>
      <c r="D3066" s="5" t="s">
        <v>3087</v>
      </c>
      <c r="E3066" s="6" t="str">
        <f>HYPERLINK("https://twitter.com/sergio_fajardo/status/1443219868032061442","1443219868032061442")</f>
        <v>1443219868032061442</v>
      </c>
      <c r="F3066" s="7" t="s">
        <v>2329</v>
      </c>
      <c r="G3066" s="7">
        <v>1595815</v>
      </c>
      <c r="H3066" s="7">
        <v>561</v>
      </c>
      <c r="I3066" s="7">
        <v>8</v>
      </c>
      <c r="J3066" s="7">
        <v>29</v>
      </c>
      <c r="K3066" s="7" t="s">
        <v>18</v>
      </c>
      <c r="L3066" s="8">
        <v>39891.213356481479</v>
      </c>
      <c r="M3066" s="9" t="s">
        <v>19</v>
      </c>
      <c r="N3066" s="9" t="s">
        <v>22</v>
      </c>
      <c r="O3066" s="6" t="str">
        <f>HYPERLINK("https://pbs.twimg.com/profile_images/1433591977631748099/wuGDIimB_normal.jpg","View")</f>
        <v>View</v>
      </c>
      <c r="P3066" s="7"/>
    </row>
    <row r="3067" spans="1:16">
      <c r="A3067" s="3">
        <v>44468.88517361111</v>
      </c>
      <c r="B3067" s="4" t="str">
        <f>HYPERLINK("https://twitter.com/sergio_fajardo","@sergio_fajardo")</f>
        <v>@sergio_fajardo</v>
      </c>
      <c r="C3067" s="5" t="s">
        <v>16</v>
      </c>
      <c r="D3067" s="5" t="s">
        <v>3088</v>
      </c>
      <c r="E3067" s="6" t="str">
        <f>HYPERLINK("https://twitter.com/sergio_fajardo/status/1443240313288540165","1443240313288540165")</f>
        <v>1443240313288540165</v>
      </c>
      <c r="F3067" s="7" t="s">
        <v>17</v>
      </c>
      <c r="G3067" s="7">
        <v>1595817</v>
      </c>
      <c r="H3067" s="7">
        <v>561</v>
      </c>
      <c r="I3067" s="7">
        <v>3</v>
      </c>
      <c r="J3067" s="7">
        <v>31</v>
      </c>
      <c r="K3067" s="7" t="s">
        <v>18</v>
      </c>
      <c r="L3067" s="8">
        <v>39891.213356481479</v>
      </c>
      <c r="M3067" s="9" t="s">
        <v>19</v>
      </c>
      <c r="N3067" s="9" t="s">
        <v>22</v>
      </c>
      <c r="O3067" s="6" t="str">
        <f>HYPERLINK("https://pbs.twimg.com/profile_images/1433591977631748099/wuGDIimB_normal.jpg","View")</f>
        <v>View</v>
      </c>
      <c r="P3067" s="7"/>
    </row>
    <row r="3068" spans="1:16">
      <c r="A3068" s="3">
        <v>44468.92355324074</v>
      </c>
      <c r="B3068" s="4" t="str">
        <f>HYPERLINK("https://twitter.com/sergio_fajardo","@sergio_fajardo")</f>
        <v>@sergio_fajardo</v>
      </c>
      <c r="C3068" s="5" t="s">
        <v>16</v>
      </c>
      <c r="D3068" s="5" t="s">
        <v>3089</v>
      </c>
      <c r="E3068" s="6" t="str">
        <f>HYPERLINK("https://twitter.com/sergio_fajardo/status/1443254222905094144","1443254222905094144")</f>
        <v>1443254222905094144</v>
      </c>
      <c r="F3068" s="7" t="s">
        <v>17</v>
      </c>
      <c r="G3068" s="7">
        <v>1595810</v>
      </c>
      <c r="H3068" s="7">
        <v>561</v>
      </c>
      <c r="I3068" s="7">
        <v>11</v>
      </c>
      <c r="J3068" s="7">
        <v>71</v>
      </c>
      <c r="K3068" s="7" t="s">
        <v>18</v>
      </c>
      <c r="L3068" s="8">
        <v>39891.213356481479</v>
      </c>
      <c r="M3068" s="9" t="s">
        <v>19</v>
      </c>
      <c r="N3068" s="9" t="s">
        <v>22</v>
      </c>
      <c r="O3068" s="6" t="str">
        <f>HYPERLINK("https://pbs.twimg.com/profile_images/1433591977631748099/wuGDIimB_normal.jpg","View")</f>
        <v>View</v>
      </c>
      <c r="P3068" s="7"/>
    </row>
    <row r="3069" spans="1:16">
      <c r="A3069" s="3">
        <v>44468.942858796298</v>
      </c>
      <c r="B3069" s="4" t="str">
        <f>HYPERLINK("https://twitter.com/sergio_fajardo","@sergio_fajardo")</f>
        <v>@sergio_fajardo</v>
      </c>
      <c r="C3069" s="5" t="s">
        <v>16</v>
      </c>
      <c r="D3069" s="5" t="s">
        <v>3090</v>
      </c>
      <c r="E3069" s="6" t="str">
        <f>HYPERLINK("https://twitter.com/sergio_fajardo/status/1443261218299518986","1443261218299518986")</f>
        <v>1443261218299518986</v>
      </c>
      <c r="F3069" s="7" t="s">
        <v>17</v>
      </c>
      <c r="G3069" s="7">
        <v>1595810</v>
      </c>
      <c r="H3069" s="7">
        <v>561</v>
      </c>
      <c r="I3069" s="7">
        <v>14</v>
      </c>
      <c r="J3069" s="7">
        <v>96</v>
      </c>
      <c r="K3069" s="7" t="s">
        <v>18</v>
      </c>
      <c r="L3069" s="8">
        <v>39891.213356481479</v>
      </c>
      <c r="M3069" s="9" t="s">
        <v>19</v>
      </c>
      <c r="N3069" s="9" t="s">
        <v>22</v>
      </c>
      <c r="O3069" s="6" t="str">
        <f>HYPERLINK("https://pbs.twimg.com/profile_images/1433591977631748099/wuGDIimB_normal.jpg","View")</f>
        <v>View</v>
      </c>
      <c r="P3069" s="7"/>
    </row>
    <row r="3070" spans="1:16">
      <c r="A3070" s="3">
        <v>44468.94731481481</v>
      </c>
      <c r="B3070" s="4" t="str">
        <f>HYPERLINK("https://twitter.com/sergio_fajardo","@sergio_fajardo")</f>
        <v>@sergio_fajardo</v>
      </c>
      <c r="C3070" s="5" t="s">
        <v>16</v>
      </c>
      <c r="D3070" s="5" t="s">
        <v>3091</v>
      </c>
      <c r="E3070" s="6" t="str">
        <f>HYPERLINK("https://twitter.com/sergio_fajardo/status/1443262833945419778","1443262833945419778")</f>
        <v>1443262833945419778</v>
      </c>
      <c r="F3070" s="7" t="s">
        <v>17</v>
      </c>
      <c r="G3070" s="7">
        <v>1595810</v>
      </c>
      <c r="H3070" s="7">
        <v>561</v>
      </c>
      <c r="I3070" s="7">
        <v>4</v>
      </c>
      <c r="J3070" s="7">
        <v>0</v>
      </c>
      <c r="K3070" s="7" t="s">
        <v>18</v>
      </c>
      <c r="L3070" s="8">
        <v>39891.213356481479</v>
      </c>
      <c r="M3070" s="9" t="s">
        <v>19</v>
      </c>
      <c r="N3070" s="9" t="s">
        <v>22</v>
      </c>
      <c r="O3070" s="6" t="str">
        <f>HYPERLINK("https://pbs.twimg.com/profile_images/1433591977631748099/wuGDIimB_normal.jpg","View")</f>
        <v>View</v>
      </c>
      <c r="P3070" s="7"/>
    </row>
    <row r="3071" spans="1:16">
      <c r="A3071" s="3">
        <v>44468.949606481481</v>
      </c>
      <c r="B3071" s="4" t="str">
        <f>HYPERLINK("https://twitter.com/sergio_fajardo","@sergio_fajardo")</f>
        <v>@sergio_fajardo</v>
      </c>
      <c r="C3071" s="5" t="s">
        <v>16</v>
      </c>
      <c r="D3071" s="5" t="s">
        <v>3092</v>
      </c>
      <c r="E3071" s="6" t="str">
        <f>HYPERLINK("https://twitter.com/sergio_fajardo/status/1443263661192122370","1443263661192122370")</f>
        <v>1443263661192122370</v>
      </c>
      <c r="F3071" s="7" t="s">
        <v>17</v>
      </c>
      <c r="G3071" s="7">
        <v>1595810</v>
      </c>
      <c r="H3071" s="7">
        <v>561</v>
      </c>
      <c r="I3071" s="7">
        <v>3</v>
      </c>
      <c r="J3071" s="7">
        <v>0</v>
      </c>
      <c r="K3071" s="7" t="s">
        <v>18</v>
      </c>
      <c r="L3071" s="8">
        <v>39891.213356481479</v>
      </c>
      <c r="M3071" s="9" t="s">
        <v>19</v>
      </c>
      <c r="N3071" s="9" t="s">
        <v>22</v>
      </c>
      <c r="O3071" s="6" t="str">
        <f>HYPERLINK("https://pbs.twimg.com/profile_images/1433591977631748099/wuGDIimB_normal.jpg","View")</f>
        <v>View</v>
      </c>
      <c r="P3071" s="7"/>
    </row>
    <row r="3072" spans="1:16">
      <c r="A3072" s="3">
        <v>44468.957280092596</v>
      </c>
      <c r="B3072" s="4" t="str">
        <f>HYPERLINK("https://twitter.com/sergio_fajardo","@sergio_fajardo")</f>
        <v>@sergio_fajardo</v>
      </c>
      <c r="C3072" s="5" t="s">
        <v>16</v>
      </c>
      <c r="D3072" s="5" t="s">
        <v>3093</v>
      </c>
      <c r="E3072" s="6" t="str">
        <f>HYPERLINK("https://twitter.com/sergio_fajardo/status/1443266442774908931","1443266442774908931")</f>
        <v>1443266442774908931</v>
      </c>
      <c r="F3072" s="7" t="s">
        <v>17</v>
      </c>
      <c r="G3072" s="7">
        <v>1595810</v>
      </c>
      <c r="H3072" s="7">
        <v>561</v>
      </c>
      <c r="I3072" s="7">
        <v>2</v>
      </c>
      <c r="J3072" s="7">
        <v>0</v>
      </c>
      <c r="K3072" s="7" t="s">
        <v>18</v>
      </c>
      <c r="L3072" s="8">
        <v>39891.213356481479</v>
      </c>
      <c r="M3072" s="9" t="s">
        <v>19</v>
      </c>
      <c r="N3072" s="9" t="s">
        <v>22</v>
      </c>
      <c r="O3072" s="6" t="str">
        <f>HYPERLINK("https://pbs.twimg.com/profile_images/1433591977631748099/wuGDIimB_normal.jpg","View")</f>
        <v>View</v>
      </c>
      <c r="P3072" s="7"/>
    </row>
    <row r="3073" spans="1:16">
      <c r="A3073" s="3">
        <v>44468.965231481481</v>
      </c>
      <c r="B3073" s="4" t="str">
        <f>HYPERLINK("https://twitter.com/sergio_fajardo","@sergio_fajardo")</f>
        <v>@sergio_fajardo</v>
      </c>
      <c r="C3073" s="5" t="s">
        <v>16</v>
      </c>
      <c r="D3073" s="5" t="s">
        <v>3094</v>
      </c>
      <c r="E3073" s="6" t="str">
        <f>HYPERLINK("https://twitter.com/sergio_fajardo/status/1443269327482982405","1443269327482982405")</f>
        <v>1443269327482982405</v>
      </c>
      <c r="F3073" s="7" t="s">
        <v>17</v>
      </c>
      <c r="G3073" s="7">
        <v>1595811</v>
      </c>
      <c r="H3073" s="7">
        <v>561</v>
      </c>
      <c r="I3073" s="7">
        <v>4</v>
      </c>
      <c r="J3073" s="7">
        <v>0</v>
      </c>
      <c r="K3073" s="7" t="s">
        <v>18</v>
      </c>
      <c r="L3073" s="8">
        <v>39891.213356481479</v>
      </c>
      <c r="M3073" s="9" t="s">
        <v>19</v>
      </c>
      <c r="N3073" s="9" t="s">
        <v>22</v>
      </c>
      <c r="O3073" s="6" t="str">
        <f>HYPERLINK("https://pbs.twimg.com/profile_images/1433591977631748099/wuGDIimB_normal.jpg","View")</f>
        <v>View</v>
      </c>
      <c r="P3073" s="7"/>
    </row>
    <row r="3074" spans="1:16">
      <c r="A3074" s="3">
        <v>44468.966898148152</v>
      </c>
      <c r="B3074" s="4" t="str">
        <f>HYPERLINK("https://twitter.com/sergio_fajardo","@sergio_fajardo")</f>
        <v>@sergio_fajardo</v>
      </c>
      <c r="C3074" s="5" t="s">
        <v>16</v>
      </c>
      <c r="D3074" s="5" t="s">
        <v>3095</v>
      </c>
      <c r="E3074" s="6" t="str">
        <f>HYPERLINK("https://twitter.com/sergio_fajardo/status/1443269927650185216","1443269927650185216")</f>
        <v>1443269927650185216</v>
      </c>
      <c r="F3074" s="7" t="s">
        <v>17</v>
      </c>
      <c r="G3074" s="7">
        <v>1595811</v>
      </c>
      <c r="H3074" s="7">
        <v>561</v>
      </c>
      <c r="I3074" s="7">
        <v>4</v>
      </c>
      <c r="J3074" s="7">
        <v>0</v>
      </c>
      <c r="K3074" s="7" t="s">
        <v>18</v>
      </c>
      <c r="L3074" s="8">
        <v>39891.213356481479</v>
      </c>
      <c r="M3074" s="9" t="s">
        <v>19</v>
      </c>
      <c r="N3074" s="9" t="s">
        <v>22</v>
      </c>
      <c r="O3074" s="6" t="str">
        <f>HYPERLINK("https://pbs.twimg.com/profile_images/1433591977631748099/wuGDIimB_normal.jpg","View")</f>
        <v>View</v>
      </c>
      <c r="P3074" s="7"/>
    </row>
    <row r="3075" spans="1:16">
      <c r="A3075" s="3">
        <v>44468.982534722221</v>
      </c>
      <c r="B3075" s="4" t="str">
        <f>HYPERLINK("https://twitter.com/sergio_fajardo","@sergio_fajardo")</f>
        <v>@sergio_fajardo</v>
      </c>
      <c r="C3075" s="5" t="s">
        <v>16</v>
      </c>
      <c r="D3075" s="5" t="s">
        <v>3096</v>
      </c>
      <c r="E3075" s="6" t="str">
        <f>HYPERLINK("https://twitter.com/sergio_fajardo/status/1443275597959020552","1443275597959020552")</f>
        <v>1443275597959020552</v>
      </c>
      <c r="F3075" s="7" t="s">
        <v>17</v>
      </c>
      <c r="G3075" s="7">
        <v>1595815</v>
      </c>
      <c r="H3075" s="7">
        <v>564</v>
      </c>
      <c r="I3075" s="7">
        <v>12</v>
      </c>
      <c r="J3075" s="7">
        <v>0</v>
      </c>
      <c r="K3075" s="7" t="s">
        <v>18</v>
      </c>
      <c r="L3075" s="8">
        <v>39891.213356481479</v>
      </c>
      <c r="M3075" s="9" t="s">
        <v>19</v>
      </c>
      <c r="N3075" s="9" t="s">
        <v>22</v>
      </c>
      <c r="O3075" s="6" t="str">
        <f>HYPERLINK("https://pbs.twimg.com/profile_images/1433591977631748099/wuGDIimB_normal.jpg","View")</f>
        <v>View</v>
      </c>
      <c r="P3075" s="7"/>
    </row>
    <row r="3076" spans="1:16">
      <c r="A3076" s="3">
        <v>44468.987337962964</v>
      </c>
      <c r="B3076" s="4" t="str">
        <f>HYPERLINK("https://twitter.com/sergio_fajardo","@sergio_fajardo")</f>
        <v>@sergio_fajardo</v>
      </c>
      <c r="C3076" s="5" t="s">
        <v>16</v>
      </c>
      <c r="D3076" s="5" t="s">
        <v>3097</v>
      </c>
      <c r="E3076" s="6" t="str">
        <f>HYPERLINK("https://twitter.com/sergio_fajardo/status/1443277337081098251","1443277337081098251")</f>
        <v>1443277337081098251</v>
      </c>
      <c r="F3076" s="7" t="s">
        <v>17</v>
      </c>
      <c r="G3076" s="7">
        <v>1595815</v>
      </c>
      <c r="H3076" s="7">
        <v>564</v>
      </c>
      <c r="I3076" s="7">
        <v>6</v>
      </c>
      <c r="J3076" s="7">
        <v>0</v>
      </c>
      <c r="K3076" s="7" t="s">
        <v>18</v>
      </c>
      <c r="L3076" s="8">
        <v>39891.213356481479</v>
      </c>
      <c r="M3076" s="9" t="s">
        <v>19</v>
      </c>
      <c r="N3076" s="9" t="s">
        <v>22</v>
      </c>
      <c r="O3076" s="6" t="str">
        <f>HYPERLINK("https://pbs.twimg.com/profile_images/1433591977631748099/wuGDIimB_normal.jpg","View")</f>
        <v>View</v>
      </c>
      <c r="P3076" s="7"/>
    </row>
    <row r="3077" spans="1:16">
      <c r="A3077" s="3">
        <v>44469.007372685184</v>
      </c>
      <c r="B3077" s="4" t="str">
        <f>HYPERLINK("https://twitter.com/sergio_fajardo","@sergio_fajardo")</f>
        <v>@sergio_fajardo</v>
      </c>
      <c r="C3077" s="5" t="s">
        <v>16</v>
      </c>
      <c r="D3077" s="5" t="s">
        <v>3098</v>
      </c>
      <c r="E3077" s="6" t="str">
        <f>HYPERLINK("https://twitter.com/sergio_fajardo/status/1443284595127037954","1443284595127037954")</f>
        <v>1443284595127037954</v>
      </c>
      <c r="F3077" s="7" t="s">
        <v>17</v>
      </c>
      <c r="G3077" s="7">
        <v>1595818</v>
      </c>
      <c r="H3077" s="7">
        <v>564</v>
      </c>
      <c r="I3077" s="7">
        <v>38</v>
      </c>
      <c r="J3077" s="7">
        <v>243</v>
      </c>
      <c r="K3077" s="7" t="s">
        <v>18</v>
      </c>
      <c r="L3077" s="8">
        <v>39891.213356481479</v>
      </c>
      <c r="M3077" s="9" t="s">
        <v>19</v>
      </c>
      <c r="N3077" s="9" t="s">
        <v>22</v>
      </c>
      <c r="O3077" s="6" t="str">
        <f>HYPERLINK("https://pbs.twimg.com/profile_images/1433591977631748099/wuGDIimB_normal.jpg","View")</f>
        <v>View</v>
      </c>
      <c r="P3077" s="7"/>
    </row>
    <row r="3078" spans="1:16">
      <c r="A3078" s="3">
        <v>44469.149155092593</v>
      </c>
      <c r="B3078" s="4" t="str">
        <f>HYPERLINK("https://twitter.com/sergio_fajardo","@sergio_fajardo")</f>
        <v>@sergio_fajardo</v>
      </c>
      <c r="C3078" s="5" t="s">
        <v>16</v>
      </c>
      <c r="D3078" s="5" t="s">
        <v>3099</v>
      </c>
      <c r="E3078" s="6" t="str">
        <f>HYPERLINK("https://twitter.com/sergio_fajardo/status/1443335976479248385","1443335976479248385")</f>
        <v>1443335976479248385</v>
      </c>
      <c r="F3078" s="7" t="s">
        <v>17</v>
      </c>
      <c r="G3078" s="7">
        <v>1595829</v>
      </c>
      <c r="H3078" s="7">
        <v>564</v>
      </c>
      <c r="I3078" s="7">
        <v>29</v>
      </c>
      <c r="J3078" s="7">
        <v>209</v>
      </c>
      <c r="K3078" s="7" t="s">
        <v>18</v>
      </c>
      <c r="L3078" s="8">
        <v>39891.213356481479</v>
      </c>
      <c r="M3078" s="9" t="s">
        <v>19</v>
      </c>
      <c r="N3078" s="9" t="s">
        <v>22</v>
      </c>
      <c r="O3078" s="6" t="str">
        <f>HYPERLINK("https://pbs.twimg.com/profile_images/1433591977631748099/wuGDIimB_normal.jpg","View")</f>
        <v>View</v>
      </c>
      <c r="P3078" s="7"/>
    </row>
    <row r="3079" spans="1:16">
      <c r="A3079" s="3">
        <v>44469.150671296295</v>
      </c>
      <c r="B3079" s="4" t="str">
        <f>HYPERLINK("https://twitter.com/sergio_fajardo","@sergio_fajardo")</f>
        <v>@sergio_fajardo</v>
      </c>
      <c r="C3079" s="5" t="s">
        <v>16</v>
      </c>
      <c r="D3079" s="5" t="s">
        <v>3100</v>
      </c>
      <c r="E3079" s="6" t="str">
        <f>HYPERLINK("https://twitter.com/sergio_fajardo/status/1443336524695756802","1443336524695756802")</f>
        <v>1443336524695756802</v>
      </c>
      <c r="F3079" s="7" t="s">
        <v>17</v>
      </c>
      <c r="G3079" s="7">
        <v>1595829</v>
      </c>
      <c r="H3079" s="7">
        <v>564</v>
      </c>
      <c r="I3079" s="7">
        <v>30</v>
      </c>
      <c r="J3079" s="7">
        <v>144</v>
      </c>
      <c r="K3079" s="7" t="s">
        <v>18</v>
      </c>
      <c r="L3079" s="8">
        <v>39891.213356481479</v>
      </c>
      <c r="M3079" s="9" t="s">
        <v>19</v>
      </c>
      <c r="N3079" s="9" t="s">
        <v>22</v>
      </c>
      <c r="O3079" s="6" t="str">
        <f>HYPERLINK("https://pbs.twimg.com/profile_images/1433591977631748099/wuGDIimB_normal.jpg","View")</f>
        <v>View</v>
      </c>
      <c r="P3079" s="7"/>
    </row>
    <row r="3080" spans="1:16">
      <c r="A3080" s="3">
        <v>44469.191006944442</v>
      </c>
      <c r="B3080" s="4" t="str">
        <f>HYPERLINK("https://twitter.com/sergio_fajardo","@sergio_fajardo")</f>
        <v>@sergio_fajardo</v>
      </c>
      <c r="C3080" s="5" t="s">
        <v>16</v>
      </c>
      <c r="D3080" s="5" t="s">
        <v>3101</v>
      </c>
      <c r="E3080" s="6" t="str">
        <f>HYPERLINK("https://twitter.com/sergio_fajardo/status/1443351143954980869","1443351143954980869")</f>
        <v>1443351143954980869</v>
      </c>
      <c r="F3080" s="7" t="s">
        <v>17</v>
      </c>
      <c r="G3080" s="7">
        <v>1595827</v>
      </c>
      <c r="H3080" s="7">
        <v>565</v>
      </c>
      <c r="I3080" s="7">
        <v>34</v>
      </c>
      <c r="J3080" s="7">
        <v>134</v>
      </c>
      <c r="K3080" s="7" t="s">
        <v>18</v>
      </c>
      <c r="L3080" s="8">
        <v>39891.213356481479</v>
      </c>
      <c r="M3080" s="9" t="s">
        <v>19</v>
      </c>
      <c r="N3080" s="9" t="s">
        <v>22</v>
      </c>
      <c r="O3080" s="6" t="str">
        <f>HYPERLINK("https://pbs.twimg.com/profile_images/1433591977631748099/wuGDIimB_normal.jpg","View")</f>
        <v>View</v>
      </c>
      <c r="P3080" s="7"/>
    </row>
    <row r="3081" spans="1:16">
      <c r="A3081" s="3">
        <v>44469.209756944445</v>
      </c>
      <c r="B3081" s="4" t="str">
        <f>HYPERLINK("https://twitter.com/sergio_fajardo","@sergio_fajardo")</f>
        <v>@sergio_fajardo</v>
      </c>
      <c r="C3081" s="5" t="s">
        <v>16</v>
      </c>
      <c r="D3081" s="5" t="s">
        <v>3102</v>
      </c>
      <c r="E3081" s="6" t="str">
        <f>HYPERLINK("https://twitter.com/sergio_fajardo/status/1443357937074855936","1443357937074855936")</f>
        <v>1443357937074855936</v>
      </c>
      <c r="F3081" s="7" t="s">
        <v>17</v>
      </c>
      <c r="G3081" s="7">
        <v>1595827</v>
      </c>
      <c r="H3081" s="7">
        <v>565</v>
      </c>
      <c r="I3081" s="7">
        <v>0</v>
      </c>
      <c r="J3081" s="7">
        <v>2</v>
      </c>
      <c r="K3081" s="7" t="s">
        <v>18</v>
      </c>
      <c r="L3081" s="8">
        <v>39891.213356481479</v>
      </c>
      <c r="M3081" s="9" t="s">
        <v>19</v>
      </c>
      <c r="N3081" s="9" t="s">
        <v>22</v>
      </c>
      <c r="O3081" s="6" t="str">
        <f>HYPERLINK("https://pbs.twimg.com/profile_images/1433591977631748099/wuGDIimB_normal.jpg","View")</f>
        <v>View</v>
      </c>
      <c r="P3081" s="7"/>
    </row>
    <row r="3082" spans="1:16">
      <c r="A3082" s="3">
        <v>44469.231435185182</v>
      </c>
      <c r="B3082" s="4" t="str">
        <f>HYPERLINK("https://twitter.com/sergio_fajardo","@sergio_fajardo")</f>
        <v>@sergio_fajardo</v>
      </c>
      <c r="C3082" s="5" t="s">
        <v>16</v>
      </c>
      <c r="D3082" s="5" t="s">
        <v>3103</v>
      </c>
      <c r="E3082" s="6" t="str">
        <f>HYPERLINK("https://twitter.com/sergio_fajardo/status/1443365792834273280","1443365792834273280")</f>
        <v>1443365792834273280</v>
      </c>
      <c r="F3082" s="7" t="s">
        <v>17</v>
      </c>
      <c r="G3082" s="7">
        <v>1595836</v>
      </c>
      <c r="H3082" s="7">
        <v>565</v>
      </c>
      <c r="I3082" s="7">
        <v>0</v>
      </c>
      <c r="J3082" s="7">
        <v>0</v>
      </c>
      <c r="K3082" s="7" t="s">
        <v>18</v>
      </c>
      <c r="L3082" s="8">
        <v>39891.213356481479</v>
      </c>
      <c r="M3082" s="9" t="s">
        <v>19</v>
      </c>
      <c r="N3082" s="9" t="s">
        <v>22</v>
      </c>
      <c r="O3082" s="6" t="str">
        <f>HYPERLINK("https://pbs.twimg.com/profile_images/1433591977631748099/wuGDIimB_normal.jpg","View")</f>
        <v>View</v>
      </c>
      <c r="P3082" s="7"/>
    </row>
    <row r="3083" spans="1:16">
      <c r="A3083" s="3">
        <v>44469.68712962963</v>
      </c>
      <c r="B3083" s="4" t="str">
        <f>HYPERLINK("https://twitter.com/sergio_fajardo","@sergio_fajardo")</f>
        <v>@sergio_fajardo</v>
      </c>
      <c r="C3083" s="5" t="s">
        <v>16</v>
      </c>
      <c r="D3083" s="5" t="s">
        <v>3104</v>
      </c>
      <c r="E3083" s="6" t="str">
        <f>HYPERLINK("https://twitter.com/sergio_fajardo/status/1443530930652602374","1443530930652602374")</f>
        <v>1443530930652602374</v>
      </c>
      <c r="F3083" s="7" t="s">
        <v>17</v>
      </c>
      <c r="G3083" s="7">
        <v>1595891</v>
      </c>
      <c r="H3083" s="7">
        <v>565</v>
      </c>
      <c r="I3083" s="7">
        <v>34</v>
      </c>
      <c r="J3083" s="7">
        <v>0</v>
      </c>
      <c r="K3083" s="7" t="s">
        <v>18</v>
      </c>
      <c r="L3083" s="8">
        <v>39891.213356481479</v>
      </c>
      <c r="M3083" s="9" t="s">
        <v>19</v>
      </c>
      <c r="N3083" s="9" t="s">
        <v>22</v>
      </c>
      <c r="O3083" s="6" t="str">
        <f>HYPERLINK("https://pbs.twimg.com/profile_images/1433591977631748099/wuGDIimB_normal.jpg","View")</f>
        <v>View</v>
      </c>
      <c r="P3083" s="7"/>
    </row>
    <row r="3084" spans="1:16">
      <c r="A3084" s="3">
        <v>44469.806099537032</v>
      </c>
      <c r="B3084" s="4" t="str">
        <f>HYPERLINK("https://twitter.com/sergio_fajardo","@sergio_fajardo")</f>
        <v>@sergio_fajardo</v>
      </c>
      <c r="C3084" s="5" t="s">
        <v>16</v>
      </c>
      <c r="D3084" s="5" t="s">
        <v>3105</v>
      </c>
      <c r="E3084" s="6" t="str">
        <f>HYPERLINK("https://twitter.com/sergio_fajardo/status/1443574044620562433","1443574044620562433")</f>
        <v>1443574044620562433</v>
      </c>
      <c r="F3084" s="7" t="s">
        <v>17</v>
      </c>
      <c r="G3084" s="7">
        <v>1595847</v>
      </c>
      <c r="H3084" s="7">
        <v>565</v>
      </c>
      <c r="I3084" s="7">
        <v>21</v>
      </c>
      <c r="J3084" s="7">
        <v>90</v>
      </c>
      <c r="K3084" s="7" t="s">
        <v>18</v>
      </c>
      <c r="L3084" s="8">
        <v>39891.213356481479</v>
      </c>
      <c r="M3084" s="9" t="s">
        <v>19</v>
      </c>
      <c r="N3084" s="9" t="s">
        <v>22</v>
      </c>
      <c r="O3084" s="6" t="str">
        <f>HYPERLINK("https://pbs.twimg.com/profile_images/1433591977631748099/wuGDIimB_normal.jpg","View")</f>
        <v>View</v>
      </c>
      <c r="P3084" s="7"/>
    </row>
    <row r="3085" spans="1:16">
      <c r="A3085" s="3">
        <v>44469.897118055553</v>
      </c>
      <c r="B3085" s="4" t="str">
        <f>HYPERLINK("https://twitter.com/sergio_fajardo","@sergio_fajardo")</f>
        <v>@sergio_fajardo</v>
      </c>
      <c r="C3085" s="5" t="s">
        <v>16</v>
      </c>
      <c r="D3085" s="5" t="s">
        <v>3106</v>
      </c>
      <c r="E3085" s="6" t="str">
        <f>HYPERLINK("https://twitter.com/sergio_fajardo/status/1443607031634710538","1443607031634710538")</f>
        <v>1443607031634710538</v>
      </c>
      <c r="F3085" s="7" t="s">
        <v>2329</v>
      </c>
      <c r="G3085" s="7">
        <v>1595927</v>
      </c>
      <c r="H3085" s="7">
        <v>566</v>
      </c>
      <c r="I3085" s="7">
        <v>0</v>
      </c>
      <c r="J3085" s="7">
        <v>0</v>
      </c>
      <c r="K3085" s="7" t="s">
        <v>18</v>
      </c>
      <c r="L3085" s="8">
        <v>39891.213356481479</v>
      </c>
      <c r="M3085" s="9" t="s">
        <v>19</v>
      </c>
      <c r="N3085" s="9" t="s">
        <v>22</v>
      </c>
      <c r="O3085" s="6" t="str">
        <f>HYPERLINK("https://pbs.twimg.com/profile_images/1433591977631748099/wuGDIimB_normal.jpg","View")</f>
        <v>View</v>
      </c>
      <c r="P3085" s="7"/>
    </row>
    <row r="3086" spans="1:16">
      <c r="A3086" s="3">
        <v>44470.101122685184</v>
      </c>
      <c r="B3086" s="4" t="str">
        <f>HYPERLINK("https://twitter.com/sergio_fajardo","@sergio_fajardo")</f>
        <v>@sergio_fajardo</v>
      </c>
      <c r="C3086" s="5" t="s">
        <v>16</v>
      </c>
      <c r="D3086" s="5" t="s">
        <v>3107</v>
      </c>
      <c r="E3086" s="6" t="str">
        <f>HYPERLINK("https://twitter.com/sergio_fajardo/status/1443680959082209284","1443680959082209284")</f>
        <v>1443680959082209284</v>
      </c>
      <c r="F3086" s="7" t="s">
        <v>17</v>
      </c>
      <c r="G3086" s="7">
        <v>1595965</v>
      </c>
      <c r="H3086" s="7">
        <v>568</v>
      </c>
      <c r="I3086" s="7">
        <v>6</v>
      </c>
      <c r="J3086" s="7">
        <v>0</v>
      </c>
      <c r="K3086" s="7" t="s">
        <v>18</v>
      </c>
      <c r="L3086" s="8">
        <v>39891.213356481479</v>
      </c>
      <c r="M3086" s="9" t="s">
        <v>19</v>
      </c>
      <c r="N3086" s="9" t="s">
        <v>22</v>
      </c>
      <c r="O3086" s="6" t="str">
        <f>HYPERLINK("https://pbs.twimg.com/profile_images/1433591977631748099/wuGDIimB_normal.jpg","View")</f>
        <v>View</v>
      </c>
      <c r="P3086" s="7"/>
    </row>
    <row r="3087" spans="1:16">
      <c r="A3087" s="3">
        <v>44470.179988425924</v>
      </c>
      <c r="B3087" s="4" t="str">
        <f>HYPERLINK("https://twitter.com/sergio_fajardo","@sergio_fajardo")</f>
        <v>@sergio_fajardo</v>
      </c>
      <c r="C3087" s="5" t="s">
        <v>16</v>
      </c>
      <c r="D3087" s="5" t="s">
        <v>3108</v>
      </c>
      <c r="E3087" s="6" t="str">
        <f>HYPERLINK("https://twitter.com/sergio_fajardo/status/1443709537752690694","1443709537752690694")</f>
        <v>1443709537752690694</v>
      </c>
      <c r="F3087" s="7" t="s">
        <v>17</v>
      </c>
      <c r="G3087" s="7">
        <v>1595972</v>
      </c>
      <c r="H3087" s="7">
        <v>568</v>
      </c>
      <c r="I3087" s="7">
        <v>9</v>
      </c>
      <c r="J3087" s="7">
        <v>39</v>
      </c>
      <c r="K3087" s="7" t="s">
        <v>18</v>
      </c>
      <c r="L3087" s="8">
        <v>39891.213356481479</v>
      </c>
      <c r="M3087" s="9" t="s">
        <v>19</v>
      </c>
      <c r="N3087" s="9" t="s">
        <v>22</v>
      </c>
      <c r="O3087" s="6" t="str">
        <f>HYPERLINK("https://pbs.twimg.com/profile_images/1433591977631748099/wuGDIimB_normal.jpg","View")</f>
        <v>View</v>
      </c>
      <c r="P3087" s="7"/>
    </row>
    <row r="3088" spans="1:16">
      <c r="A3088" s="3">
        <v>44470.213888888888</v>
      </c>
      <c r="B3088" s="4" t="str">
        <f>HYPERLINK("https://twitter.com/sergio_fajardo","@sergio_fajardo")</f>
        <v>@sergio_fajardo</v>
      </c>
      <c r="C3088" s="5" t="s">
        <v>16</v>
      </c>
      <c r="D3088" s="5" t="s">
        <v>3109</v>
      </c>
      <c r="E3088" s="6" t="str">
        <f>HYPERLINK("https://twitter.com/sergio_fajardo/status/1443721824886534145","1443721824886534145")</f>
        <v>1443721824886534145</v>
      </c>
      <c r="F3088" s="7" t="s">
        <v>17</v>
      </c>
      <c r="G3088" s="7">
        <v>1595975</v>
      </c>
      <c r="H3088" s="7">
        <v>568</v>
      </c>
      <c r="I3088" s="7">
        <v>1</v>
      </c>
      <c r="J3088" s="7">
        <v>14</v>
      </c>
      <c r="K3088" s="7" t="s">
        <v>18</v>
      </c>
      <c r="L3088" s="8">
        <v>39891.213356481479</v>
      </c>
      <c r="M3088" s="9" t="s">
        <v>19</v>
      </c>
      <c r="N3088" s="9" t="s">
        <v>22</v>
      </c>
      <c r="O3088" s="6" t="str">
        <f>HYPERLINK("https://pbs.twimg.com/profile_images/1433591977631748099/wuGDIimB_normal.jpg","View")</f>
        <v>View</v>
      </c>
      <c r="P3088" s="7"/>
    </row>
    <row r="3089" spans="1:16">
      <c r="A3089" s="3">
        <v>44470.245949074073</v>
      </c>
      <c r="B3089" s="4" t="str">
        <f>HYPERLINK("https://twitter.com/sergio_fajardo","@sergio_fajardo")</f>
        <v>@sergio_fajardo</v>
      </c>
      <c r="C3089" s="5" t="s">
        <v>16</v>
      </c>
      <c r="D3089" s="5" t="s">
        <v>3110</v>
      </c>
      <c r="E3089" s="6" t="str">
        <f>HYPERLINK("https://twitter.com/sergio_fajardo/status/1443733443624546307","1443733443624546307")</f>
        <v>1443733443624546307</v>
      </c>
      <c r="F3089" s="7" t="s">
        <v>17</v>
      </c>
      <c r="G3089" s="7">
        <v>1595977</v>
      </c>
      <c r="H3089" s="7">
        <v>570</v>
      </c>
      <c r="I3089" s="7">
        <v>2</v>
      </c>
      <c r="J3089" s="7">
        <v>12</v>
      </c>
      <c r="K3089" s="7" t="s">
        <v>18</v>
      </c>
      <c r="L3089" s="8">
        <v>39891.213356481479</v>
      </c>
      <c r="M3089" s="9" t="s">
        <v>19</v>
      </c>
      <c r="N3089" s="9" t="s">
        <v>22</v>
      </c>
      <c r="O3089" s="6" t="str">
        <f>HYPERLINK("https://pbs.twimg.com/profile_images/1433591977631748099/wuGDIimB_normal.jpg","View")</f>
        <v>View</v>
      </c>
      <c r="P3089" s="7"/>
    </row>
    <row r="3090" spans="1:16">
      <c r="A3090" s="3">
        <v>44470.279814814814</v>
      </c>
      <c r="B3090" s="4" t="str">
        <f>HYPERLINK("https://twitter.com/sergio_fajardo","@sergio_fajardo")</f>
        <v>@sergio_fajardo</v>
      </c>
      <c r="C3090" s="5" t="s">
        <v>16</v>
      </c>
      <c r="D3090" s="5" t="s">
        <v>3111</v>
      </c>
      <c r="E3090" s="6" t="str">
        <f>HYPERLINK("https://twitter.com/sergio_fajardo/status/1443745712735465474","1443745712735465474")</f>
        <v>1443745712735465474</v>
      </c>
      <c r="F3090" s="7" t="s">
        <v>17</v>
      </c>
      <c r="G3090" s="7">
        <v>1595983</v>
      </c>
      <c r="H3090" s="7">
        <v>570</v>
      </c>
      <c r="I3090" s="7">
        <v>3</v>
      </c>
      <c r="J3090" s="7">
        <v>17</v>
      </c>
      <c r="K3090" s="7" t="s">
        <v>18</v>
      </c>
      <c r="L3090" s="8">
        <v>39891.213356481479</v>
      </c>
      <c r="M3090" s="9" t="s">
        <v>19</v>
      </c>
      <c r="N3090" s="9" t="s">
        <v>22</v>
      </c>
      <c r="O3090" s="6" t="str">
        <f>HYPERLINK("https://pbs.twimg.com/profile_images/1433591977631748099/wuGDIimB_normal.jpg","View")</f>
        <v>View</v>
      </c>
      <c r="P3090" s="7"/>
    </row>
    <row r="3091" spans="1:16">
      <c r="A3091" s="3">
        <v>44470.284849537042</v>
      </c>
      <c r="B3091" s="4" t="str">
        <f>HYPERLINK("https://twitter.com/sergio_fajardo","@sergio_fajardo")</f>
        <v>@sergio_fajardo</v>
      </c>
      <c r="C3091" s="5" t="s">
        <v>16</v>
      </c>
      <c r="D3091" s="5" t="s">
        <v>3112</v>
      </c>
      <c r="E3091" s="6" t="str">
        <f>HYPERLINK("https://twitter.com/sergio_fajardo/status/1443747538604109829","1443747538604109829")</f>
        <v>1443747538604109829</v>
      </c>
      <c r="F3091" s="7" t="s">
        <v>17</v>
      </c>
      <c r="G3091" s="7">
        <v>1595983</v>
      </c>
      <c r="H3091" s="7">
        <v>570</v>
      </c>
      <c r="I3091" s="7">
        <v>2</v>
      </c>
      <c r="J3091" s="7">
        <v>17</v>
      </c>
      <c r="K3091" s="7" t="s">
        <v>18</v>
      </c>
      <c r="L3091" s="8">
        <v>39891.213356481479</v>
      </c>
      <c r="M3091" s="9" t="s">
        <v>19</v>
      </c>
      <c r="N3091" s="9" t="s">
        <v>22</v>
      </c>
      <c r="O3091" s="6" t="str">
        <f>HYPERLINK("https://pbs.twimg.com/profile_images/1433591977631748099/wuGDIimB_normal.jpg","View")</f>
        <v>View</v>
      </c>
      <c r="P3091" s="7"/>
    </row>
    <row r="3092" spans="1:16">
      <c r="A3092" s="3">
        <v>44470.291018518517</v>
      </c>
      <c r="B3092" s="4" t="str">
        <f>HYPERLINK("https://twitter.com/sergio_fajardo","@sergio_fajardo")</f>
        <v>@sergio_fajardo</v>
      </c>
      <c r="C3092" s="5" t="s">
        <v>16</v>
      </c>
      <c r="D3092" s="5" t="s">
        <v>3113</v>
      </c>
      <c r="E3092" s="6" t="str">
        <f>HYPERLINK("https://twitter.com/sergio_fajardo/status/1443749773450825729","1443749773450825729")</f>
        <v>1443749773450825729</v>
      </c>
      <c r="F3092" s="7" t="s">
        <v>17</v>
      </c>
      <c r="G3092" s="7">
        <v>1595983</v>
      </c>
      <c r="H3092" s="7">
        <v>570</v>
      </c>
      <c r="I3092" s="7">
        <v>2</v>
      </c>
      <c r="J3092" s="7">
        <v>38</v>
      </c>
      <c r="K3092" s="7" t="s">
        <v>18</v>
      </c>
      <c r="L3092" s="8">
        <v>39891.213356481479</v>
      </c>
      <c r="M3092" s="9" t="s">
        <v>19</v>
      </c>
      <c r="N3092" s="9" t="s">
        <v>22</v>
      </c>
      <c r="O3092" s="6" t="str">
        <f>HYPERLINK("https://pbs.twimg.com/profile_images/1433591977631748099/wuGDIimB_normal.jpg","View")</f>
        <v>View</v>
      </c>
      <c r="P3092" s="7"/>
    </row>
    <row r="3093" spans="1:16">
      <c r="A3093" s="3">
        <v>44470.292511574073</v>
      </c>
      <c r="B3093" s="4" t="str">
        <f>HYPERLINK("https://twitter.com/sergio_fajardo","@sergio_fajardo")</f>
        <v>@sergio_fajardo</v>
      </c>
      <c r="C3093" s="5" t="s">
        <v>16</v>
      </c>
      <c r="D3093" s="5" t="s">
        <v>3114</v>
      </c>
      <c r="E3093" s="6" t="str">
        <f>HYPERLINK("https://twitter.com/sergio_fajardo/status/1443750317666021378","1443750317666021378")</f>
        <v>1443750317666021378</v>
      </c>
      <c r="F3093" s="7" t="s">
        <v>17</v>
      </c>
      <c r="G3093" s="7">
        <v>1595983</v>
      </c>
      <c r="H3093" s="7">
        <v>570</v>
      </c>
      <c r="I3093" s="7">
        <v>2</v>
      </c>
      <c r="J3093" s="7">
        <v>10</v>
      </c>
      <c r="K3093" s="7" t="s">
        <v>18</v>
      </c>
      <c r="L3093" s="8">
        <v>39891.213356481479</v>
      </c>
      <c r="M3093" s="9" t="s">
        <v>19</v>
      </c>
      <c r="N3093" s="9" t="s">
        <v>22</v>
      </c>
      <c r="O3093" s="6" t="str">
        <f>HYPERLINK("https://pbs.twimg.com/profile_images/1433591977631748099/wuGDIimB_normal.jpg","View")</f>
        <v>View</v>
      </c>
      <c r="P3093" s="7"/>
    </row>
    <row r="3094" spans="1:16">
      <c r="A3094" s="3">
        <v>44470.294710648144</v>
      </c>
      <c r="B3094" s="4" t="str">
        <f>HYPERLINK("https://twitter.com/sergio_fajardo","@sergio_fajardo")</f>
        <v>@sergio_fajardo</v>
      </c>
      <c r="C3094" s="5" t="s">
        <v>16</v>
      </c>
      <c r="D3094" s="5" t="s">
        <v>3115</v>
      </c>
      <c r="E3094" s="6" t="str">
        <f>HYPERLINK("https://twitter.com/sergio_fajardo/status/1443751113807867904","1443751113807867904")</f>
        <v>1443751113807867904</v>
      </c>
      <c r="F3094" s="7" t="s">
        <v>17</v>
      </c>
      <c r="G3094" s="7">
        <v>1595986</v>
      </c>
      <c r="H3094" s="7">
        <v>570</v>
      </c>
      <c r="I3094" s="7">
        <v>4</v>
      </c>
      <c r="J3094" s="7">
        <v>0</v>
      </c>
      <c r="K3094" s="7" t="s">
        <v>18</v>
      </c>
      <c r="L3094" s="8">
        <v>39891.213356481479</v>
      </c>
      <c r="M3094" s="9" t="s">
        <v>19</v>
      </c>
      <c r="N3094" s="9" t="s">
        <v>22</v>
      </c>
      <c r="O3094" s="6" t="str">
        <f>HYPERLINK("https://pbs.twimg.com/profile_images/1433591977631748099/wuGDIimB_normal.jpg","View")</f>
        <v>View</v>
      </c>
      <c r="P3094" s="7"/>
    </row>
    <row r="3095" spans="1:16">
      <c r="A3095" s="3">
        <v>44470.303969907407</v>
      </c>
      <c r="B3095" s="4" t="str">
        <f>HYPERLINK("https://twitter.com/sergio_fajardo","@sergio_fajardo")</f>
        <v>@sergio_fajardo</v>
      </c>
      <c r="C3095" s="5" t="s">
        <v>16</v>
      </c>
      <c r="D3095" s="5" t="s">
        <v>3116</v>
      </c>
      <c r="E3095" s="6" t="str">
        <f>HYPERLINK("https://twitter.com/sergio_fajardo/status/1443754468873576448","1443754468873576448")</f>
        <v>1443754468873576448</v>
      </c>
      <c r="F3095" s="7" t="s">
        <v>17</v>
      </c>
      <c r="G3095" s="7">
        <v>1595986</v>
      </c>
      <c r="H3095" s="7">
        <v>570</v>
      </c>
      <c r="I3095" s="7">
        <v>1</v>
      </c>
      <c r="J3095" s="7">
        <v>14</v>
      </c>
      <c r="K3095" s="7" t="s">
        <v>18</v>
      </c>
      <c r="L3095" s="8">
        <v>39891.213356481479</v>
      </c>
      <c r="M3095" s="9" t="s">
        <v>19</v>
      </c>
      <c r="N3095" s="9" t="s">
        <v>22</v>
      </c>
      <c r="O3095" s="6" t="str">
        <f>HYPERLINK("https://pbs.twimg.com/profile_images/1433591977631748099/wuGDIimB_normal.jpg","View")</f>
        <v>View</v>
      </c>
      <c r="P3095" s="7"/>
    </row>
    <row r="3096" spans="1:16">
      <c r="A3096" s="3">
        <v>44470.314722222218</v>
      </c>
      <c r="B3096" s="4" t="str">
        <f>HYPERLINK("https://twitter.com/sergio_fajardo","@sergio_fajardo")</f>
        <v>@sergio_fajardo</v>
      </c>
      <c r="C3096" s="5" t="s">
        <v>16</v>
      </c>
      <c r="D3096" s="5" t="s">
        <v>3117</v>
      </c>
      <c r="E3096" s="6" t="str">
        <f>HYPERLINK("https://twitter.com/sergio_fajardo/status/1443758363951632387","1443758363951632387")</f>
        <v>1443758363951632387</v>
      </c>
      <c r="F3096" s="7" t="s">
        <v>17</v>
      </c>
      <c r="G3096" s="7">
        <v>1595990</v>
      </c>
      <c r="H3096" s="7">
        <v>572</v>
      </c>
      <c r="I3096" s="7">
        <v>5</v>
      </c>
      <c r="J3096" s="7">
        <v>0</v>
      </c>
      <c r="K3096" s="7" t="s">
        <v>18</v>
      </c>
      <c r="L3096" s="8">
        <v>39891.213356481479</v>
      </c>
      <c r="M3096" s="9" t="s">
        <v>19</v>
      </c>
      <c r="N3096" s="9" t="s">
        <v>22</v>
      </c>
      <c r="O3096" s="6" t="str">
        <f>HYPERLINK("https://pbs.twimg.com/profile_images/1433591977631748099/wuGDIimB_normal.jpg","View")</f>
        <v>View</v>
      </c>
      <c r="P3096" s="7"/>
    </row>
    <row r="3097" spans="1:16">
      <c r="A3097" s="3">
        <v>44470.324189814812</v>
      </c>
      <c r="B3097" s="4" t="str">
        <f>HYPERLINK("https://twitter.com/sergio_fajardo","@sergio_fajardo")</f>
        <v>@sergio_fajardo</v>
      </c>
      <c r="C3097" s="5" t="s">
        <v>16</v>
      </c>
      <c r="D3097" s="5" t="s">
        <v>3118</v>
      </c>
      <c r="E3097" s="6" t="str">
        <f>HYPERLINK("https://twitter.com/sergio_fajardo/status/1443761796997857282","1443761796997857282")</f>
        <v>1443761796997857282</v>
      </c>
      <c r="F3097" s="7" t="s">
        <v>17</v>
      </c>
      <c r="G3097" s="7">
        <v>1595990</v>
      </c>
      <c r="H3097" s="7">
        <v>572</v>
      </c>
      <c r="I3097" s="7">
        <v>6</v>
      </c>
      <c r="J3097" s="7">
        <v>0</v>
      </c>
      <c r="K3097" s="7" t="s">
        <v>18</v>
      </c>
      <c r="L3097" s="8">
        <v>39891.213356481479</v>
      </c>
      <c r="M3097" s="9" t="s">
        <v>19</v>
      </c>
      <c r="N3097" s="9" t="s">
        <v>22</v>
      </c>
      <c r="O3097" s="6" t="str">
        <f>HYPERLINK("https://pbs.twimg.com/profile_images/1433591977631748099/wuGDIimB_normal.jpg","View")</f>
        <v>View</v>
      </c>
      <c r="P3097" s="7"/>
    </row>
    <row r="3098" spans="1:16">
      <c r="A3098" s="3">
        <v>44470.82739583333</v>
      </c>
      <c r="B3098" s="4" t="str">
        <f>HYPERLINK("https://twitter.com/sergio_fajardo","@sergio_fajardo")</f>
        <v>@sergio_fajardo</v>
      </c>
      <c r="C3098" s="5" t="s">
        <v>16</v>
      </c>
      <c r="D3098" s="5" t="s">
        <v>3119</v>
      </c>
      <c r="E3098" s="6" t="str">
        <f>HYPERLINK("https://twitter.com/sergio_fajardo/status/1443944149326118930","1443944149326118930")</f>
        <v>1443944149326118930</v>
      </c>
      <c r="F3098" s="7" t="s">
        <v>17</v>
      </c>
      <c r="G3098" s="7">
        <v>1596041</v>
      </c>
      <c r="H3098" s="7">
        <v>572</v>
      </c>
      <c r="I3098" s="7">
        <v>4</v>
      </c>
      <c r="J3098" s="7">
        <v>11</v>
      </c>
      <c r="K3098" s="7" t="s">
        <v>18</v>
      </c>
      <c r="L3098" s="8">
        <v>39891.213356481479</v>
      </c>
      <c r="M3098" s="9" t="s">
        <v>19</v>
      </c>
      <c r="N3098" s="9" t="s">
        <v>22</v>
      </c>
      <c r="O3098" s="6" t="str">
        <f>HYPERLINK("https://pbs.twimg.com/profile_images/1433591977631748099/wuGDIimB_normal.jpg","View")</f>
        <v>View</v>
      </c>
      <c r="P3098" s="7"/>
    </row>
    <row r="3099" spans="1:16">
      <c r="A3099" s="3">
        <v>44470.911076388889</v>
      </c>
      <c r="B3099" s="4" t="str">
        <f>HYPERLINK("https://twitter.com/sergio_fajardo","@sergio_fajardo")</f>
        <v>@sergio_fajardo</v>
      </c>
      <c r="C3099" s="5" t="s">
        <v>16</v>
      </c>
      <c r="D3099" s="5" t="s">
        <v>3120</v>
      </c>
      <c r="E3099" s="6" t="str">
        <f>HYPERLINK("https://twitter.com/sergio_fajardo/status/1443974477444964353","1443974477444964353")</f>
        <v>1443974477444964353</v>
      </c>
      <c r="F3099" s="7" t="s">
        <v>17</v>
      </c>
      <c r="G3099" s="7">
        <v>1596044</v>
      </c>
      <c r="H3099" s="7">
        <v>572</v>
      </c>
      <c r="I3099" s="7">
        <v>7</v>
      </c>
      <c r="J3099" s="7">
        <v>41</v>
      </c>
      <c r="K3099" s="7" t="s">
        <v>18</v>
      </c>
      <c r="L3099" s="8">
        <v>39891.213356481479</v>
      </c>
      <c r="M3099" s="9" t="s">
        <v>19</v>
      </c>
      <c r="N3099" s="9" t="s">
        <v>22</v>
      </c>
      <c r="O3099" s="6" t="str">
        <f>HYPERLINK("https://pbs.twimg.com/profile_images/1433591977631748099/wuGDIimB_normal.jpg","View")</f>
        <v>View</v>
      </c>
      <c r="P3099" s="7"/>
    </row>
    <row r="3100" spans="1:16">
      <c r="A3100" s="3">
        <v>44470.911608796298</v>
      </c>
      <c r="B3100" s="4" t="str">
        <f>HYPERLINK("https://twitter.com/sergio_fajardo","@sergio_fajardo")</f>
        <v>@sergio_fajardo</v>
      </c>
      <c r="C3100" s="5" t="s">
        <v>16</v>
      </c>
      <c r="D3100" s="5" t="s">
        <v>3121</v>
      </c>
      <c r="E3100" s="6" t="str">
        <f>HYPERLINK("https://twitter.com/sergio_fajardo/status/1443974669498032139","1443974669498032139")</f>
        <v>1443974669498032139</v>
      </c>
      <c r="F3100" s="7" t="s">
        <v>17</v>
      </c>
      <c r="G3100" s="7">
        <v>1596044</v>
      </c>
      <c r="H3100" s="7">
        <v>572</v>
      </c>
      <c r="I3100" s="7">
        <v>3</v>
      </c>
      <c r="J3100" s="7">
        <v>19</v>
      </c>
      <c r="K3100" s="7" t="s">
        <v>18</v>
      </c>
      <c r="L3100" s="8">
        <v>39891.213356481479</v>
      </c>
      <c r="M3100" s="9" t="s">
        <v>19</v>
      </c>
      <c r="N3100" s="9" t="s">
        <v>22</v>
      </c>
      <c r="O3100" s="6" t="str">
        <f>HYPERLINK("https://pbs.twimg.com/profile_images/1433591977631748099/wuGDIimB_normal.jpg","View")</f>
        <v>View</v>
      </c>
      <c r="P3100" s="7"/>
    </row>
    <row r="3101" spans="1:16">
      <c r="A3101" s="3">
        <v>44470.949212962965</v>
      </c>
      <c r="B3101" s="4" t="str">
        <f>HYPERLINK("https://twitter.com/sergio_fajardo","@sergio_fajardo")</f>
        <v>@sergio_fajardo</v>
      </c>
      <c r="C3101" s="5" t="s">
        <v>16</v>
      </c>
      <c r="D3101" s="5" t="s">
        <v>3122</v>
      </c>
      <c r="E3101" s="6" t="str">
        <f>HYPERLINK("https://twitter.com/sergio_fajardo/status/1443988295889924096","1443988295889924096")</f>
        <v>1443988295889924096</v>
      </c>
      <c r="F3101" s="7" t="s">
        <v>17</v>
      </c>
      <c r="G3101" s="7">
        <v>1596052</v>
      </c>
      <c r="H3101" s="7">
        <v>572</v>
      </c>
      <c r="I3101" s="7">
        <v>21</v>
      </c>
      <c r="J3101" s="7">
        <v>205</v>
      </c>
      <c r="K3101" s="7" t="s">
        <v>18</v>
      </c>
      <c r="L3101" s="8">
        <v>39891.213356481479</v>
      </c>
      <c r="M3101" s="9" t="s">
        <v>19</v>
      </c>
      <c r="N3101" s="9" t="s">
        <v>22</v>
      </c>
      <c r="O3101" s="6" t="str">
        <f>HYPERLINK("https://pbs.twimg.com/profile_images/1433591977631748099/wuGDIimB_normal.jpg","View")</f>
        <v>View</v>
      </c>
      <c r="P3101" s="7"/>
    </row>
    <row r="3102" spans="1:16">
      <c r="A3102" s="3">
        <v>44471.049027777779</v>
      </c>
      <c r="B3102" s="4" t="str">
        <f>HYPERLINK("https://twitter.com/sergio_fajardo","@sergio_fajardo")</f>
        <v>@sergio_fajardo</v>
      </c>
      <c r="C3102" s="5" t="s">
        <v>16</v>
      </c>
      <c r="D3102" s="5" t="s">
        <v>3123</v>
      </c>
      <c r="E3102" s="6" t="str">
        <f>HYPERLINK("https://twitter.com/sergio_fajardo/status/1444024469794742278","1444024469794742278")</f>
        <v>1444024469794742278</v>
      </c>
      <c r="F3102" s="7" t="s">
        <v>17</v>
      </c>
      <c r="G3102" s="7">
        <v>1596064</v>
      </c>
      <c r="H3102" s="7">
        <v>572</v>
      </c>
      <c r="I3102" s="7">
        <v>24</v>
      </c>
      <c r="J3102" s="7">
        <v>257</v>
      </c>
      <c r="K3102" s="7" t="s">
        <v>18</v>
      </c>
      <c r="L3102" s="8">
        <v>39891.213356481479</v>
      </c>
      <c r="M3102" s="9" t="s">
        <v>19</v>
      </c>
      <c r="N3102" s="9" t="s">
        <v>22</v>
      </c>
      <c r="O3102" s="6" t="str">
        <f>HYPERLINK("https://pbs.twimg.com/profile_images/1433591977631748099/wuGDIimB_normal.jpg","View")</f>
        <v>View</v>
      </c>
      <c r="P3102" s="7"/>
    </row>
    <row r="3103" spans="1:16">
      <c r="A3103" s="3">
        <v>44471.057256944448</v>
      </c>
      <c r="B3103" s="4" t="str">
        <f>HYPERLINK("https://twitter.com/sergio_fajardo","@sergio_fajardo")</f>
        <v>@sergio_fajardo</v>
      </c>
      <c r="C3103" s="5" t="s">
        <v>16</v>
      </c>
      <c r="D3103" s="5" t="s">
        <v>3124</v>
      </c>
      <c r="E3103" s="6" t="str">
        <f>HYPERLINK("https://twitter.com/sergio_fajardo/status/1444027451768819714","1444027451768819714")</f>
        <v>1444027451768819714</v>
      </c>
      <c r="F3103" s="7" t="s">
        <v>17</v>
      </c>
      <c r="G3103" s="7">
        <v>1596064</v>
      </c>
      <c r="H3103" s="7">
        <v>572</v>
      </c>
      <c r="I3103" s="7">
        <v>6</v>
      </c>
      <c r="J3103" s="7">
        <v>0</v>
      </c>
      <c r="K3103" s="7" t="s">
        <v>18</v>
      </c>
      <c r="L3103" s="8">
        <v>39891.213356481479</v>
      </c>
      <c r="M3103" s="9" t="s">
        <v>19</v>
      </c>
      <c r="N3103" s="9" t="s">
        <v>22</v>
      </c>
      <c r="O3103" s="6" t="str">
        <f>HYPERLINK("https://pbs.twimg.com/profile_images/1433591977631748099/wuGDIimB_normal.jpg","View")</f>
        <v>View</v>
      </c>
      <c r="P3103" s="7"/>
    </row>
    <row r="3104" spans="1:16">
      <c r="A3104" s="3">
        <v>44471.091979166667</v>
      </c>
      <c r="B3104" s="4" t="str">
        <f>HYPERLINK("https://twitter.com/sergio_fajardo","@sergio_fajardo")</f>
        <v>@sergio_fajardo</v>
      </c>
      <c r="C3104" s="5" t="s">
        <v>16</v>
      </c>
      <c r="D3104" s="5" t="s">
        <v>3125</v>
      </c>
      <c r="E3104" s="6" t="str">
        <f>HYPERLINK("https://twitter.com/sergio_fajardo/status/1444040032533336065","1444040032533336065")</f>
        <v>1444040032533336065</v>
      </c>
      <c r="F3104" s="7" t="s">
        <v>17</v>
      </c>
      <c r="G3104" s="7">
        <v>1596085</v>
      </c>
      <c r="H3104" s="7">
        <v>572</v>
      </c>
      <c r="I3104" s="7">
        <v>32</v>
      </c>
      <c r="J3104" s="7">
        <v>224</v>
      </c>
      <c r="K3104" s="7" t="s">
        <v>18</v>
      </c>
      <c r="L3104" s="8">
        <v>39891.213356481479</v>
      </c>
      <c r="M3104" s="9" t="s">
        <v>19</v>
      </c>
      <c r="N3104" s="9" t="s">
        <v>22</v>
      </c>
      <c r="O3104" s="6" t="str">
        <f>HYPERLINK("https://pbs.twimg.com/profile_images/1433591977631748099/wuGDIimB_normal.jpg","View")</f>
        <v>View</v>
      </c>
      <c r="P3104" s="7"/>
    </row>
    <row r="3105" spans="1:16">
      <c r="A3105" s="3">
        <v>44471.136990740742</v>
      </c>
      <c r="B3105" s="4" t="str">
        <f>HYPERLINK("https://twitter.com/sergio_fajardo","@sergio_fajardo")</f>
        <v>@sergio_fajardo</v>
      </c>
      <c r="C3105" s="5" t="s">
        <v>16</v>
      </c>
      <c r="D3105" s="5" t="s">
        <v>3126</v>
      </c>
      <c r="E3105" s="6" t="str">
        <f>HYPERLINK("https://twitter.com/sergio_fajardo/status/1444056344160579585","1444056344160579585")</f>
        <v>1444056344160579585</v>
      </c>
      <c r="F3105" s="7" t="s">
        <v>17</v>
      </c>
      <c r="G3105" s="7">
        <v>1596094</v>
      </c>
      <c r="H3105" s="7">
        <v>572</v>
      </c>
      <c r="I3105" s="7">
        <v>8</v>
      </c>
      <c r="J3105" s="7">
        <v>138</v>
      </c>
      <c r="K3105" s="7" t="s">
        <v>18</v>
      </c>
      <c r="L3105" s="8">
        <v>39891.213356481479</v>
      </c>
      <c r="M3105" s="9" t="s">
        <v>19</v>
      </c>
      <c r="N3105" s="9" t="s">
        <v>22</v>
      </c>
      <c r="O3105" s="6" t="str">
        <f>HYPERLINK("https://pbs.twimg.com/profile_images/1433591977631748099/wuGDIimB_normal.jpg","View")</f>
        <v>View</v>
      </c>
      <c r="P3105" s="7"/>
    </row>
    <row r="3106" spans="1:16">
      <c r="A3106" s="3">
        <v>44471.149722222224</v>
      </c>
      <c r="B3106" s="4" t="str">
        <f>HYPERLINK("https://twitter.com/sergio_fajardo","@sergio_fajardo")</f>
        <v>@sergio_fajardo</v>
      </c>
      <c r="C3106" s="5" t="s">
        <v>16</v>
      </c>
      <c r="D3106" s="5" t="s">
        <v>3127</v>
      </c>
      <c r="E3106" s="6" t="str">
        <f>HYPERLINK("https://twitter.com/sergio_fajardo/status/1444060959526502408","1444060959526502408")</f>
        <v>1444060959526502408</v>
      </c>
      <c r="F3106" s="7" t="s">
        <v>17</v>
      </c>
      <c r="G3106" s="7">
        <v>1596093</v>
      </c>
      <c r="H3106" s="7">
        <v>572</v>
      </c>
      <c r="I3106" s="7">
        <v>22</v>
      </c>
      <c r="J3106" s="7">
        <v>162</v>
      </c>
      <c r="K3106" s="7" t="s">
        <v>18</v>
      </c>
      <c r="L3106" s="8">
        <v>39891.213356481479</v>
      </c>
      <c r="M3106" s="9" t="s">
        <v>19</v>
      </c>
      <c r="N3106" s="9" t="s">
        <v>22</v>
      </c>
      <c r="O3106" s="6" t="str">
        <f>HYPERLINK("https://pbs.twimg.com/profile_images/1433591977631748099/wuGDIimB_normal.jpg","View")</f>
        <v>View</v>
      </c>
      <c r="P3106" s="7"/>
    </row>
    <row r="3107" spans="1:16">
      <c r="A3107" s="3">
        <v>44471.212060185186</v>
      </c>
      <c r="B3107" s="4" t="str">
        <f>HYPERLINK("https://twitter.com/sergio_fajardo","@sergio_fajardo")</f>
        <v>@sergio_fajardo</v>
      </c>
      <c r="C3107" s="5" t="s">
        <v>16</v>
      </c>
      <c r="D3107" s="5" t="s">
        <v>3128</v>
      </c>
      <c r="E3107" s="6" t="str">
        <f>HYPERLINK("https://twitter.com/sergio_fajardo/status/1444083547367686144","1444083547367686144")</f>
        <v>1444083547367686144</v>
      </c>
      <c r="F3107" s="7" t="s">
        <v>17</v>
      </c>
      <c r="G3107" s="7">
        <v>1596100</v>
      </c>
      <c r="H3107" s="7">
        <v>572</v>
      </c>
      <c r="I3107" s="7">
        <v>15</v>
      </c>
      <c r="J3107" s="7">
        <v>153</v>
      </c>
      <c r="K3107" s="7" t="s">
        <v>18</v>
      </c>
      <c r="L3107" s="8">
        <v>39891.213356481479</v>
      </c>
      <c r="M3107" s="9" t="s">
        <v>19</v>
      </c>
      <c r="N3107" s="9" t="s">
        <v>22</v>
      </c>
      <c r="O3107" s="6" t="str">
        <f>HYPERLINK("https://pbs.twimg.com/profile_images/1433591977631748099/wuGDIimB_normal.jpg","View")</f>
        <v>View</v>
      </c>
      <c r="P3107" s="7"/>
    </row>
    <row r="3108" spans="1:16">
      <c r="A3108" s="3">
        <v>44471.224027777775</v>
      </c>
      <c r="B3108" s="4" t="str">
        <f>HYPERLINK("https://twitter.com/sergio_fajardo","@sergio_fajardo")</f>
        <v>@sergio_fajardo</v>
      </c>
      <c r="C3108" s="5" t="s">
        <v>16</v>
      </c>
      <c r="D3108" s="5" t="s">
        <v>3129</v>
      </c>
      <c r="E3108" s="6" t="str">
        <f>HYPERLINK("https://twitter.com/sergio_fajardo/status/1444087887813910528","1444087887813910528")</f>
        <v>1444087887813910528</v>
      </c>
      <c r="F3108" s="7" t="s">
        <v>17</v>
      </c>
      <c r="G3108" s="7">
        <v>1596100</v>
      </c>
      <c r="H3108" s="7">
        <v>572</v>
      </c>
      <c r="I3108" s="7">
        <v>464</v>
      </c>
      <c r="J3108" s="7">
        <v>0</v>
      </c>
      <c r="K3108" s="7" t="s">
        <v>18</v>
      </c>
      <c r="L3108" s="8">
        <v>39891.213356481479</v>
      </c>
      <c r="M3108" s="9" t="s">
        <v>19</v>
      </c>
      <c r="N3108" s="9" t="s">
        <v>22</v>
      </c>
      <c r="O3108" s="6" t="str">
        <f>HYPERLINK("https://pbs.twimg.com/profile_images/1433591977631748099/wuGDIimB_normal.jpg","View")</f>
        <v>View</v>
      </c>
      <c r="P3108" s="7"/>
    </row>
    <row r="3109" spans="1:16">
      <c r="A3109" s="3">
        <v>44471.258020833338</v>
      </c>
      <c r="B3109" s="4" t="str">
        <f>HYPERLINK("https://twitter.com/sergio_fajardo","@sergio_fajardo")</f>
        <v>@sergio_fajardo</v>
      </c>
      <c r="C3109" s="5" t="s">
        <v>16</v>
      </c>
      <c r="D3109" s="5" t="s">
        <v>3130</v>
      </c>
      <c r="E3109" s="6" t="str">
        <f>HYPERLINK("https://twitter.com/sergio_fajardo/status/1444100203217395713","1444100203217395713")</f>
        <v>1444100203217395713</v>
      </c>
      <c r="F3109" s="7" t="s">
        <v>17</v>
      </c>
      <c r="G3109" s="7">
        <v>1596103</v>
      </c>
      <c r="H3109" s="7">
        <v>572</v>
      </c>
      <c r="I3109" s="7">
        <v>48</v>
      </c>
      <c r="J3109" s="7">
        <v>0</v>
      </c>
      <c r="K3109" s="7" t="s">
        <v>18</v>
      </c>
      <c r="L3109" s="8">
        <v>39891.213356481479</v>
      </c>
      <c r="M3109" s="9" t="s">
        <v>19</v>
      </c>
      <c r="N3109" s="9" t="s">
        <v>22</v>
      </c>
      <c r="O3109" s="6" t="str">
        <f>HYPERLINK("https://pbs.twimg.com/profile_images/1433591977631748099/wuGDIimB_normal.jpg","View")</f>
        <v>View</v>
      </c>
      <c r="P3109" s="7"/>
    </row>
    <row r="3110" spans="1:16">
      <c r="A3110" s="3">
        <v>44471.761099537034</v>
      </c>
      <c r="B3110" s="4" t="str">
        <f>HYPERLINK("https://twitter.com/sergio_fajardo","@sergio_fajardo")</f>
        <v>@sergio_fajardo</v>
      </c>
      <c r="C3110" s="5" t="s">
        <v>16</v>
      </c>
      <c r="D3110" s="5" t="s">
        <v>3131</v>
      </c>
      <c r="E3110" s="6" t="str">
        <f>HYPERLINK("https://twitter.com/sergio_fajardo/status/1444282514567311360","1444282514567311360")</f>
        <v>1444282514567311360</v>
      </c>
      <c r="F3110" s="7" t="s">
        <v>2329</v>
      </c>
      <c r="G3110" s="7">
        <v>1596129</v>
      </c>
      <c r="H3110" s="7">
        <v>572</v>
      </c>
      <c r="I3110" s="7">
        <v>7</v>
      </c>
      <c r="J3110" s="7">
        <v>37</v>
      </c>
      <c r="K3110" s="7" t="s">
        <v>18</v>
      </c>
      <c r="L3110" s="8">
        <v>39891.213356481479</v>
      </c>
      <c r="M3110" s="9" t="s">
        <v>19</v>
      </c>
      <c r="N3110" s="9" t="s">
        <v>22</v>
      </c>
      <c r="O3110" s="6" t="str">
        <f>HYPERLINK("https://pbs.twimg.com/profile_images/1433591977631748099/wuGDIimB_normal.jpg","View")</f>
        <v>View</v>
      </c>
      <c r="P3110" s="7"/>
    </row>
    <row r="3111" spans="1:16">
      <c r="A3111" s="3">
        <v>44471.798993055556</v>
      </c>
      <c r="B3111" s="4" t="str">
        <f>HYPERLINK("https://twitter.com/sergio_fajardo","@sergio_fajardo")</f>
        <v>@sergio_fajardo</v>
      </c>
      <c r="C3111" s="5" t="s">
        <v>16</v>
      </c>
      <c r="D3111" s="5" t="s">
        <v>3132</v>
      </c>
      <c r="E3111" s="6" t="str">
        <f>HYPERLINK("https://twitter.com/sergio_fajardo/status/1444296244306882568","1444296244306882568")</f>
        <v>1444296244306882568</v>
      </c>
      <c r="F3111" s="7" t="s">
        <v>17</v>
      </c>
      <c r="G3111" s="7">
        <v>1596128</v>
      </c>
      <c r="H3111" s="7">
        <v>572</v>
      </c>
      <c r="I3111" s="7">
        <v>1</v>
      </c>
      <c r="J3111" s="7">
        <v>25</v>
      </c>
      <c r="K3111" s="7" t="s">
        <v>18</v>
      </c>
      <c r="L3111" s="8">
        <v>39891.213356481479</v>
      </c>
      <c r="M3111" s="9" t="s">
        <v>19</v>
      </c>
      <c r="N3111" s="9" t="s">
        <v>22</v>
      </c>
      <c r="O3111" s="6" t="str">
        <f>HYPERLINK("https://pbs.twimg.com/profile_images/1433591977631748099/wuGDIimB_normal.jpg","View")</f>
        <v>View</v>
      </c>
      <c r="P3111" s="7"/>
    </row>
    <row r="3112" spans="1:16">
      <c r="A3112" s="3">
        <v>44471.839918981481</v>
      </c>
      <c r="B3112" s="4" t="str">
        <f>HYPERLINK("https://twitter.com/sergio_fajardo","@sergio_fajardo")</f>
        <v>@sergio_fajardo</v>
      </c>
      <c r="C3112" s="5" t="s">
        <v>16</v>
      </c>
      <c r="D3112" s="5" t="s">
        <v>3133</v>
      </c>
      <c r="E3112" s="6" t="str">
        <f>HYPERLINK("https://twitter.com/sergio_fajardo/status/1444311077278334991","1444311077278334991")</f>
        <v>1444311077278334991</v>
      </c>
      <c r="F3112" s="7" t="s">
        <v>2329</v>
      </c>
      <c r="G3112" s="7">
        <v>1596135</v>
      </c>
      <c r="H3112" s="7">
        <v>572</v>
      </c>
      <c r="I3112" s="7">
        <v>22</v>
      </c>
      <c r="J3112" s="7">
        <v>83</v>
      </c>
      <c r="K3112" s="7" t="s">
        <v>18</v>
      </c>
      <c r="L3112" s="8">
        <v>39891.213356481479</v>
      </c>
      <c r="M3112" s="9" t="s">
        <v>19</v>
      </c>
      <c r="N3112" s="9" t="s">
        <v>22</v>
      </c>
      <c r="O3112" s="6" t="str">
        <f>HYPERLINK("https://pbs.twimg.com/profile_images/1433591977631748099/wuGDIimB_normal.jpg","View")</f>
        <v>View</v>
      </c>
      <c r="P3112" s="7"/>
    </row>
    <row r="3113" spans="1:16">
      <c r="A3113" s="3">
        <v>44471.846574074079</v>
      </c>
      <c r="B3113" s="4" t="str">
        <f>HYPERLINK("https://twitter.com/sergio_fajardo","@sergio_fajardo")</f>
        <v>@sergio_fajardo</v>
      </c>
      <c r="C3113" s="5" t="s">
        <v>16</v>
      </c>
      <c r="D3113" s="5" t="s">
        <v>3134</v>
      </c>
      <c r="E3113" s="6" t="str">
        <f>HYPERLINK("https://twitter.com/sergio_fajardo/status/1444313489976266755","1444313489976266755")</f>
        <v>1444313489976266755</v>
      </c>
      <c r="F3113" s="7" t="s">
        <v>17</v>
      </c>
      <c r="G3113" s="7">
        <v>1596135</v>
      </c>
      <c r="H3113" s="7">
        <v>572</v>
      </c>
      <c r="I3113" s="7">
        <v>5</v>
      </c>
      <c r="J3113" s="7">
        <v>0</v>
      </c>
      <c r="K3113" s="7" t="s">
        <v>18</v>
      </c>
      <c r="L3113" s="8">
        <v>39891.213356481479</v>
      </c>
      <c r="M3113" s="9" t="s">
        <v>19</v>
      </c>
      <c r="N3113" s="9" t="s">
        <v>22</v>
      </c>
      <c r="O3113" s="6" t="str">
        <f>HYPERLINK("https://pbs.twimg.com/profile_images/1433591977631748099/wuGDIimB_normal.jpg","View")</f>
        <v>View</v>
      </c>
      <c r="P3113" s="7"/>
    </row>
    <row r="3114" spans="1:16">
      <c r="A3114" s="3">
        <v>44471.871412037042</v>
      </c>
      <c r="B3114" s="4" t="str">
        <f>HYPERLINK("https://twitter.com/sergio_fajardo","@sergio_fajardo")</f>
        <v>@sergio_fajardo</v>
      </c>
      <c r="C3114" s="5" t="s">
        <v>16</v>
      </c>
      <c r="D3114" s="5" t="s">
        <v>3135</v>
      </c>
      <c r="E3114" s="6" t="str">
        <f>HYPERLINK("https://twitter.com/sergio_fajardo/status/1444322492068384769","1444322492068384769")</f>
        <v>1444322492068384769</v>
      </c>
      <c r="F3114" s="7" t="s">
        <v>2329</v>
      </c>
      <c r="G3114" s="7">
        <v>1596140</v>
      </c>
      <c r="H3114" s="7">
        <v>572</v>
      </c>
      <c r="I3114" s="7">
        <v>3</v>
      </c>
      <c r="J3114" s="7">
        <v>11</v>
      </c>
      <c r="K3114" s="7" t="s">
        <v>18</v>
      </c>
      <c r="L3114" s="8">
        <v>39891.213356481479</v>
      </c>
      <c r="M3114" s="9" t="s">
        <v>19</v>
      </c>
      <c r="N3114" s="9" t="s">
        <v>22</v>
      </c>
      <c r="O3114" s="6" t="str">
        <f>HYPERLINK("https://pbs.twimg.com/profile_images/1433591977631748099/wuGDIimB_normal.jpg","View")</f>
        <v>View</v>
      </c>
      <c r="P3114" s="7"/>
    </row>
    <row r="3115" spans="1:16">
      <c r="A3115" s="3">
        <v>44471.994293981479</v>
      </c>
      <c r="B3115" s="4" t="str">
        <f>HYPERLINK("https://twitter.com/sergio_fajardo","@sergio_fajardo")</f>
        <v>@sergio_fajardo</v>
      </c>
      <c r="C3115" s="5" t="s">
        <v>16</v>
      </c>
      <c r="D3115" s="5" t="s">
        <v>3136</v>
      </c>
      <c r="E3115" s="6" t="str">
        <f>HYPERLINK("https://twitter.com/sergio_fajardo/status/1444367020204728323","1444367020204728323")</f>
        <v>1444367020204728323</v>
      </c>
      <c r="F3115" s="7" t="s">
        <v>17</v>
      </c>
      <c r="G3115" s="7">
        <v>1596142</v>
      </c>
      <c r="H3115" s="7">
        <v>572</v>
      </c>
      <c r="I3115" s="7">
        <v>1</v>
      </c>
      <c r="J3115" s="7">
        <v>0</v>
      </c>
      <c r="K3115" s="7" t="s">
        <v>18</v>
      </c>
      <c r="L3115" s="8">
        <v>39891.213356481479</v>
      </c>
      <c r="M3115" s="9" t="s">
        <v>19</v>
      </c>
      <c r="N3115" s="9" t="s">
        <v>22</v>
      </c>
      <c r="O3115" s="6" t="str">
        <f>HYPERLINK("https://pbs.twimg.com/profile_images/1433591977631748099/wuGDIimB_normal.jpg","View")</f>
        <v>View</v>
      </c>
      <c r="P3115" s="7"/>
    </row>
    <row r="3116" spans="1:16">
      <c r="A3116" s="3">
        <v>44471.994386574079</v>
      </c>
      <c r="B3116" s="4" t="str">
        <f>HYPERLINK("https://twitter.com/sergio_fajardo","@sergio_fajardo")</f>
        <v>@sergio_fajardo</v>
      </c>
      <c r="C3116" s="5" t="s">
        <v>16</v>
      </c>
      <c r="D3116" s="5" t="s">
        <v>3137</v>
      </c>
      <c r="E3116" s="6" t="str">
        <f>HYPERLINK("https://twitter.com/sergio_fajardo/status/1444367055122219008","1444367055122219008")</f>
        <v>1444367055122219008</v>
      </c>
      <c r="F3116" s="7" t="s">
        <v>17</v>
      </c>
      <c r="G3116" s="7">
        <v>1596142</v>
      </c>
      <c r="H3116" s="7">
        <v>572</v>
      </c>
      <c r="I3116" s="7">
        <v>3</v>
      </c>
      <c r="J3116" s="7">
        <v>5</v>
      </c>
      <c r="K3116" s="7" t="s">
        <v>18</v>
      </c>
      <c r="L3116" s="8">
        <v>39891.213356481479</v>
      </c>
      <c r="M3116" s="9" t="s">
        <v>19</v>
      </c>
      <c r="N3116" s="9" t="s">
        <v>22</v>
      </c>
      <c r="O3116" s="6" t="str">
        <f>HYPERLINK("https://pbs.twimg.com/profile_images/1433591977631748099/wuGDIimB_normal.jpg","View")</f>
        <v>View</v>
      </c>
      <c r="P3116" s="7"/>
    </row>
    <row r="3117" spans="1:16">
      <c r="A3117" s="3">
        <v>44472.00063657407</v>
      </c>
      <c r="B3117" s="4" t="str">
        <f>HYPERLINK("https://twitter.com/sergio_fajardo","@sergio_fajardo")</f>
        <v>@sergio_fajardo</v>
      </c>
      <c r="C3117" s="5" t="s">
        <v>16</v>
      </c>
      <c r="D3117" s="5" t="s">
        <v>3138</v>
      </c>
      <c r="E3117" s="6" t="str">
        <f>HYPERLINK("https://twitter.com/sergio_fajardo/status/1444369319648022534","1444369319648022534")</f>
        <v>1444369319648022534</v>
      </c>
      <c r="F3117" s="7" t="s">
        <v>17</v>
      </c>
      <c r="G3117" s="7">
        <v>1596142</v>
      </c>
      <c r="H3117" s="7">
        <v>572</v>
      </c>
      <c r="I3117" s="7">
        <v>2</v>
      </c>
      <c r="J3117" s="7">
        <v>0</v>
      </c>
      <c r="K3117" s="7" t="s">
        <v>18</v>
      </c>
      <c r="L3117" s="8">
        <v>39891.213356481479</v>
      </c>
      <c r="M3117" s="9" t="s">
        <v>19</v>
      </c>
      <c r="N3117" s="9" t="s">
        <v>22</v>
      </c>
      <c r="O3117" s="6" t="str">
        <f>HYPERLINK("https://pbs.twimg.com/profile_images/1433591977631748099/wuGDIimB_normal.jpg","View")</f>
        <v>View</v>
      </c>
      <c r="P3117" s="7"/>
    </row>
    <row r="3118" spans="1:16">
      <c r="A3118" s="3">
        <v>44472.006909722222</v>
      </c>
      <c r="B3118" s="4" t="str">
        <f>HYPERLINK("https://twitter.com/sergio_fajardo","@sergio_fajardo")</f>
        <v>@sergio_fajardo</v>
      </c>
      <c r="C3118" s="5" t="s">
        <v>16</v>
      </c>
      <c r="D3118" s="5" t="s">
        <v>3139</v>
      </c>
      <c r="E3118" s="6" t="str">
        <f>HYPERLINK("https://twitter.com/sergio_fajardo/status/1444371594516832260","1444371594516832260")</f>
        <v>1444371594516832260</v>
      </c>
      <c r="F3118" s="7" t="s">
        <v>17</v>
      </c>
      <c r="G3118" s="7">
        <v>1596149</v>
      </c>
      <c r="H3118" s="7">
        <v>572</v>
      </c>
      <c r="I3118" s="7">
        <v>1</v>
      </c>
      <c r="J3118" s="7">
        <v>0</v>
      </c>
      <c r="K3118" s="7" t="s">
        <v>18</v>
      </c>
      <c r="L3118" s="8">
        <v>39891.213356481479</v>
      </c>
      <c r="M3118" s="9" t="s">
        <v>19</v>
      </c>
      <c r="N3118" s="9" t="s">
        <v>22</v>
      </c>
      <c r="O3118" s="6" t="str">
        <f>HYPERLINK("https://pbs.twimg.com/profile_images/1433591977631748099/wuGDIimB_normal.jpg","View")</f>
        <v>View</v>
      </c>
      <c r="P3118" s="7"/>
    </row>
    <row r="3119" spans="1:16">
      <c r="A3119" s="3">
        <v>44472.198425925926</v>
      </c>
      <c r="B3119" s="4" t="str">
        <f>HYPERLINK("https://twitter.com/sergio_fajardo","@sergio_fajardo")</f>
        <v>@sergio_fajardo</v>
      </c>
      <c r="C3119" s="5" t="s">
        <v>16</v>
      </c>
      <c r="D3119" s="5" t="s">
        <v>3140</v>
      </c>
      <c r="E3119" s="6" t="str">
        <f>HYPERLINK("https://twitter.com/sergio_fajardo/status/1444440996406833160","1444440996406833160")</f>
        <v>1444440996406833160</v>
      </c>
      <c r="F3119" s="7" t="s">
        <v>17</v>
      </c>
      <c r="G3119" s="7">
        <v>1596188</v>
      </c>
      <c r="H3119" s="7">
        <v>570</v>
      </c>
      <c r="I3119" s="7">
        <v>3</v>
      </c>
      <c r="J3119" s="7">
        <v>37</v>
      </c>
      <c r="K3119" s="7" t="s">
        <v>18</v>
      </c>
      <c r="L3119" s="8">
        <v>39891.213356481479</v>
      </c>
      <c r="M3119" s="9" t="s">
        <v>19</v>
      </c>
      <c r="N3119" s="9" t="s">
        <v>22</v>
      </c>
      <c r="O3119" s="6" t="str">
        <f>HYPERLINK("https://pbs.twimg.com/profile_images/1433591977631748099/wuGDIimB_normal.jpg","View")</f>
        <v>View</v>
      </c>
      <c r="P3119" s="7"/>
    </row>
    <row r="3120" spans="1:16">
      <c r="A3120" s="3">
        <v>44472.205879629633</v>
      </c>
      <c r="B3120" s="4" t="str">
        <f>HYPERLINK("https://twitter.com/sergio_fajardo","@sergio_fajardo")</f>
        <v>@sergio_fajardo</v>
      </c>
      <c r="C3120" s="5" t="s">
        <v>16</v>
      </c>
      <c r="D3120" s="5" t="s">
        <v>3141</v>
      </c>
      <c r="E3120" s="6" t="str">
        <f>HYPERLINK("https://twitter.com/sergio_fajardo/status/1444443698343944193","1444443698343944193")</f>
        <v>1444443698343944193</v>
      </c>
      <c r="F3120" s="7" t="s">
        <v>17</v>
      </c>
      <c r="G3120" s="7">
        <v>1596188</v>
      </c>
      <c r="H3120" s="7">
        <v>570</v>
      </c>
      <c r="I3120" s="7">
        <v>10</v>
      </c>
      <c r="J3120" s="7">
        <v>0</v>
      </c>
      <c r="K3120" s="7" t="s">
        <v>18</v>
      </c>
      <c r="L3120" s="8">
        <v>39891.213356481479</v>
      </c>
      <c r="M3120" s="9" t="s">
        <v>19</v>
      </c>
      <c r="N3120" s="9" t="s">
        <v>22</v>
      </c>
      <c r="O3120" s="6" t="str">
        <f>HYPERLINK("https://pbs.twimg.com/profile_images/1433591977631748099/wuGDIimB_normal.jpg","View")</f>
        <v>View</v>
      </c>
      <c r="P3120" s="7"/>
    </row>
    <row r="3121" spans="1:16">
      <c r="A3121" s="3">
        <v>44472.205972222218</v>
      </c>
      <c r="B3121" s="4" t="str">
        <f>HYPERLINK("https://twitter.com/sergio_fajardo","@sergio_fajardo")</f>
        <v>@sergio_fajardo</v>
      </c>
      <c r="C3121" s="5" t="s">
        <v>16</v>
      </c>
      <c r="D3121" s="5" t="s">
        <v>3142</v>
      </c>
      <c r="E3121" s="6" t="str">
        <f>HYPERLINK("https://twitter.com/sergio_fajardo/status/1444443729989865475","1444443729989865475")</f>
        <v>1444443729989865475</v>
      </c>
      <c r="F3121" s="7" t="s">
        <v>17</v>
      </c>
      <c r="G3121" s="7">
        <v>1596188</v>
      </c>
      <c r="H3121" s="7">
        <v>570</v>
      </c>
      <c r="I3121" s="7">
        <v>5</v>
      </c>
      <c r="J3121" s="7">
        <v>0</v>
      </c>
      <c r="K3121" s="7" t="s">
        <v>18</v>
      </c>
      <c r="L3121" s="8">
        <v>39891.213356481479</v>
      </c>
      <c r="M3121" s="9" t="s">
        <v>19</v>
      </c>
      <c r="N3121" s="9" t="s">
        <v>22</v>
      </c>
      <c r="O3121" s="6" t="str">
        <f>HYPERLINK("https://pbs.twimg.com/profile_images/1433591977631748099/wuGDIimB_normal.jpg","View")</f>
        <v>View</v>
      </c>
      <c r="P3121" s="7"/>
    </row>
    <row r="3122" spans="1:16">
      <c r="A3122" s="3">
        <v>44472.77243055556</v>
      </c>
      <c r="B3122" s="4" t="str">
        <f>HYPERLINK("https://twitter.com/sergio_fajardo","@sergio_fajardo")</f>
        <v>@sergio_fajardo</v>
      </c>
      <c r="C3122" s="5" t="s">
        <v>16</v>
      </c>
      <c r="D3122" s="5" t="s">
        <v>3143</v>
      </c>
      <c r="E3122" s="6" t="str">
        <f>HYPERLINK("https://twitter.com/sergio_fajardo/status/1444649007117131785","1444649007117131785")</f>
        <v>1444649007117131785</v>
      </c>
      <c r="F3122" s="7" t="s">
        <v>2329</v>
      </c>
      <c r="G3122" s="7">
        <v>1596207</v>
      </c>
      <c r="H3122" s="7">
        <v>569</v>
      </c>
      <c r="I3122" s="7">
        <v>4</v>
      </c>
      <c r="J3122" s="7">
        <v>27</v>
      </c>
      <c r="K3122" s="7" t="s">
        <v>18</v>
      </c>
      <c r="L3122" s="8">
        <v>39891.213356481479</v>
      </c>
      <c r="M3122" s="9" t="s">
        <v>19</v>
      </c>
      <c r="N3122" s="9" t="s">
        <v>22</v>
      </c>
      <c r="O3122" s="6" t="str">
        <f>HYPERLINK("https://pbs.twimg.com/profile_images/1433591977631748099/wuGDIimB_normal.jpg","View")</f>
        <v>View</v>
      </c>
      <c r="P3122" s="7"/>
    </row>
    <row r="3123" spans="1:16">
      <c r="A3123" s="3">
        <v>44473.168842592597</v>
      </c>
      <c r="B3123" s="4" t="str">
        <f>HYPERLINK("https://twitter.com/sergio_fajardo","@sergio_fajardo")</f>
        <v>@sergio_fajardo</v>
      </c>
      <c r="C3123" s="5" t="s">
        <v>16</v>
      </c>
      <c r="D3123" s="5" t="s">
        <v>3144</v>
      </c>
      <c r="E3123" s="6" t="str">
        <f>HYPERLINK("https://twitter.com/sergio_fajardo/status/1444792663132282882","1444792663132282882")</f>
        <v>1444792663132282882</v>
      </c>
      <c r="F3123" s="7" t="s">
        <v>2329</v>
      </c>
      <c r="G3123" s="7">
        <v>1596247</v>
      </c>
      <c r="H3123" s="7">
        <v>569</v>
      </c>
      <c r="I3123" s="7">
        <v>7</v>
      </c>
      <c r="J3123" s="7">
        <v>37</v>
      </c>
      <c r="K3123" s="7" t="s">
        <v>18</v>
      </c>
      <c r="L3123" s="8">
        <v>39891.213356481479</v>
      </c>
      <c r="M3123" s="9" t="s">
        <v>19</v>
      </c>
      <c r="N3123" s="9" t="s">
        <v>22</v>
      </c>
      <c r="O3123" s="6" t="str">
        <f>HYPERLINK("https://pbs.twimg.com/profile_images/1433591977631748099/wuGDIimB_normal.jpg","View")</f>
        <v>View</v>
      </c>
      <c r="P3123" s="7"/>
    </row>
    <row r="3124" spans="1:16">
      <c r="A3124" s="3">
        <v>44473.302349537036</v>
      </c>
      <c r="B3124" s="4" t="str">
        <f>HYPERLINK("https://twitter.com/sergio_fajardo","@sergio_fajardo")</f>
        <v>@sergio_fajardo</v>
      </c>
      <c r="C3124" s="5" t="s">
        <v>16</v>
      </c>
      <c r="D3124" s="4" t="s">
        <v>3145</v>
      </c>
      <c r="E3124" s="6" t="str">
        <f>HYPERLINK("https://twitter.com/sergio_fajardo/status/1444841044072402951","1444841044072402951")</f>
        <v>1444841044072402951</v>
      </c>
      <c r="F3124" s="7" t="s">
        <v>17</v>
      </c>
      <c r="G3124" s="7">
        <v>1596258</v>
      </c>
      <c r="H3124" s="7">
        <v>569</v>
      </c>
      <c r="I3124" s="7">
        <v>1</v>
      </c>
      <c r="J3124" s="7">
        <v>5</v>
      </c>
      <c r="K3124" s="7" t="s">
        <v>18</v>
      </c>
      <c r="L3124" s="8">
        <v>39891.213356481479</v>
      </c>
      <c r="M3124" s="9" t="s">
        <v>19</v>
      </c>
      <c r="N3124" s="9" t="s">
        <v>22</v>
      </c>
      <c r="O3124" s="6" t="str">
        <f>HYPERLINK("https://pbs.twimg.com/profile_images/1433591977631748099/wuGDIimB_normal.jpg","View")</f>
        <v>View</v>
      </c>
      <c r="P3124" s="7"/>
    </row>
    <row r="3125" spans="1:16">
      <c r="A3125" s="3">
        <v>44473.328425925924</v>
      </c>
      <c r="B3125" s="4" t="str">
        <f>HYPERLINK("https://twitter.com/sergio_fajardo","@sergio_fajardo")</f>
        <v>@sergio_fajardo</v>
      </c>
      <c r="C3125" s="5" t="s">
        <v>16</v>
      </c>
      <c r="D3125" s="5" t="s">
        <v>3146</v>
      </c>
      <c r="E3125" s="6" t="str">
        <f>HYPERLINK("https://twitter.com/sergio_fajardo/status/1444850494736936961","1444850494736936961")</f>
        <v>1444850494736936961</v>
      </c>
      <c r="F3125" s="7" t="s">
        <v>17</v>
      </c>
      <c r="G3125" s="7">
        <v>1596264</v>
      </c>
      <c r="H3125" s="7">
        <v>569</v>
      </c>
      <c r="I3125" s="7">
        <v>188</v>
      </c>
      <c r="J3125" s="7">
        <v>0</v>
      </c>
      <c r="K3125" s="7" t="s">
        <v>18</v>
      </c>
      <c r="L3125" s="8">
        <v>39891.213356481479</v>
      </c>
      <c r="M3125" s="9" t="s">
        <v>19</v>
      </c>
      <c r="N3125" s="9" t="s">
        <v>22</v>
      </c>
      <c r="O3125" s="6" t="str">
        <f>HYPERLINK("https://pbs.twimg.com/profile_images/1433591977631748099/wuGDIimB_normal.jpg","View")</f>
        <v>View</v>
      </c>
      <c r="P3125" s="7"/>
    </row>
    <row r="3126" spans="1:16">
      <c r="A3126" s="3">
        <v>44473.778171296297</v>
      </c>
      <c r="B3126" s="4" t="str">
        <f>HYPERLINK("https://twitter.com/sergio_fajardo","@sergio_fajardo")</f>
        <v>@sergio_fajardo</v>
      </c>
      <c r="C3126" s="5" t="s">
        <v>16</v>
      </c>
      <c r="D3126" s="5" t="s">
        <v>3147</v>
      </c>
      <c r="E3126" s="6" t="str">
        <f>HYPERLINK("https://twitter.com/sergio_fajardo/status/1445013475256848385","1445013475256848385")</f>
        <v>1445013475256848385</v>
      </c>
      <c r="F3126" s="7" t="s">
        <v>17</v>
      </c>
      <c r="G3126" s="7">
        <v>1596276</v>
      </c>
      <c r="H3126" s="7">
        <v>569</v>
      </c>
      <c r="I3126" s="7">
        <v>6</v>
      </c>
      <c r="J3126" s="7">
        <v>0</v>
      </c>
      <c r="K3126" s="7" t="s">
        <v>18</v>
      </c>
      <c r="L3126" s="8">
        <v>39891.213356481479</v>
      </c>
      <c r="M3126" s="9" t="s">
        <v>19</v>
      </c>
      <c r="N3126" s="9" t="s">
        <v>22</v>
      </c>
      <c r="O3126" s="6" t="str">
        <f>HYPERLINK("https://pbs.twimg.com/profile_images/1433591977631748099/wuGDIimB_normal.jpg","View")</f>
        <v>View</v>
      </c>
      <c r="P3126" s="7"/>
    </row>
    <row r="3127" spans="1:16">
      <c r="A3127" s="3">
        <v>44473.778611111113</v>
      </c>
      <c r="B3127" s="4" t="str">
        <f>HYPERLINK("https://twitter.com/sergio_fajardo","@sergio_fajardo")</f>
        <v>@sergio_fajardo</v>
      </c>
      <c r="C3127" s="5" t="s">
        <v>16</v>
      </c>
      <c r="D3127" s="5" t="s">
        <v>3148</v>
      </c>
      <c r="E3127" s="6" t="str">
        <f>HYPERLINK("https://twitter.com/sergio_fajardo/status/1445013635743555591","1445013635743555591")</f>
        <v>1445013635743555591</v>
      </c>
      <c r="F3127" s="7" t="s">
        <v>17</v>
      </c>
      <c r="G3127" s="7">
        <v>1596276</v>
      </c>
      <c r="H3127" s="7">
        <v>569</v>
      </c>
      <c r="I3127" s="7">
        <v>87</v>
      </c>
      <c r="J3127" s="7">
        <v>0</v>
      </c>
      <c r="K3127" s="7" t="s">
        <v>18</v>
      </c>
      <c r="L3127" s="8">
        <v>39891.213356481479</v>
      </c>
      <c r="M3127" s="9" t="s">
        <v>19</v>
      </c>
      <c r="N3127" s="9" t="s">
        <v>22</v>
      </c>
      <c r="O3127" s="6" t="str">
        <f>HYPERLINK("https://pbs.twimg.com/profile_images/1433591977631748099/wuGDIimB_normal.jpg","View")</f>
        <v>View</v>
      </c>
      <c r="P3127" s="7"/>
    </row>
    <row r="3128" spans="1:16">
      <c r="A3128" s="3">
        <v>44473.780416666668</v>
      </c>
      <c r="B3128" s="4" t="str">
        <f>HYPERLINK("https://twitter.com/sergio_fajardo","@sergio_fajardo")</f>
        <v>@sergio_fajardo</v>
      </c>
      <c r="C3128" s="5" t="s">
        <v>16</v>
      </c>
      <c r="D3128" s="5" t="s">
        <v>3149</v>
      </c>
      <c r="E3128" s="6" t="str">
        <f>HYPERLINK("https://twitter.com/sergio_fajardo/status/1445014290315059201","1445014290315059201")</f>
        <v>1445014290315059201</v>
      </c>
      <c r="F3128" s="7" t="s">
        <v>17</v>
      </c>
      <c r="G3128" s="7">
        <v>1596276</v>
      </c>
      <c r="H3128" s="7">
        <v>569</v>
      </c>
      <c r="I3128" s="7">
        <v>1</v>
      </c>
      <c r="J3128" s="7">
        <v>0</v>
      </c>
      <c r="K3128" s="7" t="s">
        <v>18</v>
      </c>
      <c r="L3128" s="8">
        <v>39891.213356481479</v>
      </c>
      <c r="M3128" s="9" t="s">
        <v>19</v>
      </c>
      <c r="N3128" s="9" t="s">
        <v>22</v>
      </c>
      <c r="O3128" s="6" t="str">
        <f>HYPERLINK("https://pbs.twimg.com/profile_images/1433591977631748099/wuGDIimB_normal.jpg","View")</f>
        <v>View</v>
      </c>
      <c r="P3128" s="7"/>
    </row>
    <row r="3129" spans="1:16">
      <c r="A3129" s="3">
        <v>44474.296354166669</v>
      </c>
      <c r="B3129" s="4" t="str">
        <f>HYPERLINK("https://twitter.com/sergio_fajardo","@sergio_fajardo")</f>
        <v>@sergio_fajardo</v>
      </c>
      <c r="C3129" s="5" t="s">
        <v>16</v>
      </c>
      <c r="D3129" s="5" t="s">
        <v>3150</v>
      </c>
      <c r="E3129" s="6" t="str">
        <f>HYPERLINK("https://twitter.com/sergio_fajardo/status/1445201258860761089","1445201258860761089")</f>
        <v>1445201258860761089</v>
      </c>
      <c r="F3129" s="7" t="s">
        <v>17</v>
      </c>
      <c r="G3129" s="7">
        <v>1596814</v>
      </c>
      <c r="H3129" s="7">
        <v>569</v>
      </c>
      <c r="I3129" s="7">
        <v>4</v>
      </c>
      <c r="J3129" s="7">
        <v>26</v>
      </c>
      <c r="K3129" s="7" t="s">
        <v>18</v>
      </c>
      <c r="L3129" s="8">
        <v>39891.213356481479</v>
      </c>
      <c r="M3129" s="9" t="s">
        <v>19</v>
      </c>
      <c r="N3129" s="9" t="s">
        <v>22</v>
      </c>
      <c r="O3129" s="6" t="str">
        <f>HYPERLINK("https://pbs.twimg.com/profile_images/1433591977631748099/wuGDIimB_normal.jpg","View")</f>
        <v>View</v>
      </c>
      <c r="P3129" s="7"/>
    </row>
    <row r="3130" spans="1:16">
      <c r="A3130" s="3">
        <v>44474.730162037042</v>
      </c>
      <c r="B3130" s="4" t="str">
        <f>HYPERLINK("https://twitter.com/sergio_fajardo","@sergio_fajardo")</f>
        <v>@sergio_fajardo</v>
      </c>
      <c r="C3130" s="5" t="s">
        <v>16</v>
      </c>
      <c r="D3130" s="5" t="s">
        <v>3151</v>
      </c>
      <c r="E3130" s="6" t="str">
        <f>HYPERLINK("https://twitter.com/sergio_fajardo/status/1445358466013487105","1445358466013487105")</f>
        <v>1445358466013487105</v>
      </c>
      <c r="F3130" s="7" t="s">
        <v>2329</v>
      </c>
      <c r="G3130" s="7">
        <v>1596866</v>
      </c>
      <c r="H3130" s="7">
        <v>569</v>
      </c>
      <c r="I3130" s="7">
        <v>13</v>
      </c>
      <c r="J3130" s="7">
        <v>27</v>
      </c>
      <c r="K3130" s="7" t="s">
        <v>18</v>
      </c>
      <c r="L3130" s="8">
        <v>39891.213356481479</v>
      </c>
      <c r="M3130" s="9" t="s">
        <v>19</v>
      </c>
      <c r="N3130" s="9" t="s">
        <v>22</v>
      </c>
      <c r="O3130" s="6" t="str">
        <f>HYPERLINK("https://pbs.twimg.com/profile_images/1433591977631748099/wuGDIimB_normal.jpg","View")</f>
        <v>View</v>
      </c>
      <c r="P3130" s="7"/>
    </row>
    <row r="3131" spans="1:16">
      <c r="A3131" s="3">
        <v>44474.826296296298</v>
      </c>
      <c r="B3131" s="4" t="str">
        <f>HYPERLINK("https://twitter.com/sergio_fajardo","@sergio_fajardo")</f>
        <v>@sergio_fajardo</v>
      </c>
      <c r="C3131" s="5" t="s">
        <v>16</v>
      </c>
      <c r="D3131" s="5" t="s">
        <v>3152</v>
      </c>
      <c r="E3131" s="6" t="str">
        <f>HYPERLINK("https://twitter.com/sergio_fajardo/status/1445393302560428052","1445393302560428052")</f>
        <v>1445393302560428052</v>
      </c>
      <c r="F3131" s="7" t="s">
        <v>17</v>
      </c>
      <c r="G3131" s="7">
        <v>1596890</v>
      </c>
      <c r="H3131" s="7">
        <v>570</v>
      </c>
      <c r="I3131" s="7">
        <v>4</v>
      </c>
      <c r="J3131" s="7">
        <v>0</v>
      </c>
      <c r="K3131" s="7" t="s">
        <v>18</v>
      </c>
      <c r="L3131" s="8">
        <v>39891.213356481479</v>
      </c>
      <c r="M3131" s="9" t="s">
        <v>19</v>
      </c>
      <c r="N3131" s="9" t="s">
        <v>22</v>
      </c>
      <c r="O3131" s="6" t="str">
        <f>HYPERLINK("https://pbs.twimg.com/profile_images/1433591977631748099/wuGDIimB_normal.jpg","View")</f>
        <v>View</v>
      </c>
      <c r="P3131" s="7"/>
    </row>
    <row r="3132" spans="1:16">
      <c r="A3132" s="3">
        <v>44474.826435185183</v>
      </c>
      <c r="B3132" s="4" t="str">
        <f>HYPERLINK("https://twitter.com/sergio_fajardo","@sergio_fajardo")</f>
        <v>@sergio_fajardo</v>
      </c>
      <c r="C3132" s="5" t="s">
        <v>16</v>
      </c>
      <c r="D3132" s="5" t="s">
        <v>3153</v>
      </c>
      <c r="E3132" s="6" t="str">
        <f>HYPERLINK("https://twitter.com/sergio_fajardo/status/1445393355781902348","1445393355781902348")</f>
        <v>1445393355781902348</v>
      </c>
      <c r="F3132" s="7" t="s">
        <v>17</v>
      </c>
      <c r="G3132" s="7">
        <v>1596890</v>
      </c>
      <c r="H3132" s="7">
        <v>570</v>
      </c>
      <c r="I3132" s="7">
        <v>1</v>
      </c>
      <c r="J3132" s="7">
        <v>0</v>
      </c>
      <c r="K3132" s="7" t="s">
        <v>18</v>
      </c>
      <c r="L3132" s="8">
        <v>39891.213356481479</v>
      </c>
      <c r="M3132" s="9" t="s">
        <v>19</v>
      </c>
      <c r="N3132" s="9" t="s">
        <v>22</v>
      </c>
      <c r="O3132" s="6" t="str">
        <f>HYPERLINK("https://pbs.twimg.com/profile_images/1433591977631748099/wuGDIimB_normal.jpg","View")</f>
        <v>View</v>
      </c>
      <c r="P3132" s="7"/>
    </row>
    <row r="3133" spans="1:16">
      <c r="A3133" s="3">
        <v>44474.826469907406</v>
      </c>
      <c r="B3133" s="4" t="str">
        <f>HYPERLINK("https://twitter.com/sergio_fajardo","@sergio_fajardo")</f>
        <v>@sergio_fajardo</v>
      </c>
      <c r="C3133" s="5" t="s">
        <v>16</v>
      </c>
      <c r="D3133" s="5" t="s">
        <v>3154</v>
      </c>
      <c r="E3133" s="6" t="str">
        <f>HYPERLINK("https://twitter.com/sergio_fajardo/status/1445393365701435393","1445393365701435393")</f>
        <v>1445393365701435393</v>
      </c>
      <c r="F3133" s="7" t="s">
        <v>17</v>
      </c>
      <c r="G3133" s="7">
        <v>1596890</v>
      </c>
      <c r="H3133" s="7">
        <v>570</v>
      </c>
      <c r="I3133" s="7">
        <v>6</v>
      </c>
      <c r="J3133" s="7">
        <v>0</v>
      </c>
      <c r="K3133" s="7" t="s">
        <v>18</v>
      </c>
      <c r="L3133" s="8">
        <v>39891.213356481479</v>
      </c>
      <c r="M3133" s="9" t="s">
        <v>19</v>
      </c>
      <c r="N3133" s="9" t="s">
        <v>22</v>
      </c>
      <c r="O3133" s="6" t="str">
        <f>HYPERLINK("https://pbs.twimg.com/profile_images/1433591977631748099/wuGDIimB_normal.jpg","View")</f>
        <v>View</v>
      </c>
      <c r="P3133" s="7"/>
    </row>
    <row r="3134" spans="1:16">
      <c r="A3134" s="3">
        <v>44474.988518518519</v>
      </c>
      <c r="B3134" s="4" t="str">
        <f>HYPERLINK("https://twitter.com/sergio_fajardo","@sergio_fajardo")</f>
        <v>@sergio_fajardo</v>
      </c>
      <c r="C3134" s="5" t="s">
        <v>16</v>
      </c>
      <c r="D3134" s="5" t="s">
        <v>3155</v>
      </c>
      <c r="E3134" s="6" t="str">
        <f>HYPERLINK("https://twitter.com/sergio_fajardo/status/1445452092403945490","1445452092403945490")</f>
        <v>1445452092403945490</v>
      </c>
      <c r="F3134" s="7" t="s">
        <v>17</v>
      </c>
      <c r="G3134" s="7">
        <v>1596831</v>
      </c>
      <c r="H3134" s="7">
        <v>570</v>
      </c>
      <c r="I3134" s="7">
        <v>8</v>
      </c>
      <c r="J3134" s="7">
        <v>0</v>
      </c>
      <c r="K3134" s="7" t="s">
        <v>18</v>
      </c>
      <c r="L3134" s="8">
        <v>39891.213356481479</v>
      </c>
      <c r="M3134" s="9" t="s">
        <v>19</v>
      </c>
      <c r="N3134" s="9" t="s">
        <v>22</v>
      </c>
      <c r="O3134" s="6" t="str">
        <f>HYPERLINK("https://pbs.twimg.com/profile_images/1433591977631748099/wuGDIimB_normal.jpg","View")</f>
        <v>View</v>
      </c>
      <c r="P3134" s="7"/>
    </row>
    <row r="3135" spans="1:16">
      <c r="A3135" s="3">
        <v>44475.107777777783</v>
      </c>
      <c r="B3135" s="4" t="str">
        <f>HYPERLINK("https://twitter.com/sergio_fajardo","@sergio_fajardo")</f>
        <v>@sergio_fajardo</v>
      </c>
      <c r="C3135" s="5" t="s">
        <v>16</v>
      </c>
      <c r="D3135" s="5" t="s">
        <v>3156</v>
      </c>
      <c r="E3135" s="6" t="str">
        <f>HYPERLINK("https://twitter.com/sergio_fajardo/status/1445495310113857553","1445495310113857553")</f>
        <v>1445495310113857553</v>
      </c>
      <c r="F3135" s="7" t="s">
        <v>17</v>
      </c>
      <c r="G3135" s="7">
        <v>1596846</v>
      </c>
      <c r="H3135" s="7">
        <v>570</v>
      </c>
      <c r="I3135" s="7">
        <v>8</v>
      </c>
      <c r="J3135" s="7">
        <v>0</v>
      </c>
      <c r="K3135" s="7" t="s">
        <v>18</v>
      </c>
      <c r="L3135" s="8">
        <v>39891.213356481479</v>
      </c>
      <c r="M3135" s="9" t="s">
        <v>19</v>
      </c>
      <c r="N3135" s="9" t="s">
        <v>22</v>
      </c>
      <c r="O3135" s="6" t="str">
        <f>HYPERLINK("https://pbs.twimg.com/profile_images/1433591977631748099/wuGDIimB_normal.jpg","View")</f>
        <v>View</v>
      </c>
      <c r="P3135" s="7"/>
    </row>
    <row r="3136" spans="1:16">
      <c r="A3136" s="3">
        <v>44475.348935185189</v>
      </c>
      <c r="B3136" s="4" t="str">
        <f>HYPERLINK("https://twitter.com/sergio_fajardo","@sergio_fajardo")</f>
        <v>@sergio_fajardo</v>
      </c>
      <c r="C3136" s="5" t="s">
        <v>16</v>
      </c>
      <c r="D3136" s="5" t="s">
        <v>3157</v>
      </c>
      <c r="E3136" s="6" t="str">
        <f>HYPERLINK("https://twitter.com/sergio_fajardo/status/1445582701633761297","1445582701633761297")</f>
        <v>1445582701633761297</v>
      </c>
      <c r="F3136" s="7" t="s">
        <v>17</v>
      </c>
      <c r="G3136" s="7">
        <v>1596877</v>
      </c>
      <c r="H3136" s="7">
        <v>570</v>
      </c>
      <c r="I3136" s="7">
        <v>10</v>
      </c>
      <c r="J3136" s="7">
        <v>0</v>
      </c>
      <c r="K3136" s="7" t="s">
        <v>18</v>
      </c>
      <c r="L3136" s="8">
        <v>39891.213356481479</v>
      </c>
      <c r="M3136" s="9" t="s">
        <v>19</v>
      </c>
      <c r="N3136" s="9" t="s">
        <v>22</v>
      </c>
      <c r="O3136" s="6" t="str">
        <f>HYPERLINK("https://pbs.twimg.com/profile_images/1433591977631748099/wuGDIimB_normal.jpg","View")</f>
        <v>View</v>
      </c>
      <c r="P3136" s="7"/>
    </row>
    <row r="3137" spans="1:16">
      <c r="A3137" s="3">
        <v>44475.731388888889</v>
      </c>
      <c r="B3137" s="4" t="str">
        <f>HYPERLINK("https://twitter.com/sergio_fajardo","@sergio_fajardo")</f>
        <v>@sergio_fajardo</v>
      </c>
      <c r="C3137" s="5" t="s">
        <v>16</v>
      </c>
      <c r="D3137" s="5" t="s">
        <v>3158</v>
      </c>
      <c r="E3137" s="6" t="str">
        <f>HYPERLINK("https://twitter.com/sergio_fajardo/status/1445721298643021830","1445721298643021830")</f>
        <v>1445721298643021830</v>
      </c>
      <c r="F3137" s="7" t="s">
        <v>17</v>
      </c>
      <c r="G3137" s="7">
        <v>1596977</v>
      </c>
      <c r="H3137" s="7">
        <v>570</v>
      </c>
      <c r="I3137" s="7">
        <v>12</v>
      </c>
      <c r="J3137" s="7">
        <v>44</v>
      </c>
      <c r="K3137" s="7" t="s">
        <v>18</v>
      </c>
      <c r="L3137" s="8">
        <v>39891.213356481479</v>
      </c>
      <c r="M3137" s="9" t="s">
        <v>19</v>
      </c>
      <c r="N3137" s="9" t="s">
        <v>22</v>
      </c>
      <c r="O3137" s="6" t="str">
        <f>HYPERLINK("https://pbs.twimg.com/profile_images/1433591977631748099/wuGDIimB_normal.jpg","View")</f>
        <v>View</v>
      </c>
      <c r="P3137" s="7"/>
    </row>
    <row r="3138" spans="1:16">
      <c r="A3138" s="3">
        <v>44476.04414351852</v>
      </c>
      <c r="B3138" s="4" t="str">
        <f>HYPERLINK("https://twitter.com/sergio_fajardo","@sergio_fajardo")</f>
        <v>@sergio_fajardo</v>
      </c>
      <c r="C3138" s="5" t="s">
        <v>16</v>
      </c>
      <c r="D3138" s="5" t="s">
        <v>3159</v>
      </c>
      <c r="E3138" s="6" t="str">
        <f>HYPERLINK("https://twitter.com/sergio_fajardo/status/1445834635976474630","1445834635976474630")</f>
        <v>1445834635976474630</v>
      </c>
      <c r="F3138" s="7" t="s">
        <v>17</v>
      </c>
      <c r="G3138" s="7">
        <v>1596941</v>
      </c>
      <c r="H3138" s="7">
        <v>571</v>
      </c>
      <c r="I3138" s="7">
        <v>4</v>
      </c>
      <c r="J3138" s="7">
        <v>29</v>
      </c>
      <c r="K3138" s="7" t="s">
        <v>18</v>
      </c>
      <c r="L3138" s="8">
        <v>39891.213356481479</v>
      </c>
      <c r="M3138" s="9" t="s">
        <v>19</v>
      </c>
      <c r="N3138" s="9" t="s">
        <v>22</v>
      </c>
      <c r="O3138" s="6" t="str">
        <f>HYPERLINK("https://pbs.twimg.com/profile_images/1433591977631748099/wuGDIimB_normal.jpg","View")</f>
        <v>View</v>
      </c>
      <c r="P3138" s="7"/>
    </row>
    <row r="3139" spans="1:16">
      <c r="A3139" s="3">
        <v>44476.166585648149</v>
      </c>
      <c r="B3139" s="4" t="str">
        <f>HYPERLINK("https://twitter.com/sergio_fajardo","@sergio_fajardo")</f>
        <v>@sergio_fajardo</v>
      </c>
      <c r="C3139" s="5" t="s">
        <v>16</v>
      </c>
      <c r="D3139" s="5" t="s">
        <v>3160</v>
      </c>
      <c r="E3139" s="6" t="str">
        <f>HYPERLINK("https://twitter.com/sergio_fajardo/status/1445879008458002439","1445879008458002439")</f>
        <v>1445879008458002439</v>
      </c>
      <c r="F3139" s="7" t="s">
        <v>23</v>
      </c>
      <c r="G3139" s="7">
        <v>1597028</v>
      </c>
      <c r="H3139" s="7">
        <v>571</v>
      </c>
      <c r="I3139" s="7">
        <v>23</v>
      </c>
      <c r="J3139" s="7">
        <v>0</v>
      </c>
      <c r="K3139" s="7" t="s">
        <v>18</v>
      </c>
      <c r="L3139" s="8">
        <v>39891.213356481479</v>
      </c>
      <c r="M3139" s="9" t="s">
        <v>19</v>
      </c>
      <c r="N3139" s="9" t="s">
        <v>22</v>
      </c>
      <c r="O3139" s="6" t="str">
        <f>HYPERLINK("https://pbs.twimg.com/profile_images/1433591977631748099/wuGDIimB_normal.jpg","View")</f>
        <v>View</v>
      </c>
      <c r="P3139" s="7"/>
    </row>
    <row r="3140" spans="1:16">
      <c r="A3140" s="3">
        <v>44476.239155092597</v>
      </c>
      <c r="B3140" s="4" t="str">
        <f>HYPERLINK("https://twitter.com/sergio_fajardo","@sergio_fajardo")</f>
        <v>@sergio_fajardo</v>
      </c>
      <c r="C3140" s="5" t="s">
        <v>16</v>
      </c>
      <c r="D3140" s="5" t="s">
        <v>3161</v>
      </c>
      <c r="E3140" s="6" t="str">
        <f>HYPERLINK("https://twitter.com/sergio_fajardo/status/1445905305708097542","1445905305708097542")</f>
        <v>1445905305708097542</v>
      </c>
      <c r="F3140" s="7" t="s">
        <v>17</v>
      </c>
      <c r="G3140" s="7">
        <v>1597035</v>
      </c>
      <c r="H3140" s="7">
        <v>571</v>
      </c>
      <c r="I3140" s="7">
        <v>3</v>
      </c>
      <c r="J3140" s="7">
        <v>14</v>
      </c>
      <c r="K3140" s="7" t="s">
        <v>18</v>
      </c>
      <c r="L3140" s="8">
        <v>39891.213356481479</v>
      </c>
      <c r="M3140" s="9" t="s">
        <v>19</v>
      </c>
      <c r="N3140" s="9" t="s">
        <v>22</v>
      </c>
      <c r="O3140" s="6" t="str">
        <f>HYPERLINK("https://pbs.twimg.com/profile_images/1433591977631748099/wuGDIimB_normal.jpg","View")</f>
        <v>View</v>
      </c>
      <c r="P3140" s="7"/>
    </row>
    <row r="3141" spans="1:16">
      <c r="A3141" s="3">
        <v>44476.714004629626</v>
      </c>
      <c r="B3141" s="4" t="str">
        <f>HYPERLINK("https://twitter.com/sergio_fajardo","@sergio_fajardo")</f>
        <v>@sergio_fajardo</v>
      </c>
      <c r="C3141" s="5" t="s">
        <v>16</v>
      </c>
      <c r="D3141" s="5" t="s">
        <v>3162</v>
      </c>
      <c r="E3141" s="6" t="str">
        <f>HYPERLINK("https://twitter.com/sergio_fajardo/status/1446077388492845058","1446077388492845058")</f>
        <v>1446077388492845058</v>
      </c>
      <c r="F3141" s="7" t="s">
        <v>23</v>
      </c>
      <c r="G3141" s="7">
        <v>1597078</v>
      </c>
      <c r="H3141" s="7">
        <v>571</v>
      </c>
      <c r="I3141" s="7">
        <v>5</v>
      </c>
      <c r="J3141" s="7">
        <v>0</v>
      </c>
      <c r="K3141" s="7" t="s">
        <v>18</v>
      </c>
      <c r="L3141" s="8">
        <v>39891.213356481479</v>
      </c>
      <c r="M3141" s="9" t="s">
        <v>19</v>
      </c>
      <c r="N3141" s="9" t="s">
        <v>22</v>
      </c>
      <c r="O3141" s="6" t="str">
        <f>HYPERLINK("https://pbs.twimg.com/profile_images/1433591977631748099/wuGDIimB_normal.jpg","View")</f>
        <v>View</v>
      </c>
      <c r="P3141" s="7"/>
    </row>
    <row r="3142" spans="1:16">
      <c r="A3142" s="3">
        <v>44476.77444444444</v>
      </c>
      <c r="B3142" s="4" t="str">
        <f>HYPERLINK("https://twitter.com/sergio_fajardo","@sergio_fajardo")</f>
        <v>@sergio_fajardo</v>
      </c>
      <c r="C3142" s="5" t="s">
        <v>16</v>
      </c>
      <c r="D3142" s="5" t="s">
        <v>3163</v>
      </c>
      <c r="E3142" s="6" t="str">
        <f>HYPERLINK("https://twitter.com/sergio_fajardo/status/1446099291416760324","1446099291416760324")</f>
        <v>1446099291416760324</v>
      </c>
      <c r="F3142" s="7" t="s">
        <v>17</v>
      </c>
      <c r="G3142" s="7">
        <v>1597080</v>
      </c>
      <c r="H3142" s="7">
        <v>571</v>
      </c>
      <c r="I3142" s="7">
        <v>7</v>
      </c>
      <c r="J3142" s="7">
        <v>48</v>
      </c>
      <c r="K3142" s="7" t="s">
        <v>18</v>
      </c>
      <c r="L3142" s="8">
        <v>39891.213356481479</v>
      </c>
      <c r="M3142" s="9" t="s">
        <v>19</v>
      </c>
      <c r="N3142" s="9" t="s">
        <v>22</v>
      </c>
      <c r="O3142" s="6" t="str">
        <f>HYPERLINK("https://pbs.twimg.com/profile_images/1433591977631748099/wuGDIimB_normal.jpg","View")</f>
        <v>View</v>
      </c>
      <c r="P3142" s="7"/>
    </row>
    <row r="3143" spans="1:16">
      <c r="A3143" s="3">
        <v>44476.894027777773</v>
      </c>
      <c r="B3143" s="4" t="str">
        <f>HYPERLINK("https://twitter.com/sergio_fajardo","@sergio_fajardo")</f>
        <v>@sergio_fajardo</v>
      </c>
      <c r="C3143" s="5" t="s">
        <v>16</v>
      </c>
      <c r="D3143" s="5" t="s">
        <v>3164</v>
      </c>
      <c r="E3143" s="6" t="str">
        <f>HYPERLINK("https://twitter.com/sergio_fajardo/status/1446142623136235531","1446142623136235531")</f>
        <v>1446142623136235531</v>
      </c>
      <c r="F3143" s="7" t="s">
        <v>17</v>
      </c>
      <c r="G3143" s="7">
        <v>1597091</v>
      </c>
      <c r="H3143" s="7">
        <v>571</v>
      </c>
      <c r="I3143" s="7">
        <v>12</v>
      </c>
      <c r="J3143" s="7">
        <v>52</v>
      </c>
      <c r="K3143" s="7" t="s">
        <v>18</v>
      </c>
      <c r="L3143" s="8">
        <v>39891.213356481479</v>
      </c>
      <c r="M3143" s="9" t="s">
        <v>19</v>
      </c>
      <c r="N3143" s="9" t="s">
        <v>22</v>
      </c>
      <c r="O3143" s="6" t="str">
        <f>HYPERLINK("https://pbs.twimg.com/profile_images/1433591977631748099/wuGDIimB_normal.jpg","View")</f>
        <v>View</v>
      </c>
      <c r="P3143" s="7"/>
    </row>
    <row r="3144" spans="1:16">
      <c r="A3144" s="3">
        <v>44476.938425925924</v>
      </c>
      <c r="B3144" s="4" t="str">
        <f>HYPERLINK("https://twitter.com/sergio_fajardo","@sergio_fajardo")</f>
        <v>@sergio_fajardo</v>
      </c>
      <c r="C3144" s="5" t="s">
        <v>16</v>
      </c>
      <c r="D3144" s="5" t="s">
        <v>3165</v>
      </c>
      <c r="E3144" s="6" t="str">
        <f>HYPERLINK("https://twitter.com/sergio_fajardo/status/1446158713203699723","1446158713203699723")</f>
        <v>1446158713203699723</v>
      </c>
      <c r="F3144" s="7" t="s">
        <v>17</v>
      </c>
      <c r="G3144" s="7">
        <v>1597095</v>
      </c>
      <c r="H3144" s="7">
        <v>571</v>
      </c>
      <c r="I3144" s="7">
        <v>7</v>
      </c>
      <c r="J3144" s="7">
        <v>0</v>
      </c>
      <c r="K3144" s="7" t="s">
        <v>18</v>
      </c>
      <c r="L3144" s="8">
        <v>39891.213356481479</v>
      </c>
      <c r="M3144" s="9" t="s">
        <v>19</v>
      </c>
      <c r="N3144" s="9" t="s">
        <v>22</v>
      </c>
      <c r="O3144" s="6" t="str">
        <f>HYPERLINK("https://pbs.twimg.com/profile_images/1433591977631748099/wuGDIimB_normal.jpg","View")</f>
        <v>View</v>
      </c>
      <c r="P3144" s="7"/>
    </row>
    <row r="3145" spans="1:16">
      <c r="A3145" s="3">
        <v>44476.978692129633</v>
      </c>
      <c r="B3145" s="4" t="str">
        <f>HYPERLINK("https://twitter.com/sergio_fajardo","@sergio_fajardo")</f>
        <v>@sergio_fajardo</v>
      </c>
      <c r="C3145" s="5" t="s">
        <v>16</v>
      </c>
      <c r="D3145" s="5" t="s">
        <v>3166</v>
      </c>
      <c r="E3145" s="6" t="str">
        <f>HYPERLINK("https://twitter.com/sergio_fajardo/status/1446173305883537411","1446173305883537411")</f>
        <v>1446173305883537411</v>
      </c>
      <c r="F3145" s="7" t="s">
        <v>17</v>
      </c>
      <c r="G3145" s="7">
        <v>1597099</v>
      </c>
      <c r="H3145" s="7">
        <v>571</v>
      </c>
      <c r="I3145" s="7">
        <v>11</v>
      </c>
      <c r="J3145" s="7">
        <v>0</v>
      </c>
      <c r="K3145" s="7" t="s">
        <v>18</v>
      </c>
      <c r="L3145" s="8">
        <v>39891.213356481479</v>
      </c>
      <c r="M3145" s="9" t="s">
        <v>19</v>
      </c>
      <c r="N3145" s="9" t="s">
        <v>22</v>
      </c>
      <c r="O3145" s="6" t="str">
        <f>HYPERLINK("https://pbs.twimg.com/profile_images/1433591977631748099/wuGDIimB_normal.jpg","View")</f>
        <v>View</v>
      </c>
      <c r="P3145" s="7"/>
    </row>
    <row r="3146" spans="1:16">
      <c r="A3146" s="3">
        <v>44476.978749999995</v>
      </c>
      <c r="B3146" s="4" t="str">
        <f>HYPERLINK("https://twitter.com/sergio_fajardo","@sergio_fajardo")</f>
        <v>@sergio_fajardo</v>
      </c>
      <c r="C3146" s="5" t="s">
        <v>16</v>
      </c>
      <c r="D3146" s="5" t="s">
        <v>3167</v>
      </c>
      <c r="E3146" s="6" t="str">
        <f>HYPERLINK("https://twitter.com/sergio_fajardo/status/1446173327836463124","1446173327836463124")</f>
        <v>1446173327836463124</v>
      </c>
      <c r="F3146" s="7" t="s">
        <v>17</v>
      </c>
      <c r="G3146" s="7">
        <v>1597099</v>
      </c>
      <c r="H3146" s="7">
        <v>571</v>
      </c>
      <c r="I3146" s="7">
        <v>7</v>
      </c>
      <c r="J3146" s="7">
        <v>0</v>
      </c>
      <c r="K3146" s="7" t="s">
        <v>18</v>
      </c>
      <c r="L3146" s="8">
        <v>39891.213356481479</v>
      </c>
      <c r="M3146" s="9" t="s">
        <v>19</v>
      </c>
      <c r="N3146" s="9" t="s">
        <v>22</v>
      </c>
      <c r="O3146" s="6" t="str">
        <f>HYPERLINK("https://pbs.twimg.com/profile_images/1433591977631748099/wuGDIimB_normal.jpg","View")</f>
        <v>View</v>
      </c>
      <c r="P3146" s="7"/>
    </row>
    <row r="3147" spans="1:16">
      <c r="A3147" s="3">
        <v>44477.051307870366</v>
      </c>
      <c r="B3147" s="4" t="str">
        <f>HYPERLINK("https://twitter.com/sergio_fajardo","@sergio_fajardo")</f>
        <v>@sergio_fajardo</v>
      </c>
      <c r="C3147" s="5" t="s">
        <v>16</v>
      </c>
      <c r="D3147" s="5" t="s">
        <v>3168</v>
      </c>
      <c r="E3147" s="6" t="str">
        <f>HYPERLINK("https://twitter.com/sergio_fajardo/status/1446199619780812805","1446199619780812805")</f>
        <v>1446199619780812805</v>
      </c>
      <c r="F3147" s="7" t="s">
        <v>17</v>
      </c>
      <c r="G3147" s="7">
        <v>1597111</v>
      </c>
      <c r="H3147" s="7">
        <v>571</v>
      </c>
      <c r="I3147" s="7">
        <v>4</v>
      </c>
      <c r="J3147" s="7">
        <v>22</v>
      </c>
      <c r="K3147" s="7" t="s">
        <v>18</v>
      </c>
      <c r="L3147" s="8">
        <v>39891.213356481479</v>
      </c>
      <c r="M3147" s="9" t="s">
        <v>19</v>
      </c>
      <c r="N3147" s="9" t="s">
        <v>22</v>
      </c>
      <c r="O3147" s="6" t="str">
        <f>HYPERLINK("https://pbs.twimg.com/profile_images/1433591977631748099/wuGDIimB_normal.jpg","View")</f>
        <v>View</v>
      </c>
      <c r="P3147" s="7"/>
    </row>
    <row r="3148" spans="1:16">
      <c r="A3148" s="3">
        <v>44477.080081018517</v>
      </c>
      <c r="B3148" s="4" t="str">
        <f>HYPERLINK("https://twitter.com/sergio_fajardo","@sergio_fajardo")</f>
        <v>@sergio_fajardo</v>
      </c>
      <c r="C3148" s="5" t="s">
        <v>16</v>
      </c>
      <c r="D3148" s="5" t="s">
        <v>3169</v>
      </c>
      <c r="E3148" s="6" t="str">
        <f>HYPERLINK("https://twitter.com/sergio_fajardo/status/1446210048636641282","1446210048636641282")</f>
        <v>1446210048636641282</v>
      </c>
      <c r="F3148" s="7" t="s">
        <v>17</v>
      </c>
      <c r="G3148" s="7">
        <v>1597117</v>
      </c>
      <c r="H3148" s="7">
        <v>571</v>
      </c>
      <c r="I3148" s="7">
        <v>28</v>
      </c>
      <c r="J3148" s="7">
        <v>109</v>
      </c>
      <c r="K3148" s="7" t="s">
        <v>18</v>
      </c>
      <c r="L3148" s="8">
        <v>39891.213356481479</v>
      </c>
      <c r="M3148" s="9" t="s">
        <v>19</v>
      </c>
      <c r="N3148" s="9" t="s">
        <v>22</v>
      </c>
      <c r="O3148" s="6" t="str">
        <f>HYPERLINK("https://pbs.twimg.com/profile_images/1433591977631748099/wuGDIimB_normal.jpg","View")</f>
        <v>View</v>
      </c>
      <c r="P3148" s="7"/>
    </row>
    <row r="3149" spans="1:16">
      <c r="A3149" s="3">
        <v>44477.13444444444</v>
      </c>
      <c r="B3149" s="4" t="str">
        <f>HYPERLINK("https://twitter.com/sergio_fajardo","@sergio_fajardo")</f>
        <v>@sergio_fajardo</v>
      </c>
      <c r="C3149" s="5" t="s">
        <v>16</v>
      </c>
      <c r="D3149" s="5" t="s">
        <v>3170</v>
      </c>
      <c r="E3149" s="6" t="str">
        <f>HYPERLINK("https://twitter.com/sergio_fajardo/status/1446229748603138053","1446229748603138053")</f>
        <v>1446229748603138053</v>
      </c>
      <c r="F3149" s="7" t="s">
        <v>23</v>
      </c>
      <c r="G3149" s="7">
        <v>1597113</v>
      </c>
      <c r="H3149" s="7">
        <v>571</v>
      </c>
      <c r="I3149" s="7">
        <v>19</v>
      </c>
      <c r="J3149" s="7">
        <v>78</v>
      </c>
      <c r="K3149" s="7" t="s">
        <v>18</v>
      </c>
      <c r="L3149" s="8">
        <v>39891.213356481479</v>
      </c>
      <c r="M3149" s="9" t="s">
        <v>19</v>
      </c>
      <c r="N3149" s="9" t="s">
        <v>22</v>
      </c>
      <c r="O3149" s="6" t="str">
        <f>HYPERLINK("https://pbs.twimg.com/profile_images/1433591977631748099/wuGDIimB_normal.jpg","View")</f>
        <v>View</v>
      </c>
      <c r="P3149" s="7"/>
    </row>
    <row r="3150" spans="1:16">
      <c r="A3150" s="3">
        <v>44477.732164351852</v>
      </c>
      <c r="B3150" s="4" t="str">
        <f>HYPERLINK("https://twitter.com/sergio_fajardo","@sergio_fajardo")</f>
        <v>@sergio_fajardo</v>
      </c>
      <c r="C3150" s="5" t="s">
        <v>16</v>
      </c>
      <c r="D3150" s="5" t="s">
        <v>3171</v>
      </c>
      <c r="E3150" s="6" t="str">
        <f>HYPERLINK("https://twitter.com/sergio_fajardo/status/1446446353874292742","1446446353874292742")</f>
        <v>1446446353874292742</v>
      </c>
      <c r="F3150" s="7" t="s">
        <v>2329</v>
      </c>
      <c r="G3150" s="7">
        <v>1597154</v>
      </c>
      <c r="H3150" s="7">
        <v>572</v>
      </c>
      <c r="I3150" s="7">
        <v>5</v>
      </c>
      <c r="J3150" s="7">
        <v>24</v>
      </c>
      <c r="K3150" s="7" t="s">
        <v>18</v>
      </c>
      <c r="L3150" s="8">
        <v>39891.213356481479</v>
      </c>
      <c r="M3150" s="9" t="s">
        <v>19</v>
      </c>
      <c r="N3150" s="9" t="s">
        <v>22</v>
      </c>
      <c r="O3150" s="6" t="str">
        <f>HYPERLINK("https://pbs.twimg.com/profile_images/1433591977631748099/wuGDIimB_normal.jpg","View")</f>
        <v>View</v>
      </c>
      <c r="P3150" s="7"/>
    </row>
    <row r="3151" spans="1:16">
      <c r="A3151" s="3">
        <v>44477.816944444443</v>
      </c>
      <c r="B3151" s="4" t="str">
        <f>HYPERLINK("https://twitter.com/sergio_fajardo","@sergio_fajardo")</f>
        <v>@sergio_fajardo</v>
      </c>
      <c r="C3151" s="5" t="s">
        <v>16</v>
      </c>
      <c r="D3151" s="5" t="s">
        <v>3172</v>
      </c>
      <c r="E3151" s="6" t="str">
        <f>HYPERLINK("https://twitter.com/sergio_fajardo/status/1446477079931985939","1446477079931985939")</f>
        <v>1446477079931985939</v>
      </c>
      <c r="F3151" s="7" t="s">
        <v>17</v>
      </c>
      <c r="G3151" s="7">
        <v>1597152</v>
      </c>
      <c r="H3151" s="7">
        <v>572</v>
      </c>
      <c r="I3151" s="7">
        <v>1</v>
      </c>
      <c r="J3151" s="7">
        <v>0</v>
      </c>
      <c r="K3151" s="7" t="s">
        <v>18</v>
      </c>
      <c r="L3151" s="8">
        <v>39891.213356481479</v>
      </c>
      <c r="M3151" s="9" t="s">
        <v>19</v>
      </c>
      <c r="N3151" s="9" t="s">
        <v>22</v>
      </c>
      <c r="O3151" s="6" t="str">
        <f>HYPERLINK("https://pbs.twimg.com/profile_images/1433591977631748099/wuGDIimB_normal.jpg","View")</f>
        <v>View</v>
      </c>
      <c r="P3151" s="7"/>
    </row>
    <row r="3152" spans="1:16">
      <c r="A3152" s="3">
        <v>44477.900046296301</v>
      </c>
      <c r="B3152" s="4" t="str">
        <f>HYPERLINK("https://twitter.com/sergio_fajardo","@sergio_fajardo")</f>
        <v>@sergio_fajardo</v>
      </c>
      <c r="C3152" s="5" t="s">
        <v>16</v>
      </c>
      <c r="D3152" s="5" t="s">
        <v>3173</v>
      </c>
      <c r="E3152" s="6" t="str">
        <f>HYPERLINK("https://twitter.com/sergio_fajardo/status/1446507192367132677","1446507192367132677")</f>
        <v>1446507192367132677</v>
      </c>
      <c r="F3152" s="7" t="s">
        <v>17</v>
      </c>
      <c r="G3152" s="7">
        <v>1597167</v>
      </c>
      <c r="H3152" s="7">
        <v>572</v>
      </c>
      <c r="I3152" s="7">
        <v>2</v>
      </c>
      <c r="J3152" s="7">
        <v>13</v>
      </c>
      <c r="K3152" s="7" t="s">
        <v>18</v>
      </c>
      <c r="L3152" s="8">
        <v>39891.213356481479</v>
      </c>
      <c r="M3152" s="9" t="s">
        <v>19</v>
      </c>
      <c r="N3152" s="9" t="s">
        <v>22</v>
      </c>
      <c r="O3152" s="6" t="str">
        <f>HYPERLINK("https://pbs.twimg.com/profile_images/1433591977631748099/wuGDIimB_normal.jpg","View")</f>
        <v>View</v>
      </c>
      <c r="P3152" s="7"/>
    </row>
    <row r="3153" spans="1:16">
      <c r="A3153" s="3">
        <v>44477.942141203705</v>
      </c>
      <c r="B3153" s="4" t="str">
        <f>HYPERLINK("https://twitter.com/sergio_fajardo","@sergio_fajardo")</f>
        <v>@sergio_fajardo</v>
      </c>
      <c r="C3153" s="5" t="s">
        <v>16</v>
      </c>
      <c r="D3153" s="5" t="s">
        <v>3174</v>
      </c>
      <c r="E3153" s="6" t="str">
        <f>HYPERLINK("https://twitter.com/sergio_fajardo/status/1446522450364219399","1446522450364219399")</f>
        <v>1446522450364219399</v>
      </c>
      <c r="F3153" s="7" t="s">
        <v>17</v>
      </c>
      <c r="G3153" s="7">
        <v>1597174</v>
      </c>
      <c r="H3153" s="7">
        <v>572</v>
      </c>
      <c r="I3153" s="7">
        <v>6</v>
      </c>
      <c r="J3153" s="7">
        <v>0</v>
      </c>
      <c r="K3153" s="7" t="s">
        <v>18</v>
      </c>
      <c r="L3153" s="8">
        <v>39891.213356481479</v>
      </c>
      <c r="M3153" s="9" t="s">
        <v>19</v>
      </c>
      <c r="N3153" s="9" t="s">
        <v>22</v>
      </c>
      <c r="O3153" s="6" t="str">
        <f>HYPERLINK("https://pbs.twimg.com/profile_images/1433591977631748099/wuGDIimB_normal.jpg","View")</f>
        <v>View</v>
      </c>
      <c r="P3153" s="7"/>
    </row>
    <row r="3154" spans="1:16">
      <c r="A3154" s="3">
        <v>44477.954837962963</v>
      </c>
      <c r="B3154" s="4" t="str">
        <f>HYPERLINK("https://twitter.com/sergio_fajardo","@sergio_fajardo")</f>
        <v>@sergio_fajardo</v>
      </c>
      <c r="C3154" s="5" t="s">
        <v>16</v>
      </c>
      <c r="D3154" s="5" t="s">
        <v>3175</v>
      </c>
      <c r="E3154" s="6" t="str">
        <f>HYPERLINK("https://twitter.com/sergio_fajardo/status/1446527050286837760","1446527050286837760")</f>
        <v>1446527050286837760</v>
      </c>
      <c r="F3154" s="7" t="s">
        <v>23</v>
      </c>
      <c r="G3154" s="7">
        <v>1597175</v>
      </c>
      <c r="H3154" s="7">
        <v>572</v>
      </c>
      <c r="I3154" s="7">
        <v>1</v>
      </c>
      <c r="J3154" s="7">
        <v>12</v>
      </c>
      <c r="K3154" s="7" t="s">
        <v>18</v>
      </c>
      <c r="L3154" s="8">
        <v>39891.213356481479</v>
      </c>
      <c r="M3154" s="9" t="s">
        <v>19</v>
      </c>
      <c r="N3154" s="9" t="s">
        <v>22</v>
      </c>
      <c r="O3154" s="6" t="str">
        <f>HYPERLINK("https://pbs.twimg.com/profile_images/1433591977631748099/wuGDIimB_normal.jpg","View")</f>
        <v>View</v>
      </c>
      <c r="P3154" s="7"/>
    </row>
    <row r="3155" spans="1:16">
      <c r="A3155" s="3">
        <v>44477.955335648148</v>
      </c>
      <c r="B3155" s="4" t="str">
        <f>HYPERLINK("https://twitter.com/sergio_fajardo","@sergio_fajardo")</f>
        <v>@sergio_fajardo</v>
      </c>
      <c r="C3155" s="5" t="s">
        <v>16</v>
      </c>
      <c r="D3155" s="5" t="s">
        <v>3176</v>
      </c>
      <c r="E3155" s="6" t="str">
        <f>HYPERLINK("https://twitter.com/sergio_fajardo/status/1446527229677248513","1446527229677248513")</f>
        <v>1446527229677248513</v>
      </c>
      <c r="F3155" s="7" t="s">
        <v>17</v>
      </c>
      <c r="G3155" s="7">
        <v>1597175</v>
      </c>
      <c r="H3155" s="7">
        <v>572</v>
      </c>
      <c r="I3155" s="7">
        <v>4</v>
      </c>
      <c r="J3155" s="7">
        <v>0</v>
      </c>
      <c r="K3155" s="7" t="s">
        <v>18</v>
      </c>
      <c r="L3155" s="8">
        <v>39891.213356481479</v>
      </c>
      <c r="M3155" s="9" t="s">
        <v>19</v>
      </c>
      <c r="N3155" s="9" t="s">
        <v>22</v>
      </c>
      <c r="O3155" s="6" t="str">
        <f>HYPERLINK("https://pbs.twimg.com/profile_images/1433591977631748099/wuGDIimB_normal.jpg","View")</f>
        <v>View</v>
      </c>
      <c r="P3155" s="7"/>
    </row>
    <row r="3156" spans="1:16">
      <c r="A3156" s="3">
        <v>44477.957766203705</v>
      </c>
      <c r="B3156" s="4" t="str">
        <f>HYPERLINK("https://twitter.com/sergio_fajardo","@sergio_fajardo")</f>
        <v>@sergio_fajardo</v>
      </c>
      <c r="C3156" s="5" t="s">
        <v>16</v>
      </c>
      <c r="D3156" s="5" t="s">
        <v>3177</v>
      </c>
      <c r="E3156" s="6" t="str">
        <f>HYPERLINK("https://twitter.com/sergio_fajardo/status/1446528109449289744","1446528109449289744")</f>
        <v>1446528109449289744</v>
      </c>
      <c r="F3156" s="7" t="s">
        <v>17</v>
      </c>
      <c r="G3156" s="7">
        <v>1597175</v>
      </c>
      <c r="H3156" s="7">
        <v>572</v>
      </c>
      <c r="I3156" s="7">
        <v>2</v>
      </c>
      <c r="J3156" s="7">
        <v>0</v>
      </c>
      <c r="K3156" s="7" t="s">
        <v>18</v>
      </c>
      <c r="L3156" s="8">
        <v>39891.213356481479</v>
      </c>
      <c r="M3156" s="9" t="s">
        <v>19</v>
      </c>
      <c r="N3156" s="9" t="s">
        <v>22</v>
      </c>
      <c r="O3156" s="6" t="str">
        <f>HYPERLINK("https://pbs.twimg.com/profile_images/1433591977631748099/wuGDIimB_normal.jpg","View")</f>
        <v>View</v>
      </c>
      <c r="P3156" s="7"/>
    </row>
    <row r="3157" spans="1:16">
      <c r="A3157" s="3">
        <v>44477.962384259255</v>
      </c>
      <c r="B3157" s="4" t="str">
        <f>HYPERLINK("https://twitter.com/sergio_fajardo","@sergio_fajardo")</f>
        <v>@sergio_fajardo</v>
      </c>
      <c r="C3157" s="5" t="s">
        <v>16</v>
      </c>
      <c r="D3157" s="5" t="s">
        <v>3178</v>
      </c>
      <c r="E3157" s="6" t="str">
        <f>HYPERLINK("https://twitter.com/sergio_fajardo/status/1446529786415915026","1446529786415915026")</f>
        <v>1446529786415915026</v>
      </c>
      <c r="F3157" s="7" t="s">
        <v>23</v>
      </c>
      <c r="G3157" s="7">
        <v>1597175</v>
      </c>
      <c r="H3157" s="7">
        <v>572</v>
      </c>
      <c r="I3157" s="7">
        <v>1</v>
      </c>
      <c r="J3157" s="7">
        <v>0</v>
      </c>
      <c r="K3157" s="7" t="s">
        <v>18</v>
      </c>
      <c r="L3157" s="8">
        <v>39891.213356481479</v>
      </c>
      <c r="M3157" s="9" t="s">
        <v>19</v>
      </c>
      <c r="N3157" s="9" t="s">
        <v>22</v>
      </c>
      <c r="O3157" s="6" t="str">
        <f>HYPERLINK("https://pbs.twimg.com/profile_images/1433591977631748099/wuGDIimB_normal.jpg","View")</f>
        <v>View</v>
      </c>
      <c r="P3157" s="7"/>
    </row>
    <row r="3158" spans="1:16">
      <c r="A3158" s="3">
        <v>44477.963483796295</v>
      </c>
      <c r="B3158" s="4" t="str">
        <f>HYPERLINK("https://twitter.com/sergio_fajardo","@sergio_fajardo")</f>
        <v>@sergio_fajardo</v>
      </c>
      <c r="C3158" s="5" t="s">
        <v>16</v>
      </c>
      <c r="D3158" s="5" t="s">
        <v>3179</v>
      </c>
      <c r="E3158" s="6" t="str">
        <f>HYPERLINK("https://twitter.com/sergio_fajardo/status/1446530182530150404","1446530182530150404")</f>
        <v>1446530182530150404</v>
      </c>
      <c r="F3158" s="7" t="s">
        <v>17</v>
      </c>
      <c r="G3158" s="7">
        <v>1597175</v>
      </c>
      <c r="H3158" s="7">
        <v>572</v>
      </c>
      <c r="I3158" s="7">
        <v>1</v>
      </c>
      <c r="J3158" s="7">
        <v>0</v>
      </c>
      <c r="K3158" s="7" t="s">
        <v>18</v>
      </c>
      <c r="L3158" s="8">
        <v>39891.213356481479</v>
      </c>
      <c r="M3158" s="9" t="s">
        <v>19</v>
      </c>
      <c r="N3158" s="9" t="s">
        <v>22</v>
      </c>
      <c r="O3158" s="6" t="str">
        <f>HYPERLINK("https://pbs.twimg.com/profile_images/1433591977631748099/wuGDIimB_normal.jpg","View")</f>
        <v>View</v>
      </c>
      <c r="P3158" s="7"/>
    </row>
    <row r="3159" spans="1:16">
      <c r="A3159" s="3">
        <v>44477.979849537034</v>
      </c>
      <c r="B3159" s="4" t="str">
        <f>HYPERLINK("https://twitter.com/sergio_fajardo","@sergio_fajardo")</f>
        <v>@sergio_fajardo</v>
      </c>
      <c r="C3159" s="5" t="s">
        <v>16</v>
      </c>
      <c r="D3159" s="5" t="s">
        <v>3180</v>
      </c>
      <c r="E3159" s="6" t="str">
        <f>HYPERLINK("https://twitter.com/sergio_fajardo/status/1446536113070514177","1446536113070514177")</f>
        <v>1446536113070514177</v>
      </c>
      <c r="F3159" s="7" t="s">
        <v>17</v>
      </c>
      <c r="G3159" s="7">
        <v>1597180</v>
      </c>
      <c r="H3159" s="7">
        <v>572</v>
      </c>
      <c r="I3159" s="7">
        <v>2</v>
      </c>
      <c r="J3159" s="7">
        <v>0</v>
      </c>
      <c r="K3159" s="7" t="s">
        <v>18</v>
      </c>
      <c r="L3159" s="8">
        <v>39891.213356481479</v>
      </c>
      <c r="M3159" s="9" t="s">
        <v>19</v>
      </c>
      <c r="N3159" s="9" t="s">
        <v>22</v>
      </c>
      <c r="O3159" s="6" t="str">
        <f>HYPERLINK("https://pbs.twimg.com/profile_images/1433591977631748099/wuGDIimB_normal.jpg","View")</f>
        <v>View</v>
      </c>
      <c r="P3159" s="7"/>
    </row>
    <row r="3160" spans="1:16">
      <c r="A3160" s="3">
        <v>44477.980833333335</v>
      </c>
      <c r="B3160" s="4" t="str">
        <f>HYPERLINK("https://twitter.com/sergio_fajardo","@sergio_fajardo")</f>
        <v>@sergio_fajardo</v>
      </c>
      <c r="C3160" s="5" t="s">
        <v>16</v>
      </c>
      <c r="D3160" s="5" t="s">
        <v>3181</v>
      </c>
      <c r="E3160" s="6" t="str">
        <f>HYPERLINK("https://twitter.com/sergio_fajardo/status/1446536471666741251","1446536471666741251")</f>
        <v>1446536471666741251</v>
      </c>
      <c r="F3160" s="7" t="s">
        <v>17</v>
      </c>
      <c r="G3160" s="7">
        <v>1597180</v>
      </c>
      <c r="H3160" s="7">
        <v>572</v>
      </c>
      <c r="I3160" s="7">
        <v>1</v>
      </c>
      <c r="J3160" s="7">
        <v>0</v>
      </c>
      <c r="K3160" s="7" t="s">
        <v>18</v>
      </c>
      <c r="L3160" s="8">
        <v>39891.213356481479</v>
      </c>
      <c r="M3160" s="9" t="s">
        <v>19</v>
      </c>
      <c r="N3160" s="9" t="s">
        <v>22</v>
      </c>
      <c r="O3160" s="6" t="str">
        <f>HYPERLINK("https://pbs.twimg.com/profile_images/1433591977631748099/wuGDIimB_normal.jpg","View")</f>
        <v>View</v>
      </c>
      <c r="P3160" s="7"/>
    </row>
    <row r="3161" spans="1:16">
      <c r="A3161" s="3">
        <v>44478.047210648147</v>
      </c>
      <c r="B3161" s="4" t="str">
        <f>HYPERLINK("https://twitter.com/sergio_fajardo","@sergio_fajardo")</f>
        <v>@sergio_fajardo</v>
      </c>
      <c r="C3161" s="5" t="s">
        <v>16</v>
      </c>
      <c r="D3161" s="5" t="s">
        <v>3182</v>
      </c>
      <c r="E3161" s="6" t="str">
        <f>HYPERLINK("https://twitter.com/sergio_fajardo/status/1446560525043830814","1446560525043830814")</f>
        <v>1446560525043830814</v>
      </c>
      <c r="F3161" s="7" t="s">
        <v>17</v>
      </c>
      <c r="G3161" s="7">
        <v>1597178</v>
      </c>
      <c r="H3161" s="7">
        <v>573</v>
      </c>
      <c r="I3161" s="7">
        <v>2</v>
      </c>
      <c r="J3161" s="7">
        <v>17</v>
      </c>
      <c r="K3161" s="7" t="s">
        <v>18</v>
      </c>
      <c r="L3161" s="8">
        <v>39891.213356481479</v>
      </c>
      <c r="M3161" s="9" t="s">
        <v>19</v>
      </c>
      <c r="N3161" s="9" t="s">
        <v>22</v>
      </c>
      <c r="O3161" s="6" t="str">
        <f>HYPERLINK("https://pbs.twimg.com/profile_images/1433591977631748099/wuGDIimB_normal.jpg","View")</f>
        <v>View</v>
      </c>
      <c r="P3161" s="7"/>
    </row>
    <row r="3162" spans="1:16">
      <c r="A3162" s="3">
        <v>44478.77616898148</v>
      </c>
      <c r="B3162" s="4" t="str">
        <f>HYPERLINK("https://twitter.com/sergio_fajardo","@sergio_fajardo")</f>
        <v>@sergio_fajardo</v>
      </c>
      <c r="C3162" s="5" t="s">
        <v>16</v>
      </c>
      <c r="D3162" s="5" t="s">
        <v>3183</v>
      </c>
      <c r="E3162" s="6" t="str">
        <f>HYPERLINK("https://twitter.com/sergio_fajardo/status/1446824689612042243","1446824689612042243")</f>
        <v>1446824689612042243</v>
      </c>
      <c r="F3162" s="7" t="s">
        <v>2329</v>
      </c>
      <c r="G3162" s="7">
        <v>1597194</v>
      </c>
      <c r="H3162" s="7">
        <v>573</v>
      </c>
      <c r="I3162" s="7">
        <v>5</v>
      </c>
      <c r="J3162" s="7">
        <v>24</v>
      </c>
      <c r="K3162" s="7" t="s">
        <v>18</v>
      </c>
      <c r="L3162" s="8">
        <v>39891.213356481479</v>
      </c>
      <c r="M3162" s="9" t="s">
        <v>19</v>
      </c>
      <c r="N3162" s="9" t="s">
        <v>22</v>
      </c>
      <c r="O3162" s="6" t="str">
        <f>HYPERLINK("https://pbs.twimg.com/profile_images/1433591977631748099/wuGDIimB_normal.jpg","View")</f>
        <v>View</v>
      </c>
      <c r="P3162" s="7"/>
    </row>
    <row r="3163" spans="1:16">
      <c r="A3163" s="3">
        <v>44478.809328703705</v>
      </c>
      <c r="B3163" s="4" t="str">
        <f>HYPERLINK("https://twitter.com/sergio_fajardo","@sergio_fajardo")</f>
        <v>@sergio_fajardo</v>
      </c>
      <c r="C3163" s="5" t="s">
        <v>16</v>
      </c>
      <c r="D3163" s="5" t="s">
        <v>3184</v>
      </c>
      <c r="E3163" s="6" t="str">
        <f>HYPERLINK("https://twitter.com/sergio_fajardo/status/1446836705714180097","1446836705714180097")</f>
        <v>1446836705714180097</v>
      </c>
      <c r="F3163" s="7" t="s">
        <v>2329</v>
      </c>
      <c r="G3163" s="7">
        <v>1597196</v>
      </c>
      <c r="H3163" s="7">
        <v>573</v>
      </c>
      <c r="I3163" s="7">
        <v>3</v>
      </c>
      <c r="J3163" s="7">
        <v>21</v>
      </c>
      <c r="K3163" s="7" t="s">
        <v>18</v>
      </c>
      <c r="L3163" s="8">
        <v>39891.213356481479</v>
      </c>
      <c r="M3163" s="9" t="s">
        <v>19</v>
      </c>
      <c r="N3163" s="9" t="s">
        <v>22</v>
      </c>
      <c r="O3163" s="6" t="str">
        <f>HYPERLINK("https://pbs.twimg.com/profile_images/1433591977631748099/wuGDIimB_normal.jpg","View")</f>
        <v>View</v>
      </c>
      <c r="P3163" s="7"/>
    </row>
    <row r="3164" spans="1:16">
      <c r="A3164" s="3">
        <v>44478.823946759258</v>
      </c>
      <c r="B3164" s="4" t="str">
        <f>HYPERLINK("https://twitter.com/sergio_fajardo","@sergio_fajardo")</f>
        <v>@sergio_fajardo</v>
      </c>
      <c r="C3164" s="5" t="s">
        <v>16</v>
      </c>
      <c r="D3164" s="5" t="s">
        <v>3185</v>
      </c>
      <c r="E3164" s="6" t="str">
        <f>HYPERLINK("https://twitter.com/sergio_fajardo/status/1446842004403523590","1446842004403523590")</f>
        <v>1446842004403523590</v>
      </c>
      <c r="F3164" s="7" t="s">
        <v>23</v>
      </c>
      <c r="G3164" s="7">
        <v>1597196</v>
      </c>
      <c r="H3164" s="7">
        <v>573</v>
      </c>
      <c r="I3164" s="7">
        <v>0</v>
      </c>
      <c r="J3164" s="7">
        <v>0</v>
      </c>
      <c r="K3164" s="7" t="s">
        <v>18</v>
      </c>
      <c r="L3164" s="8">
        <v>39891.213356481479</v>
      </c>
      <c r="M3164" s="9" t="s">
        <v>19</v>
      </c>
      <c r="N3164" s="9" t="s">
        <v>22</v>
      </c>
      <c r="O3164" s="6" t="str">
        <f>HYPERLINK("https://pbs.twimg.com/profile_images/1433591977631748099/wuGDIimB_normal.jpg","View")</f>
        <v>View</v>
      </c>
      <c r="P3164" s="7"/>
    </row>
    <row r="3165" spans="1:16">
      <c r="A3165" s="3">
        <v>44478.856122685189</v>
      </c>
      <c r="B3165" s="4" t="str">
        <f>HYPERLINK("https://twitter.com/sergio_fajardo","@sergio_fajardo")</f>
        <v>@sergio_fajardo</v>
      </c>
      <c r="C3165" s="5" t="s">
        <v>16</v>
      </c>
      <c r="D3165" s="5" t="s">
        <v>3186</v>
      </c>
      <c r="E3165" s="6" t="str">
        <f>HYPERLINK("https://twitter.com/sergio_fajardo/status/1446853666410012682","1446853666410012682")</f>
        <v>1446853666410012682</v>
      </c>
      <c r="F3165" s="7" t="s">
        <v>17</v>
      </c>
      <c r="G3165" s="7">
        <v>1597203</v>
      </c>
      <c r="H3165" s="7">
        <v>573</v>
      </c>
      <c r="I3165" s="7">
        <v>1</v>
      </c>
      <c r="J3165" s="7">
        <v>39</v>
      </c>
      <c r="K3165" s="7" t="s">
        <v>18</v>
      </c>
      <c r="L3165" s="8">
        <v>39891.213356481479</v>
      </c>
      <c r="M3165" s="9" t="s">
        <v>19</v>
      </c>
      <c r="N3165" s="9" t="s">
        <v>22</v>
      </c>
      <c r="O3165" s="6" t="str">
        <f>HYPERLINK("https://pbs.twimg.com/profile_images/1433591977631748099/wuGDIimB_normal.jpg","View")</f>
        <v>View</v>
      </c>
      <c r="P3165" s="7"/>
    </row>
    <row r="3166" spans="1:16">
      <c r="A3166" s="3">
        <v>44478.884675925925</v>
      </c>
      <c r="B3166" s="4" t="str">
        <f>HYPERLINK("https://twitter.com/sergio_fajardo","@sergio_fajardo")</f>
        <v>@sergio_fajardo</v>
      </c>
      <c r="C3166" s="5" t="s">
        <v>16</v>
      </c>
      <c r="D3166" s="5" t="s">
        <v>3187</v>
      </c>
      <c r="E3166" s="6" t="str">
        <f>HYPERLINK("https://twitter.com/sergio_fajardo/status/1446864011740520452","1446864011740520452")</f>
        <v>1446864011740520452</v>
      </c>
      <c r="F3166" s="7" t="s">
        <v>17</v>
      </c>
      <c r="G3166" s="7">
        <v>1597202</v>
      </c>
      <c r="H3166" s="7">
        <v>573</v>
      </c>
      <c r="I3166" s="7">
        <v>2</v>
      </c>
      <c r="J3166" s="7">
        <v>0</v>
      </c>
      <c r="K3166" s="7" t="s">
        <v>18</v>
      </c>
      <c r="L3166" s="8">
        <v>39891.213356481479</v>
      </c>
      <c r="M3166" s="9" t="s">
        <v>19</v>
      </c>
      <c r="N3166" s="9" t="s">
        <v>22</v>
      </c>
      <c r="O3166" s="6" t="str">
        <f>HYPERLINK("https://pbs.twimg.com/profile_images/1433591977631748099/wuGDIimB_normal.jpg","View")</f>
        <v>View</v>
      </c>
      <c r="P3166" s="7"/>
    </row>
    <row r="3167" spans="1:16">
      <c r="A3167" s="3">
        <v>44478.895428240736</v>
      </c>
      <c r="B3167" s="4" t="str">
        <f>HYPERLINK("https://twitter.com/sergio_fajardo","@sergio_fajardo")</f>
        <v>@sergio_fajardo</v>
      </c>
      <c r="C3167" s="5" t="s">
        <v>16</v>
      </c>
      <c r="D3167" s="5" t="s">
        <v>3188</v>
      </c>
      <c r="E3167" s="6" t="str">
        <f>HYPERLINK("https://twitter.com/sergio_fajardo/status/1446867909758885890","1446867909758885890")</f>
        <v>1446867909758885890</v>
      </c>
      <c r="F3167" s="7" t="s">
        <v>17</v>
      </c>
      <c r="G3167" s="7">
        <v>1597207</v>
      </c>
      <c r="H3167" s="7">
        <v>573</v>
      </c>
      <c r="I3167" s="7">
        <v>3</v>
      </c>
      <c r="J3167" s="7">
        <v>0</v>
      </c>
      <c r="K3167" s="7" t="s">
        <v>18</v>
      </c>
      <c r="L3167" s="8">
        <v>39891.213356481479</v>
      </c>
      <c r="M3167" s="9" t="s">
        <v>19</v>
      </c>
      <c r="N3167" s="9" t="s">
        <v>22</v>
      </c>
      <c r="O3167" s="6" t="str">
        <f>HYPERLINK("https://pbs.twimg.com/profile_images/1433591977631748099/wuGDIimB_normal.jpg","View")</f>
        <v>View</v>
      </c>
      <c r="P3167" s="7"/>
    </row>
    <row r="3168" spans="1:16">
      <c r="A3168" s="3">
        <v>44479.146053240736</v>
      </c>
      <c r="B3168" s="4" t="str">
        <f>HYPERLINK("https://twitter.com/sergio_fajardo","@sergio_fajardo")</f>
        <v>@sergio_fajardo</v>
      </c>
      <c r="C3168" s="5" t="s">
        <v>16</v>
      </c>
      <c r="D3168" s="5" t="s">
        <v>3189</v>
      </c>
      <c r="E3168" s="6" t="str">
        <f>HYPERLINK("https://twitter.com/sergio_fajardo/status/1446958729929297922","1446958729929297922")</f>
        <v>1446958729929297922</v>
      </c>
      <c r="F3168" s="7" t="s">
        <v>17</v>
      </c>
      <c r="G3168" s="7">
        <v>1597227</v>
      </c>
      <c r="H3168" s="7">
        <v>573</v>
      </c>
      <c r="I3168" s="7">
        <v>13</v>
      </c>
      <c r="J3168" s="7">
        <v>45</v>
      </c>
      <c r="K3168" s="7" t="s">
        <v>18</v>
      </c>
      <c r="L3168" s="8">
        <v>39891.213356481479</v>
      </c>
      <c r="M3168" s="9" t="s">
        <v>19</v>
      </c>
      <c r="N3168" s="9" t="s">
        <v>22</v>
      </c>
      <c r="O3168" s="6" t="str">
        <f>HYPERLINK("https://pbs.twimg.com/profile_images/1433591977631748099/wuGDIimB_normal.jpg","View")</f>
        <v>View</v>
      </c>
      <c r="P3168" s="7"/>
    </row>
    <row r="3169" spans="1:16">
      <c r="A3169" s="3">
        <v>44479.193784722222</v>
      </c>
      <c r="B3169" s="4" t="str">
        <f>HYPERLINK("https://twitter.com/sergio_fajardo","@sergio_fajardo")</f>
        <v>@sergio_fajardo</v>
      </c>
      <c r="C3169" s="5" t="s">
        <v>16</v>
      </c>
      <c r="D3169" s="5" t="s">
        <v>3190</v>
      </c>
      <c r="E3169" s="6" t="str">
        <f>HYPERLINK("https://twitter.com/sergio_fajardo/status/1446976027977256967","1446976027977256967")</f>
        <v>1446976027977256967</v>
      </c>
      <c r="F3169" s="7" t="s">
        <v>23</v>
      </c>
      <c r="G3169" s="7">
        <v>1597229</v>
      </c>
      <c r="H3169" s="7">
        <v>574</v>
      </c>
      <c r="I3169" s="7">
        <v>7</v>
      </c>
      <c r="J3169" s="7">
        <v>12</v>
      </c>
      <c r="K3169" s="7" t="s">
        <v>18</v>
      </c>
      <c r="L3169" s="8">
        <v>39891.213356481479</v>
      </c>
      <c r="M3169" s="9" t="s">
        <v>19</v>
      </c>
      <c r="N3169" s="9" t="s">
        <v>22</v>
      </c>
      <c r="O3169" s="6" t="str">
        <f>HYPERLINK("https://pbs.twimg.com/profile_images/1433591977631748099/wuGDIimB_normal.jpg","View")</f>
        <v>View</v>
      </c>
      <c r="P3169" s="7"/>
    </row>
    <row r="3170" spans="1:16">
      <c r="A3170" s="3">
        <v>44479.299664351856</v>
      </c>
      <c r="B3170" s="4" t="str">
        <f>HYPERLINK("https://twitter.com/sergio_fajardo","@sergio_fajardo")</f>
        <v>@sergio_fajardo</v>
      </c>
      <c r="C3170" s="5" t="s">
        <v>16</v>
      </c>
      <c r="D3170" s="5" t="s">
        <v>3191</v>
      </c>
      <c r="E3170" s="6" t="str">
        <f>HYPERLINK("https://twitter.com/sergio_fajardo/status/1447014399777071105","1447014399777071105")</f>
        <v>1447014399777071105</v>
      </c>
      <c r="F3170" s="7" t="s">
        <v>17</v>
      </c>
      <c r="G3170" s="7">
        <v>1597229</v>
      </c>
      <c r="H3170" s="7">
        <v>574</v>
      </c>
      <c r="I3170" s="7">
        <v>13</v>
      </c>
      <c r="J3170" s="7">
        <v>0</v>
      </c>
      <c r="K3170" s="7" t="s">
        <v>18</v>
      </c>
      <c r="L3170" s="8">
        <v>39891.213356481479</v>
      </c>
      <c r="M3170" s="9" t="s">
        <v>19</v>
      </c>
      <c r="N3170" s="9" t="s">
        <v>22</v>
      </c>
      <c r="O3170" s="6" t="str">
        <f>HYPERLINK("https://pbs.twimg.com/profile_images/1433591977631748099/wuGDIimB_normal.jpg","View")</f>
        <v>View</v>
      </c>
      <c r="P3170" s="7"/>
    </row>
    <row r="3171" spans="1:16">
      <c r="A3171" s="3">
        <v>44479.681504629625</v>
      </c>
      <c r="B3171" s="4" t="str">
        <f>HYPERLINK("https://twitter.com/sergio_fajardo","@sergio_fajardo")</f>
        <v>@sergio_fajardo</v>
      </c>
      <c r="C3171" s="5" t="s">
        <v>16</v>
      </c>
      <c r="D3171" s="5" t="s">
        <v>3192</v>
      </c>
      <c r="E3171" s="6" t="str">
        <f>HYPERLINK("https://twitter.com/sergio_fajardo/status/1447152773905137665","1447152773905137665")</f>
        <v>1447152773905137665</v>
      </c>
      <c r="F3171" s="7" t="s">
        <v>17</v>
      </c>
      <c r="G3171" s="7">
        <v>1597236</v>
      </c>
      <c r="H3171" s="7">
        <v>574</v>
      </c>
      <c r="I3171" s="7">
        <v>2262</v>
      </c>
      <c r="J3171" s="7">
        <v>0</v>
      </c>
      <c r="K3171" s="7" t="s">
        <v>18</v>
      </c>
      <c r="L3171" s="8">
        <v>39891.213356481479</v>
      </c>
      <c r="M3171" s="9" t="s">
        <v>19</v>
      </c>
      <c r="N3171" s="9" t="s">
        <v>22</v>
      </c>
      <c r="O3171" s="6" t="str">
        <f>HYPERLINK("https://pbs.twimg.com/profile_images/1433591977631748099/wuGDIimB_normal.jpg","View")</f>
        <v>View</v>
      </c>
      <c r="P3171" s="7"/>
    </row>
    <row r="3172" spans="1:16">
      <c r="A3172" s="3">
        <v>44479.688310185185</v>
      </c>
      <c r="B3172" s="4" t="str">
        <f>HYPERLINK("https://twitter.com/sergio_fajardo","@sergio_fajardo")</f>
        <v>@sergio_fajardo</v>
      </c>
      <c r="C3172" s="5" t="s">
        <v>16</v>
      </c>
      <c r="D3172" s="5" t="s">
        <v>3193</v>
      </c>
      <c r="E3172" s="6" t="str">
        <f>HYPERLINK("https://twitter.com/sergio_fajardo/status/1447155237610004483","1447155237610004483")</f>
        <v>1447155237610004483</v>
      </c>
      <c r="F3172" s="7" t="s">
        <v>17</v>
      </c>
      <c r="G3172" s="7">
        <v>1597236</v>
      </c>
      <c r="H3172" s="7">
        <v>574</v>
      </c>
      <c r="I3172" s="7">
        <v>11</v>
      </c>
      <c r="J3172" s="7">
        <v>86</v>
      </c>
      <c r="K3172" s="7" t="s">
        <v>18</v>
      </c>
      <c r="L3172" s="8">
        <v>39891.213356481479</v>
      </c>
      <c r="M3172" s="9" t="s">
        <v>19</v>
      </c>
      <c r="N3172" s="9" t="s">
        <v>22</v>
      </c>
      <c r="O3172" s="6" t="str">
        <f>HYPERLINK("https://pbs.twimg.com/profile_images/1433591977631748099/wuGDIimB_normal.jpg","View")</f>
        <v>View</v>
      </c>
      <c r="P3172" s="7"/>
    </row>
    <row r="3173" spans="1:16">
      <c r="A3173" s="3">
        <v>44479.734328703707</v>
      </c>
      <c r="B3173" s="4" t="str">
        <f>HYPERLINK("https://twitter.com/sergio_fajardo","@sergio_fajardo")</f>
        <v>@sergio_fajardo</v>
      </c>
      <c r="C3173" s="5" t="s">
        <v>16</v>
      </c>
      <c r="D3173" s="5" t="s">
        <v>3194</v>
      </c>
      <c r="E3173" s="6" t="str">
        <f>HYPERLINK("https://twitter.com/sergio_fajardo/status/1447171917375549443","1447171917375549443")</f>
        <v>1447171917375549443</v>
      </c>
      <c r="F3173" s="7" t="s">
        <v>2329</v>
      </c>
      <c r="G3173" s="7">
        <v>1597227</v>
      </c>
      <c r="H3173" s="7">
        <v>574</v>
      </c>
      <c r="I3173" s="7">
        <v>3</v>
      </c>
      <c r="J3173" s="7">
        <v>9</v>
      </c>
      <c r="K3173" s="7" t="s">
        <v>18</v>
      </c>
      <c r="L3173" s="8">
        <v>39891.213356481479</v>
      </c>
      <c r="M3173" s="9" t="s">
        <v>19</v>
      </c>
      <c r="N3173" s="9" t="s">
        <v>22</v>
      </c>
      <c r="O3173" s="6" t="str">
        <f>HYPERLINK("https://pbs.twimg.com/profile_images/1433591977631748099/wuGDIimB_normal.jpg","View")</f>
        <v>View</v>
      </c>
      <c r="P3173" s="7"/>
    </row>
    <row r="3174" spans="1:16">
      <c r="A3174" s="3">
        <v>44480.0234375</v>
      </c>
      <c r="B3174" s="4" t="str">
        <f>HYPERLINK("https://twitter.com/sergio_fajardo","@sergio_fajardo")</f>
        <v>@sergio_fajardo</v>
      </c>
      <c r="C3174" s="5" t="s">
        <v>16</v>
      </c>
      <c r="D3174" s="5" t="s">
        <v>3195</v>
      </c>
      <c r="E3174" s="6" t="str">
        <f>HYPERLINK("https://twitter.com/sergio_fajardo/status/1447276683858436096","1447276683858436096")</f>
        <v>1447276683858436096</v>
      </c>
      <c r="F3174" s="7" t="s">
        <v>2329</v>
      </c>
      <c r="G3174" s="7">
        <v>1597252</v>
      </c>
      <c r="H3174" s="7">
        <v>574</v>
      </c>
      <c r="I3174" s="7">
        <v>5</v>
      </c>
      <c r="J3174" s="7">
        <v>18</v>
      </c>
      <c r="K3174" s="7" t="s">
        <v>18</v>
      </c>
      <c r="L3174" s="8">
        <v>39891.213356481479</v>
      </c>
      <c r="M3174" s="9" t="s">
        <v>19</v>
      </c>
      <c r="N3174" s="9" t="s">
        <v>22</v>
      </c>
      <c r="O3174" s="6" t="str">
        <f>HYPERLINK("https://pbs.twimg.com/profile_images/1433591977631748099/wuGDIimB_normal.jpg","View")</f>
        <v>View</v>
      </c>
      <c r="P3174" s="7"/>
    </row>
    <row r="3175" spans="1:16">
      <c r="A3175" s="3">
        <v>44480.170706018514</v>
      </c>
      <c r="B3175" s="4" t="str">
        <f>HYPERLINK("https://twitter.com/sergio_fajardo","@sergio_fajardo")</f>
        <v>@sergio_fajardo</v>
      </c>
      <c r="C3175" s="5" t="s">
        <v>16</v>
      </c>
      <c r="D3175" s="5" t="s">
        <v>3196</v>
      </c>
      <c r="E3175" s="6" t="str">
        <f>HYPERLINK("https://twitter.com/sergio_fajardo/status/1447330052790755328","1447330052790755328")</f>
        <v>1447330052790755328</v>
      </c>
      <c r="F3175" s="7" t="s">
        <v>23</v>
      </c>
      <c r="G3175" s="7">
        <v>1597259</v>
      </c>
      <c r="H3175" s="7">
        <v>574</v>
      </c>
      <c r="I3175" s="7">
        <v>13</v>
      </c>
      <c r="J3175" s="7">
        <v>81</v>
      </c>
      <c r="K3175" s="7" t="s">
        <v>18</v>
      </c>
      <c r="L3175" s="8">
        <v>39891.213356481479</v>
      </c>
      <c r="M3175" s="9" t="s">
        <v>19</v>
      </c>
      <c r="N3175" s="9" t="s">
        <v>22</v>
      </c>
      <c r="O3175" s="6" t="str">
        <f>HYPERLINK("https://pbs.twimg.com/profile_images/1433591977631748099/wuGDIimB_normal.jpg","View")</f>
        <v>View</v>
      </c>
      <c r="P3175" s="7"/>
    </row>
    <row r="3176" spans="1:16">
      <c r="A3176" s="3">
        <v>44480.238611111112</v>
      </c>
      <c r="B3176" s="4" t="str">
        <f>HYPERLINK("https://twitter.com/sergio_fajardo","@sergio_fajardo")</f>
        <v>@sergio_fajardo</v>
      </c>
      <c r="C3176" s="5" t="s">
        <v>16</v>
      </c>
      <c r="D3176" s="5" t="s">
        <v>3197</v>
      </c>
      <c r="E3176" s="6" t="str">
        <f>HYPERLINK("https://twitter.com/sergio_fajardo/status/1447354660088696838","1447354660088696838")</f>
        <v>1447354660088696838</v>
      </c>
      <c r="F3176" s="7" t="s">
        <v>17</v>
      </c>
      <c r="G3176" s="7">
        <v>1597261</v>
      </c>
      <c r="H3176" s="7">
        <v>574</v>
      </c>
      <c r="I3176" s="7">
        <v>0</v>
      </c>
      <c r="J3176" s="7">
        <v>6</v>
      </c>
      <c r="K3176" s="7" t="s">
        <v>18</v>
      </c>
      <c r="L3176" s="8">
        <v>39891.213356481479</v>
      </c>
      <c r="M3176" s="9" t="s">
        <v>19</v>
      </c>
      <c r="N3176" s="9" t="s">
        <v>22</v>
      </c>
      <c r="O3176" s="6" t="str">
        <f>HYPERLINK("https://pbs.twimg.com/profile_images/1433591977631748099/wuGDIimB_normal.jpg","View")</f>
        <v>View</v>
      </c>
      <c r="P3176" s="7"/>
    </row>
    <row r="3177" spans="1:16">
      <c r="A3177" s="3">
        <v>44480.339062500003</v>
      </c>
      <c r="B3177" s="4" t="str">
        <f>HYPERLINK("https://twitter.com/sergio_fajardo","@sergio_fajardo")</f>
        <v>@sergio_fajardo</v>
      </c>
      <c r="C3177" s="5" t="s">
        <v>16</v>
      </c>
      <c r="D3177" s="5" t="s">
        <v>3198</v>
      </c>
      <c r="E3177" s="6" t="str">
        <f>HYPERLINK("https://twitter.com/sergio_fajardo/status/1447391063430283265","1447391063430283265")</f>
        <v>1447391063430283265</v>
      </c>
      <c r="F3177" s="7" t="s">
        <v>17</v>
      </c>
      <c r="G3177" s="7">
        <v>1597267</v>
      </c>
      <c r="H3177" s="7">
        <v>574</v>
      </c>
      <c r="I3177" s="7">
        <v>25</v>
      </c>
      <c r="J3177" s="7">
        <v>0</v>
      </c>
      <c r="K3177" s="7" t="s">
        <v>18</v>
      </c>
      <c r="L3177" s="8">
        <v>39891.213356481479</v>
      </c>
      <c r="M3177" s="9" t="s">
        <v>19</v>
      </c>
      <c r="N3177" s="9" t="s">
        <v>22</v>
      </c>
      <c r="O3177" s="6" t="str">
        <f>HYPERLINK("https://pbs.twimg.com/profile_images/1433591977631748099/wuGDIimB_normal.jpg","View")</f>
        <v>View</v>
      </c>
      <c r="P3177" s="7"/>
    </row>
    <row r="3178" spans="1:16">
      <c r="A3178" s="3">
        <v>44480.339155092588</v>
      </c>
      <c r="B3178" s="4" t="str">
        <f>HYPERLINK("https://twitter.com/sergio_fajardo","@sergio_fajardo")</f>
        <v>@sergio_fajardo</v>
      </c>
      <c r="C3178" s="5" t="s">
        <v>16</v>
      </c>
      <c r="D3178" s="5" t="s">
        <v>3199</v>
      </c>
      <c r="E3178" s="6" t="str">
        <f>HYPERLINK("https://twitter.com/sergio_fajardo/status/1447391095885795336","1447391095885795336")</f>
        <v>1447391095885795336</v>
      </c>
      <c r="F3178" s="7" t="s">
        <v>17</v>
      </c>
      <c r="G3178" s="7">
        <v>1597267</v>
      </c>
      <c r="H3178" s="7">
        <v>574</v>
      </c>
      <c r="I3178" s="7">
        <v>14</v>
      </c>
      <c r="J3178" s="7">
        <v>0</v>
      </c>
      <c r="K3178" s="7" t="s">
        <v>18</v>
      </c>
      <c r="L3178" s="8">
        <v>39891.213356481479</v>
      </c>
      <c r="M3178" s="9" t="s">
        <v>19</v>
      </c>
      <c r="N3178" s="9" t="s">
        <v>22</v>
      </c>
      <c r="O3178" s="6" t="str">
        <f>HYPERLINK("https://pbs.twimg.com/profile_images/1433591977631748099/wuGDIimB_normal.jpg","View")</f>
        <v>View</v>
      </c>
      <c r="P3178" s="7"/>
    </row>
    <row r="3179" spans="1:16">
      <c r="A3179" s="3">
        <v>44480.812615740739</v>
      </c>
      <c r="B3179" s="4" t="str">
        <f>HYPERLINK("https://twitter.com/sergio_fajardo","@sergio_fajardo")</f>
        <v>@sergio_fajardo</v>
      </c>
      <c r="C3179" s="5" t="s">
        <v>16</v>
      </c>
      <c r="D3179" s="5" t="s">
        <v>3200</v>
      </c>
      <c r="E3179" s="6" t="str">
        <f>HYPERLINK("https://twitter.com/sergio_fajardo/status/1447562672808120326","1447562672808120326")</f>
        <v>1447562672808120326</v>
      </c>
      <c r="F3179" s="7" t="s">
        <v>2329</v>
      </c>
      <c r="G3179" s="7">
        <v>1597283</v>
      </c>
      <c r="H3179" s="7">
        <v>574</v>
      </c>
      <c r="I3179" s="7">
        <v>11</v>
      </c>
      <c r="J3179" s="7">
        <v>28</v>
      </c>
      <c r="K3179" s="7" t="s">
        <v>18</v>
      </c>
      <c r="L3179" s="8">
        <v>39891.213356481479</v>
      </c>
      <c r="M3179" s="9" t="s">
        <v>19</v>
      </c>
      <c r="N3179" s="9" t="s">
        <v>22</v>
      </c>
      <c r="O3179" s="6" t="str">
        <f>HYPERLINK("https://pbs.twimg.com/profile_images/1433591977631748099/wuGDIimB_normal.jpg","View")</f>
        <v>View</v>
      </c>
      <c r="P3179" s="7"/>
    </row>
    <row r="3180" spans="1:16">
      <c r="A3180" s="3">
        <v>44480.892233796301</v>
      </c>
      <c r="B3180" s="4" t="str">
        <f>HYPERLINK("https://twitter.com/sergio_fajardo","@sergio_fajardo")</f>
        <v>@sergio_fajardo</v>
      </c>
      <c r="C3180" s="5" t="s">
        <v>16</v>
      </c>
      <c r="D3180" s="5" t="s">
        <v>3201</v>
      </c>
      <c r="E3180" s="6" t="str">
        <f>HYPERLINK("https://twitter.com/sergio_fajardo/status/1447591526184493058","1447591526184493058")</f>
        <v>1447591526184493058</v>
      </c>
      <c r="F3180" s="7" t="s">
        <v>17</v>
      </c>
      <c r="G3180" s="7">
        <v>1597287</v>
      </c>
      <c r="H3180" s="7">
        <v>574</v>
      </c>
      <c r="I3180" s="7">
        <v>13</v>
      </c>
      <c r="J3180" s="7">
        <v>0</v>
      </c>
      <c r="K3180" s="7" t="s">
        <v>18</v>
      </c>
      <c r="L3180" s="8">
        <v>39891.213356481479</v>
      </c>
      <c r="M3180" s="9" t="s">
        <v>19</v>
      </c>
      <c r="N3180" s="9" t="s">
        <v>22</v>
      </c>
      <c r="O3180" s="6" t="str">
        <f>HYPERLINK("https://pbs.twimg.com/profile_images/1433591977631748099/wuGDIimB_normal.jpg","View")</f>
        <v>View</v>
      </c>
      <c r="P3180" s="7"/>
    </row>
    <row r="3181" spans="1:16">
      <c r="A3181" s="3">
        <v>44480.905451388884</v>
      </c>
      <c r="B3181" s="4" t="str">
        <f>HYPERLINK("https://twitter.com/sergio_fajardo","@sergio_fajardo")</f>
        <v>@sergio_fajardo</v>
      </c>
      <c r="C3181" s="5" t="s">
        <v>16</v>
      </c>
      <c r="D3181" s="5" t="s">
        <v>3202</v>
      </c>
      <c r="E3181" s="6" t="str">
        <f>HYPERLINK("https://twitter.com/sergio_fajardo/status/1447596315924439040","1447596315924439040")</f>
        <v>1447596315924439040</v>
      </c>
      <c r="F3181" s="7" t="s">
        <v>23</v>
      </c>
      <c r="G3181" s="7">
        <v>1597287</v>
      </c>
      <c r="H3181" s="7">
        <v>574</v>
      </c>
      <c r="I3181" s="7">
        <v>3</v>
      </c>
      <c r="J3181" s="7">
        <v>0</v>
      </c>
      <c r="K3181" s="7" t="s">
        <v>18</v>
      </c>
      <c r="L3181" s="8">
        <v>39891.213356481479</v>
      </c>
      <c r="M3181" s="9" t="s">
        <v>19</v>
      </c>
      <c r="N3181" s="9" t="s">
        <v>22</v>
      </c>
      <c r="O3181" s="6" t="str">
        <f>HYPERLINK("https://pbs.twimg.com/profile_images/1433591977631748099/wuGDIimB_normal.jpg","View")</f>
        <v>View</v>
      </c>
      <c r="P3181" s="7"/>
    </row>
    <row r="3182" spans="1:16">
      <c r="A3182" s="3">
        <v>44481.20893518519</v>
      </c>
      <c r="B3182" s="4" t="str">
        <f>HYPERLINK("https://twitter.com/sergio_fajardo","@sergio_fajardo")</f>
        <v>@sergio_fajardo</v>
      </c>
      <c r="C3182" s="5" t="s">
        <v>16</v>
      </c>
      <c r="D3182" s="5" t="s">
        <v>3203</v>
      </c>
      <c r="E3182" s="6" t="str">
        <f>HYPERLINK("https://twitter.com/sergio_fajardo/status/1447706295176503304","1447706295176503304")</f>
        <v>1447706295176503304</v>
      </c>
      <c r="F3182" s="7" t="s">
        <v>2329</v>
      </c>
      <c r="G3182" s="7">
        <v>1597317</v>
      </c>
      <c r="H3182" s="7">
        <v>574</v>
      </c>
      <c r="I3182" s="7">
        <v>44</v>
      </c>
      <c r="J3182" s="7">
        <v>89</v>
      </c>
      <c r="K3182" s="7" t="s">
        <v>18</v>
      </c>
      <c r="L3182" s="8">
        <v>39891.213356481479</v>
      </c>
      <c r="M3182" s="9" t="s">
        <v>19</v>
      </c>
      <c r="N3182" s="9" t="s">
        <v>22</v>
      </c>
      <c r="O3182" s="6" t="str">
        <f>HYPERLINK("https://pbs.twimg.com/profile_images/1433591977631748099/wuGDIimB_normal.jpg","View")</f>
        <v>View</v>
      </c>
      <c r="P3182" s="7"/>
    </row>
    <row r="3183" spans="1:16">
      <c r="A3183" s="3">
        <v>44481.212592592594</v>
      </c>
      <c r="B3183" s="4" t="str">
        <f>HYPERLINK("https://twitter.com/sergio_fajardo","@sergio_fajardo")</f>
        <v>@sergio_fajardo</v>
      </c>
      <c r="C3183" s="5" t="s">
        <v>16</v>
      </c>
      <c r="D3183" s="5" t="s">
        <v>3204</v>
      </c>
      <c r="E3183" s="6" t="str">
        <f>HYPERLINK("https://twitter.com/sergio_fajardo/status/1447707621817995264","1447707621817995264")</f>
        <v>1447707621817995264</v>
      </c>
      <c r="F3183" s="7" t="s">
        <v>23</v>
      </c>
      <c r="G3183" s="7">
        <v>1597317</v>
      </c>
      <c r="H3183" s="7">
        <v>574</v>
      </c>
      <c r="I3183" s="7">
        <v>0</v>
      </c>
      <c r="J3183" s="7">
        <v>21</v>
      </c>
      <c r="K3183" s="7" t="s">
        <v>18</v>
      </c>
      <c r="L3183" s="8">
        <v>39891.213356481479</v>
      </c>
      <c r="M3183" s="9" t="s">
        <v>19</v>
      </c>
      <c r="N3183" s="9" t="s">
        <v>22</v>
      </c>
      <c r="O3183" s="6" t="str">
        <f>HYPERLINK("https://pbs.twimg.com/profile_images/1433591977631748099/wuGDIimB_normal.jpg","View")</f>
        <v>View</v>
      </c>
      <c r="P3183" s="7"/>
    </row>
    <row r="3184" spans="1:16">
      <c r="A3184" s="3">
        <v>44481.215219907404</v>
      </c>
      <c r="B3184" s="4" t="str">
        <f>HYPERLINK("https://twitter.com/sergio_fajardo","@sergio_fajardo")</f>
        <v>@sergio_fajardo</v>
      </c>
      <c r="C3184" s="5" t="s">
        <v>16</v>
      </c>
      <c r="D3184" s="5" t="s">
        <v>3205</v>
      </c>
      <c r="E3184" s="6" t="str">
        <f>HYPERLINK("https://twitter.com/sergio_fajardo/status/1447708572960411652","1447708572960411652")</f>
        <v>1447708572960411652</v>
      </c>
      <c r="F3184" s="7" t="s">
        <v>23</v>
      </c>
      <c r="G3184" s="7">
        <v>1597317</v>
      </c>
      <c r="H3184" s="7">
        <v>574</v>
      </c>
      <c r="I3184" s="7">
        <v>3</v>
      </c>
      <c r="J3184" s="7">
        <v>17</v>
      </c>
      <c r="K3184" s="7" t="s">
        <v>18</v>
      </c>
      <c r="L3184" s="8">
        <v>39891.213356481479</v>
      </c>
      <c r="M3184" s="9" t="s">
        <v>19</v>
      </c>
      <c r="N3184" s="9" t="s">
        <v>22</v>
      </c>
      <c r="O3184" s="6" t="str">
        <f>HYPERLINK("https://pbs.twimg.com/profile_images/1433591977631748099/wuGDIimB_normal.jpg","View")</f>
        <v>View</v>
      </c>
      <c r="P3184" s="7"/>
    </row>
    <row r="3185" spans="1:16">
      <c r="A3185" s="3">
        <v>44481.217858796299</v>
      </c>
      <c r="B3185" s="4" t="str">
        <f>HYPERLINK("https://twitter.com/sergio_fajardo","@sergio_fajardo")</f>
        <v>@sergio_fajardo</v>
      </c>
      <c r="C3185" s="5" t="s">
        <v>16</v>
      </c>
      <c r="D3185" s="5" t="s">
        <v>3206</v>
      </c>
      <c r="E3185" s="6" t="str">
        <f>HYPERLINK("https://twitter.com/sergio_fajardo/status/1447709530889072640","1447709530889072640")</f>
        <v>1447709530889072640</v>
      </c>
      <c r="F3185" s="7" t="s">
        <v>23</v>
      </c>
      <c r="G3185" s="7">
        <v>1597317</v>
      </c>
      <c r="H3185" s="7">
        <v>574</v>
      </c>
      <c r="I3185" s="7">
        <v>1</v>
      </c>
      <c r="J3185" s="7">
        <v>22</v>
      </c>
      <c r="K3185" s="7" t="s">
        <v>18</v>
      </c>
      <c r="L3185" s="8">
        <v>39891.213356481479</v>
      </c>
      <c r="M3185" s="9" t="s">
        <v>19</v>
      </c>
      <c r="N3185" s="9" t="s">
        <v>22</v>
      </c>
      <c r="O3185" s="6" t="str">
        <f>HYPERLINK("https://pbs.twimg.com/profile_images/1433591977631748099/wuGDIimB_normal.jpg","View")</f>
        <v>View</v>
      </c>
      <c r="P3185" s="7"/>
    </row>
    <row r="3186" spans="1:16">
      <c r="A3186" s="3">
        <v>44481.225034722222</v>
      </c>
      <c r="B3186" s="4" t="str">
        <f>HYPERLINK("https://twitter.com/sergio_fajardo","@sergio_fajardo")</f>
        <v>@sergio_fajardo</v>
      </c>
      <c r="C3186" s="5" t="s">
        <v>16</v>
      </c>
      <c r="D3186" s="5" t="s">
        <v>3207</v>
      </c>
      <c r="E3186" s="6" t="str">
        <f>HYPERLINK("https://twitter.com/sergio_fajardo/status/1447712129008668677","1447712129008668677")</f>
        <v>1447712129008668677</v>
      </c>
      <c r="F3186" s="7" t="s">
        <v>23</v>
      </c>
      <c r="G3186" s="7">
        <v>1597316</v>
      </c>
      <c r="H3186" s="7">
        <v>578</v>
      </c>
      <c r="I3186" s="7">
        <v>5</v>
      </c>
      <c r="J3186" s="7">
        <v>26</v>
      </c>
      <c r="K3186" s="7" t="s">
        <v>18</v>
      </c>
      <c r="L3186" s="8">
        <v>39891.213356481479</v>
      </c>
      <c r="M3186" s="9" t="s">
        <v>19</v>
      </c>
      <c r="N3186" s="9" t="s">
        <v>22</v>
      </c>
      <c r="O3186" s="6" t="str">
        <f>HYPERLINK("https://pbs.twimg.com/profile_images/1433591977631748099/wuGDIimB_normal.jpg","View")</f>
        <v>View</v>
      </c>
      <c r="P3186" s="7"/>
    </row>
    <row r="3187" spans="1:16">
      <c r="A3187" s="3">
        <v>44481.233819444446</v>
      </c>
      <c r="B3187" s="4" t="str">
        <f>HYPERLINK("https://twitter.com/sergio_fajardo","@sergio_fajardo")</f>
        <v>@sergio_fajardo</v>
      </c>
      <c r="C3187" s="5" t="s">
        <v>16</v>
      </c>
      <c r="D3187" s="5" t="s">
        <v>3208</v>
      </c>
      <c r="E3187" s="6" t="str">
        <f>HYPERLINK("https://twitter.com/sergio_fajardo/status/1447715312107933701","1447715312107933701")</f>
        <v>1447715312107933701</v>
      </c>
      <c r="F3187" s="7" t="s">
        <v>23</v>
      </c>
      <c r="G3187" s="7">
        <v>1597316</v>
      </c>
      <c r="H3187" s="7">
        <v>578</v>
      </c>
      <c r="I3187" s="7">
        <v>0</v>
      </c>
      <c r="J3187" s="7">
        <v>9</v>
      </c>
      <c r="K3187" s="7" t="s">
        <v>18</v>
      </c>
      <c r="L3187" s="8">
        <v>39891.213356481479</v>
      </c>
      <c r="M3187" s="9" t="s">
        <v>19</v>
      </c>
      <c r="N3187" s="9" t="s">
        <v>22</v>
      </c>
      <c r="O3187" s="6" t="str">
        <f>HYPERLINK("https://pbs.twimg.com/profile_images/1433591977631748099/wuGDIimB_normal.jpg","View")</f>
        <v>View</v>
      </c>
      <c r="P3187" s="7"/>
    </row>
    <row r="3188" spans="1:16">
      <c r="A3188" s="3">
        <v>44481.235069444447</v>
      </c>
      <c r="B3188" s="4" t="str">
        <f>HYPERLINK("https://twitter.com/sergio_fajardo","@sergio_fajardo")</f>
        <v>@sergio_fajardo</v>
      </c>
      <c r="C3188" s="5" t="s">
        <v>16</v>
      </c>
      <c r="D3188" s="5" t="s">
        <v>3209</v>
      </c>
      <c r="E3188" s="6" t="str">
        <f>HYPERLINK("https://twitter.com/sergio_fajardo/status/1447715766653030400","1447715766653030400")</f>
        <v>1447715766653030400</v>
      </c>
      <c r="F3188" s="7" t="s">
        <v>23</v>
      </c>
      <c r="G3188" s="7">
        <v>1597316</v>
      </c>
      <c r="H3188" s="7">
        <v>578</v>
      </c>
      <c r="I3188" s="7">
        <v>3</v>
      </c>
      <c r="J3188" s="7">
        <v>13</v>
      </c>
      <c r="K3188" s="7" t="s">
        <v>18</v>
      </c>
      <c r="L3188" s="8">
        <v>39891.213356481479</v>
      </c>
      <c r="M3188" s="9" t="s">
        <v>19</v>
      </c>
      <c r="N3188" s="9" t="s">
        <v>22</v>
      </c>
      <c r="O3188" s="6" t="str">
        <f>HYPERLINK("https://pbs.twimg.com/profile_images/1433591977631748099/wuGDIimB_normal.jpg","View")</f>
        <v>View</v>
      </c>
      <c r="P3188" s="7"/>
    </row>
    <row r="3189" spans="1:16">
      <c r="A3189" s="3">
        <v>44481.240486111114</v>
      </c>
      <c r="B3189" s="4" t="str">
        <f>HYPERLINK("https://twitter.com/sergio_fajardo","@sergio_fajardo")</f>
        <v>@sergio_fajardo</v>
      </c>
      <c r="C3189" s="5" t="s">
        <v>16</v>
      </c>
      <c r="D3189" s="5" t="s">
        <v>3210</v>
      </c>
      <c r="E3189" s="6" t="str">
        <f>HYPERLINK("https://twitter.com/sergio_fajardo/status/1447717728706519043","1447717728706519043")</f>
        <v>1447717728706519043</v>
      </c>
      <c r="F3189" s="7" t="s">
        <v>23</v>
      </c>
      <c r="G3189" s="7">
        <v>1597316</v>
      </c>
      <c r="H3189" s="7">
        <v>578</v>
      </c>
      <c r="I3189" s="7">
        <v>0</v>
      </c>
      <c r="J3189" s="7">
        <v>3</v>
      </c>
      <c r="K3189" s="7" t="s">
        <v>18</v>
      </c>
      <c r="L3189" s="8">
        <v>39891.213356481479</v>
      </c>
      <c r="M3189" s="9" t="s">
        <v>19</v>
      </c>
      <c r="N3189" s="9" t="s">
        <v>22</v>
      </c>
      <c r="O3189" s="6" t="str">
        <f>HYPERLINK("https://pbs.twimg.com/profile_images/1433591977631748099/wuGDIimB_normal.jpg","View")</f>
        <v>View</v>
      </c>
      <c r="P3189" s="7"/>
    </row>
    <row r="3190" spans="1:16">
      <c r="A3190" s="3">
        <v>44481.245995370366</v>
      </c>
      <c r="B3190" s="4" t="str">
        <f>HYPERLINK("https://twitter.com/sergio_fajardo","@sergio_fajardo")</f>
        <v>@sergio_fajardo</v>
      </c>
      <c r="C3190" s="5" t="s">
        <v>16</v>
      </c>
      <c r="D3190" s="5" t="s">
        <v>3211</v>
      </c>
      <c r="E3190" s="6" t="str">
        <f>HYPERLINK("https://twitter.com/sergio_fajardo/status/1447719723240722433","1447719723240722433")</f>
        <v>1447719723240722433</v>
      </c>
      <c r="F3190" s="7" t="s">
        <v>23</v>
      </c>
      <c r="G3190" s="7">
        <v>1597320</v>
      </c>
      <c r="H3190" s="7">
        <v>581</v>
      </c>
      <c r="I3190" s="7">
        <v>1</v>
      </c>
      <c r="J3190" s="7">
        <v>11</v>
      </c>
      <c r="K3190" s="7" t="s">
        <v>18</v>
      </c>
      <c r="L3190" s="8">
        <v>39891.213356481479</v>
      </c>
      <c r="M3190" s="9" t="s">
        <v>19</v>
      </c>
      <c r="N3190" s="9" t="s">
        <v>22</v>
      </c>
      <c r="O3190" s="6" t="str">
        <f>HYPERLINK("https://pbs.twimg.com/profile_images/1433591977631748099/wuGDIimB_normal.jpg","View")</f>
        <v>View</v>
      </c>
      <c r="P3190" s="7"/>
    </row>
    <row r="3191" spans="1:16">
      <c r="A3191" s="3">
        <v>44481.247569444444</v>
      </c>
      <c r="B3191" s="4" t="str">
        <f>HYPERLINK("https://twitter.com/sergio_fajardo","@sergio_fajardo")</f>
        <v>@sergio_fajardo</v>
      </c>
      <c r="C3191" s="5" t="s">
        <v>16</v>
      </c>
      <c r="D3191" s="5" t="s">
        <v>3212</v>
      </c>
      <c r="E3191" s="6" t="str">
        <f>HYPERLINK("https://twitter.com/sergio_fajardo/status/1447720297315115011","1447720297315115011")</f>
        <v>1447720297315115011</v>
      </c>
      <c r="F3191" s="7" t="s">
        <v>23</v>
      </c>
      <c r="G3191" s="7">
        <v>1597320</v>
      </c>
      <c r="H3191" s="7">
        <v>581</v>
      </c>
      <c r="I3191" s="7">
        <v>2</v>
      </c>
      <c r="J3191" s="7">
        <v>9</v>
      </c>
      <c r="K3191" s="7" t="s">
        <v>18</v>
      </c>
      <c r="L3191" s="8">
        <v>39891.213356481479</v>
      </c>
      <c r="M3191" s="9" t="s">
        <v>19</v>
      </c>
      <c r="N3191" s="9" t="s">
        <v>22</v>
      </c>
      <c r="O3191" s="6" t="str">
        <f>HYPERLINK("https://pbs.twimg.com/profile_images/1433591977631748099/wuGDIimB_normal.jpg","View")</f>
        <v>View</v>
      </c>
      <c r="P3191" s="7"/>
    </row>
    <row r="3192" spans="1:16">
      <c r="A3192" s="3">
        <v>44481.251076388886</v>
      </c>
      <c r="B3192" s="4" t="str">
        <f>HYPERLINK("https://twitter.com/sergio_fajardo","@sergio_fajardo")</f>
        <v>@sergio_fajardo</v>
      </c>
      <c r="C3192" s="5" t="s">
        <v>16</v>
      </c>
      <c r="D3192" s="5" t="s">
        <v>3213</v>
      </c>
      <c r="E3192" s="6" t="str">
        <f>HYPERLINK("https://twitter.com/sergio_fajardo/status/1447721567752966146","1447721567752966146")</f>
        <v>1447721567752966146</v>
      </c>
      <c r="F3192" s="7" t="s">
        <v>23</v>
      </c>
      <c r="G3192" s="7">
        <v>1597320</v>
      </c>
      <c r="H3192" s="7">
        <v>581</v>
      </c>
      <c r="I3192" s="7">
        <v>1</v>
      </c>
      <c r="J3192" s="7">
        <v>13</v>
      </c>
      <c r="K3192" s="7" t="s">
        <v>18</v>
      </c>
      <c r="L3192" s="8">
        <v>39891.213356481479</v>
      </c>
      <c r="M3192" s="9" t="s">
        <v>19</v>
      </c>
      <c r="N3192" s="9" t="s">
        <v>22</v>
      </c>
      <c r="O3192" s="6" t="str">
        <f>HYPERLINK("https://pbs.twimg.com/profile_images/1433591977631748099/wuGDIimB_normal.jpg","View")</f>
        <v>View</v>
      </c>
      <c r="P3192" s="7"/>
    </row>
    <row r="3193" spans="1:16">
      <c r="A3193" s="3">
        <v>44481.255659722221</v>
      </c>
      <c r="B3193" s="4" t="str">
        <f>HYPERLINK("https://twitter.com/sergio_fajardo","@sergio_fajardo")</f>
        <v>@sergio_fajardo</v>
      </c>
      <c r="C3193" s="5" t="s">
        <v>16</v>
      </c>
      <c r="D3193" s="5" t="s">
        <v>3214</v>
      </c>
      <c r="E3193" s="6" t="str">
        <f>HYPERLINK("https://twitter.com/sergio_fajardo/status/1447723227304927232","1447723227304927232")</f>
        <v>1447723227304927232</v>
      </c>
      <c r="F3193" s="7" t="s">
        <v>23</v>
      </c>
      <c r="G3193" s="7">
        <v>1597320</v>
      </c>
      <c r="H3193" s="7">
        <v>581</v>
      </c>
      <c r="I3193" s="7">
        <v>2</v>
      </c>
      <c r="J3193" s="7">
        <v>8</v>
      </c>
      <c r="K3193" s="7" t="s">
        <v>18</v>
      </c>
      <c r="L3193" s="8">
        <v>39891.213356481479</v>
      </c>
      <c r="M3193" s="9" t="s">
        <v>19</v>
      </c>
      <c r="N3193" s="9" t="s">
        <v>22</v>
      </c>
      <c r="O3193" s="6" t="str">
        <f>HYPERLINK("https://pbs.twimg.com/profile_images/1433591977631748099/wuGDIimB_normal.jpg","View")</f>
        <v>View</v>
      </c>
      <c r="P3193" s="7"/>
    </row>
    <row r="3194" spans="1:16">
      <c r="A3194" s="3">
        <v>44481.270509259259</v>
      </c>
      <c r="B3194" s="4" t="str">
        <f>HYPERLINK("https://twitter.com/sergio_fajardo","@sergio_fajardo")</f>
        <v>@sergio_fajardo</v>
      </c>
      <c r="C3194" s="5" t="s">
        <v>16</v>
      </c>
      <c r="D3194" s="5" t="s">
        <v>3215</v>
      </c>
      <c r="E3194" s="6" t="str">
        <f>HYPERLINK("https://twitter.com/sergio_fajardo/status/1447728610710786053","1447728610710786053")</f>
        <v>1447728610710786053</v>
      </c>
      <c r="F3194" s="7" t="s">
        <v>17</v>
      </c>
      <c r="G3194" s="7">
        <v>1597321</v>
      </c>
      <c r="H3194" s="7">
        <v>581</v>
      </c>
      <c r="I3194" s="7">
        <v>4</v>
      </c>
      <c r="J3194" s="7">
        <v>0</v>
      </c>
      <c r="K3194" s="7" t="s">
        <v>18</v>
      </c>
      <c r="L3194" s="8">
        <v>39891.213356481479</v>
      </c>
      <c r="M3194" s="9" t="s">
        <v>19</v>
      </c>
      <c r="N3194" s="9" t="s">
        <v>22</v>
      </c>
      <c r="O3194" s="6" t="str">
        <f>HYPERLINK("https://pbs.twimg.com/profile_images/1433591977631748099/wuGDIimB_normal.jpg","View")</f>
        <v>View</v>
      </c>
      <c r="P3194" s="7"/>
    </row>
    <row r="3195" spans="1:16">
      <c r="A3195" s="3">
        <v>44481.65079861111</v>
      </c>
      <c r="B3195" s="4" t="str">
        <f>HYPERLINK("https://twitter.com/sergio_fajardo","@sergio_fajardo")</f>
        <v>@sergio_fajardo</v>
      </c>
      <c r="C3195" s="5" t="s">
        <v>16</v>
      </c>
      <c r="D3195" s="5" t="s">
        <v>3216</v>
      </c>
      <c r="E3195" s="6" t="str">
        <f>HYPERLINK("https://twitter.com/sergio_fajardo/status/1447866421497761793","1447866421497761793")</f>
        <v>1447866421497761793</v>
      </c>
      <c r="F3195" s="7" t="s">
        <v>17</v>
      </c>
      <c r="G3195" s="7">
        <v>1597325</v>
      </c>
      <c r="H3195" s="7">
        <v>581</v>
      </c>
      <c r="I3195" s="7">
        <v>0</v>
      </c>
      <c r="J3195" s="7">
        <v>1</v>
      </c>
      <c r="K3195" s="7" t="s">
        <v>18</v>
      </c>
      <c r="L3195" s="8">
        <v>39891.213356481479</v>
      </c>
      <c r="M3195" s="9" t="s">
        <v>19</v>
      </c>
      <c r="N3195" s="9" t="s">
        <v>22</v>
      </c>
      <c r="O3195" s="6" t="str">
        <f>HYPERLINK("https://pbs.twimg.com/profile_images/1433591977631748099/wuGDIimB_normal.jpg","View")</f>
        <v>View</v>
      </c>
      <c r="P3195" s="7"/>
    </row>
    <row r="3196" spans="1:16">
      <c r="A3196" s="3">
        <v>44481.734178240746</v>
      </c>
      <c r="B3196" s="4" t="str">
        <f>HYPERLINK("https://twitter.com/sergio_fajardo","@sergio_fajardo")</f>
        <v>@sergio_fajardo</v>
      </c>
      <c r="C3196" s="5" t="s">
        <v>16</v>
      </c>
      <c r="D3196" s="5" t="s">
        <v>3217</v>
      </c>
      <c r="E3196" s="6" t="str">
        <f>HYPERLINK("https://twitter.com/sergio_fajardo/status/1447896635749584904","1447896635749584904")</f>
        <v>1447896635749584904</v>
      </c>
      <c r="F3196" s="7" t="s">
        <v>2329</v>
      </c>
      <c r="G3196" s="7">
        <v>1597337</v>
      </c>
      <c r="H3196" s="7">
        <v>581</v>
      </c>
      <c r="I3196" s="7">
        <v>4</v>
      </c>
      <c r="J3196" s="7">
        <v>26</v>
      </c>
      <c r="K3196" s="7" t="s">
        <v>18</v>
      </c>
      <c r="L3196" s="8">
        <v>39891.213356481479</v>
      </c>
      <c r="M3196" s="9" t="s">
        <v>19</v>
      </c>
      <c r="N3196" s="9" t="s">
        <v>22</v>
      </c>
      <c r="O3196" s="6" t="str">
        <f>HYPERLINK("https://pbs.twimg.com/profile_images/1433591977631748099/wuGDIimB_normal.jpg","View")</f>
        <v>View</v>
      </c>
      <c r="P3196" s="7"/>
    </row>
    <row r="3197" spans="1:16">
      <c r="A3197" s="3">
        <v>44481.745821759258</v>
      </c>
      <c r="B3197" s="4" t="str">
        <f>HYPERLINK("https://twitter.com/sergio_fajardo","@sergio_fajardo")</f>
        <v>@sergio_fajardo</v>
      </c>
      <c r="C3197" s="5" t="s">
        <v>16</v>
      </c>
      <c r="D3197" s="5" t="s">
        <v>3218</v>
      </c>
      <c r="E3197" s="6" t="str">
        <f>HYPERLINK("https://twitter.com/sergio_fajardo/status/1447900857647915016","1447900857647915016")</f>
        <v>1447900857647915016</v>
      </c>
      <c r="F3197" s="7" t="s">
        <v>23</v>
      </c>
      <c r="G3197" s="7">
        <v>1597339</v>
      </c>
      <c r="H3197" s="7">
        <v>581</v>
      </c>
      <c r="I3197" s="7">
        <v>1</v>
      </c>
      <c r="J3197" s="7">
        <v>21</v>
      </c>
      <c r="K3197" s="7" t="s">
        <v>18</v>
      </c>
      <c r="L3197" s="8">
        <v>39891.213356481479</v>
      </c>
      <c r="M3197" s="9" t="s">
        <v>19</v>
      </c>
      <c r="N3197" s="9" t="s">
        <v>22</v>
      </c>
      <c r="O3197" s="6" t="str">
        <f>HYPERLINK("https://pbs.twimg.com/profile_images/1433591977631748099/wuGDIimB_normal.jpg","View")</f>
        <v>View</v>
      </c>
      <c r="P3197" s="7"/>
    </row>
    <row r="3198" spans="1:16">
      <c r="A3198" s="3">
        <v>44481.824849537035</v>
      </c>
      <c r="B3198" s="4" t="str">
        <f>HYPERLINK("https://twitter.com/sergio_fajardo","@sergio_fajardo")</f>
        <v>@sergio_fajardo</v>
      </c>
      <c r="C3198" s="5" t="s">
        <v>16</v>
      </c>
      <c r="D3198" s="5" t="s">
        <v>3219</v>
      </c>
      <c r="E3198" s="6" t="str">
        <f>HYPERLINK("https://twitter.com/sergio_fajardo/status/1447929494564655113","1447929494564655113")</f>
        <v>1447929494564655113</v>
      </c>
      <c r="F3198" s="7" t="s">
        <v>17</v>
      </c>
      <c r="G3198" s="7">
        <v>1597342</v>
      </c>
      <c r="H3198" s="7">
        <v>581</v>
      </c>
      <c r="I3198" s="7">
        <v>12</v>
      </c>
      <c r="J3198" s="7">
        <v>0</v>
      </c>
      <c r="K3198" s="7" t="s">
        <v>18</v>
      </c>
      <c r="L3198" s="8">
        <v>39891.213356481479</v>
      </c>
      <c r="M3198" s="9" t="s">
        <v>19</v>
      </c>
      <c r="N3198" s="9" t="s">
        <v>22</v>
      </c>
      <c r="O3198" s="6" t="str">
        <f>HYPERLINK("https://pbs.twimg.com/profile_images/1433591977631748099/wuGDIimB_normal.jpg","View")</f>
        <v>View</v>
      </c>
      <c r="P3198" s="7"/>
    </row>
    <row r="3199" spans="1:16">
      <c r="A3199" s="3">
        <v>44481.829583333332</v>
      </c>
      <c r="B3199" s="4" t="str">
        <f>HYPERLINK("https://twitter.com/sergio_fajardo","@sergio_fajardo")</f>
        <v>@sergio_fajardo</v>
      </c>
      <c r="C3199" s="5" t="s">
        <v>16</v>
      </c>
      <c r="D3199" s="5" t="s">
        <v>3220</v>
      </c>
      <c r="E3199" s="6" t="str">
        <f>HYPERLINK("https://twitter.com/sergio_fajardo/status/1447931209527476236","1447931209527476236")</f>
        <v>1447931209527476236</v>
      </c>
      <c r="F3199" s="7" t="s">
        <v>17</v>
      </c>
      <c r="G3199" s="7">
        <v>1597342</v>
      </c>
      <c r="H3199" s="7">
        <v>581</v>
      </c>
      <c r="I3199" s="7">
        <v>3</v>
      </c>
      <c r="J3199" s="7">
        <v>0</v>
      </c>
      <c r="K3199" s="7" t="s">
        <v>18</v>
      </c>
      <c r="L3199" s="8">
        <v>39891.213356481479</v>
      </c>
      <c r="M3199" s="9" t="s">
        <v>19</v>
      </c>
      <c r="N3199" s="9" t="s">
        <v>22</v>
      </c>
      <c r="O3199" s="6" t="str">
        <f>HYPERLINK("https://pbs.twimg.com/profile_images/1433591977631748099/wuGDIimB_normal.jpg","View")</f>
        <v>View</v>
      </c>
      <c r="P3199" s="7"/>
    </row>
    <row r="3200" spans="1:16">
      <c r="A3200" s="3">
        <v>44482.056562500002</v>
      </c>
      <c r="B3200" s="4" t="str">
        <f>HYPERLINK("https://twitter.com/sergio_fajardo","@sergio_fajardo")</f>
        <v>@sergio_fajardo</v>
      </c>
      <c r="C3200" s="5" t="s">
        <v>16</v>
      </c>
      <c r="D3200" s="5" t="s">
        <v>3221</v>
      </c>
      <c r="E3200" s="6" t="str">
        <f>HYPERLINK("https://twitter.com/sergio_fajardo/status/1448013464493084675","1448013464493084675")</f>
        <v>1448013464493084675</v>
      </c>
      <c r="F3200" s="7" t="s">
        <v>17</v>
      </c>
      <c r="G3200" s="7">
        <v>1597375</v>
      </c>
      <c r="H3200" s="7">
        <v>581</v>
      </c>
      <c r="I3200" s="7">
        <v>4</v>
      </c>
      <c r="J3200" s="7">
        <v>0</v>
      </c>
      <c r="K3200" s="7" t="s">
        <v>18</v>
      </c>
      <c r="L3200" s="8">
        <v>39891.213356481479</v>
      </c>
      <c r="M3200" s="9" t="s">
        <v>19</v>
      </c>
      <c r="N3200" s="9" t="s">
        <v>22</v>
      </c>
      <c r="O3200" s="6" t="str">
        <f>HYPERLINK("https://pbs.twimg.com/profile_images/1433591977631748099/wuGDIimB_normal.jpg","View")</f>
        <v>View</v>
      </c>
      <c r="P3200" s="7"/>
    </row>
    <row r="3201" spans="1:16">
      <c r="A3201" s="3">
        <v>44482.05667824074</v>
      </c>
      <c r="B3201" s="4" t="str">
        <f>HYPERLINK("https://twitter.com/sergio_fajardo","@sergio_fajardo")</f>
        <v>@sergio_fajardo</v>
      </c>
      <c r="C3201" s="5" t="s">
        <v>16</v>
      </c>
      <c r="D3201" s="5" t="s">
        <v>3222</v>
      </c>
      <c r="E3201" s="6" t="str">
        <f>HYPERLINK("https://twitter.com/sergio_fajardo/status/1448013505437786118","1448013505437786118")</f>
        <v>1448013505437786118</v>
      </c>
      <c r="F3201" s="7" t="s">
        <v>17</v>
      </c>
      <c r="G3201" s="7">
        <v>1597375</v>
      </c>
      <c r="H3201" s="7">
        <v>581</v>
      </c>
      <c r="I3201" s="7">
        <v>13</v>
      </c>
      <c r="J3201" s="7">
        <v>0</v>
      </c>
      <c r="K3201" s="7" t="s">
        <v>18</v>
      </c>
      <c r="L3201" s="8">
        <v>39891.213356481479</v>
      </c>
      <c r="M3201" s="9" t="s">
        <v>19</v>
      </c>
      <c r="N3201" s="9" t="s">
        <v>22</v>
      </c>
      <c r="O3201" s="6" t="str">
        <f>HYPERLINK("https://pbs.twimg.com/profile_images/1433591977631748099/wuGDIimB_normal.jpg","View")</f>
        <v>View</v>
      </c>
      <c r="P3201" s="7"/>
    </row>
    <row r="3202" spans="1:16">
      <c r="A3202" s="3">
        <v>44482.11482638889</v>
      </c>
      <c r="B3202" s="4" t="str">
        <f>HYPERLINK("https://twitter.com/sergio_fajardo","@sergio_fajardo")</f>
        <v>@sergio_fajardo</v>
      </c>
      <c r="C3202" s="5" t="s">
        <v>16</v>
      </c>
      <c r="D3202" s="5" t="s">
        <v>3223</v>
      </c>
      <c r="E3202" s="6" t="str">
        <f>HYPERLINK("https://twitter.com/sergio_fajardo/status/1448034578875273216","1448034578875273216")</f>
        <v>1448034578875273216</v>
      </c>
      <c r="F3202" s="7" t="s">
        <v>2329</v>
      </c>
      <c r="G3202" s="7">
        <v>1597375</v>
      </c>
      <c r="H3202" s="7">
        <v>581</v>
      </c>
      <c r="I3202" s="7">
        <v>6</v>
      </c>
      <c r="J3202" s="7">
        <v>11</v>
      </c>
      <c r="K3202" s="7" t="s">
        <v>18</v>
      </c>
      <c r="L3202" s="8">
        <v>39891.213356481479</v>
      </c>
      <c r="M3202" s="9" t="s">
        <v>19</v>
      </c>
      <c r="N3202" s="9" t="s">
        <v>22</v>
      </c>
      <c r="O3202" s="6" t="str">
        <f>HYPERLINK("https://pbs.twimg.com/profile_images/1433591977631748099/wuGDIimB_normal.jpg","View")</f>
        <v>View</v>
      </c>
      <c r="P3202" s="7"/>
    </row>
    <row r="3203" spans="1:16">
      <c r="A3203" s="3">
        <v>44482.160868055551</v>
      </c>
      <c r="B3203" s="4" t="str">
        <f>HYPERLINK("https://twitter.com/sergio_fajardo","@sergio_fajardo")</f>
        <v>@sergio_fajardo</v>
      </c>
      <c r="C3203" s="5" t="s">
        <v>16</v>
      </c>
      <c r="D3203" s="5" t="s">
        <v>3224</v>
      </c>
      <c r="E3203" s="6" t="str">
        <f>HYPERLINK("https://twitter.com/sergio_fajardo/status/1448051265506787332","1448051265506787332")</f>
        <v>1448051265506787332</v>
      </c>
      <c r="F3203" s="7" t="s">
        <v>2329</v>
      </c>
      <c r="G3203" s="7">
        <v>1597383</v>
      </c>
      <c r="H3203" s="7">
        <v>581</v>
      </c>
      <c r="I3203" s="7">
        <v>7</v>
      </c>
      <c r="J3203" s="7">
        <v>30</v>
      </c>
      <c r="K3203" s="7" t="s">
        <v>18</v>
      </c>
      <c r="L3203" s="8">
        <v>39891.213356481479</v>
      </c>
      <c r="M3203" s="9" t="s">
        <v>19</v>
      </c>
      <c r="N3203" s="9" t="s">
        <v>22</v>
      </c>
      <c r="O3203" s="6" t="str">
        <f>HYPERLINK("https://pbs.twimg.com/profile_images/1433591977631748099/wuGDIimB_normal.jpg","View")</f>
        <v>View</v>
      </c>
      <c r="P3203" s="7"/>
    </row>
    <row r="3204" spans="1:16">
      <c r="A3204" s="3">
        <v>44482.201712962968</v>
      </c>
      <c r="B3204" s="4" t="str">
        <f>HYPERLINK("https://twitter.com/sergio_fajardo","@sergio_fajardo")</f>
        <v>@sergio_fajardo</v>
      </c>
      <c r="C3204" s="5" t="s">
        <v>16</v>
      </c>
      <c r="D3204" s="5" t="s">
        <v>3225</v>
      </c>
      <c r="E3204" s="6" t="str">
        <f>HYPERLINK("https://twitter.com/sergio_fajardo/status/1448066063871221776","1448066063871221776")</f>
        <v>1448066063871221776</v>
      </c>
      <c r="F3204" s="7" t="s">
        <v>17</v>
      </c>
      <c r="G3204" s="7">
        <v>1597384</v>
      </c>
      <c r="H3204" s="7">
        <v>581</v>
      </c>
      <c r="I3204" s="7">
        <v>5</v>
      </c>
      <c r="J3204" s="7">
        <v>8</v>
      </c>
      <c r="K3204" s="7" t="s">
        <v>18</v>
      </c>
      <c r="L3204" s="8">
        <v>39891.213356481479</v>
      </c>
      <c r="M3204" s="9" t="s">
        <v>19</v>
      </c>
      <c r="N3204" s="9" t="s">
        <v>22</v>
      </c>
      <c r="O3204" s="6" t="str">
        <f>HYPERLINK("https://pbs.twimg.com/profile_images/1433591977631748099/wuGDIimB_normal.jpg","View")</f>
        <v>View</v>
      </c>
      <c r="P3204" s="7"/>
    </row>
    <row r="3205" spans="1:16">
      <c r="A3205" s="3">
        <v>44482.235590277778</v>
      </c>
      <c r="B3205" s="4" t="str">
        <f>HYPERLINK("https://twitter.com/sergio_fajardo","@sergio_fajardo")</f>
        <v>@sergio_fajardo</v>
      </c>
      <c r="C3205" s="5" t="s">
        <v>16</v>
      </c>
      <c r="D3205" s="5" t="s">
        <v>3226</v>
      </c>
      <c r="E3205" s="6" t="str">
        <f>HYPERLINK("https://twitter.com/sergio_fajardo/status/1448078344369676289","1448078344369676289")</f>
        <v>1448078344369676289</v>
      </c>
      <c r="F3205" s="7" t="s">
        <v>17</v>
      </c>
      <c r="G3205" s="7">
        <v>1597384</v>
      </c>
      <c r="H3205" s="7">
        <v>581</v>
      </c>
      <c r="I3205" s="7">
        <v>2</v>
      </c>
      <c r="J3205" s="7">
        <v>0</v>
      </c>
      <c r="K3205" s="7" t="s">
        <v>18</v>
      </c>
      <c r="L3205" s="8">
        <v>39891.213356481479</v>
      </c>
      <c r="M3205" s="9" t="s">
        <v>19</v>
      </c>
      <c r="N3205" s="9" t="s">
        <v>22</v>
      </c>
      <c r="O3205" s="6" t="str">
        <f>HYPERLINK("https://pbs.twimg.com/profile_images/1433591977631748099/wuGDIimB_normal.jpg","View")</f>
        <v>View</v>
      </c>
      <c r="P3205" s="7"/>
    </row>
    <row r="3206" spans="1:16">
      <c r="A3206" s="3">
        <v>44482.237199074079</v>
      </c>
      <c r="B3206" s="4" t="str">
        <f>HYPERLINK("https://twitter.com/sergio_fajardo","@sergio_fajardo")</f>
        <v>@sergio_fajardo</v>
      </c>
      <c r="C3206" s="5" t="s">
        <v>16</v>
      </c>
      <c r="D3206" s="5" t="s">
        <v>3227</v>
      </c>
      <c r="E3206" s="6" t="str">
        <f>HYPERLINK("https://twitter.com/sergio_fajardo/status/1448078925091983366","1448078925091983366")</f>
        <v>1448078925091983366</v>
      </c>
      <c r="F3206" s="7" t="s">
        <v>17</v>
      </c>
      <c r="G3206" s="7">
        <v>1597384</v>
      </c>
      <c r="H3206" s="7">
        <v>581</v>
      </c>
      <c r="I3206" s="7">
        <v>5</v>
      </c>
      <c r="J3206" s="7">
        <v>0</v>
      </c>
      <c r="K3206" s="7" t="s">
        <v>18</v>
      </c>
      <c r="L3206" s="8">
        <v>39891.213356481479</v>
      </c>
      <c r="M3206" s="9" t="s">
        <v>19</v>
      </c>
      <c r="N3206" s="9" t="s">
        <v>22</v>
      </c>
      <c r="O3206" s="6" t="str">
        <f>HYPERLINK("https://pbs.twimg.com/profile_images/1433591977631748099/wuGDIimB_normal.jpg","View")</f>
        <v>View</v>
      </c>
      <c r="P3206" s="7"/>
    </row>
    <row r="3207" spans="1:16">
      <c r="A3207" s="3">
        <v>44482.237268518518</v>
      </c>
      <c r="B3207" s="4" t="str">
        <f>HYPERLINK("https://twitter.com/sergio_fajardo","@sergio_fajardo")</f>
        <v>@sergio_fajardo</v>
      </c>
      <c r="C3207" s="5" t="s">
        <v>16</v>
      </c>
      <c r="D3207" s="5" t="s">
        <v>3228</v>
      </c>
      <c r="E3207" s="6" t="str">
        <f>HYPERLINK("https://twitter.com/sergio_fajardo/status/1448078951008686090","1448078951008686090")</f>
        <v>1448078951008686090</v>
      </c>
      <c r="F3207" s="7" t="s">
        <v>17</v>
      </c>
      <c r="G3207" s="7">
        <v>1597384</v>
      </c>
      <c r="H3207" s="7">
        <v>581</v>
      </c>
      <c r="I3207" s="7">
        <v>2</v>
      </c>
      <c r="J3207" s="7">
        <v>0</v>
      </c>
      <c r="K3207" s="7" t="s">
        <v>18</v>
      </c>
      <c r="L3207" s="8">
        <v>39891.213356481479</v>
      </c>
      <c r="M3207" s="9" t="s">
        <v>19</v>
      </c>
      <c r="N3207" s="9" t="s">
        <v>22</v>
      </c>
      <c r="O3207" s="6" t="str">
        <f>HYPERLINK("https://pbs.twimg.com/profile_images/1433591977631748099/wuGDIimB_normal.jpg","View")</f>
        <v>View</v>
      </c>
      <c r="P3207" s="7"/>
    </row>
    <row r="3208" spans="1:16">
      <c r="A3208" s="3">
        <v>44482.239421296297</v>
      </c>
      <c r="B3208" s="4" t="str">
        <f>HYPERLINK("https://twitter.com/sergio_fajardo","@sergio_fajardo")</f>
        <v>@sergio_fajardo</v>
      </c>
      <c r="C3208" s="5" t="s">
        <v>16</v>
      </c>
      <c r="D3208" s="5" t="s">
        <v>3229</v>
      </c>
      <c r="E3208" s="6" t="str">
        <f>HYPERLINK("https://twitter.com/sergio_fajardo/status/1448079731623092225","1448079731623092225")</f>
        <v>1448079731623092225</v>
      </c>
      <c r="F3208" s="7" t="s">
        <v>17</v>
      </c>
      <c r="G3208" s="7">
        <v>1597384</v>
      </c>
      <c r="H3208" s="7">
        <v>581</v>
      </c>
      <c r="I3208" s="7">
        <v>6</v>
      </c>
      <c r="J3208" s="7">
        <v>8</v>
      </c>
      <c r="K3208" s="7" t="s">
        <v>18</v>
      </c>
      <c r="L3208" s="8">
        <v>39891.213356481479</v>
      </c>
      <c r="M3208" s="9" t="s">
        <v>19</v>
      </c>
      <c r="N3208" s="9" t="s">
        <v>22</v>
      </c>
      <c r="O3208" s="6" t="str">
        <f>HYPERLINK("https://pbs.twimg.com/profile_images/1433591977631748099/wuGDIimB_normal.jpg","View")</f>
        <v>View</v>
      </c>
      <c r="P3208" s="7"/>
    </row>
    <row r="3209" spans="1:16">
      <c r="A3209" s="3">
        <v>44482.261377314819</v>
      </c>
      <c r="B3209" s="4" t="str">
        <f>HYPERLINK("https://twitter.com/sergio_fajardo","@sergio_fajardo")</f>
        <v>@sergio_fajardo</v>
      </c>
      <c r="C3209" s="5" t="s">
        <v>16</v>
      </c>
      <c r="D3209" s="5" t="s">
        <v>3230</v>
      </c>
      <c r="E3209" s="6" t="str">
        <f>HYPERLINK("https://twitter.com/sergio_fajardo/status/1448087687584432128","1448087687584432128")</f>
        <v>1448087687584432128</v>
      </c>
      <c r="F3209" s="7" t="s">
        <v>17</v>
      </c>
      <c r="G3209" s="7">
        <v>1597388</v>
      </c>
      <c r="H3209" s="7">
        <v>581</v>
      </c>
      <c r="I3209" s="7">
        <v>6</v>
      </c>
      <c r="J3209" s="7">
        <v>0</v>
      </c>
      <c r="K3209" s="7" t="s">
        <v>18</v>
      </c>
      <c r="L3209" s="8">
        <v>39891.213356481479</v>
      </c>
      <c r="M3209" s="9" t="s">
        <v>19</v>
      </c>
      <c r="N3209" s="9" t="s">
        <v>22</v>
      </c>
      <c r="O3209" s="6" t="str">
        <f>HYPERLINK("https://pbs.twimg.com/profile_images/1433591977631748099/wuGDIimB_normal.jpg","View")</f>
        <v>View</v>
      </c>
      <c r="P3209" s="7"/>
    </row>
    <row r="3210" spans="1:16">
      <c r="A3210" s="3">
        <v>44482.293726851851</v>
      </c>
      <c r="B3210" s="4" t="str">
        <f>HYPERLINK("https://twitter.com/sergio_fajardo","@sergio_fajardo")</f>
        <v>@sergio_fajardo</v>
      </c>
      <c r="C3210" s="5" t="s">
        <v>16</v>
      </c>
      <c r="D3210" s="5" t="s">
        <v>3231</v>
      </c>
      <c r="E3210" s="6" t="str">
        <f>HYPERLINK("https://twitter.com/sergio_fajardo/status/1448099411368763392","1448099411368763392")</f>
        <v>1448099411368763392</v>
      </c>
      <c r="F3210" s="7" t="s">
        <v>17</v>
      </c>
      <c r="G3210" s="7">
        <v>1597386</v>
      </c>
      <c r="H3210" s="7">
        <v>581</v>
      </c>
      <c r="I3210" s="7">
        <v>5</v>
      </c>
      <c r="J3210" s="7">
        <v>0</v>
      </c>
      <c r="K3210" s="7" t="s">
        <v>18</v>
      </c>
      <c r="L3210" s="8">
        <v>39891.213356481479</v>
      </c>
      <c r="M3210" s="9" t="s">
        <v>19</v>
      </c>
      <c r="N3210" s="9" t="s">
        <v>22</v>
      </c>
      <c r="O3210" s="6" t="str">
        <f>HYPERLINK("https://pbs.twimg.com/profile_images/1433591977631748099/wuGDIimB_normal.jpg","View")</f>
        <v>View</v>
      </c>
      <c r="P3210" s="7"/>
    </row>
    <row r="3211" spans="1:16">
      <c r="A3211" s="3">
        <v>44482.293819444443</v>
      </c>
      <c r="B3211" s="4" t="str">
        <f>HYPERLINK("https://twitter.com/sergio_fajardo","@sergio_fajardo")</f>
        <v>@sergio_fajardo</v>
      </c>
      <c r="C3211" s="5" t="s">
        <v>16</v>
      </c>
      <c r="D3211" s="5" t="s">
        <v>3232</v>
      </c>
      <c r="E3211" s="6" t="str">
        <f>HYPERLINK("https://twitter.com/sergio_fajardo/status/1448099442780000273","1448099442780000273")</f>
        <v>1448099442780000273</v>
      </c>
      <c r="F3211" s="7" t="s">
        <v>17</v>
      </c>
      <c r="G3211" s="7">
        <v>1597386</v>
      </c>
      <c r="H3211" s="7">
        <v>581</v>
      </c>
      <c r="I3211" s="7">
        <v>4</v>
      </c>
      <c r="J3211" s="7">
        <v>0</v>
      </c>
      <c r="K3211" s="7" t="s">
        <v>18</v>
      </c>
      <c r="L3211" s="8">
        <v>39891.213356481479</v>
      </c>
      <c r="M3211" s="9" t="s">
        <v>19</v>
      </c>
      <c r="N3211" s="9" t="s">
        <v>22</v>
      </c>
      <c r="O3211" s="6" t="str">
        <f>HYPERLINK("https://pbs.twimg.com/profile_images/1433591977631748099/wuGDIimB_normal.jpg","View")</f>
        <v>View</v>
      </c>
      <c r="P3211" s="7"/>
    </row>
    <row r="3212" spans="1:16">
      <c r="A3212" s="3">
        <v>44482.866215277776</v>
      </c>
      <c r="B3212" s="4" t="str">
        <f>HYPERLINK("https://twitter.com/sergio_fajardo","@sergio_fajardo")</f>
        <v>@sergio_fajardo</v>
      </c>
      <c r="C3212" s="5" t="s">
        <v>16</v>
      </c>
      <c r="D3212" s="5" t="s">
        <v>3233</v>
      </c>
      <c r="E3212" s="6" t="str">
        <f>HYPERLINK("https://twitter.com/sergio_fajardo/status/1448306874256957448","1448306874256957448")</f>
        <v>1448306874256957448</v>
      </c>
      <c r="F3212" s="7" t="s">
        <v>2329</v>
      </c>
      <c r="G3212" s="7">
        <v>1597765</v>
      </c>
      <c r="H3212" s="7">
        <v>584</v>
      </c>
      <c r="I3212" s="7">
        <v>41</v>
      </c>
      <c r="J3212" s="7">
        <v>122</v>
      </c>
      <c r="K3212" s="7" t="s">
        <v>18</v>
      </c>
      <c r="L3212" s="8">
        <v>39891.213356481479</v>
      </c>
      <c r="M3212" s="9" t="s">
        <v>19</v>
      </c>
      <c r="N3212" s="9" t="s">
        <v>22</v>
      </c>
      <c r="O3212" s="6" t="str">
        <f>HYPERLINK("https://pbs.twimg.com/profile_images/1433591977631748099/wuGDIimB_normal.jpg","View")</f>
        <v>View</v>
      </c>
      <c r="P3212" s="7"/>
    </row>
    <row r="3213" spans="1:16">
      <c r="A3213" s="3">
        <v>44483.020428240736</v>
      </c>
      <c r="B3213" s="4" t="str">
        <f>HYPERLINK("https://twitter.com/sergio_fajardo","@sergio_fajardo")</f>
        <v>@sergio_fajardo</v>
      </c>
      <c r="C3213" s="5" t="s">
        <v>16</v>
      </c>
      <c r="D3213" s="5" t="s">
        <v>3234</v>
      </c>
      <c r="E3213" s="6" t="str">
        <f>HYPERLINK("https://twitter.com/sergio_fajardo/status/1448362757858996233","1448362757858996233")</f>
        <v>1448362757858996233</v>
      </c>
      <c r="F3213" s="7" t="s">
        <v>23</v>
      </c>
      <c r="G3213" s="7">
        <v>1597765</v>
      </c>
      <c r="H3213" s="7">
        <v>584</v>
      </c>
      <c r="I3213" s="7">
        <v>286</v>
      </c>
      <c r="J3213" s="7">
        <v>195</v>
      </c>
      <c r="K3213" s="7" t="s">
        <v>18</v>
      </c>
      <c r="L3213" s="8">
        <v>39891.213356481479</v>
      </c>
      <c r="M3213" s="9" t="s">
        <v>19</v>
      </c>
      <c r="N3213" s="9" t="s">
        <v>22</v>
      </c>
      <c r="O3213" s="6" t="str">
        <f>HYPERLINK("https://pbs.twimg.com/profile_images/1433591977631748099/wuGDIimB_normal.jpg","View")</f>
        <v>View</v>
      </c>
      <c r="P3213" s="7"/>
    </row>
    <row r="3214" spans="1:16">
      <c r="A3214" s="3">
        <v>44483.120127314818</v>
      </c>
      <c r="B3214" s="4" t="str">
        <f>HYPERLINK("https://twitter.com/sergio_fajardo","@sergio_fajardo")</f>
        <v>@sergio_fajardo</v>
      </c>
      <c r="C3214" s="5" t="s">
        <v>16</v>
      </c>
      <c r="D3214" s="5" t="s">
        <v>3235</v>
      </c>
      <c r="E3214" s="6" t="str">
        <f>HYPERLINK("https://twitter.com/sergio_fajardo/status/1448398888856129540","1448398888856129540")</f>
        <v>1448398888856129540</v>
      </c>
      <c r="F3214" s="7" t="s">
        <v>17</v>
      </c>
      <c r="G3214" s="7">
        <v>1597765</v>
      </c>
      <c r="H3214" s="7">
        <v>584</v>
      </c>
      <c r="I3214" s="7">
        <v>25</v>
      </c>
      <c r="J3214" s="7">
        <v>0</v>
      </c>
      <c r="K3214" s="7" t="s">
        <v>18</v>
      </c>
      <c r="L3214" s="8">
        <v>39891.213356481479</v>
      </c>
      <c r="M3214" s="9" t="s">
        <v>19</v>
      </c>
      <c r="N3214" s="9" t="s">
        <v>22</v>
      </c>
      <c r="O3214" s="6" t="str">
        <f>HYPERLINK("https://pbs.twimg.com/profile_images/1433591977631748099/wuGDIimB_normal.jpg","View")</f>
        <v>View</v>
      </c>
      <c r="P3214" s="7"/>
    </row>
    <row r="3215" spans="1:16">
      <c r="A3215" s="3">
        <v>44483.155775462961</v>
      </c>
      <c r="B3215" s="4" t="str">
        <f>HYPERLINK("https://twitter.com/sergio_fajardo","@sergio_fajardo")</f>
        <v>@sergio_fajardo</v>
      </c>
      <c r="C3215" s="5" t="s">
        <v>16</v>
      </c>
      <c r="D3215" s="5" t="s">
        <v>3236</v>
      </c>
      <c r="E3215" s="6" t="str">
        <f>HYPERLINK("https://twitter.com/sergio_fajardo/status/1448411808281382924","1448411808281382924")</f>
        <v>1448411808281382924</v>
      </c>
      <c r="F3215" s="7" t="s">
        <v>17</v>
      </c>
      <c r="G3215" s="7">
        <v>1597765</v>
      </c>
      <c r="H3215" s="7">
        <v>584</v>
      </c>
      <c r="I3215" s="7">
        <v>25</v>
      </c>
      <c r="J3215" s="7">
        <v>131</v>
      </c>
      <c r="K3215" s="7" t="s">
        <v>18</v>
      </c>
      <c r="L3215" s="8">
        <v>39891.213356481479</v>
      </c>
      <c r="M3215" s="9" t="s">
        <v>19</v>
      </c>
      <c r="N3215" s="9" t="s">
        <v>22</v>
      </c>
      <c r="O3215" s="6" t="str">
        <f>HYPERLINK("https://pbs.twimg.com/profile_images/1433591977631748099/wuGDIimB_normal.jpg","View")</f>
        <v>View</v>
      </c>
      <c r="P3215" s="7"/>
    </row>
    <row r="3216" spans="1:16">
      <c r="A3216" s="3">
        <v>44483.271469907406</v>
      </c>
      <c r="B3216" s="4" t="str">
        <f>HYPERLINK("https://twitter.com/sergio_fajardo","@sergio_fajardo")</f>
        <v>@sergio_fajardo</v>
      </c>
      <c r="C3216" s="5" t="s">
        <v>16</v>
      </c>
      <c r="D3216" s="5" t="s">
        <v>3237</v>
      </c>
      <c r="E3216" s="6" t="str">
        <f>HYPERLINK("https://twitter.com/sergio_fajardo/status/1448453734552461312","1448453734552461312")</f>
        <v>1448453734552461312</v>
      </c>
      <c r="F3216" s="7" t="s">
        <v>2329</v>
      </c>
      <c r="G3216" s="7">
        <v>1597765</v>
      </c>
      <c r="H3216" s="7">
        <v>584</v>
      </c>
      <c r="I3216" s="7">
        <v>166</v>
      </c>
      <c r="J3216" s="7">
        <v>391</v>
      </c>
      <c r="K3216" s="7" t="s">
        <v>18</v>
      </c>
      <c r="L3216" s="8">
        <v>39891.213356481479</v>
      </c>
      <c r="M3216" s="9" t="s">
        <v>19</v>
      </c>
      <c r="N3216" s="9" t="s">
        <v>22</v>
      </c>
      <c r="O3216" s="6" t="str">
        <f>HYPERLINK("https://pbs.twimg.com/profile_images/1433591977631748099/wuGDIimB_normal.jpg","View")</f>
        <v>View</v>
      </c>
      <c r="P3216" s="7"/>
    </row>
    <row r="3217" spans="1:16">
      <c r="A3217" s="3">
        <v>44483.291701388887</v>
      </c>
      <c r="B3217" s="4" t="str">
        <f>HYPERLINK("https://twitter.com/sergio_fajardo","@sergio_fajardo")</f>
        <v>@sergio_fajardo</v>
      </c>
      <c r="C3217" s="5" t="s">
        <v>16</v>
      </c>
      <c r="D3217" s="5" t="s">
        <v>3238</v>
      </c>
      <c r="E3217" s="6" t="str">
        <f>HYPERLINK("https://twitter.com/sergio_fajardo/status/1448461064291631111","1448461064291631111")</f>
        <v>1448461064291631111</v>
      </c>
      <c r="F3217" s="7" t="s">
        <v>17</v>
      </c>
      <c r="G3217" s="7">
        <v>1597765</v>
      </c>
      <c r="H3217" s="7">
        <v>584</v>
      </c>
      <c r="I3217" s="7">
        <v>15</v>
      </c>
      <c r="J3217" s="7">
        <v>76</v>
      </c>
      <c r="K3217" s="7" t="s">
        <v>18</v>
      </c>
      <c r="L3217" s="8">
        <v>39891.213356481479</v>
      </c>
      <c r="M3217" s="9" t="s">
        <v>19</v>
      </c>
      <c r="N3217" s="9" t="s">
        <v>22</v>
      </c>
      <c r="O3217" s="6" t="str">
        <f>HYPERLINK("https://pbs.twimg.com/profile_images/1433591977631748099/wuGDIimB_normal.jpg","View")</f>
        <v>View</v>
      </c>
      <c r="P3217" s="7"/>
    </row>
    <row r="3218" spans="1:16">
      <c r="A3218" s="3">
        <v>44483.302349537036</v>
      </c>
      <c r="B3218" s="4" t="str">
        <f>HYPERLINK("https://twitter.com/sergio_fajardo","@sergio_fajardo")</f>
        <v>@sergio_fajardo</v>
      </c>
      <c r="C3218" s="5" t="s">
        <v>16</v>
      </c>
      <c r="D3218" s="5" t="s">
        <v>3239</v>
      </c>
      <c r="E3218" s="6" t="str">
        <f>HYPERLINK("https://twitter.com/sergio_fajardo/status/1448464923302957066","1448464923302957066")</f>
        <v>1448464923302957066</v>
      </c>
      <c r="F3218" s="7" t="s">
        <v>2329</v>
      </c>
      <c r="G3218" s="7">
        <v>1597765</v>
      </c>
      <c r="H3218" s="7">
        <v>584</v>
      </c>
      <c r="I3218" s="7">
        <v>36</v>
      </c>
      <c r="J3218" s="7">
        <v>122</v>
      </c>
      <c r="K3218" s="7" t="s">
        <v>18</v>
      </c>
      <c r="L3218" s="8">
        <v>39891.213356481479</v>
      </c>
      <c r="M3218" s="9" t="s">
        <v>19</v>
      </c>
      <c r="N3218" s="9" t="s">
        <v>22</v>
      </c>
      <c r="O3218" s="6" t="str">
        <f>HYPERLINK("https://pbs.twimg.com/profile_images/1433591977631748099/wuGDIimB_normal.jpg","View")</f>
        <v>View</v>
      </c>
      <c r="P3218" s="7"/>
    </row>
    <row r="3219" spans="1:16">
      <c r="A3219" s="3">
        <v>44483.319467592592</v>
      </c>
      <c r="B3219" s="4" t="str">
        <f>HYPERLINK("https://twitter.com/sergio_fajardo","@sergio_fajardo")</f>
        <v>@sergio_fajardo</v>
      </c>
      <c r="C3219" s="5" t="s">
        <v>16</v>
      </c>
      <c r="D3219" s="5" t="s">
        <v>3240</v>
      </c>
      <c r="E3219" s="6" t="str">
        <f>HYPERLINK("https://twitter.com/sergio_fajardo/status/1448471127735549955","1448471127735549955")</f>
        <v>1448471127735549955</v>
      </c>
      <c r="F3219" s="7" t="s">
        <v>2329</v>
      </c>
      <c r="G3219" s="7">
        <v>1597765</v>
      </c>
      <c r="H3219" s="7">
        <v>584</v>
      </c>
      <c r="I3219" s="7">
        <v>25</v>
      </c>
      <c r="J3219" s="7">
        <v>93</v>
      </c>
      <c r="K3219" s="7" t="s">
        <v>18</v>
      </c>
      <c r="L3219" s="8">
        <v>39891.213356481479</v>
      </c>
      <c r="M3219" s="9" t="s">
        <v>19</v>
      </c>
      <c r="N3219" s="9" t="s">
        <v>22</v>
      </c>
      <c r="O3219" s="6" t="str">
        <f>HYPERLINK("https://pbs.twimg.com/profile_images/1433591977631748099/wuGDIimB_normal.jpg","View")</f>
        <v>View</v>
      </c>
      <c r="P3219" s="7"/>
    </row>
    <row r="3220" spans="1:16">
      <c r="A3220" s="3">
        <v>44483.325011574074</v>
      </c>
      <c r="B3220" s="4" t="str">
        <f>HYPERLINK("https://twitter.com/sergio_fajardo","@sergio_fajardo")</f>
        <v>@sergio_fajardo</v>
      </c>
      <c r="C3220" s="5" t="s">
        <v>16</v>
      </c>
      <c r="D3220" s="5" t="s">
        <v>3241</v>
      </c>
      <c r="E3220" s="6" t="str">
        <f>HYPERLINK("https://twitter.com/sergio_fajardo/status/1448473133741219840","1448473133741219840")</f>
        <v>1448473133741219840</v>
      </c>
      <c r="F3220" s="7" t="s">
        <v>17</v>
      </c>
      <c r="G3220" s="7">
        <v>1597765</v>
      </c>
      <c r="H3220" s="7">
        <v>584</v>
      </c>
      <c r="I3220" s="7">
        <v>20</v>
      </c>
      <c r="J3220" s="7">
        <v>84</v>
      </c>
      <c r="K3220" s="7" t="s">
        <v>18</v>
      </c>
      <c r="L3220" s="8">
        <v>39891.213356481479</v>
      </c>
      <c r="M3220" s="9" t="s">
        <v>19</v>
      </c>
      <c r="N3220" s="9" t="s">
        <v>22</v>
      </c>
      <c r="O3220" s="6" t="str">
        <f>HYPERLINK("https://pbs.twimg.com/profile_images/1433591977631748099/wuGDIimB_normal.jpg","View")</f>
        <v>View</v>
      </c>
      <c r="P3220" s="7"/>
    </row>
    <row r="3221" spans="1:16">
      <c r="A3221" s="3">
        <v>44483.328472222223</v>
      </c>
      <c r="B3221" s="4" t="str">
        <f>HYPERLINK("https://twitter.com/sergio_fajardo","@sergio_fajardo")</f>
        <v>@sergio_fajardo</v>
      </c>
      <c r="C3221" s="5" t="s">
        <v>16</v>
      </c>
      <c r="D3221" s="5" t="s">
        <v>3242</v>
      </c>
      <c r="E3221" s="6" t="str">
        <f>HYPERLINK("https://twitter.com/sergio_fajardo/status/1448474390514094081","1448474390514094081")</f>
        <v>1448474390514094081</v>
      </c>
      <c r="F3221" s="7" t="s">
        <v>17</v>
      </c>
      <c r="G3221" s="7">
        <v>1597765</v>
      </c>
      <c r="H3221" s="7">
        <v>584</v>
      </c>
      <c r="I3221" s="7">
        <v>6</v>
      </c>
      <c r="J3221" s="7">
        <v>37</v>
      </c>
      <c r="K3221" s="7" t="s">
        <v>18</v>
      </c>
      <c r="L3221" s="8">
        <v>39891.213356481479</v>
      </c>
      <c r="M3221" s="9" t="s">
        <v>19</v>
      </c>
      <c r="N3221" s="9" t="s">
        <v>22</v>
      </c>
      <c r="O3221" s="6" t="str">
        <f>HYPERLINK("https://pbs.twimg.com/profile_images/1433591977631748099/wuGDIimB_normal.jpg","View")</f>
        <v>View</v>
      </c>
      <c r="P3221" s="7"/>
    </row>
    <row r="3222" spans="1:16">
      <c r="A3222" s="3">
        <v>44483.332094907411</v>
      </c>
      <c r="B3222" s="4" t="str">
        <f>HYPERLINK("https://twitter.com/sergio_fajardo","@sergio_fajardo")</f>
        <v>@sergio_fajardo</v>
      </c>
      <c r="C3222" s="5" t="s">
        <v>16</v>
      </c>
      <c r="D3222" s="5" t="s">
        <v>3243</v>
      </c>
      <c r="E3222" s="6" t="str">
        <f>HYPERLINK("https://twitter.com/sergio_fajardo/status/1448475703880658946","1448475703880658946")</f>
        <v>1448475703880658946</v>
      </c>
      <c r="F3222" s="7" t="s">
        <v>17</v>
      </c>
      <c r="G3222" s="7">
        <v>1597765</v>
      </c>
      <c r="H3222" s="7">
        <v>584</v>
      </c>
      <c r="I3222" s="7">
        <v>4</v>
      </c>
      <c r="J3222" s="7">
        <v>32</v>
      </c>
      <c r="K3222" s="7" t="s">
        <v>18</v>
      </c>
      <c r="L3222" s="8">
        <v>39891.213356481479</v>
      </c>
      <c r="M3222" s="9" t="s">
        <v>19</v>
      </c>
      <c r="N3222" s="9" t="s">
        <v>22</v>
      </c>
      <c r="O3222" s="6" t="str">
        <f>HYPERLINK("https://pbs.twimg.com/profile_images/1433591977631748099/wuGDIimB_normal.jpg","View")</f>
        <v>View</v>
      </c>
      <c r="P3222" s="7"/>
    </row>
    <row r="3223" spans="1:16">
      <c r="A3223" s="3">
        <v>44483.334768518514</v>
      </c>
      <c r="B3223" s="4" t="str">
        <f>HYPERLINK("https://twitter.com/sergio_fajardo","@sergio_fajardo")</f>
        <v>@sergio_fajardo</v>
      </c>
      <c r="C3223" s="5" t="s">
        <v>16</v>
      </c>
      <c r="D3223" s="5" t="s">
        <v>3244</v>
      </c>
      <c r="E3223" s="6" t="str">
        <f>HYPERLINK("https://twitter.com/sergio_fajardo/status/1448476673242976260","1448476673242976260")</f>
        <v>1448476673242976260</v>
      </c>
      <c r="F3223" s="7" t="s">
        <v>17</v>
      </c>
      <c r="G3223" s="7">
        <v>1597765</v>
      </c>
      <c r="H3223" s="7">
        <v>584</v>
      </c>
      <c r="I3223" s="7">
        <v>8</v>
      </c>
      <c r="J3223" s="7">
        <v>40</v>
      </c>
      <c r="K3223" s="7" t="s">
        <v>18</v>
      </c>
      <c r="L3223" s="8">
        <v>39891.213356481479</v>
      </c>
      <c r="M3223" s="9" t="s">
        <v>19</v>
      </c>
      <c r="N3223" s="9" t="s">
        <v>22</v>
      </c>
      <c r="O3223" s="6" t="str">
        <f>HYPERLINK("https://pbs.twimg.com/profile_images/1433591977631748099/wuGDIimB_normal.jpg","View")</f>
        <v>View</v>
      </c>
      <c r="P3223" s="7"/>
    </row>
    <row r="3224" spans="1:16">
      <c r="A3224" s="3">
        <v>44483.336724537032</v>
      </c>
      <c r="B3224" s="4" t="str">
        <f>HYPERLINK("https://twitter.com/sergio_fajardo","@sergio_fajardo")</f>
        <v>@sergio_fajardo</v>
      </c>
      <c r="C3224" s="5" t="s">
        <v>16</v>
      </c>
      <c r="D3224" s="5" t="s">
        <v>3245</v>
      </c>
      <c r="E3224" s="6" t="str">
        <f>HYPERLINK("https://twitter.com/sergio_fajardo/status/1448477380390031361","1448477380390031361")</f>
        <v>1448477380390031361</v>
      </c>
      <c r="F3224" s="7" t="s">
        <v>17</v>
      </c>
      <c r="G3224" s="7">
        <v>1597765</v>
      </c>
      <c r="H3224" s="7">
        <v>584</v>
      </c>
      <c r="I3224" s="7">
        <v>19</v>
      </c>
      <c r="J3224" s="7">
        <v>102</v>
      </c>
      <c r="K3224" s="7" t="s">
        <v>18</v>
      </c>
      <c r="L3224" s="8">
        <v>39891.213356481479</v>
      </c>
      <c r="M3224" s="9" t="s">
        <v>19</v>
      </c>
      <c r="N3224" s="9" t="s">
        <v>22</v>
      </c>
      <c r="O3224" s="6" t="str">
        <f>HYPERLINK("https://pbs.twimg.com/profile_images/1433591977631748099/wuGDIimB_normal.jpg","View")</f>
        <v>View</v>
      </c>
      <c r="P3224" s="7"/>
    </row>
    <row r="3225" spans="1:16">
      <c r="A3225" s="3">
        <v>44483.344456018516</v>
      </c>
      <c r="B3225" s="4" t="str">
        <f>HYPERLINK("https://twitter.com/sergio_fajardo","@sergio_fajardo")</f>
        <v>@sergio_fajardo</v>
      </c>
      <c r="C3225" s="5" t="s">
        <v>16</v>
      </c>
      <c r="D3225" s="5" t="s">
        <v>3246</v>
      </c>
      <c r="E3225" s="6" t="str">
        <f>HYPERLINK("https://twitter.com/sergio_fajardo/status/1448480181426003973","1448480181426003973")</f>
        <v>1448480181426003973</v>
      </c>
      <c r="F3225" s="7" t="s">
        <v>17</v>
      </c>
      <c r="G3225" s="7">
        <v>1597765</v>
      </c>
      <c r="H3225" s="7">
        <v>584</v>
      </c>
      <c r="I3225" s="7">
        <v>11</v>
      </c>
      <c r="J3225" s="7">
        <v>83</v>
      </c>
      <c r="K3225" s="7" t="s">
        <v>18</v>
      </c>
      <c r="L3225" s="8">
        <v>39891.213356481479</v>
      </c>
      <c r="M3225" s="9" t="s">
        <v>19</v>
      </c>
      <c r="N3225" s="9" t="s">
        <v>22</v>
      </c>
      <c r="O3225" s="6" t="str">
        <f>HYPERLINK("https://pbs.twimg.com/profile_images/1433591977631748099/wuGDIimB_normal.jpg","View")</f>
        <v>View</v>
      </c>
      <c r="P3225" s="7"/>
    </row>
    <row r="3226" spans="1:16">
      <c r="A3226" s="3">
        <v>44483.714351851857</v>
      </c>
      <c r="B3226" s="4" t="str">
        <f>HYPERLINK("https://twitter.com/sergio_fajardo","@sergio_fajardo")</f>
        <v>@sergio_fajardo</v>
      </c>
      <c r="C3226" s="5" t="s">
        <v>16</v>
      </c>
      <c r="D3226" s="5" t="s">
        <v>3247</v>
      </c>
      <c r="E3226" s="6" t="str">
        <f>HYPERLINK("https://twitter.com/sergio_fajardo/status/1448614229410451462","1448614229410451462")</f>
        <v>1448614229410451462</v>
      </c>
      <c r="F3226" s="7" t="s">
        <v>17</v>
      </c>
      <c r="G3226" s="7">
        <v>1597765</v>
      </c>
      <c r="H3226" s="7">
        <v>584</v>
      </c>
      <c r="I3226" s="7">
        <v>39</v>
      </c>
      <c r="J3226" s="7">
        <v>257</v>
      </c>
      <c r="K3226" s="7" t="s">
        <v>18</v>
      </c>
      <c r="L3226" s="8">
        <v>39891.213356481479</v>
      </c>
      <c r="M3226" s="9" t="s">
        <v>19</v>
      </c>
      <c r="N3226" s="9" t="s">
        <v>22</v>
      </c>
      <c r="O3226" s="6" t="str">
        <f>HYPERLINK("https://pbs.twimg.com/profile_images/1433591977631748099/wuGDIimB_normal.jpg","View")</f>
        <v>View</v>
      </c>
      <c r="P3226" s="7"/>
    </row>
    <row r="3227" spans="1:16">
      <c r="A3227" s="3">
        <v>44483.729629629626</v>
      </c>
      <c r="B3227" s="4" t="str">
        <f>HYPERLINK("https://twitter.com/sergio_fajardo","@sergio_fajardo")</f>
        <v>@sergio_fajardo</v>
      </c>
      <c r="C3227" s="5" t="s">
        <v>16</v>
      </c>
      <c r="D3227" s="5" t="s">
        <v>3248</v>
      </c>
      <c r="E3227" s="6" t="str">
        <f>HYPERLINK("https://twitter.com/sergio_fajardo/status/1448619763593367552","1448619763593367552")</f>
        <v>1448619763593367552</v>
      </c>
      <c r="F3227" s="7" t="s">
        <v>2329</v>
      </c>
      <c r="G3227" s="7">
        <v>1597765</v>
      </c>
      <c r="H3227" s="7">
        <v>584</v>
      </c>
      <c r="I3227" s="7">
        <v>33</v>
      </c>
      <c r="J3227" s="7">
        <v>93</v>
      </c>
      <c r="K3227" s="7" t="s">
        <v>18</v>
      </c>
      <c r="L3227" s="8">
        <v>39891.213356481479</v>
      </c>
      <c r="M3227" s="9" t="s">
        <v>19</v>
      </c>
      <c r="N3227" s="9" t="s">
        <v>22</v>
      </c>
      <c r="O3227" s="6" t="str">
        <f>HYPERLINK("https://pbs.twimg.com/profile_images/1433591977631748099/wuGDIimB_normal.jpg","View")</f>
        <v>View</v>
      </c>
      <c r="P3227" s="7"/>
    </row>
    <row r="3228" spans="1:16">
      <c r="A3228" s="3">
        <v>44483.759305555555</v>
      </c>
      <c r="B3228" s="4" t="str">
        <f>HYPERLINK("https://twitter.com/sergio_fajardo","@sergio_fajardo")</f>
        <v>@sergio_fajardo</v>
      </c>
      <c r="C3228" s="5" t="s">
        <v>16</v>
      </c>
      <c r="D3228" s="5" t="s">
        <v>3249</v>
      </c>
      <c r="E3228" s="6" t="str">
        <f>HYPERLINK("https://twitter.com/sergio_fajardo/status/1448630519114129411","1448630519114129411")</f>
        <v>1448630519114129411</v>
      </c>
      <c r="F3228" s="7" t="s">
        <v>17</v>
      </c>
      <c r="G3228" s="7">
        <v>1597765</v>
      </c>
      <c r="H3228" s="7">
        <v>584</v>
      </c>
      <c r="I3228" s="7">
        <v>8</v>
      </c>
      <c r="J3228" s="7">
        <v>35</v>
      </c>
      <c r="K3228" s="7" t="s">
        <v>18</v>
      </c>
      <c r="L3228" s="8">
        <v>39891.213356481479</v>
      </c>
      <c r="M3228" s="9" t="s">
        <v>19</v>
      </c>
      <c r="N3228" s="9" t="s">
        <v>22</v>
      </c>
      <c r="O3228" s="6" t="str">
        <f>HYPERLINK("https://pbs.twimg.com/profile_images/1433591977631748099/wuGDIimB_normal.jpg","View")</f>
        <v>View</v>
      </c>
      <c r="P3228" s="7"/>
    </row>
    <row r="3229" spans="1:16">
      <c r="A3229" s="3">
        <v>44483.763715277775</v>
      </c>
      <c r="B3229" s="4" t="str">
        <f>HYPERLINK("https://twitter.com/sergio_fajardo","@sergio_fajardo")</f>
        <v>@sergio_fajardo</v>
      </c>
      <c r="C3229" s="5" t="s">
        <v>16</v>
      </c>
      <c r="D3229" s="5" t="s">
        <v>3250</v>
      </c>
      <c r="E3229" s="6" t="str">
        <f>HYPERLINK("https://twitter.com/sergio_fajardo/status/1448632114866540551","1448632114866540551")</f>
        <v>1448632114866540551</v>
      </c>
      <c r="F3229" s="7" t="s">
        <v>17</v>
      </c>
      <c r="G3229" s="7">
        <v>1597765</v>
      </c>
      <c r="H3229" s="7">
        <v>584</v>
      </c>
      <c r="I3229" s="7">
        <v>9</v>
      </c>
      <c r="J3229" s="7">
        <v>0</v>
      </c>
      <c r="K3229" s="7" t="s">
        <v>18</v>
      </c>
      <c r="L3229" s="8">
        <v>39891.213356481479</v>
      </c>
      <c r="M3229" s="9" t="s">
        <v>19</v>
      </c>
      <c r="N3229" s="9" t="s">
        <v>22</v>
      </c>
      <c r="O3229" s="6" t="str">
        <f>HYPERLINK("https://pbs.twimg.com/profile_images/1433591977631748099/wuGDIimB_normal.jpg","View")</f>
        <v>View</v>
      </c>
      <c r="P3229" s="7"/>
    </row>
    <row r="3230" spans="1:16">
      <c r="A3230" s="3">
        <v>44483.763865740737</v>
      </c>
      <c r="B3230" s="4" t="str">
        <f>HYPERLINK("https://twitter.com/sergio_fajardo","@sergio_fajardo")</f>
        <v>@sergio_fajardo</v>
      </c>
      <c r="C3230" s="5" t="s">
        <v>16</v>
      </c>
      <c r="D3230" s="5" t="s">
        <v>3251</v>
      </c>
      <c r="E3230" s="6" t="str">
        <f>HYPERLINK("https://twitter.com/sergio_fajardo/status/1448632169048461314","1448632169048461314")</f>
        <v>1448632169048461314</v>
      </c>
      <c r="F3230" s="7" t="s">
        <v>17</v>
      </c>
      <c r="G3230" s="7">
        <v>1597765</v>
      </c>
      <c r="H3230" s="7">
        <v>584</v>
      </c>
      <c r="I3230" s="7">
        <v>7</v>
      </c>
      <c r="J3230" s="7">
        <v>0</v>
      </c>
      <c r="K3230" s="7" t="s">
        <v>18</v>
      </c>
      <c r="L3230" s="8">
        <v>39891.213356481479</v>
      </c>
      <c r="M3230" s="9" t="s">
        <v>19</v>
      </c>
      <c r="N3230" s="9" t="s">
        <v>22</v>
      </c>
      <c r="O3230" s="6" t="str">
        <f>HYPERLINK("https://pbs.twimg.com/profile_images/1433591977631748099/wuGDIimB_normal.jpg","View")</f>
        <v>View</v>
      </c>
      <c r="P3230" s="7"/>
    </row>
    <row r="3231" spans="1:16">
      <c r="A3231" s="3">
        <v>44483.773993055554</v>
      </c>
      <c r="B3231" s="4" t="str">
        <f>HYPERLINK("https://twitter.com/sergio_fajardo","@sergio_fajardo")</f>
        <v>@sergio_fajardo</v>
      </c>
      <c r="C3231" s="5" t="s">
        <v>16</v>
      </c>
      <c r="D3231" s="5" t="s">
        <v>3252</v>
      </c>
      <c r="E3231" s="6" t="str">
        <f>HYPERLINK("https://twitter.com/sergio_fajardo/status/1448635839534206980","1448635839534206980")</f>
        <v>1448635839534206980</v>
      </c>
      <c r="F3231" s="7" t="s">
        <v>17</v>
      </c>
      <c r="G3231" s="7">
        <v>1597765</v>
      </c>
      <c r="H3231" s="7">
        <v>584</v>
      </c>
      <c r="I3231" s="7">
        <v>22</v>
      </c>
      <c r="J3231" s="7">
        <v>0</v>
      </c>
      <c r="K3231" s="7" t="s">
        <v>18</v>
      </c>
      <c r="L3231" s="8">
        <v>39891.213356481479</v>
      </c>
      <c r="M3231" s="9" t="s">
        <v>19</v>
      </c>
      <c r="N3231" s="9" t="s">
        <v>22</v>
      </c>
      <c r="O3231" s="6" t="str">
        <f>HYPERLINK("https://pbs.twimg.com/profile_images/1433591977631748099/wuGDIimB_normal.jpg","View")</f>
        <v>View</v>
      </c>
      <c r="P3231" s="7"/>
    </row>
    <row r="3232" spans="1:16">
      <c r="A3232" s="3">
        <v>44483.858842592592</v>
      </c>
      <c r="B3232" s="4" t="str">
        <f>HYPERLINK("https://twitter.com/sergio_fajardo","@sergio_fajardo")</f>
        <v>@sergio_fajardo</v>
      </c>
      <c r="C3232" s="5" t="s">
        <v>16</v>
      </c>
      <c r="D3232" s="5" t="s">
        <v>3253</v>
      </c>
      <c r="E3232" s="6" t="str">
        <f>HYPERLINK("https://twitter.com/sergio_fajardo/status/1448666588865990659","1448666588865990659")</f>
        <v>1448666588865990659</v>
      </c>
      <c r="F3232" s="7" t="s">
        <v>17</v>
      </c>
      <c r="G3232" s="7">
        <v>1597765</v>
      </c>
      <c r="H3232" s="7">
        <v>584</v>
      </c>
      <c r="I3232" s="7">
        <v>33</v>
      </c>
      <c r="J3232" s="7">
        <v>133</v>
      </c>
      <c r="K3232" s="7" t="s">
        <v>18</v>
      </c>
      <c r="L3232" s="8">
        <v>39891.213356481479</v>
      </c>
      <c r="M3232" s="9" t="s">
        <v>19</v>
      </c>
      <c r="N3232" s="9" t="s">
        <v>22</v>
      </c>
      <c r="O3232" s="6" t="str">
        <f>HYPERLINK("https://pbs.twimg.com/profile_images/1433591977631748099/wuGDIimB_normal.jpg","View")</f>
        <v>View</v>
      </c>
      <c r="P3232" s="7"/>
    </row>
    <row r="3233" spans="1:16">
      <c r="A3233" s="3">
        <v>44483.883368055554</v>
      </c>
      <c r="B3233" s="4" t="str">
        <f>HYPERLINK("https://twitter.com/sergio_fajardo","@sergio_fajardo")</f>
        <v>@sergio_fajardo</v>
      </c>
      <c r="C3233" s="5" t="s">
        <v>16</v>
      </c>
      <c r="D3233" s="5" t="s">
        <v>3254</v>
      </c>
      <c r="E3233" s="6" t="str">
        <f>HYPERLINK("https://twitter.com/sergio_fajardo/status/1448675478701760522","1448675478701760522")</f>
        <v>1448675478701760522</v>
      </c>
      <c r="F3233" s="7" t="s">
        <v>17</v>
      </c>
      <c r="G3233" s="7">
        <v>1597765</v>
      </c>
      <c r="H3233" s="7">
        <v>584</v>
      </c>
      <c r="I3233" s="7">
        <v>45</v>
      </c>
      <c r="J3233" s="7">
        <v>217</v>
      </c>
      <c r="K3233" s="7" t="s">
        <v>18</v>
      </c>
      <c r="L3233" s="8">
        <v>39891.213356481479</v>
      </c>
      <c r="M3233" s="9" t="s">
        <v>19</v>
      </c>
      <c r="N3233" s="9" t="s">
        <v>22</v>
      </c>
      <c r="O3233" s="6" t="str">
        <f>HYPERLINK("https://pbs.twimg.com/profile_images/1433591977631748099/wuGDIimB_normal.jpg","View")</f>
        <v>View</v>
      </c>
      <c r="P3233" s="7"/>
    </row>
    <row r="3234" spans="1:16">
      <c r="A3234" s="3">
        <v>44484.013206018513</v>
      </c>
      <c r="B3234" s="4" t="str">
        <f>HYPERLINK("https://twitter.com/sergio_fajardo","@sergio_fajardo")</f>
        <v>@sergio_fajardo</v>
      </c>
      <c r="C3234" s="5" t="s">
        <v>16</v>
      </c>
      <c r="D3234" s="5" t="s">
        <v>3255</v>
      </c>
      <c r="E3234" s="6" t="str">
        <f>HYPERLINK("https://twitter.com/sergio_fajardo/status/1448722528504098822","1448722528504098822")</f>
        <v>1448722528504098822</v>
      </c>
      <c r="F3234" s="7" t="s">
        <v>17</v>
      </c>
      <c r="G3234" s="7">
        <v>1597765</v>
      </c>
      <c r="H3234" s="7">
        <v>584</v>
      </c>
      <c r="I3234" s="7">
        <v>45</v>
      </c>
      <c r="J3234" s="7">
        <v>253</v>
      </c>
      <c r="K3234" s="7" t="s">
        <v>18</v>
      </c>
      <c r="L3234" s="8">
        <v>39891.213356481479</v>
      </c>
      <c r="M3234" s="9" t="s">
        <v>19</v>
      </c>
      <c r="N3234" s="9" t="s">
        <v>22</v>
      </c>
      <c r="O3234" s="6" t="str">
        <f>HYPERLINK("https://pbs.twimg.com/profile_images/1433591977631748099/wuGDIimB_normal.jpg","View")</f>
        <v>View</v>
      </c>
      <c r="P3234" s="7"/>
    </row>
    <row r="3235" spans="1:16">
      <c r="A3235" s="3">
        <v>44484.136307870373</v>
      </c>
      <c r="B3235" s="4" t="str">
        <f>HYPERLINK("https://twitter.com/sergio_fajardo","@sergio_fajardo")</f>
        <v>@sergio_fajardo</v>
      </c>
      <c r="C3235" s="5" t="s">
        <v>16</v>
      </c>
      <c r="D3235" s="5" t="s">
        <v>3256</v>
      </c>
      <c r="E3235" s="6" t="str">
        <f>HYPERLINK("https://twitter.com/sergio_fajardo/status/1448767138928463881","1448767138928463881")</f>
        <v>1448767138928463881</v>
      </c>
      <c r="F3235" s="7" t="s">
        <v>17</v>
      </c>
      <c r="G3235" s="7">
        <v>1597765</v>
      </c>
      <c r="H3235" s="7">
        <v>584</v>
      </c>
      <c r="I3235" s="7">
        <v>3</v>
      </c>
      <c r="J3235" s="7">
        <v>0</v>
      </c>
      <c r="K3235" s="7" t="s">
        <v>18</v>
      </c>
      <c r="L3235" s="8">
        <v>39891.213356481479</v>
      </c>
      <c r="M3235" s="9" t="s">
        <v>19</v>
      </c>
      <c r="N3235" s="9" t="s">
        <v>22</v>
      </c>
      <c r="O3235" s="6" t="str">
        <f>HYPERLINK("https://pbs.twimg.com/profile_images/1433591977631748099/wuGDIimB_normal.jpg","View")</f>
        <v>View</v>
      </c>
      <c r="P3235" s="7"/>
    </row>
    <row r="3236" spans="1:16">
      <c r="A3236" s="3">
        <v>44484.812939814816</v>
      </c>
      <c r="B3236" s="4" t="str">
        <f>HYPERLINK("https://twitter.com/sergio_fajardo","@sergio_fajardo")</f>
        <v>@sergio_fajardo</v>
      </c>
      <c r="C3236" s="5" t="s">
        <v>16</v>
      </c>
      <c r="D3236" s="5" t="s">
        <v>3257</v>
      </c>
      <c r="E3236" s="6" t="str">
        <f>HYPERLINK("https://twitter.com/sergio_fajardo/status/1449012342554079235","1449012342554079235")</f>
        <v>1449012342554079235</v>
      </c>
      <c r="F3236" s="7" t="s">
        <v>2329</v>
      </c>
      <c r="G3236" s="7">
        <v>1597765</v>
      </c>
      <c r="H3236" s="7">
        <v>584</v>
      </c>
      <c r="I3236" s="7">
        <v>65</v>
      </c>
      <c r="J3236" s="7">
        <v>177</v>
      </c>
      <c r="K3236" s="7" t="s">
        <v>18</v>
      </c>
      <c r="L3236" s="8">
        <v>39891.213356481479</v>
      </c>
      <c r="M3236" s="9" t="s">
        <v>19</v>
      </c>
      <c r="N3236" s="9" t="s">
        <v>22</v>
      </c>
      <c r="O3236" s="6" t="str">
        <f>HYPERLINK("https://pbs.twimg.com/profile_images/1433591977631748099/wuGDIimB_normal.jpg","View")</f>
        <v>View</v>
      </c>
      <c r="P3236" s="7"/>
    </row>
    <row r="3237" spans="1:16">
      <c r="A3237" s="3">
        <v>44485.057615740741</v>
      </c>
      <c r="B3237" s="4" t="str">
        <f>HYPERLINK("https://twitter.com/sergio_fajardo","@sergio_fajardo")</f>
        <v>@sergio_fajardo</v>
      </c>
      <c r="C3237" s="5" t="s">
        <v>16</v>
      </c>
      <c r="D3237" s="5" t="s">
        <v>3258</v>
      </c>
      <c r="E3237" s="6" t="str">
        <f>HYPERLINK("https://twitter.com/sergio_fajardo/status/1449101009314369543","1449101009314369543")</f>
        <v>1449101009314369543</v>
      </c>
      <c r="F3237" s="7" t="s">
        <v>2329</v>
      </c>
      <c r="G3237" s="7">
        <v>1597765</v>
      </c>
      <c r="H3237" s="7">
        <v>584</v>
      </c>
      <c r="I3237" s="7">
        <v>30</v>
      </c>
      <c r="J3237" s="7">
        <v>84</v>
      </c>
      <c r="K3237" s="7" t="s">
        <v>18</v>
      </c>
      <c r="L3237" s="8">
        <v>39891.213356481479</v>
      </c>
      <c r="M3237" s="9" t="s">
        <v>19</v>
      </c>
      <c r="N3237" s="9" t="s">
        <v>22</v>
      </c>
      <c r="O3237" s="6" t="str">
        <f>HYPERLINK("https://pbs.twimg.com/profile_images/1433591977631748099/wuGDIimB_normal.jpg","View")</f>
        <v>View</v>
      </c>
      <c r="P3237" s="7"/>
    </row>
    <row r="3238" spans="1:16">
      <c r="A3238" s="3">
        <v>44485.122777777782</v>
      </c>
      <c r="B3238" s="4" t="str">
        <f>HYPERLINK("https://twitter.com/sergio_fajardo","@sergio_fajardo")</f>
        <v>@sergio_fajardo</v>
      </c>
      <c r="C3238" s="5" t="s">
        <v>16</v>
      </c>
      <c r="D3238" s="5" t="s">
        <v>3259</v>
      </c>
      <c r="E3238" s="6" t="str">
        <f>HYPERLINK("https://twitter.com/sergio_fajardo/status/1449124623187128322","1449124623187128322")</f>
        <v>1449124623187128322</v>
      </c>
      <c r="F3238" s="7" t="s">
        <v>17</v>
      </c>
      <c r="G3238" s="7">
        <v>1597765</v>
      </c>
      <c r="H3238" s="7">
        <v>584</v>
      </c>
      <c r="I3238" s="7">
        <v>17</v>
      </c>
      <c r="J3238" s="7">
        <v>0</v>
      </c>
      <c r="K3238" s="7" t="s">
        <v>18</v>
      </c>
      <c r="L3238" s="8">
        <v>39891.213356481479</v>
      </c>
      <c r="M3238" s="9" t="s">
        <v>19</v>
      </c>
      <c r="N3238" s="9" t="s">
        <v>22</v>
      </c>
      <c r="O3238" s="6" t="str">
        <f>HYPERLINK("https://pbs.twimg.com/profile_images/1433591977631748099/wuGDIimB_normal.jpg","View")</f>
        <v>View</v>
      </c>
      <c r="P3238" s="7"/>
    </row>
    <row r="3239" spans="1:16">
      <c r="A3239" s="3">
        <v>44485.146967592591</v>
      </c>
      <c r="B3239" s="4" t="str">
        <f>HYPERLINK("https://twitter.com/sergio_fajardo","@sergio_fajardo")</f>
        <v>@sergio_fajardo</v>
      </c>
      <c r="C3239" s="5" t="s">
        <v>16</v>
      </c>
      <c r="D3239" s="5" t="s">
        <v>3260</v>
      </c>
      <c r="E3239" s="6" t="str">
        <f>HYPERLINK("https://twitter.com/sergio_fajardo/status/1449133390129770499","1449133390129770499")</f>
        <v>1449133390129770499</v>
      </c>
      <c r="F3239" s="7" t="s">
        <v>2329</v>
      </c>
      <c r="G3239" s="7">
        <v>1597765</v>
      </c>
      <c r="H3239" s="7">
        <v>584</v>
      </c>
      <c r="I3239" s="7">
        <v>120</v>
      </c>
      <c r="J3239" s="7">
        <v>278</v>
      </c>
      <c r="K3239" s="7" t="s">
        <v>18</v>
      </c>
      <c r="L3239" s="8">
        <v>39891.213356481479</v>
      </c>
      <c r="M3239" s="9" t="s">
        <v>19</v>
      </c>
      <c r="N3239" s="9" t="s">
        <v>22</v>
      </c>
      <c r="O3239" s="6" t="str">
        <f>HYPERLINK("https://pbs.twimg.com/profile_images/1433591977631748099/wuGDIimB_normal.jpg","View")</f>
        <v>View</v>
      </c>
      <c r="P3239" s="7"/>
    </row>
    <row r="3240" spans="1:16">
      <c r="A3240" s="3">
        <v>44485.165532407409</v>
      </c>
      <c r="B3240" s="4" t="str">
        <f>HYPERLINK("https://twitter.com/sergio_fajardo","@sergio_fajardo")</f>
        <v>@sergio_fajardo</v>
      </c>
      <c r="C3240" s="5" t="s">
        <v>16</v>
      </c>
      <c r="D3240" s="5" t="s">
        <v>3261</v>
      </c>
      <c r="E3240" s="6" t="str">
        <f>HYPERLINK("https://twitter.com/sergio_fajardo/status/1449140119286452225","1449140119286452225")</f>
        <v>1449140119286452225</v>
      </c>
      <c r="F3240" s="7" t="s">
        <v>23</v>
      </c>
      <c r="G3240" s="7">
        <v>1597765</v>
      </c>
      <c r="H3240" s="7">
        <v>584</v>
      </c>
      <c r="I3240" s="7">
        <v>7</v>
      </c>
      <c r="J3240" s="7">
        <v>34</v>
      </c>
      <c r="K3240" s="7" t="s">
        <v>18</v>
      </c>
      <c r="L3240" s="8">
        <v>39891.213356481479</v>
      </c>
      <c r="M3240" s="9" t="s">
        <v>19</v>
      </c>
      <c r="N3240" s="9" t="s">
        <v>22</v>
      </c>
      <c r="O3240" s="6" t="str">
        <f>HYPERLINK("https://pbs.twimg.com/profile_images/1433591977631748099/wuGDIimB_normal.jpg","View")</f>
        <v>View</v>
      </c>
      <c r="P3240" s="7"/>
    </row>
    <row r="3241" spans="1:16">
      <c r="A3241" s="3">
        <v>44485.168738425928</v>
      </c>
      <c r="B3241" s="4" t="str">
        <f>HYPERLINK("https://twitter.com/sergio_fajardo","@sergio_fajardo")</f>
        <v>@sergio_fajardo</v>
      </c>
      <c r="C3241" s="5" t="s">
        <v>16</v>
      </c>
      <c r="D3241" s="5" t="s">
        <v>3262</v>
      </c>
      <c r="E3241" s="6" t="str">
        <f>HYPERLINK("https://twitter.com/sergio_fajardo/status/1449141280253095937","1449141280253095937")</f>
        <v>1449141280253095937</v>
      </c>
      <c r="F3241" s="7" t="s">
        <v>23</v>
      </c>
      <c r="G3241" s="7">
        <v>1597765</v>
      </c>
      <c r="H3241" s="7">
        <v>584</v>
      </c>
      <c r="I3241" s="7">
        <v>9</v>
      </c>
      <c r="J3241" s="7">
        <v>44</v>
      </c>
      <c r="K3241" s="7" t="s">
        <v>18</v>
      </c>
      <c r="L3241" s="8">
        <v>39891.213356481479</v>
      </c>
      <c r="M3241" s="9" t="s">
        <v>19</v>
      </c>
      <c r="N3241" s="9" t="s">
        <v>22</v>
      </c>
      <c r="O3241" s="6" t="str">
        <f>HYPERLINK("https://pbs.twimg.com/profile_images/1433591977631748099/wuGDIimB_normal.jpg","View")</f>
        <v>View</v>
      </c>
      <c r="P3241" s="7"/>
    </row>
    <row r="3242" spans="1:16">
      <c r="A3242" s="3">
        <v>44485.201180555552</v>
      </c>
      <c r="B3242" s="4" t="str">
        <f>HYPERLINK("https://twitter.com/sergio_fajardo","@sergio_fajardo")</f>
        <v>@sergio_fajardo</v>
      </c>
      <c r="C3242" s="5" t="s">
        <v>16</v>
      </c>
      <c r="D3242" s="5" t="s">
        <v>3263</v>
      </c>
      <c r="E3242" s="6" t="str">
        <f>HYPERLINK("https://twitter.com/sergio_fajardo/status/1449153034555170819","1449153034555170819")</f>
        <v>1449153034555170819</v>
      </c>
      <c r="F3242" s="7" t="s">
        <v>23</v>
      </c>
      <c r="G3242" s="7">
        <v>1597765</v>
      </c>
      <c r="H3242" s="7">
        <v>584</v>
      </c>
      <c r="I3242" s="7">
        <v>23</v>
      </c>
      <c r="J3242" s="7">
        <v>88</v>
      </c>
      <c r="K3242" s="7" t="s">
        <v>18</v>
      </c>
      <c r="L3242" s="8">
        <v>39891.213356481479</v>
      </c>
      <c r="M3242" s="9" t="s">
        <v>19</v>
      </c>
      <c r="N3242" s="9" t="s">
        <v>22</v>
      </c>
      <c r="O3242" s="6" t="str">
        <f>HYPERLINK("https://pbs.twimg.com/profile_images/1433591977631748099/wuGDIimB_normal.jpg","View")</f>
        <v>View</v>
      </c>
      <c r="P3242" s="7"/>
    </row>
    <row r="3243" spans="1:16">
      <c r="A3243" s="3">
        <v>44485.209050925929</v>
      </c>
      <c r="B3243" s="4" t="str">
        <f>HYPERLINK("https://twitter.com/sergio_fajardo","@sergio_fajardo")</f>
        <v>@sergio_fajardo</v>
      </c>
      <c r="C3243" s="5" t="s">
        <v>16</v>
      </c>
      <c r="D3243" s="5" t="s">
        <v>3264</v>
      </c>
      <c r="E3243" s="6" t="str">
        <f>HYPERLINK("https://twitter.com/sergio_fajardo/status/1449155890318356489","1449155890318356489")</f>
        <v>1449155890318356489</v>
      </c>
      <c r="F3243" s="7" t="s">
        <v>2329</v>
      </c>
      <c r="G3243" s="7">
        <v>1597765</v>
      </c>
      <c r="H3243" s="7">
        <v>584</v>
      </c>
      <c r="I3243" s="7">
        <v>30</v>
      </c>
      <c r="J3243" s="7">
        <v>118</v>
      </c>
      <c r="K3243" s="7" t="s">
        <v>18</v>
      </c>
      <c r="L3243" s="8">
        <v>39891.213356481479</v>
      </c>
      <c r="M3243" s="9" t="s">
        <v>19</v>
      </c>
      <c r="N3243" s="9" t="s">
        <v>22</v>
      </c>
      <c r="O3243" s="6" t="str">
        <f>HYPERLINK("https://pbs.twimg.com/profile_images/1433591977631748099/wuGDIimB_normal.jpg","View")</f>
        <v>View</v>
      </c>
      <c r="P3243" s="7"/>
    </row>
    <row r="3244" spans="1:16">
      <c r="A3244" s="3">
        <v>44485.236180555556</v>
      </c>
      <c r="B3244" s="4" t="str">
        <f>HYPERLINK("https://twitter.com/sergio_fajardo","@sergio_fajardo")</f>
        <v>@sergio_fajardo</v>
      </c>
      <c r="C3244" s="5" t="s">
        <v>16</v>
      </c>
      <c r="D3244" s="5" t="s">
        <v>3265</v>
      </c>
      <c r="E3244" s="6" t="str">
        <f>HYPERLINK("https://twitter.com/sergio_fajardo/status/1449165722014392323","1449165722014392323")</f>
        <v>1449165722014392323</v>
      </c>
      <c r="F3244" s="7" t="s">
        <v>23</v>
      </c>
      <c r="G3244" s="7">
        <v>1597765</v>
      </c>
      <c r="H3244" s="7">
        <v>584</v>
      </c>
      <c r="I3244" s="7">
        <v>22</v>
      </c>
      <c r="J3244" s="7">
        <v>0</v>
      </c>
      <c r="K3244" s="7" t="s">
        <v>18</v>
      </c>
      <c r="L3244" s="8">
        <v>39891.213356481479</v>
      </c>
      <c r="M3244" s="9" t="s">
        <v>19</v>
      </c>
      <c r="N3244" s="9" t="s">
        <v>22</v>
      </c>
      <c r="O3244" s="6" t="str">
        <f>HYPERLINK("https://pbs.twimg.com/profile_images/1433591977631748099/wuGDIimB_normal.jpg","View")</f>
        <v>View</v>
      </c>
      <c r="P3244" s="7"/>
    </row>
    <row r="3245" spans="1:16">
      <c r="A3245" s="3">
        <v>44485.266909722224</v>
      </c>
      <c r="B3245" s="4" t="str">
        <f>HYPERLINK("https://twitter.com/sergio_fajardo","@sergio_fajardo")</f>
        <v>@sergio_fajardo</v>
      </c>
      <c r="C3245" s="5" t="s">
        <v>16</v>
      </c>
      <c r="D3245" s="5" t="s">
        <v>3266</v>
      </c>
      <c r="E3245" s="6" t="str">
        <f>HYPERLINK("https://twitter.com/sergio_fajardo/status/1449176855702016004","1449176855702016004")</f>
        <v>1449176855702016004</v>
      </c>
      <c r="F3245" s="7" t="s">
        <v>17</v>
      </c>
      <c r="G3245" s="7">
        <v>1597765</v>
      </c>
      <c r="H3245" s="7">
        <v>584</v>
      </c>
      <c r="I3245" s="7">
        <v>4</v>
      </c>
      <c r="J3245" s="7">
        <v>39</v>
      </c>
      <c r="K3245" s="7" t="s">
        <v>18</v>
      </c>
      <c r="L3245" s="8">
        <v>39891.213356481479</v>
      </c>
      <c r="M3245" s="9" t="s">
        <v>19</v>
      </c>
      <c r="N3245" s="9" t="s">
        <v>22</v>
      </c>
      <c r="O3245" s="6" t="str">
        <f>HYPERLINK("https://pbs.twimg.com/profile_images/1433591977631748099/wuGDIimB_normal.jpg","View")</f>
        <v>View</v>
      </c>
      <c r="P3245" s="7"/>
    </row>
    <row r="3246" spans="1:16">
      <c r="A3246" s="3">
        <v>44485.277453703704</v>
      </c>
      <c r="B3246" s="4" t="str">
        <f>HYPERLINK("https://twitter.com/sergio_fajardo","@sergio_fajardo")</f>
        <v>@sergio_fajardo</v>
      </c>
      <c r="C3246" s="5" t="s">
        <v>16</v>
      </c>
      <c r="D3246" s="5" t="s">
        <v>3267</v>
      </c>
      <c r="E3246" s="6" t="str">
        <f>HYPERLINK("https://twitter.com/sergio_fajardo/status/1449180678436884497","1449180678436884497")</f>
        <v>1449180678436884497</v>
      </c>
      <c r="F3246" s="7" t="s">
        <v>23</v>
      </c>
      <c r="G3246" s="7">
        <v>1597765</v>
      </c>
      <c r="H3246" s="7">
        <v>584</v>
      </c>
      <c r="I3246" s="7">
        <v>5</v>
      </c>
      <c r="J3246" s="7">
        <v>46</v>
      </c>
      <c r="K3246" s="7" t="s">
        <v>18</v>
      </c>
      <c r="L3246" s="8">
        <v>39891.213356481479</v>
      </c>
      <c r="M3246" s="9" t="s">
        <v>19</v>
      </c>
      <c r="N3246" s="9" t="s">
        <v>22</v>
      </c>
      <c r="O3246" s="6" t="str">
        <f>HYPERLINK("https://pbs.twimg.com/profile_images/1433591977631748099/wuGDIimB_normal.jpg","View")</f>
        <v>View</v>
      </c>
      <c r="P3246" s="7"/>
    </row>
    <row r="3247" spans="1:16">
      <c r="A3247" s="3">
        <v>44485.279490740737</v>
      </c>
      <c r="B3247" s="4" t="str">
        <f>HYPERLINK("https://twitter.com/sergio_fajardo","@sergio_fajardo")</f>
        <v>@sergio_fajardo</v>
      </c>
      <c r="C3247" s="5" t="s">
        <v>16</v>
      </c>
      <c r="D3247" s="5" t="s">
        <v>3268</v>
      </c>
      <c r="E3247" s="6" t="str">
        <f>HYPERLINK("https://twitter.com/sergio_fajardo/status/1449181413597720578","1449181413597720578")</f>
        <v>1449181413597720578</v>
      </c>
      <c r="F3247" s="7" t="s">
        <v>23</v>
      </c>
      <c r="G3247" s="7">
        <v>1597765</v>
      </c>
      <c r="H3247" s="7">
        <v>584</v>
      </c>
      <c r="I3247" s="7">
        <v>6</v>
      </c>
      <c r="J3247" s="7">
        <v>38</v>
      </c>
      <c r="K3247" s="7" t="s">
        <v>18</v>
      </c>
      <c r="L3247" s="8">
        <v>39891.213356481479</v>
      </c>
      <c r="M3247" s="9" t="s">
        <v>19</v>
      </c>
      <c r="N3247" s="9" t="s">
        <v>22</v>
      </c>
      <c r="O3247" s="6" t="str">
        <f>HYPERLINK("https://pbs.twimg.com/profile_images/1433591977631748099/wuGDIimB_normal.jpg","View")</f>
        <v>View</v>
      </c>
      <c r="P3247" s="7"/>
    </row>
    <row r="3248" spans="1:16">
      <c r="A3248" s="3">
        <v>44485.290034722224</v>
      </c>
      <c r="B3248" s="4" t="str">
        <f>HYPERLINK("https://twitter.com/sergio_fajardo","@sergio_fajardo")</f>
        <v>@sergio_fajardo</v>
      </c>
      <c r="C3248" s="5" t="s">
        <v>16</v>
      </c>
      <c r="D3248" s="5" t="s">
        <v>3269</v>
      </c>
      <c r="E3248" s="6" t="str">
        <f>HYPERLINK("https://twitter.com/sergio_fajardo/status/1449185234197549056","1449185234197549056")</f>
        <v>1449185234197549056</v>
      </c>
      <c r="F3248" s="7" t="s">
        <v>23</v>
      </c>
      <c r="G3248" s="7">
        <v>1597765</v>
      </c>
      <c r="H3248" s="7">
        <v>584</v>
      </c>
      <c r="I3248" s="7">
        <v>21</v>
      </c>
      <c r="J3248" s="7">
        <v>0</v>
      </c>
      <c r="K3248" s="7" t="s">
        <v>18</v>
      </c>
      <c r="L3248" s="8">
        <v>39891.213356481479</v>
      </c>
      <c r="M3248" s="9" t="s">
        <v>19</v>
      </c>
      <c r="N3248" s="9" t="s">
        <v>22</v>
      </c>
      <c r="O3248" s="6" t="str">
        <f>HYPERLINK("https://pbs.twimg.com/profile_images/1433591977631748099/wuGDIimB_normal.jpg","View")</f>
        <v>View</v>
      </c>
      <c r="P3248" s="7"/>
    </row>
    <row r="3249" spans="1:16">
      <c r="A3249" s="3">
        <v>44485.858749999999</v>
      </c>
      <c r="B3249" s="4" t="str">
        <f>HYPERLINK("https://twitter.com/sergio_fajardo","@sergio_fajardo")</f>
        <v>@sergio_fajardo</v>
      </c>
      <c r="C3249" s="5" t="s">
        <v>16</v>
      </c>
      <c r="D3249" s="5" t="s">
        <v>3270</v>
      </c>
      <c r="E3249" s="6" t="str">
        <f>HYPERLINK("https://twitter.com/sergio_fajardo/status/1449391329688104964","1449391329688104964")</f>
        <v>1449391329688104964</v>
      </c>
      <c r="F3249" s="7" t="s">
        <v>17</v>
      </c>
      <c r="G3249" s="7">
        <v>1597765</v>
      </c>
      <c r="H3249" s="7">
        <v>584</v>
      </c>
      <c r="I3249" s="7">
        <v>45</v>
      </c>
      <c r="J3249" s="7">
        <v>394</v>
      </c>
      <c r="K3249" s="7" t="s">
        <v>18</v>
      </c>
      <c r="L3249" s="8">
        <v>39891.213356481479</v>
      </c>
      <c r="M3249" s="9" t="s">
        <v>19</v>
      </c>
      <c r="N3249" s="9" t="s">
        <v>22</v>
      </c>
      <c r="O3249" s="6" t="str">
        <f>HYPERLINK("https://pbs.twimg.com/profile_images/1433591977631748099/wuGDIimB_normal.jpg","View")</f>
        <v>View</v>
      </c>
      <c r="P3249" s="7"/>
    </row>
    <row r="3250" spans="1:16">
      <c r="A3250" s="3">
        <v>44485.9449537037</v>
      </c>
      <c r="B3250" s="4" t="str">
        <f>HYPERLINK("https://twitter.com/sergio_fajardo","@sergio_fajardo")</f>
        <v>@sergio_fajardo</v>
      </c>
      <c r="C3250" s="5" t="s">
        <v>16</v>
      </c>
      <c r="D3250" s="5" t="s">
        <v>3271</v>
      </c>
      <c r="E3250" s="6" t="str">
        <f>HYPERLINK("https://twitter.com/sergio_fajardo/status/1449422570697199621","1449422570697199621")</f>
        <v>1449422570697199621</v>
      </c>
      <c r="F3250" s="7" t="s">
        <v>2329</v>
      </c>
      <c r="G3250" s="7">
        <v>1597765</v>
      </c>
      <c r="H3250" s="7">
        <v>584</v>
      </c>
      <c r="I3250" s="7">
        <v>30</v>
      </c>
      <c r="J3250" s="7">
        <v>125</v>
      </c>
      <c r="K3250" s="7" t="s">
        <v>18</v>
      </c>
      <c r="L3250" s="8">
        <v>39891.213356481479</v>
      </c>
      <c r="M3250" s="9" t="s">
        <v>19</v>
      </c>
      <c r="N3250" s="9" t="s">
        <v>22</v>
      </c>
      <c r="O3250" s="6" t="str">
        <f>HYPERLINK("https://pbs.twimg.com/profile_images/1433591977631748099/wuGDIimB_normal.jpg","View")</f>
        <v>View</v>
      </c>
      <c r="P3250" s="7"/>
    </row>
    <row r="3251" spans="1:16">
      <c r="A3251" s="3">
        <v>44486.050185185188</v>
      </c>
      <c r="B3251" s="4" t="str">
        <f>HYPERLINK("https://twitter.com/sergio_fajardo","@sergio_fajardo")</f>
        <v>@sergio_fajardo</v>
      </c>
      <c r="C3251" s="5" t="s">
        <v>16</v>
      </c>
      <c r="D3251" s="5" t="s">
        <v>3272</v>
      </c>
      <c r="E3251" s="6" t="str">
        <f>HYPERLINK("https://twitter.com/sergio_fajardo/status/1449460706563264518","1449460706563264518")</f>
        <v>1449460706563264518</v>
      </c>
      <c r="F3251" s="7" t="s">
        <v>17</v>
      </c>
      <c r="G3251" s="7">
        <v>1597765</v>
      </c>
      <c r="H3251" s="7">
        <v>584</v>
      </c>
      <c r="I3251" s="7">
        <v>11</v>
      </c>
      <c r="J3251" s="7">
        <v>0</v>
      </c>
      <c r="K3251" s="7" t="s">
        <v>18</v>
      </c>
      <c r="L3251" s="8">
        <v>39891.213356481479</v>
      </c>
      <c r="M3251" s="9" t="s">
        <v>19</v>
      </c>
      <c r="N3251" s="9" t="s">
        <v>22</v>
      </c>
      <c r="O3251" s="6" t="str">
        <f>HYPERLINK("https://pbs.twimg.com/profile_images/1433591977631748099/wuGDIimB_normal.jpg","View")</f>
        <v>View</v>
      </c>
      <c r="P3251" s="7"/>
    </row>
    <row r="3252" spans="1:16">
      <c r="A3252" s="3">
        <v>44486.145671296297</v>
      </c>
      <c r="B3252" s="4" t="str">
        <f>HYPERLINK("https://twitter.com/sergio_fajardo","@sergio_fajardo")</f>
        <v>@sergio_fajardo</v>
      </c>
      <c r="C3252" s="5" t="s">
        <v>16</v>
      </c>
      <c r="D3252" s="5" t="s">
        <v>3273</v>
      </c>
      <c r="E3252" s="6" t="str">
        <f>HYPERLINK("https://twitter.com/sergio_fajardo/status/1449495306735861760","1449495306735861760")</f>
        <v>1449495306735861760</v>
      </c>
      <c r="F3252" s="7" t="s">
        <v>17</v>
      </c>
      <c r="G3252" s="7">
        <v>1597765</v>
      </c>
      <c r="H3252" s="7">
        <v>584</v>
      </c>
      <c r="I3252" s="7">
        <v>7</v>
      </c>
      <c r="J3252" s="7">
        <v>0</v>
      </c>
      <c r="K3252" s="7" t="s">
        <v>18</v>
      </c>
      <c r="L3252" s="8">
        <v>39891.213356481479</v>
      </c>
      <c r="M3252" s="9" t="s">
        <v>19</v>
      </c>
      <c r="N3252" s="9" t="s">
        <v>22</v>
      </c>
      <c r="O3252" s="6" t="str">
        <f>HYPERLINK("https://pbs.twimg.com/profile_images/1433591977631748099/wuGDIimB_normal.jpg","View")</f>
        <v>View</v>
      </c>
      <c r="P3252" s="7"/>
    </row>
    <row r="3253" spans="1:16">
      <c r="A3253" s="3">
        <v>44486.19630787037</v>
      </c>
      <c r="B3253" s="4" t="str">
        <f>HYPERLINK("https://twitter.com/sergio_fajardo","@sergio_fajardo")</f>
        <v>@sergio_fajardo</v>
      </c>
      <c r="C3253" s="5" t="s">
        <v>16</v>
      </c>
      <c r="D3253" s="5" t="s">
        <v>3274</v>
      </c>
      <c r="E3253" s="6" t="str">
        <f>HYPERLINK("https://twitter.com/sergio_fajardo/status/1449513659248558081","1449513659248558081")</f>
        <v>1449513659248558081</v>
      </c>
      <c r="F3253" s="7" t="s">
        <v>2329</v>
      </c>
      <c r="G3253" s="7">
        <v>1597765</v>
      </c>
      <c r="H3253" s="7">
        <v>584</v>
      </c>
      <c r="I3253" s="7">
        <v>37</v>
      </c>
      <c r="J3253" s="7">
        <v>132</v>
      </c>
      <c r="K3253" s="7" t="s">
        <v>18</v>
      </c>
      <c r="L3253" s="8">
        <v>39891.213356481479</v>
      </c>
      <c r="M3253" s="9" t="s">
        <v>19</v>
      </c>
      <c r="N3253" s="9" t="s">
        <v>22</v>
      </c>
      <c r="O3253" s="6" t="str">
        <f>HYPERLINK("https://pbs.twimg.com/profile_images/1433591977631748099/wuGDIimB_normal.jpg","View")</f>
        <v>View</v>
      </c>
      <c r="P3253" s="7"/>
    </row>
    <row r="3254" spans="1:16">
      <c r="A3254" s="3">
        <v>44486.197094907402</v>
      </c>
      <c r="B3254" s="4" t="str">
        <f>HYPERLINK("https://twitter.com/sergio_fajardo","@sergio_fajardo")</f>
        <v>@sergio_fajardo</v>
      </c>
      <c r="C3254" s="5" t="s">
        <v>16</v>
      </c>
      <c r="D3254" s="5" t="s">
        <v>3275</v>
      </c>
      <c r="E3254" s="6" t="str">
        <f>HYPERLINK("https://twitter.com/sergio_fajardo/status/1449513944952016901","1449513944952016901")</f>
        <v>1449513944952016901</v>
      </c>
      <c r="F3254" s="7" t="s">
        <v>23</v>
      </c>
      <c r="G3254" s="7">
        <v>1597765</v>
      </c>
      <c r="H3254" s="7">
        <v>584</v>
      </c>
      <c r="I3254" s="7">
        <v>10</v>
      </c>
      <c r="J3254" s="7">
        <v>37</v>
      </c>
      <c r="K3254" s="7" t="s">
        <v>18</v>
      </c>
      <c r="L3254" s="8">
        <v>39891.213356481479</v>
      </c>
      <c r="M3254" s="9" t="s">
        <v>19</v>
      </c>
      <c r="N3254" s="9" t="s">
        <v>22</v>
      </c>
      <c r="O3254" s="6" t="str">
        <f>HYPERLINK("https://pbs.twimg.com/profile_images/1433591977631748099/wuGDIimB_normal.jpg","View")</f>
        <v>View</v>
      </c>
      <c r="P3254" s="7"/>
    </row>
    <row r="3255" spans="1:16">
      <c r="A3255" s="3">
        <v>44486.212523148148</v>
      </c>
      <c r="B3255" s="4" t="str">
        <f>HYPERLINK("https://twitter.com/sergio_fajardo","@sergio_fajardo")</f>
        <v>@sergio_fajardo</v>
      </c>
      <c r="C3255" s="5" t="s">
        <v>16</v>
      </c>
      <c r="D3255" s="5" t="s">
        <v>3276</v>
      </c>
      <c r="E3255" s="6" t="str">
        <f>HYPERLINK("https://twitter.com/sergio_fajardo/status/1449519535640530948","1449519535640530948")</f>
        <v>1449519535640530948</v>
      </c>
      <c r="F3255" s="7" t="s">
        <v>17</v>
      </c>
      <c r="G3255" s="7">
        <v>1597765</v>
      </c>
      <c r="H3255" s="7">
        <v>584</v>
      </c>
      <c r="I3255" s="7">
        <v>45</v>
      </c>
      <c r="J3255" s="7">
        <v>327</v>
      </c>
      <c r="K3255" s="7" t="s">
        <v>18</v>
      </c>
      <c r="L3255" s="8">
        <v>39891.213356481479</v>
      </c>
      <c r="M3255" s="9" t="s">
        <v>19</v>
      </c>
      <c r="N3255" s="9" t="s">
        <v>22</v>
      </c>
      <c r="O3255" s="6" t="str">
        <f>HYPERLINK("https://pbs.twimg.com/profile_images/1433591977631748099/wuGDIimB_normal.jpg","View")</f>
        <v>View</v>
      </c>
      <c r="P3255" s="7"/>
    </row>
    <row r="3256" spans="1:16">
      <c r="A3256" s="3">
        <v>44486.217476851853</v>
      </c>
      <c r="B3256" s="4" t="str">
        <f>HYPERLINK("https://twitter.com/sergio_fajardo","@sergio_fajardo")</f>
        <v>@sergio_fajardo</v>
      </c>
      <c r="C3256" s="5" t="s">
        <v>16</v>
      </c>
      <c r="D3256" s="5" t="s">
        <v>3277</v>
      </c>
      <c r="E3256" s="6" t="str">
        <f>HYPERLINK("https://twitter.com/sergio_fajardo/status/1449521328332103681","1449521328332103681")</f>
        <v>1449521328332103681</v>
      </c>
      <c r="F3256" s="7" t="s">
        <v>17</v>
      </c>
      <c r="G3256" s="7">
        <v>1597765</v>
      </c>
      <c r="H3256" s="7">
        <v>584</v>
      </c>
      <c r="I3256" s="7">
        <v>33</v>
      </c>
      <c r="J3256" s="7">
        <v>228</v>
      </c>
      <c r="K3256" s="7" t="s">
        <v>18</v>
      </c>
      <c r="L3256" s="8">
        <v>39891.213356481479</v>
      </c>
      <c r="M3256" s="9" t="s">
        <v>19</v>
      </c>
      <c r="N3256" s="9" t="s">
        <v>22</v>
      </c>
      <c r="O3256" s="6" t="str">
        <f>HYPERLINK("https://pbs.twimg.com/profile_images/1433591977631748099/wuGDIimB_normal.jpg","View")</f>
        <v>View</v>
      </c>
      <c r="P3256" s="7"/>
    </row>
    <row r="3257" spans="1:16">
      <c r="A3257" s="3">
        <v>44486.840081018519</v>
      </c>
      <c r="B3257" s="4" t="str">
        <f>HYPERLINK("https://twitter.com/sergio_fajardo","@sergio_fajardo")</f>
        <v>@sergio_fajardo</v>
      </c>
      <c r="C3257" s="5" t="s">
        <v>16</v>
      </c>
      <c r="D3257" s="5" t="s">
        <v>3278</v>
      </c>
      <c r="E3257" s="6" t="str">
        <f>HYPERLINK("https://twitter.com/sergio_fajardo/status/1449746955240984577","1449746955240984577")</f>
        <v>1449746955240984577</v>
      </c>
      <c r="F3257" s="7" t="s">
        <v>2329</v>
      </c>
      <c r="G3257" s="7">
        <v>1597765</v>
      </c>
      <c r="H3257" s="7">
        <v>584</v>
      </c>
      <c r="I3257" s="7">
        <v>48</v>
      </c>
      <c r="J3257" s="7">
        <v>233</v>
      </c>
      <c r="K3257" s="7" t="s">
        <v>18</v>
      </c>
      <c r="L3257" s="8">
        <v>39891.213356481479</v>
      </c>
      <c r="M3257" s="9" t="s">
        <v>19</v>
      </c>
      <c r="N3257" s="9" t="s">
        <v>22</v>
      </c>
      <c r="O3257" s="6" t="str">
        <f>HYPERLINK("https://pbs.twimg.com/profile_images/1433591977631748099/wuGDIimB_normal.jpg","View")</f>
        <v>View</v>
      </c>
      <c r="P3257" s="7"/>
    </row>
    <row r="3258" spans="1:16">
      <c r="A3258" s="3">
        <v>44488.066354166665</v>
      </c>
      <c r="B3258" s="4" t="str">
        <f>HYPERLINK("https://twitter.com/sergio_fajardo","@sergio_fajardo")</f>
        <v>@sergio_fajardo</v>
      </c>
      <c r="C3258" s="5" t="s">
        <v>16</v>
      </c>
      <c r="D3258" s="5" t="s">
        <v>3279</v>
      </c>
      <c r="E3258" s="6" t="str">
        <f>HYPERLINK("https://twitter.com/sergio_fajardo/status/1450191340353036291","1450191340353036291")</f>
        <v>1450191340353036291</v>
      </c>
      <c r="F3258" s="7" t="s">
        <v>17</v>
      </c>
      <c r="G3258" s="7">
        <v>1597765</v>
      </c>
      <c r="H3258" s="7">
        <v>584</v>
      </c>
      <c r="I3258" s="7">
        <v>29</v>
      </c>
      <c r="J3258" s="7">
        <v>148</v>
      </c>
      <c r="K3258" s="7" t="s">
        <v>18</v>
      </c>
      <c r="L3258" s="8">
        <v>39891.213356481479</v>
      </c>
      <c r="M3258" s="9" t="s">
        <v>19</v>
      </c>
      <c r="N3258" s="9" t="s">
        <v>22</v>
      </c>
      <c r="O3258" s="6" t="str">
        <f>HYPERLINK("https://pbs.twimg.com/profile_images/1433591977631748099/wuGDIimB_normal.jpg","View")</f>
        <v>View</v>
      </c>
      <c r="P3258" s="7"/>
    </row>
    <row r="3259" spans="1:16">
      <c r="A3259" s="3">
        <v>44488.090254629627</v>
      </c>
      <c r="B3259" s="4" t="str">
        <f>HYPERLINK("https://twitter.com/sergio_fajardo","@sergio_fajardo")</f>
        <v>@sergio_fajardo</v>
      </c>
      <c r="C3259" s="5" t="s">
        <v>16</v>
      </c>
      <c r="D3259" s="5" t="s">
        <v>3280</v>
      </c>
      <c r="E3259" s="6" t="str">
        <f>HYPERLINK("https://twitter.com/sergio_fajardo/status/1450200002865901579","1450200002865901579")</f>
        <v>1450200002865901579</v>
      </c>
      <c r="F3259" s="7" t="s">
        <v>17</v>
      </c>
      <c r="G3259" s="7">
        <v>1597765</v>
      </c>
      <c r="H3259" s="7">
        <v>584</v>
      </c>
      <c r="I3259" s="7">
        <v>37</v>
      </c>
      <c r="J3259" s="7">
        <v>0</v>
      </c>
      <c r="K3259" s="7" t="s">
        <v>18</v>
      </c>
      <c r="L3259" s="8">
        <v>39891.213356481479</v>
      </c>
      <c r="M3259" s="9" t="s">
        <v>19</v>
      </c>
      <c r="N3259" s="9" t="s">
        <v>22</v>
      </c>
      <c r="O3259" s="6" t="str">
        <f>HYPERLINK("https://pbs.twimg.com/profile_images/1433591977631748099/wuGDIimB_normal.jpg","View")</f>
        <v>View</v>
      </c>
      <c r="P3259" s="7"/>
    </row>
    <row r="3260" spans="1:16">
      <c r="A3260" s="3">
        <v>44488.161712962959</v>
      </c>
      <c r="B3260" s="4" t="str">
        <f>HYPERLINK("https://twitter.com/sergio_fajardo","@sergio_fajardo")</f>
        <v>@sergio_fajardo</v>
      </c>
      <c r="C3260" s="5" t="s">
        <v>16</v>
      </c>
      <c r="D3260" s="5" t="s">
        <v>3281</v>
      </c>
      <c r="E3260" s="6" t="str">
        <f>HYPERLINK("https://twitter.com/sergio_fajardo/status/1450225899006214147","1450225899006214147")</f>
        <v>1450225899006214147</v>
      </c>
      <c r="F3260" s="7" t="s">
        <v>2329</v>
      </c>
      <c r="G3260" s="7">
        <v>1597765</v>
      </c>
      <c r="H3260" s="7">
        <v>584</v>
      </c>
      <c r="I3260" s="7">
        <v>50</v>
      </c>
      <c r="J3260" s="7">
        <v>199</v>
      </c>
      <c r="K3260" s="7" t="s">
        <v>18</v>
      </c>
      <c r="L3260" s="8">
        <v>39891.213356481479</v>
      </c>
      <c r="M3260" s="9" t="s">
        <v>19</v>
      </c>
      <c r="N3260" s="9" t="s">
        <v>22</v>
      </c>
      <c r="O3260" s="6" t="str">
        <f>HYPERLINK("https://pbs.twimg.com/profile_images/1433591977631748099/wuGDIimB_normal.jpg","View")</f>
        <v>View</v>
      </c>
      <c r="P3260" s="7"/>
    </row>
    <row r="3261" spans="1:16">
      <c r="A3261" s="3">
        <v>44488.727974537032</v>
      </c>
      <c r="B3261" s="4" t="str">
        <f>HYPERLINK("https://twitter.com/sergio_fajardo","@sergio_fajardo")</f>
        <v>@sergio_fajardo</v>
      </c>
      <c r="C3261" s="5" t="s">
        <v>16</v>
      </c>
      <c r="D3261" s="5" t="s">
        <v>3282</v>
      </c>
      <c r="E3261" s="6" t="str">
        <f>HYPERLINK("https://twitter.com/sergio_fajardo/status/1450431101978255367","1450431101978255367")</f>
        <v>1450431101978255367</v>
      </c>
      <c r="F3261" s="7" t="s">
        <v>17</v>
      </c>
      <c r="G3261" s="7">
        <v>1597771</v>
      </c>
      <c r="H3261" s="7">
        <v>584</v>
      </c>
      <c r="I3261" s="7">
        <v>24</v>
      </c>
      <c r="J3261" s="7">
        <v>0</v>
      </c>
      <c r="K3261" s="7" t="s">
        <v>18</v>
      </c>
      <c r="L3261" s="8">
        <v>39891.213356481479</v>
      </c>
      <c r="M3261" s="9" t="s">
        <v>19</v>
      </c>
      <c r="N3261" s="9" t="s">
        <v>22</v>
      </c>
      <c r="O3261" s="6" t="str">
        <f>HYPERLINK("https://pbs.twimg.com/profile_images/1433591977631748099/wuGDIimB_normal.jpg","View")</f>
        <v>View</v>
      </c>
      <c r="P3261" s="7"/>
    </row>
    <row r="3262" spans="1:16">
      <c r="A3262" s="3">
        <v>44488.753483796296</v>
      </c>
      <c r="B3262" s="4" t="str">
        <f>HYPERLINK("https://twitter.com/sergio_fajardo","@sergio_fajardo")</f>
        <v>@sergio_fajardo</v>
      </c>
      <c r="C3262" s="5" t="s">
        <v>16</v>
      </c>
      <c r="D3262" s="5" t="s">
        <v>3283</v>
      </c>
      <c r="E3262" s="6" t="str">
        <f>HYPERLINK("https://twitter.com/sergio_fajardo/status/1450440348384301056","1450440348384301056")</f>
        <v>1450440348384301056</v>
      </c>
      <c r="F3262" s="7" t="s">
        <v>17</v>
      </c>
      <c r="G3262" s="7">
        <v>1597775</v>
      </c>
      <c r="H3262" s="7">
        <v>584</v>
      </c>
      <c r="I3262" s="7">
        <v>11</v>
      </c>
      <c r="J3262" s="7">
        <v>0</v>
      </c>
      <c r="K3262" s="7" t="s">
        <v>18</v>
      </c>
      <c r="L3262" s="8">
        <v>39891.213356481479</v>
      </c>
      <c r="M3262" s="9" t="s">
        <v>19</v>
      </c>
      <c r="N3262" s="9" t="s">
        <v>22</v>
      </c>
      <c r="O3262" s="6" t="str">
        <f>HYPERLINK("https://pbs.twimg.com/profile_images/1433591977631748099/wuGDIimB_normal.jpg","View")</f>
        <v>View</v>
      </c>
      <c r="P3262" s="7"/>
    </row>
    <row r="3263" spans="1:16">
      <c r="A3263" s="3">
        <v>44488.780578703707</v>
      </c>
      <c r="B3263" s="4" t="str">
        <f>HYPERLINK("https://twitter.com/sergio_fajardo","@sergio_fajardo")</f>
        <v>@sergio_fajardo</v>
      </c>
      <c r="C3263" s="5" t="s">
        <v>16</v>
      </c>
      <c r="D3263" s="5" t="s">
        <v>3284</v>
      </c>
      <c r="E3263" s="6" t="str">
        <f>HYPERLINK("https://twitter.com/sergio_fajardo/status/1450450166562148353","1450450166562148353")</f>
        <v>1450450166562148353</v>
      </c>
      <c r="F3263" s="7" t="s">
        <v>17</v>
      </c>
      <c r="G3263" s="7">
        <v>1597776</v>
      </c>
      <c r="H3263" s="7">
        <v>584</v>
      </c>
      <c r="I3263" s="7">
        <v>2</v>
      </c>
      <c r="J3263" s="7">
        <v>13</v>
      </c>
      <c r="K3263" s="7" t="s">
        <v>18</v>
      </c>
      <c r="L3263" s="8">
        <v>39891.213356481479</v>
      </c>
      <c r="M3263" s="9" t="s">
        <v>19</v>
      </c>
      <c r="N3263" s="9" t="s">
        <v>22</v>
      </c>
      <c r="O3263" s="6" t="str">
        <f>HYPERLINK("https://pbs.twimg.com/profile_images/1433591977631748099/wuGDIimB_normal.jpg","View")</f>
        <v>View</v>
      </c>
      <c r="P3263" s="7"/>
    </row>
    <row r="3264" spans="1:16">
      <c r="A3264" s="3">
        <v>44488.862361111111</v>
      </c>
      <c r="B3264" s="4" t="str">
        <f>HYPERLINK("https://twitter.com/sergio_fajardo","@sergio_fajardo")</f>
        <v>@sergio_fajardo</v>
      </c>
      <c r="C3264" s="5" t="s">
        <v>16</v>
      </c>
      <c r="D3264" s="5" t="s">
        <v>3285</v>
      </c>
      <c r="E3264" s="6" t="str">
        <f>HYPERLINK("https://twitter.com/sergio_fajardo/status/1450479804323667972","1450479804323667972")</f>
        <v>1450479804323667972</v>
      </c>
      <c r="F3264" s="7" t="s">
        <v>17</v>
      </c>
      <c r="G3264" s="7">
        <v>1597788</v>
      </c>
      <c r="H3264" s="7">
        <v>584</v>
      </c>
      <c r="I3264" s="7">
        <v>1</v>
      </c>
      <c r="J3264" s="7">
        <v>5</v>
      </c>
      <c r="K3264" s="7" t="s">
        <v>18</v>
      </c>
      <c r="L3264" s="8">
        <v>39891.213356481479</v>
      </c>
      <c r="M3264" s="9" t="s">
        <v>19</v>
      </c>
      <c r="N3264" s="9" t="s">
        <v>22</v>
      </c>
      <c r="O3264" s="6" t="str">
        <f>HYPERLINK("https://pbs.twimg.com/profile_images/1433591977631748099/wuGDIimB_normal.jpg","View")</f>
        <v>View</v>
      </c>
      <c r="P3264" s="7"/>
    </row>
    <row r="3265" spans="1:16">
      <c r="A3265" s="3">
        <v>44488.874467592592</v>
      </c>
      <c r="B3265" s="4" t="str">
        <f>HYPERLINK("https://twitter.com/sergio_fajardo","@sergio_fajardo")</f>
        <v>@sergio_fajardo</v>
      </c>
      <c r="C3265" s="5" t="s">
        <v>16</v>
      </c>
      <c r="D3265" s="5" t="s">
        <v>3286</v>
      </c>
      <c r="E3265" s="6" t="str">
        <f>HYPERLINK("https://twitter.com/sergio_fajardo/status/1450484190647103493","1450484190647103493")</f>
        <v>1450484190647103493</v>
      </c>
      <c r="F3265" s="7" t="s">
        <v>17</v>
      </c>
      <c r="G3265" s="7">
        <v>1597786</v>
      </c>
      <c r="H3265" s="7">
        <v>584</v>
      </c>
      <c r="I3265" s="7">
        <v>2</v>
      </c>
      <c r="J3265" s="7">
        <v>0</v>
      </c>
      <c r="K3265" s="7" t="s">
        <v>18</v>
      </c>
      <c r="L3265" s="8">
        <v>39891.213356481479</v>
      </c>
      <c r="M3265" s="9" t="s">
        <v>19</v>
      </c>
      <c r="N3265" s="9" t="s">
        <v>22</v>
      </c>
      <c r="O3265" s="6" t="str">
        <f>HYPERLINK("https://pbs.twimg.com/profile_images/1433591977631748099/wuGDIimB_normal.jpg","View")</f>
        <v>View</v>
      </c>
      <c r="P3265" s="7"/>
    </row>
    <row r="3266" spans="1:16">
      <c r="A3266" s="3">
        <v>44488.874618055561</v>
      </c>
      <c r="B3266" s="4" t="str">
        <f>HYPERLINK("https://twitter.com/sergio_fajardo","@sergio_fajardo")</f>
        <v>@sergio_fajardo</v>
      </c>
      <c r="C3266" s="5" t="s">
        <v>16</v>
      </c>
      <c r="D3266" s="5" t="s">
        <v>3287</v>
      </c>
      <c r="E3266" s="6" t="str">
        <f>HYPERLINK("https://twitter.com/sergio_fajardo/status/1450484244241862657","1450484244241862657")</f>
        <v>1450484244241862657</v>
      </c>
      <c r="F3266" s="7" t="s">
        <v>17</v>
      </c>
      <c r="G3266" s="7">
        <v>1597786</v>
      </c>
      <c r="H3266" s="7">
        <v>584</v>
      </c>
      <c r="I3266" s="7">
        <v>5</v>
      </c>
      <c r="J3266" s="7">
        <v>0</v>
      </c>
      <c r="K3266" s="7" t="s">
        <v>18</v>
      </c>
      <c r="L3266" s="8">
        <v>39891.213356481479</v>
      </c>
      <c r="M3266" s="9" t="s">
        <v>19</v>
      </c>
      <c r="N3266" s="9" t="s">
        <v>22</v>
      </c>
      <c r="O3266" s="6" t="str">
        <f>HYPERLINK("https://pbs.twimg.com/profile_images/1433591977631748099/wuGDIimB_normal.jpg","View")</f>
        <v>View</v>
      </c>
      <c r="P3266" s="7"/>
    </row>
    <row r="3267" spans="1:16">
      <c r="A3267" s="3">
        <v>44488.875138888892</v>
      </c>
      <c r="B3267" s="4" t="str">
        <f>HYPERLINK("https://twitter.com/sergio_fajardo","@sergio_fajardo")</f>
        <v>@sergio_fajardo</v>
      </c>
      <c r="C3267" s="5" t="s">
        <v>16</v>
      </c>
      <c r="D3267" s="5" t="s">
        <v>3288</v>
      </c>
      <c r="E3267" s="6" t="str">
        <f>HYPERLINK("https://twitter.com/sergio_fajardo/status/1450484433342062593","1450484433342062593")</f>
        <v>1450484433342062593</v>
      </c>
      <c r="F3267" s="7" t="s">
        <v>17</v>
      </c>
      <c r="G3267" s="7">
        <v>1597786</v>
      </c>
      <c r="H3267" s="7">
        <v>584</v>
      </c>
      <c r="I3267" s="7">
        <v>4</v>
      </c>
      <c r="J3267" s="7">
        <v>0</v>
      </c>
      <c r="K3267" s="7" t="s">
        <v>18</v>
      </c>
      <c r="L3267" s="8">
        <v>39891.213356481479</v>
      </c>
      <c r="M3267" s="9" t="s">
        <v>19</v>
      </c>
      <c r="N3267" s="9" t="s">
        <v>22</v>
      </c>
      <c r="O3267" s="6" t="str">
        <f>HYPERLINK("https://pbs.twimg.com/profile_images/1433591977631748099/wuGDIimB_normal.jpg","View")</f>
        <v>View</v>
      </c>
      <c r="P3267" s="7"/>
    </row>
    <row r="3268" spans="1:16">
      <c r="A3268" s="3">
        <v>44488.8752662037</v>
      </c>
      <c r="B3268" s="4" t="str">
        <f>HYPERLINK("https://twitter.com/sergio_fajardo","@sergio_fajardo")</f>
        <v>@sergio_fajardo</v>
      </c>
      <c r="C3268" s="5" t="s">
        <v>16</v>
      </c>
      <c r="D3268" s="5" t="s">
        <v>3289</v>
      </c>
      <c r="E3268" s="6" t="str">
        <f>HYPERLINK("https://twitter.com/sergio_fajardo/status/1450484481773670404","1450484481773670404")</f>
        <v>1450484481773670404</v>
      </c>
      <c r="F3268" s="7" t="s">
        <v>17</v>
      </c>
      <c r="G3268" s="7">
        <v>1597786</v>
      </c>
      <c r="H3268" s="7">
        <v>584</v>
      </c>
      <c r="I3268" s="7">
        <v>8</v>
      </c>
      <c r="J3268" s="7">
        <v>0</v>
      </c>
      <c r="K3268" s="7" t="s">
        <v>18</v>
      </c>
      <c r="L3268" s="8">
        <v>39891.213356481479</v>
      </c>
      <c r="M3268" s="9" t="s">
        <v>19</v>
      </c>
      <c r="N3268" s="9" t="s">
        <v>22</v>
      </c>
      <c r="O3268" s="6" t="str">
        <f>HYPERLINK("https://pbs.twimg.com/profile_images/1433591977631748099/wuGDIimB_normal.jpg","View")</f>
        <v>View</v>
      </c>
      <c r="P3268" s="7"/>
    </row>
    <row r="3269" spans="1:16">
      <c r="A3269" s="3">
        <v>44488.88490740741</v>
      </c>
      <c r="B3269" s="4" t="str">
        <f>HYPERLINK("https://twitter.com/sergio_fajardo","@sergio_fajardo")</f>
        <v>@sergio_fajardo</v>
      </c>
      <c r="C3269" s="5" t="s">
        <v>16</v>
      </c>
      <c r="D3269" s="5" t="s">
        <v>3290</v>
      </c>
      <c r="E3269" s="6" t="str">
        <f>HYPERLINK("https://twitter.com/sergio_fajardo/status/1450487974014210048","1450487974014210048")</f>
        <v>1450487974014210048</v>
      </c>
      <c r="F3269" s="7" t="s">
        <v>17</v>
      </c>
      <c r="G3269" s="7">
        <v>1597786</v>
      </c>
      <c r="H3269" s="7">
        <v>584</v>
      </c>
      <c r="I3269" s="7">
        <v>4</v>
      </c>
      <c r="J3269" s="7">
        <v>0</v>
      </c>
      <c r="K3269" s="7" t="s">
        <v>18</v>
      </c>
      <c r="L3269" s="8">
        <v>39891.213356481479</v>
      </c>
      <c r="M3269" s="9" t="s">
        <v>19</v>
      </c>
      <c r="N3269" s="9" t="s">
        <v>22</v>
      </c>
      <c r="O3269" s="6" t="str">
        <f>HYPERLINK("https://pbs.twimg.com/profile_images/1433591977631748099/wuGDIimB_normal.jpg","View")</f>
        <v>View</v>
      </c>
      <c r="P3269" s="7"/>
    </row>
    <row r="3270" spans="1:16">
      <c r="A3270" s="3">
        <v>44488.926250000004</v>
      </c>
      <c r="B3270" s="4" t="str">
        <f>HYPERLINK("https://twitter.com/sergio_fajardo","@sergio_fajardo")</f>
        <v>@sergio_fajardo</v>
      </c>
      <c r="C3270" s="5" t="s">
        <v>16</v>
      </c>
      <c r="D3270" s="5" t="s">
        <v>3291</v>
      </c>
      <c r="E3270" s="6" t="str">
        <f>HYPERLINK("https://twitter.com/sergio_fajardo/status/1450502956772642816","1450502956772642816")</f>
        <v>1450502956772642816</v>
      </c>
      <c r="F3270" s="7" t="s">
        <v>23</v>
      </c>
      <c r="G3270" s="7">
        <v>1597795</v>
      </c>
      <c r="H3270" s="7">
        <v>584</v>
      </c>
      <c r="I3270" s="7">
        <v>7</v>
      </c>
      <c r="J3270" s="7">
        <v>0</v>
      </c>
      <c r="K3270" s="7" t="s">
        <v>18</v>
      </c>
      <c r="L3270" s="8">
        <v>39891.213356481479</v>
      </c>
      <c r="M3270" s="9" t="s">
        <v>19</v>
      </c>
      <c r="N3270" s="9" t="s">
        <v>22</v>
      </c>
      <c r="O3270" s="6" t="str">
        <f>HYPERLINK("https://pbs.twimg.com/profile_images/1433591977631748099/wuGDIimB_normal.jpg","View")</f>
        <v>View</v>
      </c>
      <c r="P3270" s="7"/>
    </row>
    <row r="3271" spans="1:16">
      <c r="A3271" s="3">
        <v>44488.926620370374</v>
      </c>
      <c r="B3271" s="4" t="str">
        <f>HYPERLINK("https://twitter.com/sergio_fajardo","@sergio_fajardo")</f>
        <v>@sergio_fajardo</v>
      </c>
      <c r="C3271" s="5" t="s">
        <v>16</v>
      </c>
      <c r="D3271" s="5" t="s">
        <v>3292</v>
      </c>
      <c r="E3271" s="6" t="str">
        <f>HYPERLINK("https://twitter.com/sergio_fajardo/status/1450503089581170691","1450503089581170691")</f>
        <v>1450503089581170691</v>
      </c>
      <c r="F3271" s="7" t="s">
        <v>23</v>
      </c>
      <c r="G3271" s="7">
        <v>1597795</v>
      </c>
      <c r="H3271" s="7">
        <v>584</v>
      </c>
      <c r="I3271" s="7">
        <v>4</v>
      </c>
      <c r="J3271" s="7">
        <v>0</v>
      </c>
      <c r="K3271" s="7" t="s">
        <v>18</v>
      </c>
      <c r="L3271" s="8">
        <v>39891.213356481479</v>
      </c>
      <c r="M3271" s="9" t="s">
        <v>19</v>
      </c>
      <c r="N3271" s="9" t="s">
        <v>22</v>
      </c>
      <c r="O3271" s="6" t="str">
        <f>HYPERLINK("https://pbs.twimg.com/profile_images/1433591977631748099/wuGDIimB_normal.jpg","View")</f>
        <v>View</v>
      </c>
      <c r="P3271" s="7"/>
    </row>
    <row r="3272" spans="1:16">
      <c r="A3272" s="3">
        <v>44488.926817129628</v>
      </c>
      <c r="B3272" s="4" t="str">
        <f>HYPERLINK("https://twitter.com/sergio_fajardo","@sergio_fajardo")</f>
        <v>@sergio_fajardo</v>
      </c>
      <c r="C3272" s="5" t="s">
        <v>16</v>
      </c>
      <c r="D3272" s="5" t="s">
        <v>3293</v>
      </c>
      <c r="E3272" s="6" t="str">
        <f>HYPERLINK("https://twitter.com/sergio_fajardo/status/1450503160741629956","1450503160741629956")</f>
        <v>1450503160741629956</v>
      </c>
      <c r="F3272" s="7" t="s">
        <v>23</v>
      </c>
      <c r="G3272" s="7">
        <v>1597795</v>
      </c>
      <c r="H3272" s="7">
        <v>584</v>
      </c>
      <c r="I3272" s="7">
        <v>4</v>
      </c>
      <c r="J3272" s="7">
        <v>0</v>
      </c>
      <c r="K3272" s="7" t="s">
        <v>18</v>
      </c>
      <c r="L3272" s="8">
        <v>39891.213356481479</v>
      </c>
      <c r="M3272" s="9" t="s">
        <v>19</v>
      </c>
      <c r="N3272" s="9" t="s">
        <v>22</v>
      </c>
      <c r="O3272" s="6" t="str">
        <f>HYPERLINK("https://pbs.twimg.com/profile_images/1433591977631748099/wuGDIimB_normal.jpg","View")</f>
        <v>View</v>
      </c>
      <c r="P3272" s="7"/>
    </row>
    <row r="3273" spans="1:16">
      <c r="A3273" s="3">
        <v>44488.926944444444</v>
      </c>
      <c r="B3273" s="4" t="str">
        <f>HYPERLINK("https://twitter.com/sergio_fajardo","@sergio_fajardo")</f>
        <v>@sergio_fajardo</v>
      </c>
      <c r="C3273" s="5" t="s">
        <v>16</v>
      </c>
      <c r="D3273" s="5" t="s">
        <v>3294</v>
      </c>
      <c r="E3273" s="6" t="str">
        <f>HYPERLINK("https://twitter.com/sergio_fajardo/status/1450503209584316416","1450503209584316416")</f>
        <v>1450503209584316416</v>
      </c>
      <c r="F3273" s="7" t="s">
        <v>23</v>
      </c>
      <c r="G3273" s="7">
        <v>1597795</v>
      </c>
      <c r="H3273" s="7">
        <v>584</v>
      </c>
      <c r="I3273" s="7">
        <v>4</v>
      </c>
      <c r="J3273" s="7">
        <v>0</v>
      </c>
      <c r="K3273" s="7" t="s">
        <v>18</v>
      </c>
      <c r="L3273" s="8">
        <v>39891.213356481479</v>
      </c>
      <c r="M3273" s="9" t="s">
        <v>19</v>
      </c>
      <c r="N3273" s="9" t="s">
        <v>22</v>
      </c>
      <c r="O3273" s="6" t="str">
        <f>HYPERLINK("https://pbs.twimg.com/profile_images/1433591977631748099/wuGDIimB_normal.jpg","View")</f>
        <v>View</v>
      </c>
      <c r="P3273" s="7"/>
    </row>
    <row r="3274" spans="1:16">
      <c r="A3274" s="3">
        <v>44488.927152777775</v>
      </c>
      <c r="B3274" s="4" t="str">
        <f>HYPERLINK("https://twitter.com/sergio_fajardo","@sergio_fajardo")</f>
        <v>@sergio_fajardo</v>
      </c>
      <c r="C3274" s="5" t="s">
        <v>16</v>
      </c>
      <c r="D3274" s="5" t="s">
        <v>3295</v>
      </c>
      <c r="E3274" s="6" t="str">
        <f>HYPERLINK("https://twitter.com/sergio_fajardo/status/1450503283890610183","1450503283890610183")</f>
        <v>1450503283890610183</v>
      </c>
      <c r="F3274" s="7" t="s">
        <v>23</v>
      </c>
      <c r="G3274" s="7">
        <v>1597795</v>
      </c>
      <c r="H3274" s="7">
        <v>584</v>
      </c>
      <c r="I3274" s="7">
        <v>2</v>
      </c>
      <c r="J3274" s="7">
        <v>0</v>
      </c>
      <c r="K3274" s="7" t="s">
        <v>18</v>
      </c>
      <c r="L3274" s="8">
        <v>39891.213356481479</v>
      </c>
      <c r="M3274" s="9" t="s">
        <v>19</v>
      </c>
      <c r="N3274" s="9" t="s">
        <v>22</v>
      </c>
      <c r="O3274" s="6" t="str">
        <f>HYPERLINK("https://pbs.twimg.com/profile_images/1433591977631748099/wuGDIimB_normal.jpg","View")</f>
        <v>View</v>
      </c>
      <c r="P3274" s="7"/>
    </row>
    <row r="3275" spans="1:16">
      <c r="A3275" s="3">
        <v>44488.934050925927</v>
      </c>
      <c r="B3275" s="4" t="str">
        <f>HYPERLINK("https://twitter.com/sergio_fajardo","@sergio_fajardo")</f>
        <v>@sergio_fajardo</v>
      </c>
      <c r="C3275" s="5" t="s">
        <v>16</v>
      </c>
      <c r="D3275" s="5" t="s">
        <v>3296</v>
      </c>
      <c r="E3275" s="6" t="str">
        <f>HYPERLINK("https://twitter.com/sergio_fajardo/status/1450505783343452164","1450505783343452164")</f>
        <v>1450505783343452164</v>
      </c>
      <c r="F3275" s="7" t="s">
        <v>17</v>
      </c>
      <c r="G3275" s="7">
        <v>1597794</v>
      </c>
      <c r="H3275" s="7">
        <v>584</v>
      </c>
      <c r="I3275" s="7">
        <v>8</v>
      </c>
      <c r="J3275" s="7">
        <v>35</v>
      </c>
      <c r="K3275" s="7" t="s">
        <v>18</v>
      </c>
      <c r="L3275" s="8">
        <v>39891.213356481479</v>
      </c>
      <c r="M3275" s="9" t="s">
        <v>19</v>
      </c>
      <c r="N3275" s="9" t="s">
        <v>22</v>
      </c>
      <c r="O3275" s="6" t="str">
        <f>HYPERLINK("https://pbs.twimg.com/profile_images/1433591977631748099/wuGDIimB_normal.jpg","View")</f>
        <v>View</v>
      </c>
      <c r="P3275" s="7"/>
    </row>
    <row r="3276" spans="1:16">
      <c r="A3276" s="3">
        <v>44489.094155092593</v>
      </c>
      <c r="B3276" s="4" t="str">
        <f>HYPERLINK("https://twitter.com/sergio_fajardo","@sergio_fajardo")</f>
        <v>@sergio_fajardo</v>
      </c>
      <c r="C3276" s="5" t="s">
        <v>16</v>
      </c>
      <c r="D3276" s="5" t="s">
        <v>3297</v>
      </c>
      <c r="E3276" s="6" t="str">
        <f>HYPERLINK("https://twitter.com/sergio_fajardo/status/1450563802542579713","1450563802542579713")</f>
        <v>1450563802542579713</v>
      </c>
      <c r="F3276" s="7" t="s">
        <v>2329</v>
      </c>
      <c r="G3276" s="7">
        <v>1597793</v>
      </c>
      <c r="H3276" s="7">
        <v>584</v>
      </c>
      <c r="I3276" s="7">
        <v>2</v>
      </c>
      <c r="J3276" s="7">
        <v>8</v>
      </c>
      <c r="K3276" s="7" t="s">
        <v>18</v>
      </c>
      <c r="L3276" s="8">
        <v>39891.213356481479</v>
      </c>
      <c r="M3276" s="9" t="s">
        <v>19</v>
      </c>
      <c r="N3276" s="9" t="s">
        <v>22</v>
      </c>
      <c r="O3276" s="6" t="str">
        <f>HYPERLINK("https://pbs.twimg.com/profile_images/1433591977631748099/wuGDIimB_normal.jpg","View")</f>
        <v>View</v>
      </c>
      <c r="P3276" s="7"/>
    </row>
    <row r="3277" spans="1:16">
      <c r="A3277" s="3">
        <v>44489.190034722225</v>
      </c>
      <c r="B3277" s="4" t="str">
        <f>HYPERLINK("https://twitter.com/sergio_fajardo","@sergio_fajardo")</f>
        <v>@sergio_fajardo</v>
      </c>
      <c r="C3277" s="5" t="s">
        <v>16</v>
      </c>
      <c r="D3277" s="5" t="s">
        <v>3298</v>
      </c>
      <c r="E3277" s="6" t="str">
        <f>HYPERLINK("https://twitter.com/sergio_fajardo/status/1450598549062918149","1450598549062918149")</f>
        <v>1450598549062918149</v>
      </c>
      <c r="F3277" s="7" t="s">
        <v>2329</v>
      </c>
      <c r="G3277" s="7">
        <v>1597798</v>
      </c>
      <c r="H3277" s="7">
        <v>584</v>
      </c>
      <c r="I3277" s="7">
        <v>14</v>
      </c>
      <c r="J3277" s="7">
        <v>32</v>
      </c>
      <c r="K3277" s="7" t="s">
        <v>18</v>
      </c>
      <c r="L3277" s="8">
        <v>39891.213356481479</v>
      </c>
      <c r="M3277" s="9" t="s">
        <v>19</v>
      </c>
      <c r="N3277" s="9" t="s">
        <v>22</v>
      </c>
      <c r="O3277" s="6" t="str">
        <f>HYPERLINK("https://pbs.twimg.com/profile_images/1433591977631748099/wuGDIimB_normal.jpg","View")</f>
        <v>View</v>
      </c>
      <c r="P3277" s="7"/>
    </row>
    <row r="3278" spans="1:16">
      <c r="A3278" s="3">
        <v>44489.195567129631</v>
      </c>
      <c r="B3278" s="4" t="str">
        <f>HYPERLINK("https://twitter.com/sergio_fajardo","@sergio_fajardo")</f>
        <v>@sergio_fajardo</v>
      </c>
      <c r="C3278" s="5" t="s">
        <v>16</v>
      </c>
      <c r="D3278" s="5" t="s">
        <v>3299</v>
      </c>
      <c r="E3278" s="6" t="str">
        <f>HYPERLINK("https://twitter.com/sergio_fajardo/status/1450600554888146945","1450600554888146945")</f>
        <v>1450600554888146945</v>
      </c>
      <c r="F3278" s="7" t="s">
        <v>23</v>
      </c>
      <c r="G3278" s="7">
        <v>1597798</v>
      </c>
      <c r="H3278" s="7">
        <v>584</v>
      </c>
      <c r="I3278" s="7">
        <v>3</v>
      </c>
      <c r="J3278" s="7">
        <v>17</v>
      </c>
      <c r="K3278" s="7" t="s">
        <v>18</v>
      </c>
      <c r="L3278" s="8">
        <v>39891.213356481479</v>
      </c>
      <c r="M3278" s="9" t="s">
        <v>19</v>
      </c>
      <c r="N3278" s="9" t="s">
        <v>22</v>
      </c>
      <c r="O3278" s="6" t="str">
        <f>HYPERLINK("https://pbs.twimg.com/profile_images/1433591977631748099/wuGDIimB_normal.jpg","View")</f>
        <v>View</v>
      </c>
      <c r="P3278" s="7"/>
    </row>
    <row r="3279" spans="1:16">
      <c r="A3279" s="3">
        <v>44489.199675925927</v>
      </c>
      <c r="B3279" s="4" t="str">
        <f>HYPERLINK("https://twitter.com/sergio_fajardo","@sergio_fajardo")</f>
        <v>@sergio_fajardo</v>
      </c>
      <c r="C3279" s="5" t="s">
        <v>16</v>
      </c>
      <c r="D3279" s="5" t="s">
        <v>3300</v>
      </c>
      <c r="E3279" s="6" t="str">
        <f>HYPERLINK("https://twitter.com/sergio_fajardo/status/1450602042540666880","1450602042540666880")</f>
        <v>1450602042540666880</v>
      </c>
      <c r="F3279" s="7" t="s">
        <v>23</v>
      </c>
      <c r="G3279" s="7">
        <v>1597795</v>
      </c>
      <c r="H3279" s="7">
        <v>584</v>
      </c>
      <c r="I3279" s="7">
        <v>1</v>
      </c>
      <c r="J3279" s="7">
        <v>22</v>
      </c>
      <c r="K3279" s="7" t="s">
        <v>18</v>
      </c>
      <c r="L3279" s="8">
        <v>39891.213356481479</v>
      </c>
      <c r="M3279" s="9" t="s">
        <v>19</v>
      </c>
      <c r="N3279" s="9" t="s">
        <v>22</v>
      </c>
      <c r="O3279" s="6" t="str">
        <f>HYPERLINK("https://pbs.twimg.com/profile_images/1433591977631748099/wuGDIimB_normal.jpg","View")</f>
        <v>View</v>
      </c>
      <c r="P3279" s="7"/>
    </row>
    <row r="3280" spans="1:16">
      <c r="A3280" s="3">
        <v>44489.222719907411</v>
      </c>
      <c r="B3280" s="4" t="str">
        <f>HYPERLINK("https://twitter.com/sergio_fajardo","@sergio_fajardo")</f>
        <v>@sergio_fajardo</v>
      </c>
      <c r="C3280" s="5" t="s">
        <v>16</v>
      </c>
      <c r="D3280" s="5" t="s">
        <v>3301</v>
      </c>
      <c r="E3280" s="6" t="str">
        <f>HYPERLINK("https://twitter.com/sergio_fajardo/status/1450610394633052160","1450610394633052160")</f>
        <v>1450610394633052160</v>
      </c>
      <c r="F3280" s="7" t="s">
        <v>23</v>
      </c>
      <c r="G3280" s="7">
        <v>1597798</v>
      </c>
      <c r="H3280" s="7">
        <v>584</v>
      </c>
      <c r="I3280" s="7">
        <v>5</v>
      </c>
      <c r="J3280" s="7">
        <v>22</v>
      </c>
      <c r="K3280" s="7" t="s">
        <v>18</v>
      </c>
      <c r="L3280" s="8">
        <v>39891.213356481479</v>
      </c>
      <c r="M3280" s="9" t="s">
        <v>19</v>
      </c>
      <c r="N3280" s="9" t="s">
        <v>22</v>
      </c>
      <c r="O3280" s="6" t="str">
        <f>HYPERLINK("https://pbs.twimg.com/profile_images/1433591977631748099/wuGDIimB_normal.jpg","View")</f>
        <v>View</v>
      </c>
      <c r="P3280" s="7"/>
    </row>
    <row r="3281" spans="1:16">
      <c r="A3281" s="3">
        <v>44489.244537037041</v>
      </c>
      <c r="B3281" s="4" t="str">
        <f>HYPERLINK("https://twitter.com/sergio_fajardo","@sergio_fajardo")</f>
        <v>@sergio_fajardo</v>
      </c>
      <c r="C3281" s="5" t="s">
        <v>16</v>
      </c>
      <c r="D3281" s="5" t="s">
        <v>3302</v>
      </c>
      <c r="E3281" s="6" t="str">
        <f>HYPERLINK("https://twitter.com/sergio_fajardo/status/1450618298538790913","1450618298538790913")</f>
        <v>1450618298538790913</v>
      </c>
      <c r="F3281" s="7" t="s">
        <v>23</v>
      </c>
      <c r="G3281" s="7">
        <v>1597799</v>
      </c>
      <c r="H3281" s="7">
        <v>584</v>
      </c>
      <c r="I3281" s="7">
        <v>3</v>
      </c>
      <c r="J3281" s="7">
        <v>31</v>
      </c>
      <c r="K3281" s="7" t="s">
        <v>18</v>
      </c>
      <c r="L3281" s="8">
        <v>39891.213356481479</v>
      </c>
      <c r="M3281" s="9" t="s">
        <v>19</v>
      </c>
      <c r="N3281" s="9" t="s">
        <v>22</v>
      </c>
      <c r="O3281" s="6" t="str">
        <f>HYPERLINK("https://pbs.twimg.com/profile_images/1433591977631748099/wuGDIimB_normal.jpg","View")</f>
        <v>View</v>
      </c>
      <c r="P3281" s="7"/>
    </row>
    <row r="3282" spans="1:16">
      <c r="A3282" s="3">
        <v>44489.249699074076</v>
      </c>
      <c r="B3282" s="4" t="str">
        <f>HYPERLINK("https://twitter.com/sergio_fajardo","@sergio_fajardo")</f>
        <v>@sergio_fajardo</v>
      </c>
      <c r="C3282" s="5" t="s">
        <v>16</v>
      </c>
      <c r="D3282" s="5" t="s">
        <v>3303</v>
      </c>
      <c r="E3282" s="6" t="str">
        <f>HYPERLINK("https://twitter.com/sergio_fajardo/status/1450620169152253955","1450620169152253955")</f>
        <v>1450620169152253955</v>
      </c>
      <c r="F3282" s="7" t="s">
        <v>23</v>
      </c>
      <c r="G3282" s="7">
        <v>1597799</v>
      </c>
      <c r="H3282" s="7">
        <v>584</v>
      </c>
      <c r="I3282" s="7">
        <v>5</v>
      </c>
      <c r="J3282" s="7">
        <v>29</v>
      </c>
      <c r="K3282" s="7" t="s">
        <v>18</v>
      </c>
      <c r="L3282" s="8">
        <v>39891.213356481479</v>
      </c>
      <c r="M3282" s="9" t="s">
        <v>19</v>
      </c>
      <c r="N3282" s="9" t="s">
        <v>22</v>
      </c>
      <c r="O3282" s="6" t="str">
        <f>HYPERLINK("https://pbs.twimg.com/profile_images/1433591977631748099/wuGDIimB_normal.jpg","View")</f>
        <v>View</v>
      </c>
      <c r="P3282" s="7"/>
    </row>
    <row r="3283" spans="1:16">
      <c r="A3283" s="3">
        <v>44489.251793981486</v>
      </c>
      <c r="B3283" s="4" t="str">
        <f>HYPERLINK("https://twitter.com/sergio_fajardo","@sergio_fajardo")</f>
        <v>@sergio_fajardo</v>
      </c>
      <c r="C3283" s="5" t="s">
        <v>16</v>
      </c>
      <c r="D3283" s="5" t="s">
        <v>3304</v>
      </c>
      <c r="E3283" s="6" t="str">
        <f>HYPERLINK("https://twitter.com/sergio_fajardo/status/1450620928195534849","1450620928195534849")</f>
        <v>1450620928195534849</v>
      </c>
      <c r="F3283" s="7" t="s">
        <v>23</v>
      </c>
      <c r="G3283" s="7">
        <v>1597799</v>
      </c>
      <c r="H3283" s="7">
        <v>584</v>
      </c>
      <c r="I3283" s="7">
        <v>1</v>
      </c>
      <c r="J3283" s="7">
        <v>19</v>
      </c>
      <c r="K3283" s="7" t="s">
        <v>18</v>
      </c>
      <c r="L3283" s="8">
        <v>39891.213356481479</v>
      </c>
      <c r="M3283" s="9" t="s">
        <v>19</v>
      </c>
      <c r="N3283" s="9" t="s">
        <v>22</v>
      </c>
      <c r="O3283" s="6" t="str">
        <f>HYPERLINK("https://pbs.twimg.com/profile_images/1433591977631748099/wuGDIimB_normal.jpg","View")</f>
        <v>View</v>
      </c>
      <c r="P3283" s="7"/>
    </row>
    <row r="3284" spans="1:16">
      <c r="A3284" s="3">
        <v>44489.284525462965</v>
      </c>
      <c r="B3284" s="4" t="str">
        <f>HYPERLINK("https://twitter.com/sergio_fajardo","@sergio_fajardo")</f>
        <v>@sergio_fajardo</v>
      </c>
      <c r="C3284" s="5" t="s">
        <v>16</v>
      </c>
      <c r="D3284" s="5" t="s">
        <v>3305</v>
      </c>
      <c r="E3284" s="6" t="str">
        <f>HYPERLINK("https://twitter.com/sergio_fajardo/status/1450632789209100288","1450632789209100288")</f>
        <v>1450632789209100288</v>
      </c>
      <c r="F3284" s="7" t="s">
        <v>17</v>
      </c>
      <c r="G3284" s="7">
        <v>1597807</v>
      </c>
      <c r="H3284" s="7">
        <v>584</v>
      </c>
      <c r="I3284" s="7">
        <v>76</v>
      </c>
      <c r="J3284" s="7">
        <v>204</v>
      </c>
      <c r="K3284" s="7" t="s">
        <v>18</v>
      </c>
      <c r="L3284" s="8">
        <v>39891.213356481479</v>
      </c>
      <c r="M3284" s="9" t="s">
        <v>19</v>
      </c>
      <c r="N3284" s="9" t="s">
        <v>22</v>
      </c>
      <c r="O3284" s="6" t="str">
        <f>HYPERLINK("https://pbs.twimg.com/profile_images/1433591977631748099/wuGDIimB_normal.jpg","View")</f>
        <v>View</v>
      </c>
      <c r="P3284" s="7"/>
    </row>
    <row r="3285" spans="1:16">
      <c r="A3285" s="3">
        <v>44489.326238425929</v>
      </c>
      <c r="B3285" s="4" t="str">
        <f>HYPERLINK("https://twitter.com/sergio_fajardo","@sergio_fajardo")</f>
        <v>@sergio_fajardo</v>
      </c>
      <c r="C3285" s="5" t="s">
        <v>16</v>
      </c>
      <c r="D3285" s="5" t="s">
        <v>3306</v>
      </c>
      <c r="E3285" s="6" t="str">
        <f>HYPERLINK("https://twitter.com/sergio_fajardo/status/1450647908462862336","1450647908462862336")</f>
        <v>1450647908462862336</v>
      </c>
      <c r="F3285" s="7" t="s">
        <v>17</v>
      </c>
      <c r="G3285" s="7">
        <v>1597808</v>
      </c>
      <c r="H3285" s="7">
        <v>584</v>
      </c>
      <c r="I3285" s="7">
        <v>14</v>
      </c>
      <c r="J3285" s="7">
        <v>0</v>
      </c>
      <c r="K3285" s="7" t="s">
        <v>18</v>
      </c>
      <c r="L3285" s="8">
        <v>39891.213356481479</v>
      </c>
      <c r="M3285" s="9" t="s">
        <v>19</v>
      </c>
      <c r="N3285" s="9" t="s">
        <v>22</v>
      </c>
      <c r="O3285" s="6" t="str">
        <f>HYPERLINK("https://pbs.twimg.com/profile_images/1433591977631748099/wuGDIimB_normal.jpg","View")</f>
        <v>View</v>
      </c>
      <c r="P3285" s="7"/>
    </row>
    <row r="3286" spans="1:16">
      <c r="A3286" s="3">
        <v>44489.326365740737</v>
      </c>
      <c r="B3286" s="4" t="str">
        <f>HYPERLINK("https://twitter.com/sergio_fajardo","@sergio_fajardo")</f>
        <v>@sergio_fajardo</v>
      </c>
      <c r="C3286" s="5" t="s">
        <v>16</v>
      </c>
      <c r="D3286" s="5" t="s">
        <v>3307</v>
      </c>
      <c r="E3286" s="6" t="str">
        <f>HYPERLINK("https://twitter.com/sergio_fajardo/status/1450647953228587008","1450647953228587008")</f>
        <v>1450647953228587008</v>
      </c>
      <c r="F3286" s="7" t="s">
        <v>17</v>
      </c>
      <c r="G3286" s="7">
        <v>1597808</v>
      </c>
      <c r="H3286" s="7">
        <v>584</v>
      </c>
      <c r="I3286" s="7">
        <v>11</v>
      </c>
      <c r="J3286" s="7">
        <v>0</v>
      </c>
      <c r="K3286" s="7" t="s">
        <v>18</v>
      </c>
      <c r="L3286" s="8">
        <v>39891.213356481479</v>
      </c>
      <c r="M3286" s="9" t="s">
        <v>19</v>
      </c>
      <c r="N3286" s="9" t="s">
        <v>22</v>
      </c>
      <c r="O3286" s="6" t="str">
        <f>HYPERLINK("https://pbs.twimg.com/profile_images/1433591977631748099/wuGDIimB_normal.jpg","View")</f>
        <v>View</v>
      </c>
      <c r="P3286" s="7"/>
    </row>
    <row r="3287" spans="1:16">
      <c r="A3287" s="3">
        <v>44489.332592592589</v>
      </c>
      <c r="B3287" s="4" t="str">
        <f>HYPERLINK("https://twitter.com/sergio_fajardo","@sergio_fajardo")</f>
        <v>@sergio_fajardo</v>
      </c>
      <c r="C3287" s="5" t="s">
        <v>16</v>
      </c>
      <c r="D3287" s="5" t="s">
        <v>3308</v>
      </c>
      <c r="E3287" s="6" t="str">
        <f>HYPERLINK("https://twitter.com/sergio_fajardo/status/1450650211878121472","1450650211878121472")</f>
        <v>1450650211878121472</v>
      </c>
      <c r="F3287" s="7" t="s">
        <v>17</v>
      </c>
      <c r="G3287" s="7">
        <v>1597808</v>
      </c>
      <c r="H3287" s="7">
        <v>584</v>
      </c>
      <c r="I3287" s="7">
        <v>1</v>
      </c>
      <c r="J3287" s="7">
        <v>24</v>
      </c>
      <c r="K3287" s="7" t="s">
        <v>18</v>
      </c>
      <c r="L3287" s="8">
        <v>39891.213356481479</v>
      </c>
      <c r="M3287" s="9" t="s">
        <v>19</v>
      </c>
      <c r="N3287" s="9" t="s">
        <v>22</v>
      </c>
      <c r="O3287" s="6" t="str">
        <f>HYPERLINK("https://pbs.twimg.com/profile_images/1433591977631748099/wuGDIimB_normal.jpg","View")</f>
        <v>View</v>
      </c>
      <c r="P3287" s="7"/>
    </row>
    <row r="3288" spans="1:16">
      <c r="A3288" s="3">
        <v>44489.339340277773</v>
      </c>
      <c r="B3288" s="4" t="str">
        <f>HYPERLINK("https://twitter.com/sergio_fajardo","@sergio_fajardo")</f>
        <v>@sergio_fajardo</v>
      </c>
      <c r="C3288" s="5" t="s">
        <v>16</v>
      </c>
      <c r="D3288" s="5" t="s">
        <v>3309</v>
      </c>
      <c r="E3288" s="6" t="str">
        <f>HYPERLINK("https://twitter.com/sergio_fajardo/status/1450652653403480066","1450652653403480066")</f>
        <v>1450652653403480066</v>
      </c>
      <c r="F3288" s="7" t="s">
        <v>2329</v>
      </c>
      <c r="G3288" s="7">
        <v>1597808</v>
      </c>
      <c r="H3288" s="7">
        <v>584</v>
      </c>
      <c r="I3288" s="7">
        <v>8</v>
      </c>
      <c r="J3288" s="7">
        <v>14</v>
      </c>
      <c r="K3288" s="7" t="s">
        <v>18</v>
      </c>
      <c r="L3288" s="8">
        <v>39891.213356481479</v>
      </c>
      <c r="M3288" s="9" t="s">
        <v>19</v>
      </c>
      <c r="N3288" s="9" t="s">
        <v>22</v>
      </c>
      <c r="O3288" s="6" t="str">
        <f>HYPERLINK("https://pbs.twimg.com/profile_images/1433591977631748099/wuGDIimB_normal.jpg","View")</f>
        <v>View</v>
      </c>
      <c r="P3288" s="7"/>
    </row>
    <row r="3289" spans="1:16">
      <c r="A3289" s="3">
        <v>44489.693379629629</v>
      </c>
      <c r="B3289" s="4" t="str">
        <f>HYPERLINK("https://twitter.com/sergio_fajardo","@sergio_fajardo")</f>
        <v>@sergio_fajardo</v>
      </c>
      <c r="C3289" s="5" t="s">
        <v>16</v>
      </c>
      <c r="D3289" s="5" t="s">
        <v>3310</v>
      </c>
      <c r="E3289" s="6" t="str">
        <f>HYPERLINK("https://twitter.com/sergio_fajardo/status/1450780953387864071","1450780953387864071")</f>
        <v>1450780953387864071</v>
      </c>
      <c r="F3289" s="7" t="s">
        <v>20</v>
      </c>
      <c r="G3289" s="7">
        <v>1597833</v>
      </c>
      <c r="H3289" s="7">
        <v>586</v>
      </c>
      <c r="I3289" s="7">
        <v>1</v>
      </c>
      <c r="J3289" s="7">
        <v>8</v>
      </c>
      <c r="K3289" s="7" t="s">
        <v>18</v>
      </c>
      <c r="L3289" s="8">
        <v>39891.213356481479</v>
      </c>
      <c r="M3289" s="9" t="s">
        <v>19</v>
      </c>
      <c r="N3289" s="9" t="s">
        <v>22</v>
      </c>
      <c r="O3289" s="6" t="str">
        <f>HYPERLINK("https://pbs.twimg.com/profile_images/1433591977631748099/wuGDIimB_normal.jpg","View")</f>
        <v>View</v>
      </c>
      <c r="P3289" s="7"/>
    </row>
    <row r="3290" spans="1:16">
      <c r="A3290" s="3">
        <v>44489.710104166668</v>
      </c>
      <c r="B3290" s="4" t="str">
        <f>HYPERLINK("https://twitter.com/sergio_fajardo","@sergio_fajardo")</f>
        <v>@sergio_fajardo</v>
      </c>
      <c r="C3290" s="5" t="s">
        <v>16</v>
      </c>
      <c r="D3290" s="5" t="s">
        <v>3311</v>
      </c>
      <c r="E3290" s="6" t="str">
        <f>HYPERLINK("https://twitter.com/sergio_fajardo/status/1450787015226757121","1450787015226757121")</f>
        <v>1450787015226757121</v>
      </c>
      <c r="F3290" s="7" t="s">
        <v>20</v>
      </c>
      <c r="G3290" s="7">
        <v>1597840</v>
      </c>
      <c r="H3290" s="7">
        <v>587</v>
      </c>
      <c r="I3290" s="7">
        <v>1</v>
      </c>
      <c r="J3290" s="7">
        <v>11</v>
      </c>
      <c r="K3290" s="7" t="s">
        <v>18</v>
      </c>
      <c r="L3290" s="8">
        <v>39891.213356481479</v>
      </c>
      <c r="M3290" s="9" t="s">
        <v>19</v>
      </c>
      <c r="N3290" s="9" t="s">
        <v>22</v>
      </c>
      <c r="O3290" s="6" t="str">
        <f>HYPERLINK("https://pbs.twimg.com/profile_images/1433591977631748099/wuGDIimB_normal.jpg","View")</f>
        <v>View</v>
      </c>
      <c r="P3290" s="7"/>
    </row>
    <row r="3291" spans="1:16">
      <c r="A3291" s="3">
        <v>44489.750081018516</v>
      </c>
      <c r="B3291" s="4" t="str">
        <f>HYPERLINK("https://twitter.com/sergio_fajardo","@sergio_fajardo")</f>
        <v>@sergio_fajardo</v>
      </c>
      <c r="C3291" s="5" t="s">
        <v>16</v>
      </c>
      <c r="D3291" s="5" t="s">
        <v>3312</v>
      </c>
      <c r="E3291" s="6" t="str">
        <f>HYPERLINK("https://twitter.com/sergio_fajardo/status/1450801503682371586","1450801503682371586")</f>
        <v>1450801503682371586</v>
      </c>
      <c r="F3291" s="7" t="s">
        <v>2329</v>
      </c>
      <c r="G3291" s="7">
        <v>1597851</v>
      </c>
      <c r="H3291" s="7">
        <v>587</v>
      </c>
      <c r="I3291" s="7">
        <v>1</v>
      </c>
      <c r="J3291" s="7">
        <v>14</v>
      </c>
      <c r="K3291" s="7" t="s">
        <v>18</v>
      </c>
      <c r="L3291" s="8">
        <v>39891.213356481479</v>
      </c>
      <c r="M3291" s="9" t="s">
        <v>19</v>
      </c>
      <c r="N3291" s="9" t="s">
        <v>22</v>
      </c>
      <c r="O3291" s="6" t="str">
        <f>HYPERLINK("https://pbs.twimg.com/profile_images/1433591977631748099/wuGDIimB_normal.jpg","View")</f>
        <v>View</v>
      </c>
      <c r="P3291" s="7"/>
    </row>
    <row r="3292" spans="1:16">
      <c r="A3292" s="3">
        <v>44489.780578703707</v>
      </c>
      <c r="B3292" s="4" t="str">
        <f>HYPERLINK("https://twitter.com/sergio_fajardo","@sergio_fajardo")</f>
        <v>@sergio_fajardo</v>
      </c>
      <c r="C3292" s="5" t="s">
        <v>16</v>
      </c>
      <c r="D3292" s="5" t="s">
        <v>3313</v>
      </c>
      <c r="E3292" s="6" t="str">
        <f>HYPERLINK("https://twitter.com/sergio_fajardo/status/1450812555593715714","1450812555593715714")</f>
        <v>1450812555593715714</v>
      </c>
      <c r="F3292" s="7" t="s">
        <v>2329</v>
      </c>
      <c r="G3292" s="7">
        <v>1597847</v>
      </c>
      <c r="H3292" s="7">
        <v>587</v>
      </c>
      <c r="I3292" s="7">
        <v>2</v>
      </c>
      <c r="J3292" s="7">
        <v>5</v>
      </c>
      <c r="K3292" s="7" t="s">
        <v>18</v>
      </c>
      <c r="L3292" s="8">
        <v>39891.213356481479</v>
      </c>
      <c r="M3292" s="9" t="s">
        <v>19</v>
      </c>
      <c r="N3292" s="9" t="s">
        <v>22</v>
      </c>
      <c r="O3292" s="6" t="str">
        <f>HYPERLINK("https://pbs.twimg.com/profile_images/1433591977631748099/wuGDIimB_normal.jpg","View")</f>
        <v>View</v>
      </c>
      <c r="P3292" s="7"/>
    </row>
    <row r="3293" spans="1:16">
      <c r="A3293" s="3">
        <v>44489.81287037037</v>
      </c>
      <c r="B3293" s="4" t="str">
        <f>HYPERLINK("https://twitter.com/sergio_fajardo","@sergio_fajardo")</f>
        <v>@sergio_fajardo</v>
      </c>
      <c r="C3293" s="5" t="s">
        <v>16</v>
      </c>
      <c r="D3293" s="5" t="s">
        <v>3314</v>
      </c>
      <c r="E3293" s="6" t="str">
        <f>HYPERLINK("https://twitter.com/sergio_fajardo/status/1450824255747330058","1450824255747330058")</f>
        <v>1450824255747330058</v>
      </c>
      <c r="F3293" s="7" t="s">
        <v>2329</v>
      </c>
      <c r="G3293" s="7">
        <v>1597856</v>
      </c>
      <c r="H3293" s="7">
        <v>587</v>
      </c>
      <c r="I3293" s="7">
        <v>11</v>
      </c>
      <c r="J3293" s="7">
        <v>30</v>
      </c>
      <c r="K3293" s="7" t="s">
        <v>18</v>
      </c>
      <c r="L3293" s="8">
        <v>39891.213356481479</v>
      </c>
      <c r="M3293" s="9" t="s">
        <v>19</v>
      </c>
      <c r="N3293" s="9" t="s">
        <v>22</v>
      </c>
      <c r="O3293" s="6" t="str">
        <f>HYPERLINK("https://pbs.twimg.com/profile_images/1433591977631748099/wuGDIimB_normal.jpg","View")</f>
        <v>View</v>
      </c>
      <c r="P3293" s="7"/>
    </row>
    <row r="3294" spans="1:16">
      <c r="A3294" s="3">
        <v>44489.82534722222</v>
      </c>
      <c r="B3294" s="4" t="str">
        <f>HYPERLINK("https://twitter.com/sergio_fajardo","@sergio_fajardo")</f>
        <v>@sergio_fajardo</v>
      </c>
      <c r="C3294" s="5" t="s">
        <v>16</v>
      </c>
      <c r="D3294" s="5" t="s">
        <v>3315</v>
      </c>
      <c r="E3294" s="6" t="str">
        <f>HYPERLINK("https://twitter.com/sergio_fajardo/status/1450828776850472973","1450828776850472973")</f>
        <v>1450828776850472973</v>
      </c>
      <c r="F3294" s="7" t="s">
        <v>23</v>
      </c>
      <c r="G3294" s="7">
        <v>1597849</v>
      </c>
      <c r="H3294" s="7">
        <v>587</v>
      </c>
      <c r="I3294" s="7">
        <v>6</v>
      </c>
      <c r="J3294" s="7">
        <v>50</v>
      </c>
      <c r="K3294" s="7" t="s">
        <v>18</v>
      </c>
      <c r="L3294" s="8">
        <v>39891.213356481479</v>
      </c>
      <c r="M3294" s="9" t="s">
        <v>19</v>
      </c>
      <c r="N3294" s="9" t="s">
        <v>22</v>
      </c>
      <c r="O3294" s="6" t="str">
        <f>HYPERLINK("https://pbs.twimg.com/profile_images/1433591977631748099/wuGDIimB_normal.jpg","View")</f>
        <v>View</v>
      </c>
      <c r="P3294" s="7"/>
    </row>
    <row r="3295" spans="1:16">
      <c r="A3295" s="3">
        <v>44489.842187499999</v>
      </c>
      <c r="B3295" s="4" t="str">
        <f>HYPERLINK("https://twitter.com/sergio_fajardo","@sergio_fajardo")</f>
        <v>@sergio_fajardo</v>
      </c>
      <c r="C3295" s="5" t="s">
        <v>16</v>
      </c>
      <c r="D3295" s="5" t="s">
        <v>3316</v>
      </c>
      <c r="E3295" s="6" t="str">
        <f>HYPERLINK("https://twitter.com/sergio_fajardo/status/1450834879621607426","1450834879621607426")</f>
        <v>1450834879621607426</v>
      </c>
      <c r="F3295" s="7" t="s">
        <v>23</v>
      </c>
      <c r="G3295" s="7">
        <v>1597849</v>
      </c>
      <c r="H3295" s="7">
        <v>587</v>
      </c>
      <c r="I3295" s="7">
        <v>0</v>
      </c>
      <c r="J3295" s="7">
        <v>5</v>
      </c>
      <c r="K3295" s="7" t="s">
        <v>18</v>
      </c>
      <c r="L3295" s="8">
        <v>39891.213356481479</v>
      </c>
      <c r="M3295" s="9" t="s">
        <v>19</v>
      </c>
      <c r="N3295" s="9" t="s">
        <v>22</v>
      </c>
      <c r="O3295" s="6" t="str">
        <f>HYPERLINK("https://pbs.twimg.com/profile_images/1433591977631748099/wuGDIimB_normal.jpg","View")</f>
        <v>View</v>
      </c>
      <c r="P3295" s="7"/>
    </row>
    <row r="3296" spans="1:16">
      <c r="A3296" s="3">
        <v>44489.846342592587</v>
      </c>
      <c r="B3296" s="4" t="str">
        <f>HYPERLINK("https://twitter.com/sergio_fajardo","@sergio_fajardo")</f>
        <v>@sergio_fajardo</v>
      </c>
      <c r="C3296" s="5" t="s">
        <v>16</v>
      </c>
      <c r="D3296" s="5" t="s">
        <v>3317</v>
      </c>
      <c r="E3296" s="6" t="str">
        <f>HYPERLINK("https://twitter.com/sergio_fajardo/status/1450836388740489220","1450836388740489220")</f>
        <v>1450836388740489220</v>
      </c>
      <c r="F3296" s="7" t="s">
        <v>23</v>
      </c>
      <c r="G3296" s="7">
        <v>1597849</v>
      </c>
      <c r="H3296" s="7">
        <v>587</v>
      </c>
      <c r="I3296" s="7">
        <v>9</v>
      </c>
      <c r="J3296" s="7">
        <v>63</v>
      </c>
      <c r="K3296" s="7" t="s">
        <v>18</v>
      </c>
      <c r="L3296" s="8">
        <v>39891.213356481479</v>
      </c>
      <c r="M3296" s="9" t="s">
        <v>19</v>
      </c>
      <c r="N3296" s="9" t="s">
        <v>22</v>
      </c>
      <c r="O3296" s="6" t="str">
        <f>HYPERLINK("https://pbs.twimg.com/profile_images/1433591977631748099/wuGDIimB_normal.jpg","View")</f>
        <v>View</v>
      </c>
      <c r="P3296" s="7"/>
    </row>
    <row r="3297" spans="1:16">
      <c r="A3297" s="3">
        <v>44489.929710648154</v>
      </c>
      <c r="B3297" s="4" t="str">
        <f>HYPERLINK("https://twitter.com/sergio_fajardo","@sergio_fajardo")</f>
        <v>@sergio_fajardo</v>
      </c>
      <c r="C3297" s="5" t="s">
        <v>16</v>
      </c>
      <c r="D3297" s="5" t="s">
        <v>3318</v>
      </c>
      <c r="E3297" s="6" t="str">
        <f>HYPERLINK("https://twitter.com/sergio_fajardo/status/1450866596847697921","1450866596847697921")</f>
        <v>1450866596847697921</v>
      </c>
      <c r="F3297" s="7" t="s">
        <v>17</v>
      </c>
      <c r="G3297" s="7">
        <v>1597851</v>
      </c>
      <c r="H3297" s="7">
        <v>587</v>
      </c>
      <c r="I3297" s="7">
        <v>2</v>
      </c>
      <c r="J3297" s="7">
        <v>0</v>
      </c>
      <c r="K3297" s="7" t="s">
        <v>18</v>
      </c>
      <c r="L3297" s="8">
        <v>39891.213356481479</v>
      </c>
      <c r="M3297" s="9" t="s">
        <v>19</v>
      </c>
      <c r="N3297" s="9" t="s">
        <v>22</v>
      </c>
      <c r="O3297" s="6" t="str">
        <f>HYPERLINK("https://pbs.twimg.com/profile_images/1433591977631748099/wuGDIimB_normal.jpg","View")</f>
        <v>View</v>
      </c>
      <c r="P3297" s="7"/>
    </row>
    <row r="3298" spans="1:16">
      <c r="A3298" s="3">
        <v>44490.066423611112</v>
      </c>
      <c r="B3298" s="4" t="str">
        <f>HYPERLINK("https://twitter.com/sergio_fajardo","@sergio_fajardo")</f>
        <v>@sergio_fajardo</v>
      </c>
      <c r="C3298" s="5" t="s">
        <v>16</v>
      </c>
      <c r="D3298" s="5" t="s">
        <v>3319</v>
      </c>
      <c r="E3298" s="6" t="str">
        <f>HYPERLINK("https://twitter.com/sergio_fajardo/status/1450916142437048326","1450916142437048326")</f>
        <v>1450916142437048326</v>
      </c>
      <c r="F3298" s="7" t="s">
        <v>2329</v>
      </c>
      <c r="G3298" s="7">
        <v>1597843</v>
      </c>
      <c r="H3298" s="7">
        <v>587</v>
      </c>
      <c r="I3298" s="7">
        <v>6</v>
      </c>
      <c r="J3298" s="7">
        <v>21</v>
      </c>
      <c r="K3298" s="7" t="s">
        <v>18</v>
      </c>
      <c r="L3298" s="8">
        <v>39891.213356481479</v>
      </c>
      <c r="M3298" s="9" t="s">
        <v>19</v>
      </c>
      <c r="N3298" s="9" t="s">
        <v>22</v>
      </c>
      <c r="O3298" s="6" t="str">
        <f>HYPERLINK("https://pbs.twimg.com/profile_images/1433591977631748099/wuGDIimB_normal.jpg","View")</f>
        <v>View</v>
      </c>
      <c r="P3298" s="7"/>
    </row>
    <row r="3299" spans="1:16">
      <c r="A3299" s="3">
        <v>44490.164270833338</v>
      </c>
      <c r="B3299" s="4" t="str">
        <f>HYPERLINK("https://twitter.com/sergio_fajardo","@sergio_fajardo")</f>
        <v>@sergio_fajardo</v>
      </c>
      <c r="C3299" s="5" t="s">
        <v>16</v>
      </c>
      <c r="D3299" s="5" t="s">
        <v>3320</v>
      </c>
      <c r="E3299" s="6" t="str">
        <f>HYPERLINK("https://twitter.com/sergio_fajardo/status/1450951600776822794","1450951600776822794")</f>
        <v>1450951600776822794</v>
      </c>
      <c r="F3299" s="7" t="s">
        <v>20</v>
      </c>
      <c r="G3299" s="7">
        <v>1597859</v>
      </c>
      <c r="H3299" s="7">
        <v>587</v>
      </c>
      <c r="I3299" s="7">
        <v>12</v>
      </c>
      <c r="J3299" s="7">
        <v>42</v>
      </c>
      <c r="K3299" s="7" t="s">
        <v>18</v>
      </c>
      <c r="L3299" s="8">
        <v>39891.213356481479</v>
      </c>
      <c r="M3299" s="9" t="s">
        <v>19</v>
      </c>
      <c r="N3299" s="9" t="s">
        <v>22</v>
      </c>
      <c r="O3299" s="6" t="str">
        <f>HYPERLINK("https://pbs.twimg.com/profile_images/1433591977631748099/wuGDIimB_normal.jpg","View")</f>
        <v>View</v>
      </c>
      <c r="P3299" s="7"/>
    </row>
    <row r="3300" spans="1:16">
      <c r="A3300" s="3">
        <v>44490.740763888884</v>
      </c>
      <c r="B3300" s="4" t="str">
        <f>HYPERLINK("https://twitter.com/sergio_fajardo","@sergio_fajardo")</f>
        <v>@sergio_fajardo</v>
      </c>
      <c r="C3300" s="5" t="s">
        <v>16</v>
      </c>
      <c r="D3300" s="5" t="s">
        <v>3321</v>
      </c>
      <c r="E3300" s="6" t="str">
        <f>HYPERLINK("https://twitter.com/sergio_fajardo/status/1451160513434509314","1451160513434509314")</f>
        <v>1451160513434509314</v>
      </c>
      <c r="F3300" s="7" t="s">
        <v>17</v>
      </c>
      <c r="G3300" s="7">
        <v>1597918</v>
      </c>
      <c r="H3300" s="7">
        <v>587</v>
      </c>
      <c r="I3300" s="7">
        <v>1</v>
      </c>
      <c r="J3300" s="7">
        <v>2</v>
      </c>
      <c r="K3300" s="7" t="s">
        <v>18</v>
      </c>
      <c r="L3300" s="8">
        <v>39891.213356481479</v>
      </c>
      <c r="M3300" s="9" t="s">
        <v>19</v>
      </c>
      <c r="N3300" s="9" t="s">
        <v>22</v>
      </c>
      <c r="O3300" s="6" t="str">
        <f>HYPERLINK("https://pbs.twimg.com/profile_images/1433591977631748099/wuGDIimB_normal.jpg","View")</f>
        <v>View</v>
      </c>
      <c r="P3300" s="7"/>
    </row>
    <row r="3301" spans="1:16">
      <c r="A3301" s="3">
        <v>44490.740763888884</v>
      </c>
      <c r="B3301" s="4" t="str">
        <f>HYPERLINK("https://twitter.com/sergio_fajardo","@sergio_fajardo")</f>
        <v>@sergio_fajardo</v>
      </c>
      <c r="C3301" s="5" t="s">
        <v>16</v>
      </c>
      <c r="D3301" s="5" t="s">
        <v>3322</v>
      </c>
      <c r="E3301" s="6" t="str">
        <f>HYPERLINK("https://twitter.com/sergio_fajardo/status/1451160514868953089","1451160514868953089")</f>
        <v>1451160514868953089</v>
      </c>
      <c r="F3301" s="7" t="s">
        <v>17</v>
      </c>
      <c r="G3301" s="7">
        <v>1597918</v>
      </c>
      <c r="H3301" s="7">
        <v>587</v>
      </c>
      <c r="I3301" s="7">
        <v>0</v>
      </c>
      <c r="J3301" s="7">
        <v>0</v>
      </c>
      <c r="K3301" s="7" t="s">
        <v>18</v>
      </c>
      <c r="L3301" s="8">
        <v>39891.213356481479</v>
      </c>
      <c r="M3301" s="9" t="s">
        <v>19</v>
      </c>
      <c r="N3301" s="9" t="s">
        <v>22</v>
      </c>
      <c r="O3301" s="6" t="str">
        <f>HYPERLINK("https://pbs.twimg.com/profile_images/1433591977631748099/wuGDIimB_normal.jpg","View")</f>
        <v>View</v>
      </c>
      <c r="P3301" s="7"/>
    </row>
    <row r="3302" spans="1:16">
      <c r="A3302" s="3">
        <v>44490.740763888884</v>
      </c>
      <c r="B3302" s="4" t="str">
        <f>HYPERLINK("https://twitter.com/sergio_fajardo","@sergio_fajardo")</f>
        <v>@sergio_fajardo</v>
      </c>
      <c r="C3302" s="5" t="s">
        <v>16</v>
      </c>
      <c r="D3302" s="5" t="s">
        <v>3323</v>
      </c>
      <c r="E3302" s="6" t="str">
        <f>HYPERLINK("https://twitter.com/sergio_fajardo/status/1451160516060139521","1451160516060139521")</f>
        <v>1451160516060139521</v>
      </c>
      <c r="F3302" s="7" t="s">
        <v>17</v>
      </c>
      <c r="G3302" s="7">
        <v>1597918</v>
      </c>
      <c r="H3302" s="7">
        <v>587</v>
      </c>
      <c r="I3302" s="7">
        <v>0</v>
      </c>
      <c r="J3302" s="7">
        <v>0</v>
      </c>
      <c r="K3302" s="7" t="s">
        <v>18</v>
      </c>
      <c r="L3302" s="8">
        <v>39891.213356481479</v>
      </c>
      <c r="M3302" s="9" t="s">
        <v>19</v>
      </c>
      <c r="N3302" s="9" t="s">
        <v>22</v>
      </c>
      <c r="O3302" s="6" t="str">
        <f>HYPERLINK("https://pbs.twimg.com/profile_images/1433591977631748099/wuGDIimB_normal.jpg","View")</f>
        <v>View</v>
      </c>
      <c r="P3302" s="7"/>
    </row>
    <row r="3303" spans="1:16">
      <c r="A3303" s="3">
        <v>44490.740775462968</v>
      </c>
      <c r="B3303" s="4" t="str">
        <f>HYPERLINK("https://twitter.com/sergio_fajardo","@sergio_fajardo")</f>
        <v>@sergio_fajardo</v>
      </c>
      <c r="C3303" s="5" t="s">
        <v>16</v>
      </c>
      <c r="D3303" s="5" t="s">
        <v>3324</v>
      </c>
      <c r="E3303" s="6" t="str">
        <f>HYPERLINK("https://twitter.com/sergio_fajardo/status/1451160517318430722","1451160517318430722")</f>
        <v>1451160517318430722</v>
      </c>
      <c r="F3303" s="7" t="s">
        <v>17</v>
      </c>
      <c r="G3303" s="7">
        <v>1597918</v>
      </c>
      <c r="H3303" s="7">
        <v>587</v>
      </c>
      <c r="I3303" s="7">
        <v>0</v>
      </c>
      <c r="J3303" s="7">
        <v>0</v>
      </c>
      <c r="K3303" s="7" t="s">
        <v>18</v>
      </c>
      <c r="L3303" s="8">
        <v>39891.213356481479</v>
      </c>
      <c r="M3303" s="9" t="s">
        <v>19</v>
      </c>
      <c r="N3303" s="9" t="s">
        <v>22</v>
      </c>
      <c r="O3303" s="6" t="str">
        <f>HYPERLINK("https://pbs.twimg.com/profile_images/1433591977631748099/wuGDIimB_normal.jpg","View")</f>
        <v>View</v>
      </c>
      <c r="P3303" s="7"/>
    </row>
    <row r="3304" spans="1:16">
      <c r="A3304" s="3">
        <v>44490.740775462968</v>
      </c>
      <c r="B3304" s="4" t="str">
        <f>HYPERLINK("https://twitter.com/sergio_fajardo","@sergio_fajardo")</f>
        <v>@sergio_fajardo</v>
      </c>
      <c r="C3304" s="5" t="s">
        <v>16</v>
      </c>
      <c r="D3304" s="5" t="s">
        <v>3325</v>
      </c>
      <c r="E3304" s="6" t="str">
        <f>HYPERLINK("https://twitter.com/sergio_fajardo/status/1451160518375378945","1451160518375378945")</f>
        <v>1451160518375378945</v>
      </c>
      <c r="F3304" s="7" t="s">
        <v>17</v>
      </c>
      <c r="G3304" s="7">
        <v>1597918</v>
      </c>
      <c r="H3304" s="7">
        <v>587</v>
      </c>
      <c r="I3304" s="7">
        <v>0</v>
      </c>
      <c r="J3304" s="7">
        <v>0</v>
      </c>
      <c r="K3304" s="7" t="s">
        <v>18</v>
      </c>
      <c r="L3304" s="8">
        <v>39891.213356481479</v>
      </c>
      <c r="M3304" s="9" t="s">
        <v>19</v>
      </c>
      <c r="N3304" s="9" t="s">
        <v>22</v>
      </c>
      <c r="O3304" s="6" t="str">
        <f>HYPERLINK("https://pbs.twimg.com/profile_images/1433591977631748099/wuGDIimB_normal.jpg","View")</f>
        <v>View</v>
      </c>
      <c r="P3304" s="7"/>
    </row>
    <row r="3305" spans="1:16">
      <c r="A3305" s="3">
        <v>44491.272581018522</v>
      </c>
      <c r="B3305" s="4" t="str">
        <f>HYPERLINK("https://twitter.com/sergio_fajardo","@sergio_fajardo")</f>
        <v>@sergio_fajardo</v>
      </c>
      <c r="C3305" s="5" t="s">
        <v>16</v>
      </c>
      <c r="D3305" s="5" t="s">
        <v>3326</v>
      </c>
      <c r="E3305" s="6" t="str">
        <f>HYPERLINK("https://twitter.com/sergio_fajardo/status/1451353239643987969","1451353239643987969")</f>
        <v>1451353239643987969</v>
      </c>
      <c r="F3305" s="7" t="s">
        <v>2329</v>
      </c>
      <c r="G3305" s="7">
        <v>1597971</v>
      </c>
      <c r="H3305" s="7">
        <v>587</v>
      </c>
      <c r="I3305" s="7">
        <v>9</v>
      </c>
      <c r="J3305" s="7">
        <v>25</v>
      </c>
      <c r="K3305" s="7" t="s">
        <v>18</v>
      </c>
      <c r="L3305" s="8">
        <v>39891.213356481479</v>
      </c>
      <c r="M3305" s="9" t="s">
        <v>19</v>
      </c>
      <c r="N3305" s="9" t="s">
        <v>22</v>
      </c>
      <c r="O3305" s="6" t="str">
        <f>HYPERLINK("https://pbs.twimg.com/profile_images/1433591977631748099/wuGDIimB_normal.jpg","View")</f>
        <v>View</v>
      </c>
      <c r="P3305" s="7"/>
    </row>
    <row r="3306" spans="1:16">
      <c r="A3306" s="3">
        <v>44491.291863425926</v>
      </c>
      <c r="B3306" s="4" t="str">
        <f>HYPERLINK("https://twitter.com/sergio_fajardo","@sergio_fajardo")</f>
        <v>@sergio_fajardo</v>
      </c>
      <c r="C3306" s="5" t="s">
        <v>16</v>
      </c>
      <c r="D3306" s="5" t="s">
        <v>3327</v>
      </c>
      <c r="E3306" s="6" t="str">
        <f>HYPERLINK("https://twitter.com/sergio_fajardo/status/1451360226486231043","1451360226486231043")</f>
        <v>1451360226486231043</v>
      </c>
      <c r="F3306" s="7" t="s">
        <v>17</v>
      </c>
      <c r="G3306" s="7">
        <v>1597974</v>
      </c>
      <c r="H3306" s="7">
        <v>587</v>
      </c>
      <c r="I3306" s="7">
        <v>5</v>
      </c>
      <c r="J3306" s="7">
        <v>17</v>
      </c>
      <c r="K3306" s="7" t="s">
        <v>18</v>
      </c>
      <c r="L3306" s="8">
        <v>39891.213356481479</v>
      </c>
      <c r="M3306" s="9" t="s">
        <v>19</v>
      </c>
      <c r="N3306" s="9" t="s">
        <v>22</v>
      </c>
      <c r="O3306" s="6" t="str">
        <f>HYPERLINK("https://pbs.twimg.com/profile_images/1433591977631748099/wuGDIimB_normal.jpg","View")</f>
        <v>View</v>
      </c>
      <c r="P3306" s="7"/>
    </row>
    <row r="3307" spans="1:16">
      <c r="A3307" s="3">
        <v>44491.305821759262</v>
      </c>
      <c r="B3307" s="4" t="str">
        <f>HYPERLINK("https://twitter.com/sergio_fajardo","@sergio_fajardo")</f>
        <v>@sergio_fajardo</v>
      </c>
      <c r="C3307" s="5" t="s">
        <v>16</v>
      </c>
      <c r="D3307" s="5" t="s">
        <v>3328</v>
      </c>
      <c r="E3307" s="6" t="str">
        <f>HYPERLINK("https://twitter.com/sergio_fajardo/status/1451365285332766723","1451365285332766723")</f>
        <v>1451365285332766723</v>
      </c>
      <c r="F3307" s="7" t="s">
        <v>17</v>
      </c>
      <c r="G3307" s="7">
        <v>1597982</v>
      </c>
      <c r="H3307" s="7">
        <v>587</v>
      </c>
      <c r="I3307" s="7">
        <v>2</v>
      </c>
      <c r="J3307" s="7">
        <v>12</v>
      </c>
      <c r="K3307" s="7" t="s">
        <v>18</v>
      </c>
      <c r="L3307" s="8">
        <v>39891.213356481479</v>
      </c>
      <c r="M3307" s="9" t="s">
        <v>19</v>
      </c>
      <c r="N3307" s="9" t="s">
        <v>22</v>
      </c>
      <c r="O3307" s="6" t="str">
        <f>HYPERLINK("https://pbs.twimg.com/profile_images/1433591977631748099/wuGDIimB_normal.jpg","View")</f>
        <v>View</v>
      </c>
      <c r="P3307" s="7"/>
    </row>
    <row r="3308" spans="1:16">
      <c r="A3308" s="3">
        <v>44491.312789351854</v>
      </c>
      <c r="B3308" s="4" t="str">
        <f>HYPERLINK("https://twitter.com/sergio_fajardo","@sergio_fajardo")</f>
        <v>@sergio_fajardo</v>
      </c>
      <c r="C3308" s="5" t="s">
        <v>16</v>
      </c>
      <c r="D3308" s="5" t="s">
        <v>3329</v>
      </c>
      <c r="E3308" s="6" t="str">
        <f>HYPERLINK("https://twitter.com/sergio_fajardo/status/1451367807409602562","1451367807409602562")</f>
        <v>1451367807409602562</v>
      </c>
      <c r="F3308" s="7" t="s">
        <v>17</v>
      </c>
      <c r="G3308" s="7">
        <v>1597982</v>
      </c>
      <c r="H3308" s="7">
        <v>587</v>
      </c>
      <c r="I3308" s="7">
        <v>0</v>
      </c>
      <c r="J3308" s="7">
        <v>7</v>
      </c>
      <c r="K3308" s="7" t="s">
        <v>18</v>
      </c>
      <c r="L3308" s="8">
        <v>39891.213356481479</v>
      </c>
      <c r="M3308" s="9" t="s">
        <v>19</v>
      </c>
      <c r="N3308" s="9" t="s">
        <v>22</v>
      </c>
      <c r="O3308" s="6" t="str">
        <f>HYPERLINK("https://pbs.twimg.com/profile_images/1433591977631748099/wuGDIimB_normal.jpg","View")</f>
        <v>View</v>
      </c>
      <c r="P3308" s="7"/>
    </row>
    <row r="3309" spans="1:16">
      <c r="A3309" s="3">
        <v>44491.316944444443</v>
      </c>
      <c r="B3309" s="4" t="str">
        <f>HYPERLINK("https://twitter.com/sergio_fajardo","@sergio_fajardo")</f>
        <v>@sergio_fajardo</v>
      </c>
      <c r="C3309" s="5" t="s">
        <v>16</v>
      </c>
      <c r="D3309" s="5" t="s">
        <v>3330</v>
      </c>
      <c r="E3309" s="6" t="str">
        <f>HYPERLINK("https://twitter.com/sergio_fajardo/status/1451369315647770632","1451369315647770632")</f>
        <v>1451369315647770632</v>
      </c>
      <c r="F3309" s="7" t="s">
        <v>2329</v>
      </c>
      <c r="G3309" s="7">
        <v>1597982</v>
      </c>
      <c r="H3309" s="7">
        <v>587</v>
      </c>
      <c r="I3309" s="7">
        <v>3</v>
      </c>
      <c r="J3309" s="7">
        <v>9</v>
      </c>
      <c r="K3309" s="7" t="s">
        <v>18</v>
      </c>
      <c r="L3309" s="8">
        <v>39891.213356481479</v>
      </c>
      <c r="M3309" s="9" t="s">
        <v>19</v>
      </c>
      <c r="N3309" s="9" t="s">
        <v>22</v>
      </c>
      <c r="O3309" s="6" t="str">
        <f>HYPERLINK("https://pbs.twimg.com/profile_images/1433591977631748099/wuGDIimB_normal.jpg","View")</f>
        <v>View</v>
      </c>
      <c r="P3309" s="7"/>
    </row>
    <row r="3310" spans="1:16">
      <c r="A3310" s="3">
        <v>44491.321932870371</v>
      </c>
      <c r="B3310" s="4" t="str">
        <f>HYPERLINK("https://twitter.com/sergio_fajardo","@sergio_fajardo")</f>
        <v>@sergio_fajardo</v>
      </c>
      <c r="C3310" s="5" t="s">
        <v>16</v>
      </c>
      <c r="D3310" s="5" t="s">
        <v>3331</v>
      </c>
      <c r="E3310" s="6" t="str">
        <f>HYPERLINK("https://twitter.com/sergio_fajardo/status/1451371122449166341","1451371122449166341")</f>
        <v>1451371122449166341</v>
      </c>
      <c r="F3310" s="7" t="s">
        <v>17</v>
      </c>
      <c r="G3310" s="7">
        <v>1597982</v>
      </c>
      <c r="H3310" s="7">
        <v>587</v>
      </c>
      <c r="I3310" s="7">
        <v>0</v>
      </c>
      <c r="J3310" s="7">
        <v>2</v>
      </c>
      <c r="K3310" s="7" t="s">
        <v>18</v>
      </c>
      <c r="L3310" s="8">
        <v>39891.213356481479</v>
      </c>
      <c r="M3310" s="9" t="s">
        <v>19</v>
      </c>
      <c r="N3310" s="9" t="s">
        <v>22</v>
      </c>
      <c r="O3310" s="6" t="str">
        <f>HYPERLINK("https://pbs.twimg.com/profile_images/1433591977631748099/wuGDIimB_normal.jpg","View")</f>
        <v>View</v>
      </c>
      <c r="P3310" s="7"/>
    </row>
    <row r="3311" spans="1:16">
      <c r="A3311" s="3">
        <v>44491.330254629633</v>
      </c>
      <c r="B3311" s="4" t="str">
        <f>HYPERLINK("https://twitter.com/sergio_fajardo","@sergio_fajardo")</f>
        <v>@sergio_fajardo</v>
      </c>
      <c r="C3311" s="5" t="s">
        <v>16</v>
      </c>
      <c r="D3311" s="5" t="s">
        <v>3332</v>
      </c>
      <c r="E3311" s="6" t="str">
        <f>HYPERLINK("https://twitter.com/sergio_fajardo/status/1451374136811524098","1451374136811524098")</f>
        <v>1451374136811524098</v>
      </c>
      <c r="F3311" s="7" t="s">
        <v>17</v>
      </c>
      <c r="G3311" s="7">
        <v>1597982</v>
      </c>
      <c r="H3311" s="7">
        <v>587</v>
      </c>
      <c r="I3311" s="7">
        <v>1</v>
      </c>
      <c r="J3311" s="7">
        <v>0</v>
      </c>
      <c r="K3311" s="7" t="s">
        <v>18</v>
      </c>
      <c r="L3311" s="8">
        <v>39891.213356481479</v>
      </c>
      <c r="M3311" s="9" t="s">
        <v>19</v>
      </c>
      <c r="N3311" s="9" t="s">
        <v>22</v>
      </c>
      <c r="O3311" s="6" t="str">
        <f>HYPERLINK("https://pbs.twimg.com/profile_images/1433591977631748099/wuGDIimB_normal.jpg","View")</f>
        <v>View</v>
      </c>
      <c r="P3311" s="7"/>
    </row>
    <row r="3312" spans="1:16">
      <c r="A3312" s="3">
        <v>44491.340833333335</v>
      </c>
      <c r="B3312" s="4" t="str">
        <f>HYPERLINK("https://twitter.com/sergio_fajardo","@sergio_fajardo")</f>
        <v>@sergio_fajardo</v>
      </c>
      <c r="C3312" s="5" t="s">
        <v>16</v>
      </c>
      <c r="D3312" s="5" t="s">
        <v>3333</v>
      </c>
      <c r="E3312" s="6" t="str">
        <f>HYPERLINK("https://twitter.com/sergio_fajardo/status/1451377973437865985","1451377973437865985")</f>
        <v>1451377973437865985</v>
      </c>
      <c r="F3312" s="7" t="s">
        <v>17</v>
      </c>
      <c r="G3312" s="7">
        <v>1597982</v>
      </c>
      <c r="H3312" s="7">
        <v>587</v>
      </c>
      <c r="I3312" s="7">
        <v>2</v>
      </c>
      <c r="J3312" s="7">
        <v>0</v>
      </c>
      <c r="K3312" s="7" t="s">
        <v>18</v>
      </c>
      <c r="L3312" s="8">
        <v>39891.213356481479</v>
      </c>
      <c r="M3312" s="9" t="s">
        <v>19</v>
      </c>
      <c r="N3312" s="9" t="s">
        <v>22</v>
      </c>
      <c r="O3312" s="6" t="str">
        <f>HYPERLINK("https://pbs.twimg.com/profile_images/1433591977631748099/wuGDIimB_normal.jpg","View")</f>
        <v>View</v>
      </c>
      <c r="P3312" s="7"/>
    </row>
    <row r="3313" spans="1:16">
      <c r="A3313" s="3">
        <v>44491.342662037037</v>
      </c>
      <c r="B3313" s="4" t="str">
        <f>HYPERLINK("https://twitter.com/sergio_fajardo","@sergio_fajardo")</f>
        <v>@sergio_fajardo</v>
      </c>
      <c r="C3313" s="5" t="s">
        <v>16</v>
      </c>
      <c r="D3313" s="5" t="s">
        <v>3334</v>
      </c>
      <c r="E3313" s="6" t="str">
        <f>HYPERLINK("https://twitter.com/sergio_fajardo/status/1451378636150423552","1451378636150423552")</f>
        <v>1451378636150423552</v>
      </c>
      <c r="F3313" s="7" t="s">
        <v>17</v>
      </c>
      <c r="G3313" s="7">
        <v>1597982</v>
      </c>
      <c r="H3313" s="7">
        <v>587</v>
      </c>
      <c r="I3313" s="7">
        <v>2</v>
      </c>
      <c r="J3313" s="7">
        <v>0</v>
      </c>
      <c r="K3313" s="7" t="s">
        <v>18</v>
      </c>
      <c r="L3313" s="8">
        <v>39891.213356481479</v>
      </c>
      <c r="M3313" s="9" t="s">
        <v>19</v>
      </c>
      <c r="N3313" s="9" t="s">
        <v>22</v>
      </c>
      <c r="O3313" s="6" t="str">
        <f>HYPERLINK("https://pbs.twimg.com/profile_images/1433591977631748099/wuGDIimB_normal.jpg","View")</f>
        <v>View</v>
      </c>
      <c r="P3313" s="7"/>
    </row>
    <row r="3314" spans="1:16">
      <c r="A3314" s="3">
        <v>44491.348240740743</v>
      </c>
      <c r="B3314" s="4" t="str">
        <f>HYPERLINK("https://twitter.com/sergio_fajardo","@sergio_fajardo")</f>
        <v>@sergio_fajardo</v>
      </c>
      <c r="C3314" s="5" t="s">
        <v>16</v>
      </c>
      <c r="D3314" s="5" t="s">
        <v>3335</v>
      </c>
      <c r="E3314" s="6" t="str">
        <f>HYPERLINK("https://twitter.com/sergio_fajardo/status/1451380657268084736","1451380657268084736")</f>
        <v>1451380657268084736</v>
      </c>
      <c r="F3314" s="7" t="s">
        <v>17</v>
      </c>
      <c r="G3314" s="7">
        <v>1597982</v>
      </c>
      <c r="H3314" s="7">
        <v>587</v>
      </c>
      <c r="I3314" s="7">
        <v>2</v>
      </c>
      <c r="J3314" s="7">
        <v>8</v>
      </c>
      <c r="K3314" s="7" t="s">
        <v>18</v>
      </c>
      <c r="L3314" s="8">
        <v>39891.213356481479</v>
      </c>
      <c r="M3314" s="9" t="s">
        <v>19</v>
      </c>
      <c r="N3314" s="9" t="s">
        <v>22</v>
      </c>
      <c r="O3314" s="6" t="str">
        <f>HYPERLINK("https://pbs.twimg.com/profile_images/1433591977631748099/wuGDIimB_normal.jpg","View")</f>
        <v>View</v>
      </c>
      <c r="P3314" s="7"/>
    </row>
    <row r="3315" spans="1:16">
      <c r="A3315" s="3">
        <v>44491.762013888889</v>
      </c>
      <c r="B3315" s="4" t="str">
        <f>HYPERLINK("https://twitter.com/sergio_fajardo","@sergio_fajardo")</f>
        <v>@sergio_fajardo</v>
      </c>
      <c r="C3315" s="5" t="s">
        <v>16</v>
      </c>
      <c r="D3315" s="5" t="s">
        <v>3336</v>
      </c>
      <c r="E3315" s="6" t="str">
        <f>HYPERLINK("https://twitter.com/sergio_fajardo/status/1451530602180657153","1451530602180657153")</f>
        <v>1451530602180657153</v>
      </c>
      <c r="F3315" s="7" t="s">
        <v>23</v>
      </c>
      <c r="G3315" s="7">
        <v>1597994</v>
      </c>
      <c r="H3315" s="7">
        <v>587</v>
      </c>
      <c r="I3315" s="7">
        <v>1</v>
      </c>
      <c r="J3315" s="7">
        <v>1</v>
      </c>
      <c r="K3315" s="7" t="s">
        <v>18</v>
      </c>
      <c r="L3315" s="8">
        <v>39891.213356481479</v>
      </c>
      <c r="M3315" s="9" t="s">
        <v>19</v>
      </c>
      <c r="N3315" s="9" t="s">
        <v>22</v>
      </c>
      <c r="O3315" s="6" t="str">
        <f>HYPERLINK("https://pbs.twimg.com/profile_images/1433591977631748099/wuGDIimB_normal.jpg","View")</f>
        <v>View</v>
      </c>
      <c r="P3315" s="7"/>
    </row>
    <row r="3316" spans="1:16">
      <c r="A3316" s="3">
        <v>44491.762314814812</v>
      </c>
      <c r="B3316" s="4" t="str">
        <f>HYPERLINK("https://twitter.com/sergio_fajardo","@sergio_fajardo")</f>
        <v>@sergio_fajardo</v>
      </c>
      <c r="C3316" s="5" t="s">
        <v>16</v>
      </c>
      <c r="D3316" s="5" t="s">
        <v>3337</v>
      </c>
      <c r="E3316" s="6" t="str">
        <f>HYPERLINK("https://twitter.com/sergio_fajardo/status/1451530712260218883","1451530712260218883")</f>
        <v>1451530712260218883</v>
      </c>
      <c r="F3316" s="7" t="s">
        <v>2329</v>
      </c>
      <c r="G3316" s="7">
        <v>1597994</v>
      </c>
      <c r="H3316" s="7">
        <v>587</v>
      </c>
      <c r="I3316" s="7">
        <v>0</v>
      </c>
      <c r="J3316" s="7">
        <v>3</v>
      </c>
      <c r="K3316" s="7" t="s">
        <v>18</v>
      </c>
      <c r="L3316" s="8">
        <v>39891.213356481479</v>
      </c>
      <c r="M3316" s="9" t="s">
        <v>19</v>
      </c>
      <c r="N3316" s="9" t="s">
        <v>22</v>
      </c>
      <c r="O3316" s="6" t="str">
        <f>HYPERLINK("https://pbs.twimg.com/profile_images/1433591977631748099/wuGDIimB_normal.jpg","View")</f>
        <v>View</v>
      </c>
      <c r="P3316" s="7"/>
    </row>
    <row r="3317" spans="1:16">
      <c r="A3317" s="3">
        <v>44491.782766203702</v>
      </c>
      <c r="B3317" s="4" t="str">
        <f>HYPERLINK("https://twitter.com/sergio_fajardo","@sergio_fajardo")</f>
        <v>@sergio_fajardo</v>
      </c>
      <c r="C3317" s="5" t="s">
        <v>16</v>
      </c>
      <c r="D3317" s="5" t="s">
        <v>3338</v>
      </c>
      <c r="E3317" s="6" t="str">
        <f>HYPERLINK("https://twitter.com/sergio_fajardo/status/1451538123234717703","1451538123234717703")</f>
        <v>1451538123234717703</v>
      </c>
      <c r="F3317" s="7" t="s">
        <v>17</v>
      </c>
      <c r="G3317" s="7">
        <v>1597992</v>
      </c>
      <c r="H3317" s="7">
        <v>587</v>
      </c>
      <c r="I3317" s="7">
        <v>0</v>
      </c>
      <c r="J3317" s="7">
        <v>0</v>
      </c>
      <c r="K3317" s="7" t="s">
        <v>18</v>
      </c>
      <c r="L3317" s="8">
        <v>39891.213356481479</v>
      </c>
      <c r="M3317" s="9" t="s">
        <v>19</v>
      </c>
      <c r="N3317" s="9" t="s">
        <v>22</v>
      </c>
      <c r="O3317" s="6" t="str">
        <f>HYPERLINK("https://pbs.twimg.com/profile_images/1433591977631748099/wuGDIimB_normal.jpg","View")</f>
        <v>View</v>
      </c>
      <c r="P3317" s="7"/>
    </row>
    <row r="3318" spans="1:16">
      <c r="A3318" s="3">
        <v>44491.785844907412</v>
      </c>
      <c r="B3318" s="4" t="str">
        <f>HYPERLINK("https://twitter.com/sergio_fajardo","@sergio_fajardo")</f>
        <v>@sergio_fajardo</v>
      </c>
      <c r="C3318" s="5" t="s">
        <v>16</v>
      </c>
      <c r="D3318" s="5" t="s">
        <v>3339</v>
      </c>
      <c r="E3318" s="6" t="str">
        <f>HYPERLINK("https://twitter.com/sergio_fajardo/status/1451539236985966599","1451539236985966599")</f>
        <v>1451539236985966599</v>
      </c>
      <c r="F3318" s="7" t="s">
        <v>17</v>
      </c>
      <c r="G3318" s="7">
        <v>1597987</v>
      </c>
      <c r="H3318" s="7">
        <v>587</v>
      </c>
      <c r="I3318" s="7">
        <v>24</v>
      </c>
      <c r="J3318" s="7">
        <v>112</v>
      </c>
      <c r="K3318" s="7" t="s">
        <v>18</v>
      </c>
      <c r="L3318" s="8">
        <v>39891.213356481479</v>
      </c>
      <c r="M3318" s="9" t="s">
        <v>19</v>
      </c>
      <c r="N3318" s="9" t="s">
        <v>22</v>
      </c>
      <c r="O3318" s="6" t="str">
        <f>HYPERLINK("https://pbs.twimg.com/profile_images/1433591977631748099/wuGDIimB_normal.jpg","View")</f>
        <v>View</v>
      </c>
      <c r="P3318" s="7"/>
    </row>
    <row r="3319" spans="1:16">
      <c r="A3319" s="3">
        <v>44491.801828703705</v>
      </c>
      <c r="B3319" s="4" t="str">
        <f>HYPERLINK("https://twitter.com/sergio_fajardo","@sergio_fajardo")</f>
        <v>@sergio_fajardo</v>
      </c>
      <c r="C3319" s="5" t="s">
        <v>16</v>
      </c>
      <c r="D3319" s="5" t="s">
        <v>3340</v>
      </c>
      <c r="E3319" s="6" t="str">
        <f>HYPERLINK("https://twitter.com/sergio_fajardo/status/1451545029466525702","1451545029466525702")</f>
        <v>1451545029466525702</v>
      </c>
      <c r="F3319" s="7" t="s">
        <v>17</v>
      </c>
      <c r="G3319" s="7">
        <v>1597987</v>
      </c>
      <c r="H3319" s="7">
        <v>587</v>
      </c>
      <c r="I3319" s="7">
        <v>0</v>
      </c>
      <c r="J3319" s="7">
        <v>4</v>
      </c>
      <c r="K3319" s="7" t="s">
        <v>18</v>
      </c>
      <c r="L3319" s="8">
        <v>39891.213356481479</v>
      </c>
      <c r="M3319" s="9" t="s">
        <v>19</v>
      </c>
      <c r="N3319" s="9" t="s">
        <v>22</v>
      </c>
      <c r="O3319" s="6" t="str">
        <f>HYPERLINK("https://pbs.twimg.com/profile_images/1433591977631748099/wuGDIimB_normal.jpg","View")</f>
        <v>View</v>
      </c>
      <c r="P3319" s="7"/>
    </row>
    <row r="3320" spans="1:16">
      <c r="A3320" s="3">
        <v>44491.85774305556</v>
      </c>
      <c r="B3320" s="4" t="str">
        <f>HYPERLINK("https://twitter.com/sergio_fajardo","@sergio_fajardo")</f>
        <v>@sergio_fajardo</v>
      </c>
      <c r="C3320" s="5" t="s">
        <v>16</v>
      </c>
      <c r="D3320" s="5" t="s">
        <v>3341</v>
      </c>
      <c r="E3320" s="6" t="str">
        <f>HYPERLINK("https://twitter.com/sergio_fajardo/status/1451565293378187266","1451565293378187266")</f>
        <v>1451565293378187266</v>
      </c>
      <c r="F3320" s="7" t="s">
        <v>23</v>
      </c>
      <c r="G3320" s="7">
        <v>1597991</v>
      </c>
      <c r="H3320" s="7">
        <v>587</v>
      </c>
      <c r="I3320" s="7">
        <v>3</v>
      </c>
      <c r="J3320" s="7">
        <v>0</v>
      </c>
      <c r="K3320" s="7" t="s">
        <v>18</v>
      </c>
      <c r="L3320" s="8">
        <v>39891.213356481479</v>
      </c>
      <c r="M3320" s="9" t="s">
        <v>19</v>
      </c>
      <c r="N3320" s="9" t="s">
        <v>22</v>
      </c>
      <c r="O3320" s="6" t="str">
        <f>HYPERLINK("https://pbs.twimg.com/profile_images/1433591977631748099/wuGDIimB_normal.jpg","View")</f>
        <v>View</v>
      </c>
      <c r="P3320" s="7"/>
    </row>
    <row r="3321" spans="1:16">
      <c r="A3321" s="3">
        <v>44491.885636574079</v>
      </c>
      <c r="B3321" s="4" t="str">
        <f>HYPERLINK("https://twitter.com/sergio_fajardo","@sergio_fajardo")</f>
        <v>@sergio_fajardo</v>
      </c>
      <c r="C3321" s="5" t="s">
        <v>16</v>
      </c>
      <c r="D3321" s="5" t="s">
        <v>3342</v>
      </c>
      <c r="E3321" s="6" t="str">
        <f>HYPERLINK("https://twitter.com/sergio_fajardo/status/1451575402405797909","1451575402405797909")</f>
        <v>1451575402405797909</v>
      </c>
      <c r="F3321" s="7" t="s">
        <v>23</v>
      </c>
      <c r="G3321" s="7">
        <v>1597985</v>
      </c>
      <c r="H3321" s="7">
        <v>587</v>
      </c>
      <c r="I3321" s="7">
        <v>2</v>
      </c>
      <c r="J3321" s="7">
        <v>6</v>
      </c>
      <c r="K3321" s="7" t="s">
        <v>18</v>
      </c>
      <c r="L3321" s="8">
        <v>39891.213356481479</v>
      </c>
      <c r="M3321" s="9" t="s">
        <v>19</v>
      </c>
      <c r="N3321" s="9" t="s">
        <v>22</v>
      </c>
      <c r="O3321" s="6" t="str">
        <f>HYPERLINK("https://pbs.twimg.com/profile_images/1433591977631748099/wuGDIimB_normal.jpg","View")</f>
        <v>View</v>
      </c>
      <c r="P3321" s="7"/>
    </row>
    <row r="3322" spans="1:16">
      <c r="A3322" s="3">
        <v>44492.025243055556</v>
      </c>
      <c r="B3322" s="4" t="str">
        <f>HYPERLINK("https://twitter.com/sergio_fajardo","@sergio_fajardo")</f>
        <v>@sergio_fajardo</v>
      </c>
      <c r="C3322" s="5" t="s">
        <v>16</v>
      </c>
      <c r="D3322" s="5" t="s">
        <v>3343</v>
      </c>
      <c r="E3322" s="6" t="str">
        <f>HYPERLINK("https://twitter.com/sergio_fajardo/status/1451625992754245637","1451625992754245637")</f>
        <v>1451625992754245637</v>
      </c>
      <c r="F3322" s="7" t="s">
        <v>17</v>
      </c>
      <c r="G3322" s="7">
        <v>1598010</v>
      </c>
      <c r="H3322" s="7">
        <v>587</v>
      </c>
      <c r="I3322" s="7">
        <v>3</v>
      </c>
      <c r="J3322" s="7">
        <v>7</v>
      </c>
      <c r="K3322" s="7" t="s">
        <v>18</v>
      </c>
      <c r="L3322" s="8">
        <v>39891.213356481479</v>
      </c>
      <c r="M3322" s="9" t="s">
        <v>19</v>
      </c>
      <c r="N3322" s="9" t="s">
        <v>22</v>
      </c>
      <c r="O3322" s="6" t="str">
        <f>HYPERLINK("https://pbs.twimg.com/profile_images/1433591977631748099/wuGDIimB_normal.jpg","View")</f>
        <v>View</v>
      </c>
      <c r="P3322" s="7"/>
    </row>
    <row r="3323" spans="1:16">
      <c r="A3323" s="3">
        <v>44492.025243055556</v>
      </c>
      <c r="B3323" s="4" t="str">
        <f>HYPERLINK("https://twitter.com/sergio_fajardo","@sergio_fajardo")</f>
        <v>@sergio_fajardo</v>
      </c>
      <c r="C3323" s="5" t="s">
        <v>16</v>
      </c>
      <c r="D3323" s="5" t="s">
        <v>3344</v>
      </c>
      <c r="E3323" s="6" t="str">
        <f>HYPERLINK("https://twitter.com/sergio_fajardo/status/1451625994192932883","1451625994192932883")</f>
        <v>1451625994192932883</v>
      </c>
      <c r="F3323" s="7" t="s">
        <v>17</v>
      </c>
      <c r="G3323" s="7">
        <v>1598010</v>
      </c>
      <c r="H3323" s="7">
        <v>587</v>
      </c>
      <c r="I3323" s="7">
        <v>0</v>
      </c>
      <c r="J3323" s="7">
        <v>1</v>
      </c>
      <c r="K3323" s="7" t="s">
        <v>18</v>
      </c>
      <c r="L3323" s="8">
        <v>39891.213356481479</v>
      </c>
      <c r="M3323" s="9" t="s">
        <v>19</v>
      </c>
      <c r="N3323" s="9" t="s">
        <v>22</v>
      </c>
      <c r="O3323" s="6" t="str">
        <f>HYPERLINK("https://pbs.twimg.com/profile_images/1433591977631748099/wuGDIimB_normal.jpg","View")</f>
        <v>View</v>
      </c>
      <c r="P3323" s="7"/>
    </row>
    <row r="3324" spans="1:16">
      <c r="A3324" s="3">
        <v>44492.025254629625</v>
      </c>
      <c r="B3324" s="4" t="str">
        <f>HYPERLINK("https://twitter.com/sergio_fajardo","@sergio_fajardo")</f>
        <v>@sergio_fajardo</v>
      </c>
      <c r="C3324" s="5" t="s">
        <v>16</v>
      </c>
      <c r="D3324" s="5" t="s">
        <v>3345</v>
      </c>
      <c r="E3324" s="6" t="str">
        <f>HYPERLINK("https://twitter.com/sergio_fajardo/status/1451625996021551105","1451625996021551105")</f>
        <v>1451625996021551105</v>
      </c>
      <c r="F3324" s="7" t="s">
        <v>17</v>
      </c>
      <c r="G3324" s="7">
        <v>1598010</v>
      </c>
      <c r="H3324" s="7">
        <v>587</v>
      </c>
      <c r="I3324" s="7">
        <v>0</v>
      </c>
      <c r="J3324" s="7">
        <v>1</v>
      </c>
      <c r="K3324" s="7" t="s">
        <v>18</v>
      </c>
      <c r="L3324" s="8">
        <v>39891.213356481479</v>
      </c>
      <c r="M3324" s="9" t="s">
        <v>19</v>
      </c>
      <c r="N3324" s="9" t="s">
        <v>22</v>
      </c>
      <c r="O3324" s="6" t="str">
        <f>HYPERLINK("https://pbs.twimg.com/profile_images/1433591977631748099/wuGDIimB_normal.jpg","View")</f>
        <v>View</v>
      </c>
      <c r="P3324" s="7"/>
    </row>
    <row r="3325" spans="1:16">
      <c r="A3325" s="3">
        <v>44492.025254629625</v>
      </c>
      <c r="B3325" s="4" t="str">
        <f>HYPERLINK("https://twitter.com/sergio_fajardo","@sergio_fajardo")</f>
        <v>@sergio_fajardo</v>
      </c>
      <c r="C3325" s="5" t="s">
        <v>16</v>
      </c>
      <c r="D3325" s="5" t="s">
        <v>3346</v>
      </c>
      <c r="E3325" s="6" t="str">
        <f>HYPERLINK("https://twitter.com/sergio_fajardo/status/1451625997707661318","1451625997707661318")</f>
        <v>1451625997707661318</v>
      </c>
      <c r="F3325" s="7" t="s">
        <v>17</v>
      </c>
      <c r="G3325" s="7">
        <v>1598010</v>
      </c>
      <c r="H3325" s="7">
        <v>587</v>
      </c>
      <c r="I3325" s="7">
        <v>0</v>
      </c>
      <c r="J3325" s="7">
        <v>1</v>
      </c>
      <c r="K3325" s="7" t="s">
        <v>18</v>
      </c>
      <c r="L3325" s="8">
        <v>39891.213356481479</v>
      </c>
      <c r="M3325" s="9" t="s">
        <v>19</v>
      </c>
      <c r="N3325" s="9" t="s">
        <v>22</v>
      </c>
      <c r="O3325" s="6" t="str">
        <f>HYPERLINK("https://pbs.twimg.com/profile_images/1433591977631748099/wuGDIimB_normal.jpg","View")</f>
        <v>View</v>
      </c>
      <c r="P3325" s="7"/>
    </row>
    <row r="3326" spans="1:16">
      <c r="A3326" s="3">
        <v>44492.025254629625</v>
      </c>
      <c r="B3326" s="4" t="str">
        <f>HYPERLINK("https://twitter.com/sergio_fajardo","@sergio_fajardo")</f>
        <v>@sergio_fajardo</v>
      </c>
      <c r="C3326" s="5" t="s">
        <v>16</v>
      </c>
      <c r="D3326" s="5" t="s">
        <v>3347</v>
      </c>
      <c r="E3326" s="6" t="str">
        <f>HYPERLINK("https://twitter.com/sergio_fajardo/status/1451625999217614858","1451625999217614858")</f>
        <v>1451625999217614858</v>
      </c>
      <c r="F3326" s="7" t="s">
        <v>17</v>
      </c>
      <c r="G3326" s="7">
        <v>1598010</v>
      </c>
      <c r="H3326" s="7">
        <v>587</v>
      </c>
      <c r="I3326" s="7">
        <v>0</v>
      </c>
      <c r="J3326" s="7">
        <v>2</v>
      </c>
      <c r="K3326" s="7" t="s">
        <v>18</v>
      </c>
      <c r="L3326" s="8">
        <v>39891.213356481479</v>
      </c>
      <c r="M3326" s="9" t="s">
        <v>19</v>
      </c>
      <c r="N3326" s="9" t="s">
        <v>22</v>
      </c>
      <c r="O3326" s="6" t="str">
        <f>HYPERLINK("https://pbs.twimg.com/profile_images/1433591977631748099/wuGDIimB_normal.jpg","View")</f>
        <v>View</v>
      </c>
      <c r="P3326" s="7"/>
    </row>
    <row r="3327" spans="1:16">
      <c r="A3327" s="3">
        <v>44492.071203703701</v>
      </c>
      <c r="B3327" s="4" t="str">
        <f>HYPERLINK("https://twitter.com/sergio_fajardo","@sergio_fajardo")</f>
        <v>@sergio_fajardo</v>
      </c>
      <c r="C3327" s="5" t="s">
        <v>16</v>
      </c>
      <c r="D3327" s="5" t="s">
        <v>3348</v>
      </c>
      <c r="E3327" s="6" t="str">
        <f>HYPERLINK("https://twitter.com/sergio_fajardo/status/1451642650466177024","1451642650466177024")</f>
        <v>1451642650466177024</v>
      </c>
      <c r="F3327" s="7" t="s">
        <v>23</v>
      </c>
      <c r="G3327" s="7">
        <v>1598013</v>
      </c>
      <c r="H3327" s="7">
        <v>587</v>
      </c>
      <c r="I3327" s="7">
        <v>3</v>
      </c>
      <c r="J3327" s="7">
        <v>6</v>
      </c>
      <c r="K3327" s="7" t="s">
        <v>18</v>
      </c>
      <c r="L3327" s="8">
        <v>39891.213356481479</v>
      </c>
      <c r="M3327" s="9" t="s">
        <v>19</v>
      </c>
      <c r="N3327" s="9" t="s">
        <v>22</v>
      </c>
      <c r="O3327" s="6" t="str">
        <f>HYPERLINK("https://pbs.twimg.com/profile_images/1433591977631748099/wuGDIimB_normal.jpg","View")</f>
        <v>View</v>
      </c>
      <c r="P3327" s="7"/>
    </row>
    <row r="3328" spans="1:16">
      <c r="A3328" s="3">
        <v>44492.071215277778</v>
      </c>
      <c r="B3328" s="4" t="str">
        <f>HYPERLINK("https://twitter.com/sergio_fajardo","@sergio_fajardo")</f>
        <v>@sergio_fajardo</v>
      </c>
      <c r="C3328" s="5" t="s">
        <v>16</v>
      </c>
      <c r="D3328" s="5" t="s">
        <v>3349</v>
      </c>
      <c r="E3328" s="6" t="str">
        <f>HYPERLINK("https://twitter.com/sergio_fajardo/status/1451642652974329858","1451642652974329858")</f>
        <v>1451642652974329858</v>
      </c>
      <c r="F3328" s="7" t="s">
        <v>23</v>
      </c>
      <c r="G3328" s="7">
        <v>1598013</v>
      </c>
      <c r="H3328" s="7">
        <v>587</v>
      </c>
      <c r="I3328" s="7">
        <v>1</v>
      </c>
      <c r="J3328" s="7">
        <v>1</v>
      </c>
      <c r="K3328" s="7" t="s">
        <v>18</v>
      </c>
      <c r="L3328" s="8">
        <v>39891.213356481479</v>
      </c>
      <c r="M3328" s="9" t="s">
        <v>19</v>
      </c>
      <c r="N3328" s="9" t="s">
        <v>22</v>
      </c>
      <c r="O3328" s="6" t="str">
        <f>HYPERLINK("https://pbs.twimg.com/profile_images/1433591977631748099/wuGDIimB_normal.jpg","View")</f>
        <v>View</v>
      </c>
      <c r="P3328" s="7"/>
    </row>
    <row r="3329" spans="1:16">
      <c r="A3329" s="3">
        <v>44492.071226851855</v>
      </c>
      <c r="B3329" s="4" t="str">
        <f>HYPERLINK("https://twitter.com/sergio_fajardo","@sergio_fajardo")</f>
        <v>@sergio_fajardo</v>
      </c>
      <c r="C3329" s="5" t="s">
        <v>16</v>
      </c>
      <c r="D3329" s="5" t="s">
        <v>3350</v>
      </c>
      <c r="E3329" s="6" t="str">
        <f>HYPERLINK("https://twitter.com/sergio_fajardo/status/1451642658431148041","1451642658431148041")</f>
        <v>1451642658431148041</v>
      </c>
      <c r="F3329" s="7" t="s">
        <v>23</v>
      </c>
      <c r="G3329" s="7">
        <v>1598013</v>
      </c>
      <c r="H3329" s="7">
        <v>587</v>
      </c>
      <c r="I3329" s="7">
        <v>1</v>
      </c>
      <c r="J3329" s="7">
        <v>1</v>
      </c>
      <c r="K3329" s="7" t="s">
        <v>18</v>
      </c>
      <c r="L3329" s="8">
        <v>39891.213356481479</v>
      </c>
      <c r="M3329" s="9" t="s">
        <v>19</v>
      </c>
      <c r="N3329" s="9" t="s">
        <v>22</v>
      </c>
      <c r="O3329" s="6" t="str">
        <f>HYPERLINK("https://pbs.twimg.com/profile_images/1433591977631748099/wuGDIimB_normal.jpg","View")</f>
        <v>View</v>
      </c>
      <c r="P3329" s="7"/>
    </row>
    <row r="3330" spans="1:16">
      <c r="A3330" s="3">
        <v>44492.071238425924</v>
      </c>
      <c r="B3330" s="4" t="str">
        <f>HYPERLINK("https://twitter.com/sergio_fajardo","@sergio_fajardo")</f>
        <v>@sergio_fajardo</v>
      </c>
      <c r="C3330" s="5" t="s">
        <v>16</v>
      </c>
      <c r="D3330" s="5" t="s">
        <v>3351</v>
      </c>
      <c r="E3330" s="6" t="str">
        <f>HYPERLINK("https://twitter.com/sergio_fajardo/status/1451642660813516805","1451642660813516805")</f>
        <v>1451642660813516805</v>
      </c>
      <c r="F3330" s="7" t="s">
        <v>23</v>
      </c>
      <c r="G3330" s="7">
        <v>1598013</v>
      </c>
      <c r="H3330" s="7">
        <v>587</v>
      </c>
      <c r="I3330" s="7">
        <v>1</v>
      </c>
      <c r="J3330" s="7">
        <v>2</v>
      </c>
      <c r="K3330" s="7" t="s">
        <v>18</v>
      </c>
      <c r="L3330" s="8">
        <v>39891.213356481479</v>
      </c>
      <c r="M3330" s="9" t="s">
        <v>19</v>
      </c>
      <c r="N3330" s="9" t="s">
        <v>22</v>
      </c>
      <c r="O3330" s="6" t="str">
        <f>HYPERLINK("https://pbs.twimg.com/profile_images/1433591977631748099/wuGDIimB_normal.jpg","View")</f>
        <v>View</v>
      </c>
      <c r="P3330" s="7"/>
    </row>
    <row r="3331" spans="1:16">
      <c r="A3331" s="3">
        <v>44492.071238425924</v>
      </c>
      <c r="B3331" s="4" t="str">
        <f>HYPERLINK("https://twitter.com/sergio_fajardo","@sergio_fajardo")</f>
        <v>@sergio_fajardo</v>
      </c>
      <c r="C3331" s="5" t="s">
        <v>16</v>
      </c>
      <c r="D3331" s="5" t="s">
        <v>3352</v>
      </c>
      <c r="E3331" s="6" t="str">
        <f>HYPERLINK("https://twitter.com/sergio_fajardo/status/1451642662872813576","1451642662872813576")</f>
        <v>1451642662872813576</v>
      </c>
      <c r="F3331" s="7" t="s">
        <v>23</v>
      </c>
      <c r="G3331" s="7">
        <v>1598013</v>
      </c>
      <c r="H3331" s="7">
        <v>587</v>
      </c>
      <c r="I3331" s="7">
        <v>1</v>
      </c>
      <c r="J3331" s="7">
        <v>2</v>
      </c>
      <c r="K3331" s="7" t="s">
        <v>18</v>
      </c>
      <c r="L3331" s="8">
        <v>39891.213356481479</v>
      </c>
      <c r="M3331" s="9" t="s">
        <v>19</v>
      </c>
      <c r="N3331" s="9" t="s">
        <v>22</v>
      </c>
      <c r="O3331" s="6" t="str">
        <f>HYPERLINK("https://pbs.twimg.com/profile_images/1433591977631748099/wuGDIimB_normal.jpg","View")</f>
        <v>View</v>
      </c>
      <c r="P3331" s="7"/>
    </row>
    <row r="3332" spans="1:16">
      <c r="A3332" s="3">
        <v>44492.12972222222</v>
      </c>
      <c r="B3332" s="4" t="str">
        <f>HYPERLINK("https://twitter.com/sergio_fajardo","@sergio_fajardo")</f>
        <v>@sergio_fajardo</v>
      </c>
      <c r="C3332" s="5" t="s">
        <v>16</v>
      </c>
      <c r="D3332" s="5" t="s">
        <v>3353</v>
      </c>
      <c r="E3332" s="6" t="str">
        <f>HYPERLINK("https://twitter.com/sergio_fajardo/status/1451663853905981446","1451663853905981446")</f>
        <v>1451663853905981446</v>
      </c>
      <c r="F3332" s="7" t="s">
        <v>23</v>
      </c>
      <c r="G3332" s="7">
        <v>1598021</v>
      </c>
      <c r="H3332" s="7">
        <v>587</v>
      </c>
      <c r="I3332" s="7">
        <v>3</v>
      </c>
      <c r="J3332" s="7">
        <v>12</v>
      </c>
      <c r="K3332" s="7" t="s">
        <v>18</v>
      </c>
      <c r="L3332" s="8">
        <v>39891.213356481479</v>
      </c>
      <c r="M3332" s="9" t="s">
        <v>19</v>
      </c>
      <c r="N3332" s="9" t="s">
        <v>22</v>
      </c>
      <c r="O3332" s="6" t="str">
        <f>HYPERLINK("https://pbs.twimg.com/profile_images/1433591977631748099/wuGDIimB_normal.jpg","View")</f>
        <v>View</v>
      </c>
      <c r="P3332" s="7"/>
    </row>
    <row r="3333" spans="1:16">
      <c r="A3333" s="3">
        <v>44492.158217592594</v>
      </c>
      <c r="B3333" s="4" t="str">
        <f>HYPERLINK("https://twitter.com/sergio_fajardo","@sergio_fajardo")</f>
        <v>@sergio_fajardo</v>
      </c>
      <c r="C3333" s="5" t="s">
        <v>16</v>
      </c>
      <c r="D3333" s="5" t="s">
        <v>3354</v>
      </c>
      <c r="E3333" s="6" t="str">
        <f>HYPERLINK("https://twitter.com/sergio_fajardo/status/1451674182148923392","1451674182148923392")</f>
        <v>1451674182148923392</v>
      </c>
      <c r="F3333" s="7" t="s">
        <v>23</v>
      </c>
      <c r="G3333" s="7">
        <v>1598025</v>
      </c>
      <c r="H3333" s="7">
        <v>587</v>
      </c>
      <c r="I3333" s="7">
        <v>11</v>
      </c>
      <c r="J3333" s="7">
        <v>0</v>
      </c>
      <c r="K3333" s="7" t="s">
        <v>18</v>
      </c>
      <c r="L3333" s="8">
        <v>39891.213356481479</v>
      </c>
      <c r="M3333" s="9" t="s">
        <v>19</v>
      </c>
      <c r="N3333" s="9" t="s">
        <v>22</v>
      </c>
      <c r="O3333" s="6" t="str">
        <f>HYPERLINK("https://pbs.twimg.com/profile_images/1433591977631748099/wuGDIimB_normal.jpg","View")</f>
        <v>View</v>
      </c>
      <c r="P3333" s="7"/>
    </row>
    <row r="3334" spans="1:16">
      <c r="A3334" s="3">
        <v>44492.220196759255</v>
      </c>
      <c r="B3334" s="4" t="str">
        <f>HYPERLINK("https://twitter.com/sergio_fajardo","@sergio_fajardo")</f>
        <v>@sergio_fajardo</v>
      </c>
      <c r="C3334" s="5" t="s">
        <v>16</v>
      </c>
      <c r="D3334" s="5" t="s">
        <v>3355</v>
      </c>
      <c r="E3334" s="6" t="str">
        <f>HYPERLINK("https://twitter.com/sergio_fajardo/status/1451696642600710144","1451696642600710144")</f>
        <v>1451696642600710144</v>
      </c>
      <c r="F3334" s="7" t="s">
        <v>17</v>
      </c>
      <c r="G3334" s="7">
        <v>1598027</v>
      </c>
      <c r="H3334" s="7">
        <v>587</v>
      </c>
      <c r="I3334" s="7">
        <v>2</v>
      </c>
      <c r="J3334" s="7">
        <v>7</v>
      </c>
      <c r="K3334" s="7" t="s">
        <v>18</v>
      </c>
      <c r="L3334" s="8">
        <v>39891.213356481479</v>
      </c>
      <c r="M3334" s="9" t="s">
        <v>19</v>
      </c>
      <c r="N3334" s="9" t="s">
        <v>22</v>
      </c>
      <c r="O3334" s="6" t="str">
        <f>HYPERLINK("https://pbs.twimg.com/profile_images/1433591977631748099/wuGDIimB_normal.jpg","View")</f>
        <v>View</v>
      </c>
      <c r="P3334" s="7"/>
    </row>
    <row r="3335" spans="1:16">
      <c r="A3335" s="3">
        <v>44492.248657407406</v>
      </c>
      <c r="B3335" s="4" t="str">
        <f>HYPERLINK("https://twitter.com/sergio_fajardo","@sergio_fajardo")</f>
        <v>@sergio_fajardo</v>
      </c>
      <c r="C3335" s="5" t="s">
        <v>16</v>
      </c>
      <c r="D3335" s="5" t="s">
        <v>3356</v>
      </c>
      <c r="E3335" s="6" t="str">
        <f>HYPERLINK("https://twitter.com/sergio_fajardo/status/1451706954888486921","1451706954888486921")</f>
        <v>1451706954888486921</v>
      </c>
      <c r="F3335" s="7" t="s">
        <v>17</v>
      </c>
      <c r="G3335" s="7">
        <v>1598028</v>
      </c>
      <c r="H3335" s="7">
        <v>587</v>
      </c>
      <c r="I3335" s="7">
        <v>4</v>
      </c>
      <c r="J3335" s="7">
        <v>0</v>
      </c>
      <c r="K3335" s="7" t="s">
        <v>18</v>
      </c>
      <c r="L3335" s="8">
        <v>39891.213356481479</v>
      </c>
      <c r="M3335" s="9" t="s">
        <v>19</v>
      </c>
      <c r="N3335" s="9" t="s">
        <v>22</v>
      </c>
      <c r="O3335" s="6" t="str">
        <f>HYPERLINK("https://pbs.twimg.com/profile_images/1433591977631748099/wuGDIimB_normal.jpg","View")</f>
        <v>View</v>
      </c>
      <c r="P3335" s="7"/>
    </row>
    <row r="3336" spans="1:16">
      <c r="A3336" s="3">
        <v>44492.249039351853</v>
      </c>
      <c r="B3336" s="4" t="str">
        <f>HYPERLINK("https://twitter.com/sergio_fajardo","@sergio_fajardo")</f>
        <v>@sergio_fajardo</v>
      </c>
      <c r="C3336" s="5" t="s">
        <v>16</v>
      </c>
      <c r="D3336" s="5" t="s">
        <v>3357</v>
      </c>
      <c r="E3336" s="6" t="str">
        <f>HYPERLINK("https://twitter.com/sergio_fajardo/status/1451707093212352512","1451707093212352512")</f>
        <v>1451707093212352512</v>
      </c>
      <c r="F3336" s="7" t="s">
        <v>17</v>
      </c>
      <c r="G3336" s="7">
        <v>1598028</v>
      </c>
      <c r="H3336" s="7">
        <v>587</v>
      </c>
      <c r="I3336" s="7">
        <v>10</v>
      </c>
      <c r="J3336" s="7">
        <v>0</v>
      </c>
      <c r="K3336" s="7" t="s">
        <v>18</v>
      </c>
      <c r="L3336" s="8">
        <v>39891.213356481479</v>
      </c>
      <c r="M3336" s="9" t="s">
        <v>19</v>
      </c>
      <c r="N3336" s="9" t="s">
        <v>22</v>
      </c>
      <c r="O3336" s="6" t="str">
        <f>HYPERLINK("https://pbs.twimg.com/profile_images/1433591977631748099/wuGDIimB_normal.jpg","View")</f>
        <v>View</v>
      </c>
      <c r="P3336" s="7"/>
    </row>
    <row r="3337" spans="1:16">
      <c r="A3337" s="3">
        <v>44492.853472222225</v>
      </c>
      <c r="B3337" s="4" t="str">
        <f>HYPERLINK("https://twitter.com/sergio_fajardo","@sergio_fajardo")</f>
        <v>@sergio_fajardo</v>
      </c>
      <c r="C3337" s="5" t="s">
        <v>16</v>
      </c>
      <c r="D3337" s="5" t="s">
        <v>3358</v>
      </c>
      <c r="E3337" s="6" t="str">
        <f>HYPERLINK("https://twitter.com/sergio_fajardo/status/1451926134967390210","1451926134967390210")</f>
        <v>1451926134967390210</v>
      </c>
      <c r="F3337" s="7" t="s">
        <v>17</v>
      </c>
      <c r="G3337" s="7">
        <v>1598056</v>
      </c>
      <c r="H3337" s="7">
        <v>587</v>
      </c>
      <c r="I3337" s="7">
        <v>1</v>
      </c>
      <c r="J3337" s="7">
        <v>0</v>
      </c>
      <c r="K3337" s="7" t="s">
        <v>18</v>
      </c>
      <c r="L3337" s="8">
        <v>39891.213356481479</v>
      </c>
      <c r="M3337" s="9" t="s">
        <v>19</v>
      </c>
      <c r="N3337" s="9" t="s">
        <v>22</v>
      </c>
      <c r="O3337" s="6" t="str">
        <f>HYPERLINK("https://pbs.twimg.com/profile_images/1433591977631748099/wuGDIimB_normal.jpg","View")</f>
        <v>View</v>
      </c>
      <c r="P3337" s="7"/>
    </row>
    <row r="3338" spans="1:16">
      <c r="A3338" s="3">
        <v>44492.853738425925</v>
      </c>
      <c r="B3338" s="4" t="str">
        <f>HYPERLINK("https://twitter.com/sergio_fajardo","@sergio_fajardo")</f>
        <v>@sergio_fajardo</v>
      </c>
      <c r="C3338" s="5" t="s">
        <v>16</v>
      </c>
      <c r="D3338" s="5" t="s">
        <v>3359</v>
      </c>
      <c r="E3338" s="6" t="str">
        <f>HYPERLINK("https://twitter.com/sergio_fajardo/status/1451926232019374084","1451926232019374084")</f>
        <v>1451926232019374084</v>
      </c>
      <c r="F3338" s="7" t="s">
        <v>17</v>
      </c>
      <c r="G3338" s="7">
        <v>1598056</v>
      </c>
      <c r="H3338" s="7">
        <v>587</v>
      </c>
      <c r="I3338" s="7">
        <v>2</v>
      </c>
      <c r="J3338" s="7">
        <v>0</v>
      </c>
      <c r="K3338" s="7" t="s">
        <v>18</v>
      </c>
      <c r="L3338" s="8">
        <v>39891.213356481479</v>
      </c>
      <c r="M3338" s="9" t="s">
        <v>19</v>
      </c>
      <c r="N3338" s="9" t="s">
        <v>22</v>
      </c>
      <c r="O3338" s="6" t="str">
        <f>HYPERLINK("https://pbs.twimg.com/profile_images/1433591977631748099/wuGDIimB_normal.jpg","View")</f>
        <v>View</v>
      </c>
      <c r="P3338" s="7"/>
    </row>
    <row r="3339" spans="1:16">
      <c r="A3339" s="3">
        <v>44492.880520833336</v>
      </c>
      <c r="B3339" s="4" t="str">
        <f>HYPERLINK("https://twitter.com/sergio_fajardo","@sergio_fajardo")</f>
        <v>@sergio_fajardo</v>
      </c>
      <c r="C3339" s="5" t="s">
        <v>16</v>
      </c>
      <c r="D3339" s="5" t="s">
        <v>3360</v>
      </c>
      <c r="E3339" s="6" t="str">
        <f>HYPERLINK("https://twitter.com/sergio_fajardo/status/1451935935130656771","1451935935130656771")</f>
        <v>1451935935130656771</v>
      </c>
      <c r="F3339" s="7" t="s">
        <v>17</v>
      </c>
      <c r="G3339" s="7">
        <v>1598060</v>
      </c>
      <c r="H3339" s="7">
        <v>587</v>
      </c>
      <c r="I3339" s="7">
        <v>8</v>
      </c>
      <c r="J3339" s="7">
        <v>29</v>
      </c>
      <c r="K3339" s="7" t="s">
        <v>18</v>
      </c>
      <c r="L3339" s="8">
        <v>39891.213356481479</v>
      </c>
      <c r="M3339" s="9" t="s">
        <v>19</v>
      </c>
      <c r="N3339" s="9" t="s">
        <v>22</v>
      </c>
      <c r="O3339" s="6" t="str">
        <f>HYPERLINK("https://pbs.twimg.com/profile_images/1433591977631748099/wuGDIimB_normal.jpg","View")</f>
        <v>View</v>
      </c>
      <c r="P3339" s="7"/>
    </row>
    <row r="3340" spans="1:16">
      <c r="A3340" s="3">
        <v>44492.88175925926</v>
      </c>
      <c r="B3340" s="4" t="str">
        <f>HYPERLINK("https://twitter.com/sergio_fajardo","@sergio_fajardo")</f>
        <v>@sergio_fajardo</v>
      </c>
      <c r="C3340" s="5" t="s">
        <v>16</v>
      </c>
      <c r="D3340" s="5" t="s">
        <v>3361</v>
      </c>
      <c r="E3340" s="6" t="str">
        <f>HYPERLINK("https://twitter.com/sergio_fajardo/status/1451936383182987265","1451936383182987265")</f>
        <v>1451936383182987265</v>
      </c>
      <c r="F3340" s="7" t="s">
        <v>17</v>
      </c>
      <c r="G3340" s="7">
        <v>1598060</v>
      </c>
      <c r="H3340" s="7">
        <v>587</v>
      </c>
      <c r="I3340" s="7">
        <v>2</v>
      </c>
      <c r="J3340" s="7">
        <v>0</v>
      </c>
      <c r="K3340" s="7" t="s">
        <v>18</v>
      </c>
      <c r="L3340" s="8">
        <v>39891.213356481479</v>
      </c>
      <c r="M3340" s="9" t="s">
        <v>19</v>
      </c>
      <c r="N3340" s="9" t="s">
        <v>22</v>
      </c>
      <c r="O3340" s="6" t="str">
        <f>HYPERLINK("https://pbs.twimg.com/profile_images/1433591977631748099/wuGDIimB_normal.jpg","View")</f>
        <v>View</v>
      </c>
      <c r="P3340" s="7"/>
    </row>
    <row r="3341" spans="1:16">
      <c r="A3341" s="3">
        <v>44492.883587962962</v>
      </c>
      <c r="B3341" s="4" t="str">
        <f>HYPERLINK("https://twitter.com/sergio_fajardo","@sergio_fajardo")</f>
        <v>@sergio_fajardo</v>
      </c>
      <c r="C3341" s="5" t="s">
        <v>16</v>
      </c>
      <c r="D3341" s="5" t="s">
        <v>3362</v>
      </c>
      <c r="E3341" s="6" t="str">
        <f>HYPERLINK("https://twitter.com/sergio_fajardo/status/1451937046335995904","1451937046335995904")</f>
        <v>1451937046335995904</v>
      </c>
      <c r="F3341" s="7" t="s">
        <v>17</v>
      </c>
      <c r="G3341" s="7">
        <v>1598060</v>
      </c>
      <c r="H3341" s="7">
        <v>587</v>
      </c>
      <c r="I3341" s="7">
        <v>4</v>
      </c>
      <c r="J3341" s="7">
        <v>9</v>
      </c>
      <c r="K3341" s="7" t="s">
        <v>18</v>
      </c>
      <c r="L3341" s="8">
        <v>39891.213356481479</v>
      </c>
      <c r="M3341" s="9" t="s">
        <v>19</v>
      </c>
      <c r="N3341" s="9" t="s">
        <v>22</v>
      </c>
      <c r="O3341" s="6" t="str">
        <f>HYPERLINK("https://pbs.twimg.com/profile_images/1433591977631748099/wuGDIimB_normal.jpg","View")</f>
        <v>View</v>
      </c>
      <c r="P3341" s="7"/>
    </row>
    <row r="3342" spans="1:16">
      <c r="A3342" s="3">
        <v>44492.892708333333</v>
      </c>
      <c r="B3342" s="4" t="str">
        <f>HYPERLINK("https://twitter.com/sergio_fajardo","@sergio_fajardo")</f>
        <v>@sergio_fajardo</v>
      </c>
      <c r="C3342" s="5" t="s">
        <v>16</v>
      </c>
      <c r="D3342" s="5" t="s">
        <v>3363</v>
      </c>
      <c r="E3342" s="6" t="str">
        <f>HYPERLINK("https://twitter.com/sergio_fajardo/status/1451940354421313541","1451940354421313541")</f>
        <v>1451940354421313541</v>
      </c>
      <c r="F3342" s="7" t="s">
        <v>17</v>
      </c>
      <c r="G3342" s="7">
        <v>1598057</v>
      </c>
      <c r="H3342" s="7">
        <v>587</v>
      </c>
      <c r="I3342" s="7">
        <v>5</v>
      </c>
      <c r="J3342" s="7">
        <v>0</v>
      </c>
      <c r="K3342" s="7" t="s">
        <v>18</v>
      </c>
      <c r="L3342" s="8">
        <v>39891.213356481479</v>
      </c>
      <c r="M3342" s="9" t="s">
        <v>19</v>
      </c>
      <c r="N3342" s="9" t="s">
        <v>22</v>
      </c>
      <c r="O3342" s="6" t="str">
        <f>HYPERLINK("https://pbs.twimg.com/profile_images/1433591977631748099/wuGDIimB_normal.jpg","View")</f>
        <v>View</v>
      </c>
      <c r="P3342" s="7"/>
    </row>
    <row r="3343" spans="1:16">
      <c r="A3343" s="3">
        <v>44492.913101851853</v>
      </c>
      <c r="B3343" s="4" t="str">
        <f>HYPERLINK("https://twitter.com/sergio_fajardo","@sergio_fajardo")</f>
        <v>@sergio_fajardo</v>
      </c>
      <c r="C3343" s="5" t="s">
        <v>16</v>
      </c>
      <c r="D3343" s="5" t="s">
        <v>3364</v>
      </c>
      <c r="E3343" s="6" t="str">
        <f>HYPERLINK("https://twitter.com/sergio_fajardo/status/1451947742373335043","1451947742373335043")</f>
        <v>1451947742373335043</v>
      </c>
      <c r="F3343" s="7" t="s">
        <v>17</v>
      </c>
      <c r="G3343" s="7">
        <v>1598059</v>
      </c>
      <c r="H3343" s="7">
        <v>587</v>
      </c>
      <c r="I3343" s="7">
        <v>10</v>
      </c>
      <c r="J3343" s="7">
        <v>36</v>
      </c>
      <c r="K3343" s="7" t="s">
        <v>18</v>
      </c>
      <c r="L3343" s="8">
        <v>39891.213356481479</v>
      </c>
      <c r="M3343" s="9" t="s">
        <v>19</v>
      </c>
      <c r="N3343" s="9" t="s">
        <v>22</v>
      </c>
      <c r="O3343" s="6" t="str">
        <f>HYPERLINK("https://pbs.twimg.com/profile_images/1433591977631748099/wuGDIimB_normal.jpg","View")</f>
        <v>View</v>
      </c>
      <c r="P3343" s="7"/>
    </row>
    <row r="3344" spans="1:16">
      <c r="A3344" s="3">
        <v>44492.940671296295</v>
      </c>
      <c r="B3344" s="4" t="str">
        <f>HYPERLINK("https://twitter.com/sergio_fajardo","@sergio_fajardo")</f>
        <v>@sergio_fajardo</v>
      </c>
      <c r="C3344" s="5" t="s">
        <v>16</v>
      </c>
      <c r="D3344" s="5" t="s">
        <v>3365</v>
      </c>
      <c r="E3344" s="6" t="str">
        <f>HYPERLINK("https://twitter.com/sergio_fajardo/status/1451957732626640904","1451957732626640904")</f>
        <v>1451957732626640904</v>
      </c>
      <c r="F3344" s="7" t="s">
        <v>17</v>
      </c>
      <c r="G3344" s="7">
        <v>1598062</v>
      </c>
      <c r="H3344" s="7">
        <v>587</v>
      </c>
      <c r="I3344" s="7">
        <v>6</v>
      </c>
      <c r="J3344" s="7">
        <v>0</v>
      </c>
      <c r="K3344" s="7" t="s">
        <v>18</v>
      </c>
      <c r="L3344" s="8">
        <v>39891.213356481479</v>
      </c>
      <c r="M3344" s="9" t="s">
        <v>19</v>
      </c>
      <c r="N3344" s="9" t="s">
        <v>22</v>
      </c>
      <c r="O3344" s="6" t="str">
        <f>HYPERLINK("https://pbs.twimg.com/profile_images/1433591977631748099/wuGDIimB_normal.jpg","View")</f>
        <v>View</v>
      </c>
      <c r="P3344" s="7"/>
    </row>
    <row r="3345" spans="1:16">
      <c r="A3345" s="3">
        <v>44492.941041666665</v>
      </c>
      <c r="B3345" s="4" t="str">
        <f>HYPERLINK("https://twitter.com/sergio_fajardo","@sergio_fajardo")</f>
        <v>@sergio_fajardo</v>
      </c>
      <c r="C3345" s="5" t="s">
        <v>16</v>
      </c>
      <c r="D3345" s="5" t="s">
        <v>3366</v>
      </c>
      <c r="E3345" s="6" t="str">
        <f>HYPERLINK("https://twitter.com/sergio_fajardo/status/1451957869948121096","1451957869948121096")</f>
        <v>1451957869948121096</v>
      </c>
      <c r="F3345" s="7" t="s">
        <v>17</v>
      </c>
      <c r="G3345" s="7">
        <v>1598062</v>
      </c>
      <c r="H3345" s="7">
        <v>587</v>
      </c>
      <c r="I3345" s="7">
        <v>5</v>
      </c>
      <c r="J3345" s="7">
        <v>0</v>
      </c>
      <c r="K3345" s="7" t="s">
        <v>18</v>
      </c>
      <c r="L3345" s="8">
        <v>39891.213356481479</v>
      </c>
      <c r="M3345" s="9" t="s">
        <v>19</v>
      </c>
      <c r="N3345" s="9" t="s">
        <v>22</v>
      </c>
      <c r="O3345" s="6" t="str">
        <f>HYPERLINK("https://pbs.twimg.com/profile_images/1433591977631748099/wuGDIimB_normal.jpg","View")</f>
        <v>View</v>
      </c>
      <c r="P3345" s="7"/>
    </row>
    <row r="3346" spans="1:16">
      <c r="A3346" s="3">
        <v>44492.981909722221</v>
      </c>
      <c r="B3346" s="4" t="str">
        <f>HYPERLINK("https://twitter.com/sergio_fajardo","@sergio_fajardo")</f>
        <v>@sergio_fajardo</v>
      </c>
      <c r="C3346" s="5" t="s">
        <v>16</v>
      </c>
      <c r="D3346" s="5" t="s">
        <v>3367</v>
      </c>
      <c r="E3346" s="6" t="str">
        <f>HYPERLINK("https://twitter.com/sergio_fajardo/status/1451972677342842889","1451972677342842889")</f>
        <v>1451972677342842889</v>
      </c>
      <c r="F3346" s="7" t="s">
        <v>17</v>
      </c>
      <c r="G3346" s="7">
        <v>1598061</v>
      </c>
      <c r="H3346" s="7">
        <v>587</v>
      </c>
      <c r="I3346" s="7">
        <v>5</v>
      </c>
      <c r="J3346" s="7">
        <v>12</v>
      </c>
      <c r="K3346" s="7" t="s">
        <v>18</v>
      </c>
      <c r="L3346" s="8">
        <v>39891.213356481479</v>
      </c>
      <c r="M3346" s="9" t="s">
        <v>19</v>
      </c>
      <c r="N3346" s="9" t="s">
        <v>22</v>
      </c>
      <c r="O3346" s="6" t="str">
        <f>HYPERLINK("https://pbs.twimg.com/profile_images/1433591977631748099/wuGDIimB_normal.jpg","View")</f>
        <v>View</v>
      </c>
      <c r="P3346" s="7"/>
    </row>
    <row r="3347" spans="1:16">
      <c r="A3347" s="3">
        <v>44492.982465277775</v>
      </c>
      <c r="B3347" s="4" t="str">
        <f>HYPERLINK("https://twitter.com/sergio_fajardo","@sergio_fajardo")</f>
        <v>@sergio_fajardo</v>
      </c>
      <c r="C3347" s="5" t="s">
        <v>16</v>
      </c>
      <c r="D3347" s="5" t="s">
        <v>3368</v>
      </c>
      <c r="E3347" s="6" t="str">
        <f>HYPERLINK("https://twitter.com/sergio_fajardo/status/1451972877897588738","1451972877897588738")</f>
        <v>1451972877897588738</v>
      </c>
      <c r="F3347" s="7" t="s">
        <v>17</v>
      </c>
      <c r="G3347" s="7">
        <v>1598061</v>
      </c>
      <c r="H3347" s="7">
        <v>587</v>
      </c>
      <c r="I3347" s="7">
        <v>5</v>
      </c>
      <c r="J3347" s="7">
        <v>0</v>
      </c>
      <c r="K3347" s="7" t="s">
        <v>18</v>
      </c>
      <c r="L3347" s="8">
        <v>39891.213356481479</v>
      </c>
      <c r="M3347" s="9" t="s">
        <v>19</v>
      </c>
      <c r="N3347" s="9" t="s">
        <v>22</v>
      </c>
      <c r="O3347" s="6" t="str">
        <f>HYPERLINK("https://pbs.twimg.com/profile_images/1433591977631748099/wuGDIimB_normal.jpg","View")</f>
        <v>View</v>
      </c>
      <c r="P3347" s="7"/>
    </row>
    <row r="3348" spans="1:16">
      <c r="A3348" s="3">
        <v>44492.982523148152</v>
      </c>
      <c r="B3348" s="4" t="str">
        <f>HYPERLINK("https://twitter.com/sergio_fajardo","@sergio_fajardo")</f>
        <v>@sergio_fajardo</v>
      </c>
      <c r="C3348" s="5" t="s">
        <v>16</v>
      </c>
      <c r="D3348" s="5" t="s">
        <v>3369</v>
      </c>
      <c r="E3348" s="6" t="str">
        <f>HYPERLINK("https://twitter.com/sergio_fajardo/status/1451972901608038400","1451972901608038400")</f>
        <v>1451972901608038400</v>
      </c>
      <c r="F3348" s="7" t="s">
        <v>17</v>
      </c>
      <c r="G3348" s="7">
        <v>1598061</v>
      </c>
      <c r="H3348" s="7">
        <v>587</v>
      </c>
      <c r="I3348" s="7">
        <v>5</v>
      </c>
      <c r="J3348" s="7">
        <v>0</v>
      </c>
      <c r="K3348" s="7" t="s">
        <v>18</v>
      </c>
      <c r="L3348" s="8">
        <v>39891.213356481479</v>
      </c>
      <c r="M3348" s="9" t="s">
        <v>19</v>
      </c>
      <c r="N3348" s="9" t="s">
        <v>22</v>
      </c>
      <c r="O3348" s="6" t="str">
        <f>HYPERLINK("https://pbs.twimg.com/profile_images/1433591977631748099/wuGDIimB_normal.jpg","View")</f>
        <v>View</v>
      </c>
      <c r="P3348" s="7"/>
    </row>
    <row r="3349" spans="1:16">
      <c r="A3349" s="3">
        <v>44493.007395833338</v>
      </c>
      <c r="B3349" s="4" t="str">
        <f>HYPERLINK("https://twitter.com/sergio_fajardo","@sergio_fajardo")</f>
        <v>@sergio_fajardo</v>
      </c>
      <c r="C3349" s="5" t="s">
        <v>16</v>
      </c>
      <c r="D3349" s="5" t="s">
        <v>3370</v>
      </c>
      <c r="E3349" s="6" t="str">
        <f>HYPERLINK("https://twitter.com/sergio_fajardo/status/1451981914240323591","1451981914240323591")</f>
        <v>1451981914240323591</v>
      </c>
      <c r="F3349" s="7" t="s">
        <v>17</v>
      </c>
      <c r="G3349" s="7">
        <v>1598058</v>
      </c>
      <c r="H3349" s="7">
        <v>587</v>
      </c>
      <c r="I3349" s="7">
        <v>5</v>
      </c>
      <c r="J3349" s="7">
        <v>0</v>
      </c>
      <c r="K3349" s="7" t="s">
        <v>18</v>
      </c>
      <c r="L3349" s="8">
        <v>39891.213356481479</v>
      </c>
      <c r="M3349" s="9" t="s">
        <v>19</v>
      </c>
      <c r="N3349" s="9" t="s">
        <v>22</v>
      </c>
      <c r="O3349" s="6" t="str">
        <f>HYPERLINK("https://pbs.twimg.com/profile_images/1433591977631748099/wuGDIimB_normal.jpg","View")</f>
        <v>View</v>
      </c>
      <c r="P3349" s="7"/>
    </row>
    <row r="3350" spans="1:16">
      <c r="A3350" s="3">
        <v>44493.0075462963</v>
      </c>
      <c r="B3350" s="4" t="str">
        <f>HYPERLINK("https://twitter.com/sergio_fajardo","@sergio_fajardo")</f>
        <v>@sergio_fajardo</v>
      </c>
      <c r="C3350" s="5" t="s">
        <v>16</v>
      </c>
      <c r="D3350" s="5" t="s">
        <v>3371</v>
      </c>
      <c r="E3350" s="6" t="str">
        <f>HYPERLINK("https://twitter.com/sergio_fajardo/status/1451981966920847360","1451981966920847360")</f>
        <v>1451981966920847360</v>
      </c>
      <c r="F3350" s="7" t="s">
        <v>17</v>
      </c>
      <c r="G3350" s="7">
        <v>1598058</v>
      </c>
      <c r="H3350" s="7">
        <v>587</v>
      </c>
      <c r="I3350" s="7">
        <v>6</v>
      </c>
      <c r="J3350" s="7">
        <v>0</v>
      </c>
      <c r="K3350" s="7" t="s">
        <v>18</v>
      </c>
      <c r="L3350" s="8">
        <v>39891.213356481479</v>
      </c>
      <c r="M3350" s="9" t="s">
        <v>19</v>
      </c>
      <c r="N3350" s="9" t="s">
        <v>22</v>
      </c>
      <c r="O3350" s="6" t="str">
        <f>HYPERLINK("https://pbs.twimg.com/profile_images/1433591977631748099/wuGDIimB_normal.jpg","View")</f>
        <v>View</v>
      </c>
      <c r="P3350" s="7"/>
    </row>
    <row r="3351" spans="1:16">
      <c r="A3351" s="3">
        <v>44493.007638888885</v>
      </c>
      <c r="B3351" s="4" t="str">
        <f>HYPERLINK("https://twitter.com/sergio_fajardo","@sergio_fajardo")</f>
        <v>@sergio_fajardo</v>
      </c>
      <c r="C3351" s="5" t="s">
        <v>16</v>
      </c>
      <c r="D3351" s="5" t="s">
        <v>3372</v>
      </c>
      <c r="E3351" s="6" t="str">
        <f>HYPERLINK("https://twitter.com/sergio_fajardo/status/1451982002031300608","1451982002031300608")</f>
        <v>1451982002031300608</v>
      </c>
      <c r="F3351" s="7" t="s">
        <v>17</v>
      </c>
      <c r="G3351" s="7">
        <v>1598058</v>
      </c>
      <c r="H3351" s="7">
        <v>587</v>
      </c>
      <c r="I3351" s="7">
        <v>5</v>
      </c>
      <c r="J3351" s="7">
        <v>0</v>
      </c>
      <c r="K3351" s="7" t="s">
        <v>18</v>
      </c>
      <c r="L3351" s="8">
        <v>39891.213356481479</v>
      </c>
      <c r="M3351" s="9" t="s">
        <v>19</v>
      </c>
      <c r="N3351" s="9" t="s">
        <v>22</v>
      </c>
      <c r="O3351" s="6" t="str">
        <f>HYPERLINK("https://pbs.twimg.com/profile_images/1433591977631748099/wuGDIimB_normal.jpg","View")</f>
        <v>View</v>
      </c>
      <c r="P3351" s="7"/>
    </row>
    <row r="3352" spans="1:16">
      <c r="A3352" s="3">
        <v>44493.024953703702</v>
      </c>
      <c r="B3352" s="4" t="str">
        <f>HYPERLINK("https://twitter.com/sergio_fajardo","@sergio_fajardo")</f>
        <v>@sergio_fajardo</v>
      </c>
      <c r="C3352" s="5" t="s">
        <v>16</v>
      </c>
      <c r="D3352" s="5" t="s">
        <v>3373</v>
      </c>
      <c r="E3352" s="6" t="str">
        <f>HYPERLINK("https://twitter.com/sergio_fajardo/status/1451988276374609924","1451988276374609924")</f>
        <v>1451988276374609924</v>
      </c>
      <c r="F3352" s="7" t="s">
        <v>17</v>
      </c>
      <c r="G3352" s="7">
        <v>1598060</v>
      </c>
      <c r="H3352" s="7">
        <v>587</v>
      </c>
      <c r="I3352" s="7">
        <v>11</v>
      </c>
      <c r="J3352" s="7">
        <v>0</v>
      </c>
      <c r="K3352" s="7" t="s">
        <v>18</v>
      </c>
      <c r="L3352" s="8">
        <v>39891.213356481479</v>
      </c>
      <c r="M3352" s="9" t="s">
        <v>19</v>
      </c>
      <c r="N3352" s="9" t="s">
        <v>22</v>
      </c>
      <c r="O3352" s="6" t="str">
        <f>HYPERLINK("https://pbs.twimg.com/profile_images/1433591977631748099/wuGDIimB_normal.jpg","View")</f>
        <v>View</v>
      </c>
      <c r="P3352" s="7"/>
    </row>
    <row r="3353" spans="1:16">
      <c r="A3353" s="3">
        <v>44493.025034722217</v>
      </c>
      <c r="B3353" s="4" t="str">
        <f>HYPERLINK("https://twitter.com/sergio_fajardo","@sergio_fajardo")</f>
        <v>@sergio_fajardo</v>
      </c>
      <c r="C3353" s="5" t="s">
        <v>16</v>
      </c>
      <c r="D3353" s="5" t="s">
        <v>3374</v>
      </c>
      <c r="E3353" s="6" t="str">
        <f>HYPERLINK("https://twitter.com/sergio_fajardo/status/1451988305038520326","1451988305038520326")</f>
        <v>1451988305038520326</v>
      </c>
      <c r="F3353" s="7" t="s">
        <v>17</v>
      </c>
      <c r="G3353" s="7">
        <v>1598060</v>
      </c>
      <c r="H3353" s="7">
        <v>587</v>
      </c>
      <c r="I3353" s="7">
        <v>8</v>
      </c>
      <c r="J3353" s="7">
        <v>0</v>
      </c>
      <c r="K3353" s="7" t="s">
        <v>18</v>
      </c>
      <c r="L3353" s="8">
        <v>39891.213356481479</v>
      </c>
      <c r="M3353" s="9" t="s">
        <v>19</v>
      </c>
      <c r="N3353" s="9" t="s">
        <v>22</v>
      </c>
      <c r="O3353" s="6" t="str">
        <f>HYPERLINK("https://pbs.twimg.com/profile_images/1433591977631748099/wuGDIimB_normal.jpg","View")</f>
        <v>View</v>
      </c>
      <c r="P3353" s="7"/>
    </row>
    <row r="3354" spans="1:16">
      <c r="A3354" s="3">
        <v>44493.044745370367</v>
      </c>
      <c r="B3354" s="4" t="str">
        <f>HYPERLINK("https://twitter.com/sergio_fajardo","@sergio_fajardo")</f>
        <v>@sergio_fajardo</v>
      </c>
      <c r="C3354" s="5" t="s">
        <v>16</v>
      </c>
      <c r="D3354" s="5" t="s">
        <v>3375</v>
      </c>
      <c r="E3354" s="6" t="str">
        <f>HYPERLINK("https://twitter.com/sergio_fajardo/status/1451995450337341443","1451995450337341443")</f>
        <v>1451995450337341443</v>
      </c>
      <c r="F3354" s="7" t="s">
        <v>17</v>
      </c>
      <c r="G3354" s="7">
        <v>1598063</v>
      </c>
      <c r="H3354" s="7">
        <v>587</v>
      </c>
      <c r="I3354" s="7">
        <v>8</v>
      </c>
      <c r="J3354" s="7">
        <v>0</v>
      </c>
      <c r="K3354" s="7" t="s">
        <v>18</v>
      </c>
      <c r="L3354" s="8">
        <v>39891.213356481479</v>
      </c>
      <c r="M3354" s="9" t="s">
        <v>19</v>
      </c>
      <c r="N3354" s="9" t="s">
        <v>22</v>
      </c>
      <c r="O3354" s="6" t="str">
        <f>HYPERLINK("https://pbs.twimg.com/profile_images/1433591977631748099/wuGDIimB_normal.jpg","View")</f>
        <v>View</v>
      </c>
      <c r="P3354" s="7"/>
    </row>
    <row r="3355" spans="1:16">
      <c r="A3355" s="3">
        <v>44493.052627314813</v>
      </c>
      <c r="B3355" s="4" t="str">
        <f>HYPERLINK("https://twitter.com/sergio_fajardo","@sergio_fajardo")</f>
        <v>@sergio_fajardo</v>
      </c>
      <c r="C3355" s="5" t="s">
        <v>16</v>
      </c>
      <c r="D3355" s="5" t="s">
        <v>3376</v>
      </c>
      <c r="E3355" s="6" t="str">
        <f>HYPERLINK("https://twitter.com/sergio_fajardo/status/1451998304506634246","1451998304506634246")</f>
        <v>1451998304506634246</v>
      </c>
      <c r="F3355" s="7" t="s">
        <v>17</v>
      </c>
      <c r="G3355" s="7">
        <v>1598063</v>
      </c>
      <c r="H3355" s="7">
        <v>587</v>
      </c>
      <c r="I3355" s="7">
        <v>1</v>
      </c>
      <c r="J3355" s="7">
        <v>5</v>
      </c>
      <c r="K3355" s="7" t="s">
        <v>18</v>
      </c>
      <c r="L3355" s="8">
        <v>39891.213356481479</v>
      </c>
      <c r="M3355" s="9" t="s">
        <v>19</v>
      </c>
      <c r="N3355" s="9" t="s">
        <v>22</v>
      </c>
      <c r="O3355" s="6" t="str">
        <f>HYPERLINK("https://pbs.twimg.com/profile_images/1433591977631748099/wuGDIimB_normal.jpg","View")</f>
        <v>View</v>
      </c>
      <c r="P3355" s="7"/>
    </row>
    <row r="3356" spans="1:16">
      <c r="A3356" s="3">
        <v>44493.058819444443</v>
      </c>
      <c r="B3356" s="4" t="str">
        <f>HYPERLINK("https://twitter.com/sergio_fajardo","@sergio_fajardo")</f>
        <v>@sergio_fajardo</v>
      </c>
      <c r="C3356" s="5" t="s">
        <v>16</v>
      </c>
      <c r="D3356" s="5" t="s">
        <v>3377</v>
      </c>
      <c r="E3356" s="6" t="str">
        <f>HYPERLINK("https://twitter.com/sergio_fajardo/status/1452000551013658637","1452000551013658637")</f>
        <v>1452000551013658637</v>
      </c>
      <c r="F3356" s="7" t="s">
        <v>17</v>
      </c>
      <c r="G3356" s="7">
        <v>1598060</v>
      </c>
      <c r="H3356" s="7">
        <v>587</v>
      </c>
      <c r="I3356" s="7">
        <v>5</v>
      </c>
      <c r="J3356" s="7">
        <v>0</v>
      </c>
      <c r="K3356" s="7" t="s">
        <v>18</v>
      </c>
      <c r="L3356" s="8">
        <v>39891.213356481479</v>
      </c>
      <c r="M3356" s="9" t="s">
        <v>19</v>
      </c>
      <c r="N3356" s="9" t="s">
        <v>22</v>
      </c>
      <c r="O3356" s="6" t="str">
        <f>HYPERLINK("https://pbs.twimg.com/profile_images/1433591977631748099/wuGDIimB_normal.jpg","View")</f>
        <v>View</v>
      </c>
      <c r="P3356" s="7"/>
    </row>
    <row r="3357" spans="1:16">
      <c r="A3357" s="3">
        <v>44493.058958333335</v>
      </c>
      <c r="B3357" s="4" t="str">
        <f>HYPERLINK("https://twitter.com/sergio_fajardo","@sergio_fajardo")</f>
        <v>@sergio_fajardo</v>
      </c>
      <c r="C3357" s="5" t="s">
        <v>16</v>
      </c>
      <c r="D3357" s="5" t="s">
        <v>3378</v>
      </c>
      <c r="E3357" s="6" t="str">
        <f>HYPERLINK("https://twitter.com/sergio_fajardo/status/1452000597700452355","1452000597700452355")</f>
        <v>1452000597700452355</v>
      </c>
      <c r="F3357" s="7" t="s">
        <v>17</v>
      </c>
      <c r="G3357" s="7">
        <v>1598060</v>
      </c>
      <c r="H3357" s="7">
        <v>587</v>
      </c>
      <c r="I3357" s="7">
        <v>4</v>
      </c>
      <c r="J3357" s="7">
        <v>0</v>
      </c>
      <c r="K3357" s="7" t="s">
        <v>18</v>
      </c>
      <c r="L3357" s="8">
        <v>39891.213356481479</v>
      </c>
      <c r="M3357" s="9" t="s">
        <v>19</v>
      </c>
      <c r="N3357" s="9" t="s">
        <v>22</v>
      </c>
      <c r="O3357" s="6" t="str">
        <f>HYPERLINK("https://pbs.twimg.com/profile_images/1433591977631748099/wuGDIimB_normal.jpg","View")</f>
        <v>View</v>
      </c>
      <c r="P3357" s="7"/>
    </row>
    <row r="3358" spans="1:16">
      <c r="A3358" s="3">
        <v>44493.058993055558</v>
      </c>
      <c r="B3358" s="4" t="str">
        <f>HYPERLINK("https://twitter.com/sergio_fajardo","@sergio_fajardo")</f>
        <v>@sergio_fajardo</v>
      </c>
      <c r="C3358" s="5" t="s">
        <v>16</v>
      </c>
      <c r="D3358" s="5" t="s">
        <v>3379</v>
      </c>
      <c r="E3358" s="6" t="str">
        <f>HYPERLINK("https://twitter.com/sergio_fajardo/status/1452000610304282626","1452000610304282626")</f>
        <v>1452000610304282626</v>
      </c>
      <c r="F3358" s="7" t="s">
        <v>17</v>
      </c>
      <c r="G3358" s="7">
        <v>1598060</v>
      </c>
      <c r="H3358" s="7">
        <v>587</v>
      </c>
      <c r="I3358" s="7">
        <v>8</v>
      </c>
      <c r="J3358" s="7">
        <v>0</v>
      </c>
      <c r="K3358" s="7" t="s">
        <v>18</v>
      </c>
      <c r="L3358" s="8">
        <v>39891.213356481479</v>
      </c>
      <c r="M3358" s="9" t="s">
        <v>19</v>
      </c>
      <c r="N3358" s="9" t="s">
        <v>22</v>
      </c>
      <c r="O3358" s="6" t="str">
        <f>HYPERLINK("https://pbs.twimg.com/profile_images/1433591977631748099/wuGDIimB_normal.jpg","View")</f>
        <v>View</v>
      </c>
      <c r="P3358" s="7"/>
    </row>
    <row r="3359" spans="1:16">
      <c r="A3359" s="3">
        <v>44493.064212962963</v>
      </c>
      <c r="B3359" s="4" t="str">
        <f>HYPERLINK("https://twitter.com/sergio_fajardo","@sergio_fajardo")</f>
        <v>@sergio_fajardo</v>
      </c>
      <c r="C3359" s="5" t="s">
        <v>16</v>
      </c>
      <c r="D3359" s="5" t="s">
        <v>3380</v>
      </c>
      <c r="E3359" s="6" t="str">
        <f>HYPERLINK("https://twitter.com/sergio_fajardo/status/1452002504552615937","1452002504552615937")</f>
        <v>1452002504552615937</v>
      </c>
      <c r="F3359" s="7" t="s">
        <v>17</v>
      </c>
      <c r="G3359" s="7">
        <v>1598060</v>
      </c>
      <c r="H3359" s="7">
        <v>587</v>
      </c>
      <c r="I3359" s="7">
        <v>1</v>
      </c>
      <c r="J3359" s="7">
        <v>6</v>
      </c>
      <c r="K3359" s="7" t="s">
        <v>18</v>
      </c>
      <c r="L3359" s="8">
        <v>39891.213356481479</v>
      </c>
      <c r="M3359" s="9" t="s">
        <v>19</v>
      </c>
      <c r="N3359" s="9" t="s">
        <v>22</v>
      </c>
      <c r="O3359" s="6" t="str">
        <f>HYPERLINK("https://pbs.twimg.com/profile_images/1433591977631748099/wuGDIimB_normal.jpg","View")</f>
        <v>View</v>
      </c>
      <c r="P3359" s="7"/>
    </row>
    <row r="3360" spans="1:16">
      <c r="A3360" s="3">
        <v>44493.066851851851</v>
      </c>
      <c r="B3360" s="4" t="str">
        <f>HYPERLINK("https://twitter.com/sergio_fajardo","@sergio_fajardo")</f>
        <v>@sergio_fajardo</v>
      </c>
      <c r="C3360" s="5" t="s">
        <v>16</v>
      </c>
      <c r="D3360" s="5" t="s">
        <v>3381</v>
      </c>
      <c r="E3360" s="6" t="str">
        <f>HYPERLINK("https://twitter.com/sergio_fajardo/status/1452003460468158464","1452003460468158464")</f>
        <v>1452003460468158464</v>
      </c>
      <c r="F3360" s="7" t="s">
        <v>20</v>
      </c>
      <c r="G3360" s="7">
        <v>1598060</v>
      </c>
      <c r="H3360" s="7">
        <v>587</v>
      </c>
      <c r="I3360" s="7">
        <v>6</v>
      </c>
      <c r="J3360" s="7">
        <v>0</v>
      </c>
      <c r="K3360" s="7" t="s">
        <v>18</v>
      </c>
      <c r="L3360" s="8">
        <v>39891.213356481479</v>
      </c>
      <c r="M3360" s="9" t="s">
        <v>19</v>
      </c>
      <c r="N3360" s="9" t="s">
        <v>22</v>
      </c>
      <c r="O3360" s="6" t="str">
        <f>HYPERLINK("https://pbs.twimg.com/profile_images/1433591977631748099/wuGDIimB_normal.jpg","View")</f>
        <v>View</v>
      </c>
      <c r="P3360" s="7"/>
    </row>
    <row r="3361" spans="1:16">
      <c r="A3361" s="3">
        <v>44493.067233796297</v>
      </c>
      <c r="B3361" s="4" t="str">
        <f>HYPERLINK("https://twitter.com/sergio_fajardo","@sergio_fajardo")</f>
        <v>@sergio_fajardo</v>
      </c>
      <c r="C3361" s="5" t="s">
        <v>16</v>
      </c>
      <c r="D3361" s="5" t="s">
        <v>3382</v>
      </c>
      <c r="E3361" s="6" t="str">
        <f>HYPERLINK("https://twitter.com/sergio_fajardo/status/1452003598485839872","1452003598485839872")</f>
        <v>1452003598485839872</v>
      </c>
      <c r="F3361" s="7" t="s">
        <v>20</v>
      </c>
      <c r="G3361" s="7">
        <v>1598060</v>
      </c>
      <c r="H3361" s="7">
        <v>587</v>
      </c>
      <c r="I3361" s="7">
        <v>12</v>
      </c>
      <c r="J3361" s="7">
        <v>0</v>
      </c>
      <c r="K3361" s="7" t="s">
        <v>18</v>
      </c>
      <c r="L3361" s="8">
        <v>39891.213356481479</v>
      </c>
      <c r="M3361" s="9" t="s">
        <v>19</v>
      </c>
      <c r="N3361" s="9" t="s">
        <v>22</v>
      </c>
      <c r="O3361" s="6" t="str">
        <f>HYPERLINK("https://pbs.twimg.com/profile_images/1433591977631748099/wuGDIimB_normal.jpg","View")</f>
        <v>View</v>
      </c>
      <c r="P3361" s="7"/>
    </row>
    <row r="3362" spans="1:16">
      <c r="A3362" s="3">
        <v>44493.074791666666</v>
      </c>
      <c r="B3362" s="4" t="str">
        <f>HYPERLINK("https://twitter.com/sergio_fajardo","@sergio_fajardo")</f>
        <v>@sergio_fajardo</v>
      </c>
      <c r="C3362" s="5" t="s">
        <v>16</v>
      </c>
      <c r="D3362" s="5" t="s">
        <v>3383</v>
      </c>
      <c r="E3362" s="6" t="str">
        <f>HYPERLINK("https://twitter.com/sergio_fajardo/status/1452006339249594375","1452006339249594375")</f>
        <v>1452006339249594375</v>
      </c>
      <c r="F3362" s="7" t="s">
        <v>17</v>
      </c>
      <c r="G3362" s="7">
        <v>1598058</v>
      </c>
      <c r="H3362" s="7">
        <v>587</v>
      </c>
      <c r="I3362" s="7">
        <v>7</v>
      </c>
      <c r="J3362" s="7">
        <v>18</v>
      </c>
      <c r="K3362" s="7" t="s">
        <v>18</v>
      </c>
      <c r="L3362" s="8">
        <v>39891.213356481479</v>
      </c>
      <c r="M3362" s="9" t="s">
        <v>19</v>
      </c>
      <c r="N3362" s="9" t="s">
        <v>22</v>
      </c>
      <c r="O3362" s="6" t="str">
        <f>HYPERLINK("https://pbs.twimg.com/profile_images/1433591977631748099/wuGDIimB_normal.jpg","View")</f>
        <v>View</v>
      </c>
      <c r="P3362" s="7"/>
    </row>
    <row r="3363" spans="1:16">
      <c r="A3363" s="3">
        <v>44493.076956018514</v>
      </c>
      <c r="B3363" s="4" t="str">
        <f>HYPERLINK("https://twitter.com/sergio_fajardo","@sergio_fajardo")</f>
        <v>@sergio_fajardo</v>
      </c>
      <c r="C3363" s="5" t="s">
        <v>16</v>
      </c>
      <c r="D3363" s="5" t="s">
        <v>3384</v>
      </c>
      <c r="E3363" s="6" t="str">
        <f>HYPERLINK("https://twitter.com/sergio_fajardo/status/1452007123349614608","1452007123349614608")</f>
        <v>1452007123349614608</v>
      </c>
      <c r="F3363" s="7" t="s">
        <v>17</v>
      </c>
      <c r="G3363" s="7">
        <v>1598058</v>
      </c>
      <c r="H3363" s="7">
        <v>587</v>
      </c>
      <c r="I3363" s="7">
        <v>5</v>
      </c>
      <c r="J3363" s="7">
        <v>0</v>
      </c>
      <c r="K3363" s="7" t="s">
        <v>18</v>
      </c>
      <c r="L3363" s="8">
        <v>39891.213356481479</v>
      </c>
      <c r="M3363" s="9" t="s">
        <v>19</v>
      </c>
      <c r="N3363" s="9" t="s">
        <v>22</v>
      </c>
      <c r="O3363" s="6" t="str">
        <f>HYPERLINK("https://pbs.twimg.com/profile_images/1433591977631748099/wuGDIimB_normal.jpg","View")</f>
        <v>View</v>
      </c>
      <c r="P3363" s="7"/>
    </row>
    <row r="3364" spans="1:16">
      <c r="A3364" s="3">
        <v>44493.077013888891</v>
      </c>
      <c r="B3364" s="4" t="str">
        <f>HYPERLINK("https://twitter.com/sergio_fajardo","@sergio_fajardo")</f>
        <v>@sergio_fajardo</v>
      </c>
      <c r="C3364" s="5" t="s">
        <v>16</v>
      </c>
      <c r="D3364" s="5" t="s">
        <v>3385</v>
      </c>
      <c r="E3364" s="6" t="str">
        <f>HYPERLINK("https://twitter.com/sergio_fajardo/status/1452007143113113600","1452007143113113600")</f>
        <v>1452007143113113600</v>
      </c>
      <c r="F3364" s="7" t="s">
        <v>17</v>
      </c>
      <c r="G3364" s="7">
        <v>1598058</v>
      </c>
      <c r="H3364" s="7">
        <v>587</v>
      </c>
      <c r="I3364" s="7">
        <v>6</v>
      </c>
      <c r="J3364" s="7">
        <v>0</v>
      </c>
      <c r="K3364" s="7" t="s">
        <v>18</v>
      </c>
      <c r="L3364" s="8">
        <v>39891.213356481479</v>
      </c>
      <c r="M3364" s="9" t="s">
        <v>19</v>
      </c>
      <c r="N3364" s="9" t="s">
        <v>22</v>
      </c>
      <c r="O3364" s="6" t="str">
        <f>HYPERLINK("https://pbs.twimg.com/profile_images/1433591977631748099/wuGDIimB_normal.jpg","View")</f>
        <v>View</v>
      </c>
      <c r="P3364" s="7"/>
    </row>
    <row r="3365" spans="1:16">
      <c r="A3365" s="3">
        <v>44493.077083333337</v>
      </c>
      <c r="B3365" s="4" t="str">
        <f>HYPERLINK("https://twitter.com/sergio_fajardo","@sergio_fajardo")</f>
        <v>@sergio_fajardo</v>
      </c>
      <c r="C3365" s="5" t="s">
        <v>16</v>
      </c>
      <c r="D3365" s="5" t="s">
        <v>3386</v>
      </c>
      <c r="E3365" s="6" t="str">
        <f>HYPERLINK("https://twitter.com/sergio_fajardo/status/1452007168660627465","1452007168660627465")</f>
        <v>1452007168660627465</v>
      </c>
      <c r="F3365" s="7" t="s">
        <v>17</v>
      </c>
      <c r="G3365" s="7">
        <v>1598058</v>
      </c>
      <c r="H3365" s="7">
        <v>587</v>
      </c>
      <c r="I3365" s="7">
        <v>9</v>
      </c>
      <c r="J3365" s="7">
        <v>0</v>
      </c>
      <c r="K3365" s="7" t="s">
        <v>18</v>
      </c>
      <c r="L3365" s="8">
        <v>39891.213356481479</v>
      </c>
      <c r="M3365" s="9" t="s">
        <v>19</v>
      </c>
      <c r="N3365" s="9" t="s">
        <v>22</v>
      </c>
      <c r="O3365" s="6" t="str">
        <f>HYPERLINK("https://pbs.twimg.com/profile_images/1433591977631748099/wuGDIimB_normal.jpg","View")</f>
        <v>View</v>
      </c>
      <c r="P3365" s="7"/>
    </row>
    <row r="3366" spans="1:16">
      <c r="A3366" s="3">
        <v>44493.077164351853</v>
      </c>
      <c r="B3366" s="4" t="str">
        <f>HYPERLINK("https://twitter.com/sergio_fajardo","@sergio_fajardo")</f>
        <v>@sergio_fajardo</v>
      </c>
      <c r="C3366" s="5" t="s">
        <v>16</v>
      </c>
      <c r="D3366" s="5" t="s">
        <v>3387</v>
      </c>
      <c r="E3366" s="6" t="str">
        <f>HYPERLINK("https://twitter.com/sergio_fajardo/status/1452007196141801478","1452007196141801478")</f>
        <v>1452007196141801478</v>
      </c>
      <c r="F3366" s="7" t="s">
        <v>17</v>
      </c>
      <c r="G3366" s="7">
        <v>1598058</v>
      </c>
      <c r="H3366" s="7">
        <v>587</v>
      </c>
      <c r="I3366" s="7">
        <v>13</v>
      </c>
      <c r="J3366" s="7">
        <v>0</v>
      </c>
      <c r="K3366" s="7" t="s">
        <v>18</v>
      </c>
      <c r="L3366" s="8">
        <v>39891.213356481479</v>
      </c>
      <c r="M3366" s="9" t="s">
        <v>19</v>
      </c>
      <c r="N3366" s="9" t="s">
        <v>22</v>
      </c>
      <c r="O3366" s="6" t="str">
        <f>HYPERLINK("https://pbs.twimg.com/profile_images/1433591977631748099/wuGDIimB_normal.jpg","View")</f>
        <v>View</v>
      </c>
      <c r="P3366" s="7"/>
    </row>
    <row r="3367" spans="1:16">
      <c r="A3367" s="3">
        <v>44493.084178240737</v>
      </c>
      <c r="B3367" s="4" t="str">
        <f>HYPERLINK("https://twitter.com/sergio_fajardo","@sergio_fajardo")</f>
        <v>@sergio_fajardo</v>
      </c>
      <c r="C3367" s="5" t="s">
        <v>16</v>
      </c>
      <c r="D3367" s="5" t="s">
        <v>3388</v>
      </c>
      <c r="E3367" s="6" t="str">
        <f>HYPERLINK("https://twitter.com/sergio_fajardo/status/1452009737554366471","1452009737554366471")</f>
        <v>1452009737554366471</v>
      </c>
      <c r="F3367" s="7" t="s">
        <v>17</v>
      </c>
      <c r="G3367" s="7">
        <v>1598058</v>
      </c>
      <c r="H3367" s="7">
        <v>587</v>
      </c>
      <c r="I3367" s="7">
        <v>5</v>
      </c>
      <c r="J3367" s="7">
        <v>0</v>
      </c>
      <c r="K3367" s="7" t="s">
        <v>18</v>
      </c>
      <c r="L3367" s="8">
        <v>39891.213356481479</v>
      </c>
      <c r="M3367" s="9" t="s">
        <v>19</v>
      </c>
      <c r="N3367" s="9" t="s">
        <v>22</v>
      </c>
      <c r="O3367" s="6" t="str">
        <f>HYPERLINK("https://pbs.twimg.com/profile_images/1433591977631748099/wuGDIimB_normal.jpg","View")</f>
        <v>View</v>
      </c>
      <c r="P3367" s="7"/>
    </row>
    <row r="3368" spans="1:16">
      <c r="A3368" s="3">
        <v>44493.084374999999</v>
      </c>
      <c r="B3368" s="4" t="str">
        <f>HYPERLINK("https://twitter.com/sergio_fajardo","@sergio_fajardo")</f>
        <v>@sergio_fajardo</v>
      </c>
      <c r="C3368" s="5" t="s">
        <v>16</v>
      </c>
      <c r="D3368" s="5" t="s">
        <v>3389</v>
      </c>
      <c r="E3368" s="6" t="str">
        <f>HYPERLINK("https://twitter.com/sergio_fajardo/status/1452009810401144835","1452009810401144835")</f>
        <v>1452009810401144835</v>
      </c>
      <c r="F3368" s="7" t="s">
        <v>17</v>
      </c>
      <c r="G3368" s="7">
        <v>1598058</v>
      </c>
      <c r="H3368" s="7">
        <v>587</v>
      </c>
      <c r="I3368" s="7">
        <v>7</v>
      </c>
      <c r="J3368" s="7">
        <v>0</v>
      </c>
      <c r="K3368" s="7" t="s">
        <v>18</v>
      </c>
      <c r="L3368" s="8">
        <v>39891.213356481479</v>
      </c>
      <c r="M3368" s="9" t="s">
        <v>19</v>
      </c>
      <c r="N3368" s="9" t="s">
        <v>22</v>
      </c>
      <c r="O3368" s="6" t="str">
        <f>HYPERLINK("https://pbs.twimg.com/profile_images/1433591977631748099/wuGDIimB_normal.jpg","View")</f>
        <v>View</v>
      </c>
      <c r="P3368" s="7"/>
    </row>
    <row r="3369" spans="1:16">
      <c r="A3369" s="3">
        <v>44493.098958333328</v>
      </c>
      <c r="B3369" s="4" t="str">
        <f>HYPERLINK("https://twitter.com/sergio_fajardo","@sergio_fajardo")</f>
        <v>@sergio_fajardo</v>
      </c>
      <c r="C3369" s="5" t="s">
        <v>16</v>
      </c>
      <c r="D3369" s="5" t="s">
        <v>3390</v>
      </c>
      <c r="E3369" s="6" t="str">
        <f>HYPERLINK("https://twitter.com/sergio_fajardo/status/1452015093819052032","1452015093819052032")</f>
        <v>1452015093819052032</v>
      </c>
      <c r="F3369" s="7" t="s">
        <v>17</v>
      </c>
      <c r="G3369" s="7">
        <v>1598050</v>
      </c>
      <c r="H3369" s="7">
        <v>588</v>
      </c>
      <c r="I3369" s="7">
        <v>12</v>
      </c>
      <c r="J3369" s="7">
        <v>0</v>
      </c>
      <c r="K3369" s="7" t="s">
        <v>18</v>
      </c>
      <c r="L3369" s="8">
        <v>39891.213356481479</v>
      </c>
      <c r="M3369" s="9" t="s">
        <v>19</v>
      </c>
      <c r="N3369" s="9" t="s">
        <v>22</v>
      </c>
      <c r="O3369" s="6" t="str">
        <f>HYPERLINK("https://pbs.twimg.com/profile_images/1433591977631748099/wuGDIimB_normal.jpg","View")</f>
        <v>View</v>
      </c>
      <c r="P3369" s="7"/>
    </row>
    <row r="3370" spans="1:16">
      <c r="A3370" s="3">
        <v>44493.099016203705</v>
      </c>
      <c r="B3370" s="4" t="str">
        <f>HYPERLINK("https://twitter.com/sergio_fajardo","@sergio_fajardo")</f>
        <v>@sergio_fajardo</v>
      </c>
      <c r="C3370" s="5" t="s">
        <v>16</v>
      </c>
      <c r="D3370" s="5" t="s">
        <v>3391</v>
      </c>
      <c r="E3370" s="6" t="str">
        <f>HYPERLINK("https://twitter.com/sergio_fajardo/status/1452015114463350785","1452015114463350785")</f>
        <v>1452015114463350785</v>
      </c>
      <c r="F3370" s="7" t="s">
        <v>17</v>
      </c>
      <c r="G3370" s="7">
        <v>1598050</v>
      </c>
      <c r="H3370" s="7">
        <v>588</v>
      </c>
      <c r="I3370" s="7">
        <v>10</v>
      </c>
      <c r="J3370" s="7">
        <v>0</v>
      </c>
      <c r="K3370" s="7" t="s">
        <v>18</v>
      </c>
      <c r="L3370" s="8">
        <v>39891.213356481479</v>
      </c>
      <c r="M3370" s="9" t="s">
        <v>19</v>
      </c>
      <c r="N3370" s="9" t="s">
        <v>22</v>
      </c>
      <c r="O3370" s="6" t="str">
        <f>HYPERLINK("https://pbs.twimg.com/profile_images/1433591977631748099/wuGDIimB_normal.jpg","View")</f>
        <v>View</v>
      </c>
      <c r="P3370" s="7"/>
    </row>
    <row r="3371" spans="1:16">
      <c r="A3371" s="3">
        <v>44493.099074074074</v>
      </c>
      <c r="B3371" s="4" t="str">
        <f>HYPERLINK("https://twitter.com/sergio_fajardo","@sergio_fajardo")</f>
        <v>@sergio_fajardo</v>
      </c>
      <c r="C3371" s="5" t="s">
        <v>16</v>
      </c>
      <c r="D3371" s="5" t="s">
        <v>3392</v>
      </c>
      <c r="E3371" s="6" t="str">
        <f>HYPERLINK("https://twitter.com/sergio_fajardo/status/1452015138475855878","1452015138475855878")</f>
        <v>1452015138475855878</v>
      </c>
      <c r="F3371" s="7" t="s">
        <v>17</v>
      </c>
      <c r="G3371" s="7">
        <v>1598050</v>
      </c>
      <c r="H3371" s="7">
        <v>588</v>
      </c>
      <c r="I3371" s="7">
        <v>9</v>
      </c>
      <c r="J3371" s="7">
        <v>0</v>
      </c>
      <c r="K3371" s="7" t="s">
        <v>18</v>
      </c>
      <c r="L3371" s="8">
        <v>39891.213356481479</v>
      </c>
      <c r="M3371" s="9" t="s">
        <v>19</v>
      </c>
      <c r="N3371" s="9" t="s">
        <v>22</v>
      </c>
      <c r="O3371" s="6" t="str">
        <f>HYPERLINK("https://pbs.twimg.com/profile_images/1433591977631748099/wuGDIimB_normal.jpg","View")</f>
        <v>View</v>
      </c>
      <c r="P3371" s="7"/>
    </row>
    <row r="3372" spans="1:16">
      <c r="A3372" s="3">
        <v>44493.103020833332</v>
      </c>
      <c r="B3372" s="4" t="str">
        <f>HYPERLINK("https://twitter.com/sergio_fajardo","@sergio_fajardo")</f>
        <v>@sergio_fajardo</v>
      </c>
      <c r="C3372" s="5" t="s">
        <v>16</v>
      </c>
      <c r="D3372" s="5" t="s">
        <v>3393</v>
      </c>
      <c r="E3372" s="6" t="str">
        <f>HYPERLINK("https://twitter.com/sergio_fajardo/status/1452016565633835014","1452016565633835014")</f>
        <v>1452016565633835014</v>
      </c>
      <c r="F3372" s="7" t="s">
        <v>17</v>
      </c>
      <c r="G3372" s="7">
        <v>1598050</v>
      </c>
      <c r="H3372" s="7">
        <v>588</v>
      </c>
      <c r="I3372" s="7">
        <v>11</v>
      </c>
      <c r="J3372" s="7">
        <v>0</v>
      </c>
      <c r="K3372" s="7" t="s">
        <v>18</v>
      </c>
      <c r="L3372" s="8">
        <v>39891.213356481479</v>
      </c>
      <c r="M3372" s="9" t="s">
        <v>19</v>
      </c>
      <c r="N3372" s="9" t="s">
        <v>22</v>
      </c>
      <c r="O3372" s="6" t="str">
        <f>HYPERLINK("https://pbs.twimg.com/profile_images/1433591977631748099/wuGDIimB_normal.jpg","View")</f>
        <v>View</v>
      </c>
      <c r="P3372" s="7"/>
    </row>
    <row r="3373" spans="1:16">
      <c r="A3373" s="3">
        <v>44493.103125000001</v>
      </c>
      <c r="B3373" s="4" t="str">
        <f>HYPERLINK("https://twitter.com/sergio_fajardo","@sergio_fajardo")</f>
        <v>@sergio_fajardo</v>
      </c>
      <c r="C3373" s="5" t="s">
        <v>16</v>
      </c>
      <c r="D3373" s="5" t="s">
        <v>3394</v>
      </c>
      <c r="E3373" s="6" t="str">
        <f>HYPERLINK("https://twitter.com/sergio_fajardo/status/1452016603441344516","1452016603441344516")</f>
        <v>1452016603441344516</v>
      </c>
      <c r="F3373" s="7" t="s">
        <v>17</v>
      </c>
      <c r="G3373" s="7">
        <v>1598050</v>
      </c>
      <c r="H3373" s="7">
        <v>588</v>
      </c>
      <c r="I3373" s="7">
        <v>9</v>
      </c>
      <c r="J3373" s="7">
        <v>0</v>
      </c>
      <c r="K3373" s="7" t="s">
        <v>18</v>
      </c>
      <c r="L3373" s="8">
        <v>39891.213356481479</v>
      </c>
      <c r="M3373" s="9" t="s">
        <v>19</v>
      </c>
      <c r="N3373" s="9" t="s">
        <v>22</v>
      </c>
      <c r="O3373" s="6" t="str">
        <f>HYPERLINK("https://pbs.twimg.com/profile_images/1433591977631748099/wuGDIimB_normal.jpg","View")</f>
        <v>View</v>
      </c>
      <c r="P3373" s="7"/>
    </row>
    <row r="3374" spans="1:16">
      <c r="A3374" s="3">
        <v>44493.103159722217</v>
      </c>
      <c r="B3374" s="4" t="str">
        <f>HYPERLINK("https://twitter.com/sergio_fajardo","@sergio_fajardo")</f>
        <v>@sergio_fajardo</v>
      </c>
      <c r="C3374" s="5" t="s">
        <v>16</v>
      </c>
      <c r="D3374" s="5" t="s">
        <v>3395</v>
      </c>
      <c r="E3374" s="6" t="str">
        <f>HYPERLINK("https://twitter.com/sergio_fajardo/status/1452016615961280513","1452016615961280513")</f>
        <v>1452016615961280513</v>
      </c>
      <c r="F3374" s="7" t="s">
        <v>17</v>
      </c>
      <c r="G3374" s="7">
        <v>1598050</v>
      </c>
      <c r="H3374" s="7">
        <v>588</v>
      </c>
      <c r="I3374" s="7">
        <v>6</v>
      </c>
      <c r="J3374" s="7">
        <v>0</v>
      </c>
      <c r="K3374" s="7" t="s">
        <v>18</v>
      </c>
      <c r="L3374" s="8">
        <v>39891.213356481479</v>
      </c>
      <c r="M3374" s="9" t="s">
        <v>19</v>
      </c>
      <c r="N3374" s="9" t="s">
        <v>22</v>
      </c>
      <c r="O3374" s="6" t="str">
        <f>HYPERLINK("https://pbs.twimg.com/profile_images/1433591977631748099/wuGDIimB_normal.jpg","View")</f>
        <v>View</v>
      </c>
      <c r="P3374" s="7"/>
    </row>
    <row r="3375" spans="1:16">
      <c r="A3375" s="3">
        <v>44493.103206018517</v>
      </c>
      <c r="B3375" s="4" t="str">
        <f>HYPERLINK("https://twitter.com/sergio_fajardo","@sergio_fajardo")</f>
        <v>@sergio_fajardo</v>
      </c>
      <c r="C3375" s="5" t="s">
        <v>16</v>
      </c>
      <c r="D3375" s="5" t="s">
        <v>3396</v>
      </c>
      <c r="E3375" s="6" t="str">
        <f>HYPERLINK("https://twitter.com/sergio_fajardo/status/1452016634516881408","1452016634516881408")</f>
        <v>1452016634516881408</v>
      </c>
      <c r="F3375" s="7" t="s">
        <v>17</v>
      </c>
      <c r="G3375" s="7">
        <v>1598050</v>
      </c>
      <c r="H3375" s="7">
        <v>588</v>
      </c>
      <c r="I3375" s="7">
        <v>12</v>
      </c>
      <c r="J3375" s="7">
        <v>0</v>
      </c>
      <c r="K3375" s="7" t="s">
        <v>18</v>
      </c>
      <c r="L3375" s="8">
        <v>39891.213356481479</v>
      </c>
      <c r="M3375" s="9" t="s">
        <v>19</v>
      </c>
      <c r="N3375" s="9" t="s">
        <v>22</v>
      </c>
      <c r="O3375" s="6" t="str">
        <f>HYPERLINK("https://pbs.twimg.com/profile_images/1433591977631748099/wuGDIimB_normal.jpg","View")</f>
        <v>View</v>
      </c>
      <c r="P3375" s="7"/>
    </row>
    <row r="3376" spans="1:16">
      <c r="A3376" s="3">
        <v>44493.103449074071</v>
      </c>
      <c r="B3376" s="4" t="str">
        <f>HYPERLINK("https://twitter.com/sergio_fajardo","@sergio_fajardo")</f>
        <v>@sergio_fajardo</v>
      </c>
      <c r="C3376" s="5" t="s">
        <v>16</v>
      </c>
      <c r="D3376" s="5" t="s">
        <v>3397</v>
      </c>
      <c r="E3376" s="6" t="str">
        <f>HYPERLINK("https://twitter.com/sergio_fajardo/status/1452016723977179140","1452016723977179140")</f>
        <v>1452016723977179140</v>
      </c>
      <c r="F3376" s="7" t="s">
        <v>17</v>
      </c>
      <c r="G3376" s="7">
        <v>1598050</v>
      </c>
      <c r="H3376" s="7">
        <v>588</v>
      </c>
      <c r="I3376" s="7">
        <v>12</v>
      </c>
      <c r="J3376" s="7">
        <v>0</v>
      </c>
      <c r="K3376" s="7" t="s">
        <v>18</v>
      </c>
      <c r="L3376" s="8">
        <v>39891.213356481479</v>
      </c>
      <c r="M3376" s="9" t="s">
        <v>19</v>
      </c>
      <c r="N3376" s="9" t="s">
        <v>22</v>
      </c>
      <c r="O3376" s="6" t="str">
        <f>HYPERLINK("https://pbs.twimg.com/profile_images/1433591977631748099/wuGDIimB_normal.jpg","View")</f>
        <v>View</v>
      </c>
      <c r="P3376" s="7"/>
    </row>
    <row r="3377" spans="1:16">
      <c r="A3377" s="3">
        <v>44493.104837962965</v>
      </c>
      <c r="B3377" s="4" t="str">
        <f>HYPERLINK("https://twitter.com/sergio_fajardo","@sergio_fajardo")</f>
        <v>@sergio_fajardo</v>
      </c>
      <c r="C3377" s="5" t="s">
        <v>16</v>
      </c>
      <c r="D3377" s="5" t="s">
        <v>3398</v>
      </c>
      <c r="E3377" s="6" t="str">
        <f>HYPERLINK("https://twitter.com/sergio_fajardo/status/1452017224017973258","1452017224017973258")</f>
        <v>1452017224017973258</v>
      </c>
      <c r="F3377" s="7" t="s">
        <v>17</v>
      </c>
      <c r="G3377" s="7">
        <v>1598050</v>
      </c>
      <c r="H3377" s="7">
        <v>588</v>
      </c>
      <c r="I3377" s="7">
        <v>20</v>
      </c>
      <c r="J3377" s="7">
        <v>27</v>
      </c>
      <c r="K3377" s="7" t="s">
        <v>18</v>
      </c>
      <c r="L3377" s="8">
        <v>39891.213356481479</v>
      </c>
      <c r="M3377" s="9" t="s">
        <v>19</v>
      </c>
      <c r="N3377" s="9" t="s">
        <v>22</v>
      </c>
      <c r="O3377" s="6" t="str">
        <f>HYPERLINK("https://pbs.twimg.com/profile_images/1433591977631748099/wuGDIimB_normal.jpg","View")</f>
        <v>View</v>
      </c>
      <c r="P3377" s="7"/>
    </row>
    <row r="3378" spans="1:16">
      <c r="A3378" s="3">
        <v>44493.104907407411</v>
      </c>
      <c r="B3378" s="4" t="str">
        <f>HYPERLINK("https://twitter.com/sergio_fajardo","@sergio_fajardo")</f>
        <v>@sergio_fajardo</v>
      </c>
      <c r="C3378" s="5" t="s">
        <v>16</v>
      </c>
      <c r="D3378" s="5" t="s">
        <v>3399</v>
      </c>
      <c r="E3378" s="6" t="str">
        <f>HYPERLINK("https://twitter.com/sergio_fajardo/status/1452017250559475716","1452017250559475716")</f>
        <v>1452017250559475716</v>
      </c>
      <c r="F3378" s="7" t="s">
        <v>17</v>
      </c>
      <c r="G3378" s="7">
        <v>1598050</v>
      </c>
      <c r="H3378" s="7">
        <v>588</v>
      </c>
      <c r="I3378" s="7">
        <v>16</v>
      </c>
      <c r="J3378" s="7">
        <v>0</v>
      </c>
      <c r="K3378" s="7" t="s">
        <v>18</v>
      </c>
      <c r="L3378" s="8">
        <v>39891.213356481479</v>
      </c>
      <c r="M3378" s="9" t="s">
        <v>19</v>
      </c>
      <c r="N3378" s="9" t="s">
        <v>22</v>
      </c>
      <c r="O3378" s="6" t="str">
        <f>HYPERLINK("https://pbs.twimg.com/profile_images/1433591977631748099/wuGDIimB_normal.jpg","View")</f>
        <v>View</v>
      </c>
      <c r="P3378" s="7"/>
    </row>
    <row r="3379" spans="1:16">
      <c r="A3379" s="3">
        <v>44493.109189814815</v>
      </c>
      <c r="B3379" s="4" t="str">
        <f>HYPERLINK("https://twitter.com/sergio_fajardo","@sergio_fajardo")</f>
        <v>@sergio_fajardo</v>
      </c>
      <c r="C3379" s="5" t="s">
        <v>16</v>
      </c>
      <c r="D3379" s="5" t="s">
        <v>3400</v>
      </c>
      <c r="E3379" s="6" t="str">
        <f>HYPERLINK("https://twitter.com/sergio_fajardo/status/1452018803391537155","1452018803391537155")</f>
        <v>1452018803391537155</v>
      </c>
      <c r="F3379" s="7" t="s">
        <v>17</v>
      </c>
      <c r="G3379" s="7">
        <v>1598050</v>
      </c>
      <c r="H3379" s="7">
        <v>588</v>
      </c>
      <c r="I3379" s="7">
        <v>12</v>
      </c>
      <c r="J3379" s="7">
        <v>0</v>
      </c>
      <c r="K3379" s="7" t="s">
        <v>18</v>
      </c>
      <c r="L3379" s="8">
        <v>39891.213356481479</v>
      </c>
      <c r="M3379" s="9" t="s">
        <v>19</v>
      </c>
      <c r="N3379" s="9" t="s">
        <v>22</v>
      </c>
      <c r="O3379" s="6" t="str">
        <f>HYPERLINK("https://pbs.twimg.com/profile_images/1433591977631748099/wuGDIimB_normal.jpg","View")</f>
        <v>View</v>
      </c>
      <c r="P3379" s="7"/>
    </row>
    <row r="3380" spans="1:16">
      <c r="A3380" s="3">
        <v>44493.11</v>
      </c>
      <c r="B3380" s="4" t="str">
        <f>HYPERLINK("https://twitter.com/sergio_fajardo","@sergio_fajardo")</f>
        <v>@sergio_fajardo</v>
      </c>
      <c r="C3380" s="5" t="s">
        <v>16</v>
      </c>
      <c r="D3380" s="5" t="s">
        <v>3401</v>
      </c>
      <c r="E3380" s="6" t="str">
        <f>HYPERLINK("https://twitter.com/sergio_fajardo/status/1452019096007188480","1452019096007188480")</f>
        <v>1452019096007188480</v>
      </c>
      <c r="F3380" s="7" t="s">
        <v>17</v>
      </c>
      <c r="G3380" s="7">
        <v>1598050</v>
      </c>
      <c r="H3380" s="7">
        <v>588</v>
      </c>
      <c r="I3380" s="7">
        <v>16</v>
      </c>
      <c r="J3380" s="7">
        <v>0</v>
      </c>
      <c r="K3380" s="7" t="s">
        <v>18</v>
      </c>
      <c r="L3380" s="8">
        <v>39891.213356481479</v>
      </c>
      <c r="M3380" s="9" t="s">
        <v>19</v>
      </c>
      <c r="N3380" s="9" t="s">
        <v>22</v>
      </c>
      <c r="O3380" s="6" t="str">
        <f>HYPERLINK("https://pbs.twimg.com/profile_images/1433591977631748099/wuGDIimB_normal.jpg","View")</f>
        <v>View</v>
      </c>
      <c r="P3380" s="7"/>
    </row>
    <row r="3381" spans="1:16">
      <c r="A3381" s="3">
        <v>44493.110902777778</v>
      </c>
      <c r="B3381" s="4" t="str">
        <f>HYPERLINK("https://twitter.com/sergio_fajardo","@sergio_fajardo")</f>
        <v>@sergio_fajardo</v>
      </c>
      <c r="C3381" s="5" t="s">
        <v>16</v>
      </c>
      <c r="D3381" s="5" t="s">
        <v>3402</v>
      </c>
      <c r="E3381" s="6" t="str">
        <f>HYPERLINK("https://twitter.com/sergio_fajardo/status/1452019425314578439","1452019425314578439")</f>
        <v>1452019425314578439</v>
      </c>
      <c r="F3381" s="7" t="s">
        <v>17</v>
      </c>
      <c r="G3381" s="7">
        <v>1598050</v>
      </c>
      <c r="H3381" s="7">
        <v>588</v>
      </c>
      <c r="I3381" s="7">
        <v>1</v>
      </c>
      <c r="J3381" s="7">
        <v>3</v>
      </c>
      <c r="K3381" s="7" t="s">
        <v>18</v>
      </c>
      <c r="L3381" s="8">
        <v>39891.213356481479</v>
      </c>
      <c r="M3381" s="9" t="s">
        <v>19</v>
      </c>
      <c r="N3381" s="9" t="s">
        <v>22</v>
      </c>
      <c r="O3381" s="6" t="str">
        <f>HYPERLINK("https://pbs.twimg.com/profile_images/1433591977631748099/wuGDIimB_normal.jpg","View")</f>
        <v>View</v>
      </c>
      <c r="P3381" s="7"/>
    </row>
    <row r="3382" spans="1:16">
      <c r="A3382" s="3">
        <v>44493.11347222222</v>
      </c>
      <c r="B3382" s="4" t="str">
        <f>HYPERLINK("https://twitter.com/sergio_fajardo","@sergio_fajardo")</f>
        <v>@sergio_fajardo</v>
      </c>
      <c r="C3382" s="5" t="s">
        <v>16</v>
      </c>
      <c r="D3382" s="5" t="s">
        <v>3403</v>
      </c>
      <c r="E3382" s="6" t="str">
        <f>HYPERLINK("https://twitter.com/sergio_fajardo/status/1452020356949200897","1452020356949200897")</f>
        <v>1452020356949200897</v>
      </c>
      <c r="F3382" s="7" t="s">
        <v>17</v>
      </c>
      <c r="G3382" s="7">
        <v>1598050</v>
      </c>
      <c r="H3382" s="7">
        <v>588</v>
      </c>
      <c r="I3382" s="7">
        <v>6</v>
      </c>
      <c r="J3382" s="7">
        <v>0</v>
      </c>
      <c r="K3382" s="7" t="s">
        <v>18</v>
      </c>
      <c r="L3382" s="8">
        <v>39891.213356481479</v>
      </c>
      <c r="M3382" s="9" t="s">
        <v>19</v>
      </c>
      <c r="N3382" s="9" t="s">
        <v>22</v>
      </c>
      <c r="O3382" s="6" t="str">
        <f>HYPERLINK("https://pbs.twimg.com/profile_images/1433591977631748099/wuGDIimB_normal.jpg","View")</f>
        <v>View</v>
      </c>
      <c r="P3382" s="7"/>
    </row>
    <row r="3383" spans="1:16">
      <c r="A3383" s="3">
        <v>44493.119259259256</v>
      </c>
      <c r="B3383" s="4" t="str">
        <f>HYPERLINK("https://twitter.com/sergio_fajardo","@sergio_fajardo")</f>
        <v>@sergio_fajardo</v>
      </c>
      <c r="C3383" s="5" t="s">
        <v>16</v>
      </c>
      <c r="D3383" s="5" t="s">
        <v>3404</v>
      </c>
      <c r="E3383" s="6" t="str">
        <f>HYPERLINK("https://twitter.com/sergio_fajardo/status/1452022453304274971","1452022453304274971")</f>
        <v>1452022453304274971</v>
      </c>
      <c r="F3383" s="7" t="s">
        <v>17</v>
      </c>
      <c r="G3383" s="7">
        <v>1598029</v>
      </c>
      <c r="H3383" s="7">
        <v>588</v>
      </c>
      <c r="I3383" s="7">
        <v>21</v>
      </c>
      <c r="J3383" s="7">
        <v>0</v>
      </c>
      <c r="K3383" s="7" t="s">
        <v>18</v>
      </c>
      <c r="L3383" s="8">
        <v>39891.213356481479</v>
      </c>
      <c r="M3383" s="9" t="s">
        <v>19</v>
      </c>
      <c r="N3383" s="9" t="s">
        <v>22</v>
      </c>
      <c r="O3383" s="6" t="str">
        <f>HYPERLINK("https://pbs.twimg.com/profile_images/1433591977631748099/wuGDIimB_normal.jpg","View")</f>
        <v>View</v>
      </c>
      <c r="P3383" s="7"/>
    </row>
    <row r="3384" spans="1:16">
      <c r="A3384" s="3">
        <v>44493.134652777779</v>
      </c>
      <c r="B3384" s="4" t="str">
        <f>HYPERLINK("https://twitter.com/sergio_fajardo","@sergio_fajardo")</f>
        <v>@sergio_fajardo</v>
      </c>
      <c r="C3384" s="5" t="s">
        <v>16</v>
      </c>
      <c r="D3384" s="5" t="s">
        <v>3405</v>
      </c>
      <c r="E3384" s="6" t="str">
        <f>HYPERLINK("https://twitter.com/sergio_fajardo/status/1452028031695048711","1452028031695048711")</f>
        <v>1452028031695048711</v>
      </c>
      <c r="F3384" s="7" t="s">
        <v>17</v>
      </c>
      <c r="G3384" s="7">
        <v>1598029</v>
      </c>
      <c r="H3384" s="7">
        <v>588</v>
      </c>
      <c r="I3384" s="7">
        <v>7</v>
      </c>
      <c r="J3384" s="7">
        <v>0</v>
      </c>
      <c r="K3384" s="7" t="s">
        <v>18</v>
      </c>
      <c r="L3384" s="8">
        <v>39891.213356481479</v>
      </c>
      <c r="M3384" s="9" t="s">
        <v>19</v>
      </c>
      <c r="N3384" s="9" t="s">
        <v>22</v>
      </c>
      <c r="O3384" s="6" t="str">
        <f>HYPERLINK("https://pbs.twimg.com/profile_images/1433591977631748099/wuGDIimB_normal.jpg","View")</f>
        <v>View</v>
      </c>
      <c r="P3384" s="7"/>
    </row>
    <row r="3385" spans="1:16">
      <c r="A3385" s="3">
        <v>44493.139849537038</v>
      </c>
      <c r="B3385" s="4" t="str">
        <f>HYPERLINK("https://twitter.com/sergio_fajardo","@sergio_fajardo")</f>
        <v>@sergio_fajardo</v>
      </c>
      <c r="C3385" s="5" t="s">
        <v>16</v>
      </c>
      <c r="D3385" s="5" t="s">
        <v>3406</v>
      </c>
      <c r="E3385" s="6" t="str">
        <f>HYPERLINK("https://twitter.com/sergio_fajardo/status/1452029914966859780","1452029914966859780")</f>
        <v>1452029914966859780</v>
      </c>
      <c r="F3385" s="7" t="s">
        <v>17</v>
      </c>
      <c r="G3385" s="7">
        <v>1598027</v>
      </c>
      <c r="H3385" s="7">
        <v>588</v>
      </c>
      <c r="I3385" s="7">
        <v>6</v>
      </c>
      <c r="J3385" s="7">
        <v>0</v>
      </c>
      <c r="K3385" s="7" t="s">
        <v>18</v>
      </c>
      <c r="L3385" s="8">
        <v>39891.213356481479</v>
      </c>
      <c r="M3385" s="9" t="s">
        <v>19</v>
      </c>
      <c r="N3385" s="9" t="s">
        <v>22</v>
      </c>
      <c r="O3385" s="6" t="str">
        <f>HYPERLINK("https://pbs.twimg.com/profile_images/1433591977631748099/wuGDIimB_normal.jpg","View")</f>
        <v>View</v>
      </c>
      <c r="P3385" s="7"/>
    </row>
    <row r="3386" spans="1:16">
      <c r="A3386" s="3">
        <v>44493.143252314811</v>
      </c>
      <c r="B3386" s="4" t="str">
        <f>HYPERLINK("https://twitter.com/sergio_fajardo","@sergio_fajardo")</f>
        <v>@sergio_fajardo</v>
      </c>
      <c r="C3386" s="5" t="s">
        <v>16</v>
      </c>
      <c r="D3386" s="5" t="s">
        <v>3407</v>
      </c>
      <c r="E3386" s="6" t="str">
        <f>HYPERLINK("https://twitter.com/sergio_fajardo/status/1452031145030336512","1452031145030336512")</f>
        <v>1452031145030336512</v>
      </c>
      <c r="F3386" s="7" t="s">
        <v>17</v>
      </c>
      <c r="G3386" s="7">
        <v>1598027</v>
      </c>
      <c r="H3386" s="7">
        <v>588</v>
      </c>
      <c r="I3386" s="7">
        <v>12</v>
      </c>
      <c r="J3386" s="7">
        <v>0</v>
      </c>
      <c r="K3386" s="7" t="s">
        <v>18</v>
      </c>
      <c r="L3386" s="8">
        <v>39891.213356481479</v>
      </c>
      <c r="M3386" s="9" t="s">
        <v>19</v>
      </c>
      <c r="N3386" s="9" t="s">
        <v>22</v>
      </c>
      <c r="O3386" s="6" t="str">
        <f>HYPERLINK("https://pbs.twimg.com/profile_images/1433591977631748099/wuGDIimB_normal.jpg","View")</f>
        <v>View</v>
      </c>
      <c r="P3386" s="7"/>
    </row>
    <row r="3387" spans="1:16">
      <c r="A3387" s="3">
        <v>44493.153611111113</v>
      </c>
      <c r="B3387" s="4" t="str">
        <f>HYPERLINK("https://twitter.com/sergio_fajardo","@sergio_fajardo")</f>
        <v>@sergio_fajardo</v>
      </c>
      <c r="C3387" s="5" t="s">
        <v>16</v>
      </c>
      <c r="D3387" s="5" t="s">
        <v>3408</v>
      </c>
      <c r="E3387" s="6" t="str">
        <f>HYPERLINK("https://twitter.com/sergio_fajardo/status/1452034899997831172","1452034899997831172")</f>
        <v>1452034899997831172</v>
      </c>
      <c r="F3387" s="7" t="s">
        <v>17</v>
      </c>
      <c r="G3387" s="7">
        <v>1598027</v>
      </c>
      <c r="H3387" s="7">
        <v>588</v>
      </c>
      <c r="I3387" s="7">
        <v>2</v>
      </c>
      <c r="J3387" s="7">
        <v>0</v>
      </c>
      <c r="K3387" s="7" t="s">
        <v>18</v>
      </c>
      <c r="L3387" s="8">
        <v>39891.213356481479</v>
      </c>
      <c r="M3387" s="9" t="s">
        <v>19</v>
      </c>
      <c r="N3387" s="9" t="s">
        <v>22</v>
      </c>
      <c r="O3387" s="6" t="str">
        <f>HYPERLINK("https://pbs.twimg.com/profile_images/1433591977631748099/wuGDIimB_normal.jpg","View")</f>
        <v>View</v>
      </c>
      <c r="P3387" s="7"/>
    </row>
    <row r="3388" spans="1:16">
      <c r="A3388" s="3">
        <v>44493.156412037039</v>
      </c>
      <c r="B3388" s="4" t="str">
        <f>HYPERLINK("https://twitter.com/sergio_fajardo","@sergio_fajardo")</f>
        <v>@sergio_fajardo</v>
      </c>
      <c r="C3388" s="5" t="s">
        <v>16</v>
      </c>
      <c r="D3388" s="5" t="s">
        <v>3409</v>
      </c>
      <c r="E3388" s="6" t="str">
        <f>HYPERLINK("https://twitter.com/sergio_fajardo/status/1452035914977402880","1452035914977402880")</f>
        <v>1452035914977402880</v>
      </c>
      <c r="F3388" s="7" t="s">
        <v>17</v>
      </c>
      <c r="G3388" s="7">
        <v>1598027</v>
      </c>
      <c r="H3388" s="7">
        <v>588</v>
      </c>
      <c r="I3388" s="7">
        <v>4</v>
      </c>
      <c r="J3388" s="7">
        <v>28</v>
      </c>
      <c r="K3388" s="7" t="s">
        <v>18</v>
      </c>
      <c r="L3388" s="8">
        <v>39891.213356481479</v>
      </c>
      <c r="M3388" s="9" t="s">
        <v>19</v>
      </c>
      <c r="N3388" s="9" t="s">
        <v>22</v>
      </c>
      <c r="O3388" s="6" t="str">
        <f>HYPERLINK("https://pbs.twimg.com/profile_images/1433591977631748099/wuGDIimB_normal.jpg","View")</f>
        <v>View</v>
      </c>
      <c r="P3388" s="7"/>
    </row>
    <row r="3389" spans="1:16">
      <c r="A3389" s="3">
        <v>44493.165405092594</v>
      </c>
      <c r="B3389" s="4" t="str">
        <f>HYPERLINK("https://twitter.com/sergio_fajardo","@sergio_fajardo")</f>
        <v>@sergio_fajardo</v>
      </c>
      <c r="C3389" s="5" t="s">
        <v>16</v>
      </c>
      <c r="D3389" s="5" t="s">
        <v>3410</v>
      </c>
      <c r="E3389" s="6" t="str">
        <f>HYPERLINK("https://twitter.com/sergio_fajardo/status/1452039173775441920","1452039173775441920")</f>
        <v>1452039173775441920</v>
      </c>
      <c r="F3389" s="7" t="s">
        <v>17</v>
      </c>
      <c r="G3389" s="7">
        <v>1598029</v>
      </c>
      <c r="H3389" s="7">
        <v>588</v>
      </c>
      <c r="I3389" s="7">
        <v>4</v>
      </c>
      <c r="J3389" s="7">
        <v>0</v>
      </c>
      <c r="K3389" s="7" t="s">
        <v>18</v>
      </c>
      <c r="L3389" s="8">
        <v>39891.213356481479</v>
      </c>
      <c r="M3389" s="9" t="s">
        <v>19</v>
      </c>
      <c r="N3389" s="9" t="s">
        <v>22</v>
      </c>
      <c r="O3389" s="6" t="str">
        <f>HYPERLINK("https://pbs.twimg.com/profile_images/1433591977631748099/wuGDIimB_normal.jpg","View")</f>
        <v>View</v>
      </c>
      <c r="P3389" s="7"/>
    </row>
    <row r="3390" spans="1:16">
      <c r="A3390" s="3">
        <v>44493.178530092591</v>
      </c>
      <c r="B3390" s="4" t="str">
        <f>HYPERLINK("https://twitter.com/sergio_fajardo","@sergio_fajardo")</f>
        <v>@sergio_fajardo</v>
      </c>
      <c r="C3390" s="5" t="s">
        <v>16</v>
      </c>
      <c r="D3390" s="5" t="s">
        <v>3411</v>
      </c>
      <c r="E3390" s="6" t="str">
        <f>HYPERLINK("https://twitter.com/sergio_fajardo/status/1452043930766299137","1452043930766299137")</f>
        <v>1452043930766299137</v>
      </c>
      <c r="F3390" s="7" t="s">
        <v>17</v>
      </c>
      <c r="G3390" s="7">
        <v>1598029</v>
      </c>
      <c r="H3390" s="7">
        <v>588</v>
      </c>
      <c r="I3390" s="7">
        <v>1</v>
      </c>
      <c r="J3390" s="7">
        <v>0</v>
      </c>
      <c r="K3390" s="7" t="s">
        <v>18</v>
      </c>
      <c r="L3390" s="8">
        <v>39891.213356481479</v>
      </c>
      <c r="M3390" s="9" t="s">
        <v>19</v>
      </c>
      <c r="N3390" s="9" t="s">
        <v>22</v>
      </c>
      <c r="O3390" s="6" t="str">
        <f>HYPERLINK("https://pbs.twimg.com/profile_images/1433591977631748099/wuGDIimB_normal.jpg","View")</f>
        <v>View</v>
      </c>
      <c r="P3390" s="7"/>
    </row>
    <row r="3391" spans="1:16">
      <c r="A3391" s="3">
        <v>44493.196446759262</v>
      </c>
      <c r="B3391" s="4" t="str">
        <f>HYPERLINK("https://twitter.com/sergio_fajardo","@sergio_fajardo")</f>
        <v>@sergio_fajardo</v>
      </c>
      <c r="C3391" s="5" t="s">
        <v>16</v>
      </c>
      <c r="D3391" s="5" t="s">
        <v>3412</v>
      </c>
      <c r="E3391" s="6" t="str">
        <f>HYPERLINK("https://twitter.com/sergio_fajardo/status/1452050423528017922","1452050423528017922")</f>
        <v>1452050423528017922</v>
      </c>
      <c r="F3391" s="7" t="s">
        <v>17</v>
      </c>
      <c r="G3391" s="7">
        <v>1598031</v>
      </c>
      <c r="H3391" s="7">
        <v>588</v>
      </c>
      <c r="I3391" s="7">
        <v>4</v>
      </c>
      <c r="J3391" s="7">
        <v>0</v>
      </c>
      <c r="K3391" s="7" t="s">
        <v>18</v>
      </c>
      <c r="L3391" s="8">
        <v>39891.213356481479</v>
      </c>
      <c r="M3391" s="9" t="s">
        <v>19</v>
      </c>
      <c r="N3391" s="9" t="s">
        <v>22</v>
      </c>
      <c r="O3391" s="6" t="str">
        <f>HYPERLINK("https://pbs.twimg.com/profile_images/1433591977631748099/wuGDIimB_normal.jpg","View")</f>
        <v>View</v>
      </c>
      <c r="P3391" s="7"/>
    </row>
    <row r="3392" spans="1:16">
      <c r="A3392" s="3">
        <v>44493.196689814809</v>
      </c>
      <c r="B3392" s="4" t="str">
        <f>HYPERLINK("https://twitter.com/sergio_fajardo","@sergio_fajardo")</f>
        <v>@sergio_fajardo</v>
      </c>
      <c r="C3392" s="5" t="s">
        <v>16</v>
      </c>
      <c r="D3392" s="5" t="s">
        <v>3413</v>
      </c>
      <c r="E3392" s="6" t="str">
        <f>HYPERLINK("https://twitter.com/sergio_fajardo/status/1452050510954049546","1452050510954049546")</f>
        <v>1452050510954049546</v>
      </c>
      <c r="F3392" s="7" t="s">
        <v>17</v>
      </c>
      <c r="G3392" s="7">
        <v>1598031</v>
      </c>
      <c r="H3392" s="7">
        <v>588</v>
      </c>
      <c r="I3392" s="7">
        <v>7</v>
      </c>
      <c r="J3392" s="7">
        <v>0</v>
      </c>
      <c r="K3392" s="7" t="s">
        <v>18</v>
      </c>
      <c r="L3392" s="8">
        <v>39891.213356481479</v>
      </c>
      <c r="M3392" s="9" t="s">
        <v>19</v>
      </c>
      <c r="N3392" s="9" t="s">
        <v>22</v>
      </c>
      <c r="O3392" s="6" t="str">
        <f>HYPERLINK("https://pbs.twimg.com/profile_images/1433591977631748099/wuGDIimB_normal.jpg","View")</f>
        <v>View</v>
      </c>
      <c r="P3392" s="7"/>
    </row>
    <row r="3393" spans="1:16">
      <c r="A3393" s="3">
        <v>44493.196782407409</v>
      </c>
      <c r="B3393" s="4" t="str">
        <f>HYPERLINK("https://twitter.com/sergio_fajardo","@sergio_fajardo")</f>
        <v>@sergio_fajardo</v>
      </c>
      <c r="C3393" s="5" t="s">
        <v>16</v>
      </c>
      <c r="D3393" s="5" t="s">
        <v>3414</v>
      </c>
      <c r="E3393" s="6" t="str">
        <f>HYPERLINK("https://twitter.com/sergio_fajardo/status/1452050545687023626","1452050545687023626")</f>
        <v>1452050545687023626</v>
      </c>
      <c r="F3393" s="7" t="s">
        <v>17</v>
      </c>
      <c r="G3393" s="7">
        <v>1598031</v>
      </c>
      <c r="H3393" s="7">
        <v>588</v>
      </c>
      <c r="I3393" s="7">
        <v>3</v>
      </c>
      <c r="J3393" s="7">
        <v>0</v>
      </c>
      <c r="K3393" s="7" t="s">
        <v>18</v>
      </c>
      <c r="L3393" s="8">
        <v>39891.213356481479</v>
      </c>
      <c r="M3393" s="9" t="s">
        <v>19</v>
      </c>
      <c r="N3393" s="9" t="s">
        <v>22</v>
      </c>
      <c r="O3393" s="6" t="str">
        <f>HYPERLINK("https://pbs.twimg.com/profile_images/1433591977631748099/wuGDIimB_normal.jpg","View")</f>
        <v>View</v>
      </c>
      <c r="P3393" s="7"/>
    </row>
    <row r="3394" spans="1:16">
      <c r="A3394" s="3">
        <v>44493.196851851855</v>
      </c>
      <c r="B3394" s="4" t="str">
        <f>HYPERLINK("https://twitter.com/sergio_fajardo","@sergio_fajardo")</f>
        <v>@sergio_fajardo</v>
      </c>
      <c r="C3394" s="5" t="s">
        <v>16</v>
      </c>
      <c r="D3394" s="5" t="s">
        <v>3415</v>
      </c>
      <c r="E3394" s="6" t="str">
        <f>HYPERLINK("https://twitter.com/sergio_fajardo/status/1452050571742138368","1452050571742138368")</f>
        <v>1452050571742138368</v>
      </c>
      <c r="F3394" s="7" t="s">
        <v>17</v>
      </c>
      <c r="G3394" s="7">
        <v>1598031</v>
      </c>
      <c r="H3394" s="7">
        <v>588</v>
      </c>
      <c r="I3394" s="7">
        <v>3</v>
      </c>
      <c r="J3394" s="7">
        <v>0</v>
      </c>
      <c r="K3394" s="7" t="s">
        <v>18</v>
      </c>
      <c r="L3394" s="8">
        <v>39891.213356481479</v>
      </c>
      <c r="M3394" s="9" t="s">
        <v>19</v>
      </c>
      <c r="N3394" s="9" t="s">
        <v>22</v>
      </c>
      <c r="O3394" s="6" t="str">
        <f>HYPERLINK("https://pbs.twimg.com/profile_images/1433591977631748099/wuGDIimB_normal.jpg","View")</f>
        <v>View</v>
      </c>
      <c r="P3394" s="7"/>
    </row>
    <row r="3395" spans="1:16">
      <c r="A3395" s="3">
        <v>44493.196932870371</v>
      </c>
      <c r="B3395" s="4" t="str">
        <f>HYPERLINK("https://twitter.com/sergio_fajardo","@sergio_fajardo")</f>
        <v>@sergio_fajardo</v>
      </c>
      <c r="C3395" s="5" t="s">
        <v>16</v>
      </c>
      <c r="D3395" s="5" t="s">
        <v>3416</v>
      </c>
      <c r="E3395" s="6" t="str">
        <f>HYPERLINK("https://twitter.com/sergio_fajardo/status/1452050601102266376","1452050601102266376")</f>
        <v>1452050601102266376</v>
      </c>
      <c r="F3395" s="7" t="s">
        <v>17</v>
      </c>
      <c r="G3395" s="7">
        <v>1598031</v>
      </c>
      <c r="H3395" s="7">
        <v>588</v>
      </c>
      <c r="I3395" s="7">
        <v>4</v>
      </c>
      <c r="J3395" s="7">
        <v>0</v>
      </c>
      <c r="K3395" s="7" t="s">
        <v>18</v>
      </c>
      <c r="L3395" s="8">
        <v>39891.213356481479</v>
      </c>
      <c r="M3395" s="9" t="s">
        <v>19</v>
      </c>
      <c r="N3395" s="9" t="s">
        <v>22</v>
      </c>
      <c r="O3395" s="6" t="str">
        <f>HYPERLINK("https://pbs.twimg.com/profile_images/1433591977631748099/wuGDIimB_normal.jpg","View")</f>
        <v>View</v>
      </c>
      <c r="P3395" s="7"/>
    </row>
    <row r="3396" spans="1:16">
      <c r="A3396" s="3">
        <v>44493.20211805556</v>
      </c>
      <c r="B3396" s="4" t="str">
        <f>HYPERLINK("https://twitter.com/sergio_fajardo","@sergio_fajardo")</f>
        <v>@sergio_fajardo</v>
      </c>
      <c r="C3396" s="5" t="s">
        <v>16</v>
      </c>
      <c r="D3396" s="5" t="s">
        <v>3417</v>
      </c>
      <c r="E3396" s="6" t="str">
        <f>HYPERLINK("https://twitter.com/sergio_fajardo/status/1452052477579251716","1452052477579251716")</f>
        <v>1452052477579251716</v>
      </c>
      <c r="F3396" s="7" t="s">
        <v>17</v>
      </c>
      <c r="G3396" s="7">
        <v>1598033</v>
      </c>
      <c r="H3396" s="7">
        <v>588</v>
      </c>
      <c r="I3396" s="7">
        <v>5</v>
      </c>
      <c r="J3396" s="7">
        <v>0</v>
      </c>
      <c r="K3396" s="7" t="s">
        <v>18</v>
      </c>
      <c r="L3396" s="8">
        <v>39891.213356481479</v>
      </c>
      <c r="M3396" s="9" t="s">
        <v>19</v>
      </c>
      <c r="N3396" s="9" t="s">
        <v>22</v>
      </c>
      <c r="O3396" s="6" t="str">
        <f>HYPERLINK("https://pbs.twimg.com/profile_images/1433591977631748099/wuGDIimB_normal.jpg","View")</f>
        <v>View</v>
      </c>
      <c r="P3396" s="7"/>
    </row>
    <row r="3397" spans="1:16">
      <c r="A3397" s="3">
        <v>44493.202152777776</v>
      </c>
      <c r="B3397" s="4" t="str">
        <f>HYPERLINK("https://twitter.com/sergio_fajardo","@sergio_fajardo")</f>
        <v>@sergio_fajardo</v>
      </c>
      <c r="C3397" s="5" t="s">
        <v>16</v>
      </c>
      <c r="D3397" s="5" t="s">
        <v>3418</v>
      </c>
      <c r="E3397" s="6" t="str">
        <f>HYPERLINK("https://twitter.com/sergio_fajardo/status/1452052492695609352","1452052492695609352")</f>
        <v>1452052492695609352</v>
      </c>
      <c r="F3397" s="7" t="s">
        <v>17</v>
      </c>
      <c r="G3397" s="7">
        <v>1598033</v>
      </c>
      <c r="H3397" s="7">
        <v>588</v>
      </c>
      <c r="I3397" s="7">
        <v>5</v>
      </c>
      <c r="J3397" s="7">
        <v>0</v>
      </c>
      <c r="K3397" s="7" t="s">
        <v>18</v>
      </c>
      <c r="L3397" s="8">
        <v>39891.213356481479</v>
      </c>
      <c r="M3397" s="9" t="s">
        <v>19</v>
      </c>
      <c r="N3397" s="9" t="s">
        <v>22</v>
      </c>
      <c r="O3397" s="6" t="str">
        <f>HYPERLINK("https://pbs.twimg.com/profile_images/1433591977631748099/wuGDIimB_normal.jpg","View")</f>
        <v>View</v>
      </c>
      <c r="P3397" s="7"/>
    </row>
    <row r="3398" spans="1:16">
      <c r="A3398" s="3">
        <v>44493.202187499999</v>
      </c>
      <c r="B3398" s="4" t="str">
        <f>HYPERLINK("https://twitter.com/sergio_fajardo","@sergio_fajardo")</f>
        <v>@sergio_fajardo</v>
      </c>
      <c r="C3398" s="5" t="s">
        <v>16</v>
      </c>
      <c r="D3398" s="5" t="s">
        <v>3419</v>
      </c>
      <c r="E3398" s="6" t="str">
        <f>HYPERLINK("https://twitter.com/sergio_fajardo/status/1452052503474880513","1452052503474880513")</f>
        <v>1452052503474880513</v>
      </c>
      <c r="F3398" s="7" t="s">
        <v>17</v>
      </c>
      <c r="G3398" s="7">
        <v>1598033</v>
      </c>
      <c r="H3398" s="7">
        <v>588</v>
      </c>
      <c r="I3398" s="7">
        <v>6</v>
      </c>
      <c r="J3398" s="7">
        <v>0</v>
      </c>
      <c r="K3398" s="7" t="s">
        <v>18</v>
      </c>
      <c r="L3398" s="8">
        <v>39891.213356481479</v>
      </c>
      <c r="M3398" s="9" t="s">
        <v>19</v>
      </c>
      <c r="N3398" s="9" t="s">
        <v>22</v>
      </c>
      <c r="O3398" s="6" t="str">
        <f>HYPERLINK("https://pbs.twimg.com/profile_images/1433591977631748099/wuGDIimB_normal.jpg","View")</f>
        <v>View</v>
      </c>
      <c r="P3398" s="7"/>
    </row>
    <row r="3399" spans="1:16">
      <c r="A3399" s="3">
        <v>44493.219201388885</v>
      </c>
      <c r="B3399" s="4" t="str">
        <f>HYPERLINK("https://twitter.com/sergio_fajardo","@sergio_fajardo")</f>
        <v>@sergio_fajardo</v>
      </c>
      <c r="C3399" s="5" t="s">
        <v>16</v>
      </c>
      <c r="D3399" s="5" t="s">
        <v>3420</v>
      </c>
      <c r="E3399" s="6" t="str">
        <f>HYPERLINK("https://twitter.com/sergio_fajardo/status/1452058671312211969","1452058671312211969")</f>
        <v>1452058671312211969</v>
      </c>
      <c r="F3399" s="7" t="s">
        <v>17</v>
      </c>
      <c r="G3399" s="7">
        <v>1598033</v>
      </c>
      <c r="H3399" s="7">
        <v>588</v>
      </c>
      <c r="I3399" s="7">
        <v>0</v>
      </c>
      <c r="J3399" s="7">
        <v>1</v>
      </c>
      <c r="K3399" s="7" t="s">
        <v>18</v>
      </c>
      <c r="L3399" s="8">
        <v>39891.213356481479</v>
      </c>
      <c r="M3399" s="9" t="s">
        <v>19</v>
      </c>
      <c r="N3399" s="9" t="s">
        <v>22</v>
      </c>
      <c r="O3399" s="6" t="str">
        <f>HYPERLINK("https://pbs.twimg.com/profile_images/1433591977631748099/wuGDIimB_normal.jpg","View")</f>
        <v>View</v>
      </c>
      <c r="P3399" s="7"/>
    </row>
    <row r="3400" spans="1:16">
      <c r="A3400" s="3">
        <v>44493.281168981484</v>
      </c>
      <c r="B3400" s="4" t="str">
        <f>HYPERLINK("https://twitter.com/sergio_fajardo","@sergio_fajardo")</f>
        <v>@sergio_fajardo</v>
      </c>
      <c r="C3400" s="5" t="s">
        <v>16</v>
      </c>
      <c r="D3400" s="5" t="s">
        <v>3421</v>
      </c>
      <c r="E3400" s="6" t="str">
        <f>HYPERLINK("https://twitter.com/sergio_fajardo/status/1452081127418699779","1452081127418699779")</f>
        <v>1452081127418699779</v>
      </c>
      <c r="F3400" s="7" t="s">
        <v>17</v>
      </c>
      <c r="G3400" s="7">
        <v>1598025</v>
      </c>
      <c r="H3400" s="7">
        <v>588</v>
      </c>
      <c r="I3400" s="7">
        <v>4</v>
      </c>
      <c r="J3400" s="7">
        <v>0</v>
      </c>
      <c r="K3400" s="7" t="s">
        <v>18</v>
      </c>
      <c r="L3400" s="8">
        <v>39891.213356481479</v>
      </c>
      <c r="M3400" s="9" t="s">
        <v>19</v>
      </c>
      <c r="N3400" s="9" t="s">
        <v>22</v>
      </c>
      <c r="O3400" s="6" t="str">
        <f>HYPERLINK("https://pbs.twimg.com/profile_images/1433591977631748099/wuGDIimB_normal.jpg","View")</f>
        <v>View</v>
      </c>
      <c r="P3400" s="7"/>
    </row>
    <row r="3401" spans="1:16">
      <c r="A3401" s="3">
        <v>44493.283159722225</v>
      </c>
      <c r="B3401" s="4" t="str">
        <f>HYPERLINK("https://twitter.com/sergio_fajardo","@sergio_fajardo")</f>
        <v>@sergio_fajardo</v>
      </c>
      <c r="C3401" s="5" t="s">
        <v>16</v>
      </c>
      <c r="D3401" s="5" t="s">
        <v>3422</v>
      </c>
      <c r="E3401" s="6" t="str">
        <f>HYPERLINK("https://twitter.com/sergio_fajardo/status/1452081847962324993","1452081847962324993")</f>
        <v>1452081847962324993</v>
      </c>
      <c r="F3401" s="7" t="s">
        <v>17</v>
      </c>
      <c r="G3401" s="7">
        <v>1598027</v>
      </c>
      <c r="H3401" s="7">
        <v>588</v>
      </c>
      <c r="I3401" s="7">
        <v>9</v>
      </c>
      <c r="J3401" s="7">
        <v>32</v>
      </c>
      <c r="K3401" s="7" t="s">
        <v>18</v>
      </c>
      <c r="L3401" s="8">
        <v>39891.213356481479</v>
      </c>
      <c r="M3401" s="9" t="s">
        <v>19</v>
      </c>
      <c r="N3401" s="9" t="s">
        <v>22</v>
      </c>
      <c r="O3401" s="6" t="str">
        <f>HYPERLINK("https://pbs.twimg.com/profile_images/1433591977631748099/wuGDIimB_normal.jpg","View")</f>
        <v>View</v>
      </c>
      <c r="P3401" s="7"/>
    </row>
    <row r="3402" spans="1:16">
      <c r="A3402" s="3">
        <v>44493.821770833332</v>
      </c>
      <c r="B3402" s="4" t="str">
        <f>HYPERLINK("https://twitter.com/sergio_fajardo","@sergio_fajardo")</f>
        <v>@sergio_fajardo</v>
      </c>
      <c r="C3402" s="5" t="s">
        <v>16</v>
      </c>
      <c r="D3402" s="5" t="s">
        <v>3423</v>
      </c>
      <c r="E3402" s="6" t="str">
        <f>HYPERLINK("https://twitter.com/sergio_fajardo/status/1452277031971041288","1452277031971041288")</f>
        <v>1452277031971041288</v>
      </c>
      <c r="F3402" s="7" t="s">
        <v>17</v>
      </c>
      <c r="G3402" s="7">
        <v>1598070</v>
      </c>
      <c r="H3402" s="7">
        <v>588</v>
      </c>
      <c r="I3402" s="7">
        <v>5</v>
      </c>
      <c r="J3402" s="7">
        <v>13</v>
      </c>
      <c r="K3402" s="7" t="s">
        <v>18</v>
      </c>
      <c r="L3402" s="8">
        <v>39891.213356481479</v>
      </c>
      <c r="M3402" s="9" t="s">
        <v>19</v>
      </c>
      <c r="N3402" s="9" t="s">
        <v>22</v>
      </c>
      <c r="O3402" s="6" t="str">
        <f>HYPERLINK("https://pbs.twimg.com/profile_images/1433591977631748099/wuGDIimB_normal.jpg","View")</f>
        <v>View</v>
      </c>
      <c r="P3402" s="7"/>
    </row>
    <row r="3403" spans="1:16">
      <c r="A3403" s="3">
        <v>44493.938657407409</v>
      </c>
      <c r="B3403" s="4" t="str">
        <f>HYPERLINK("https://twitter.com/sergio_fajardo","@sergio_fajardo")</f>
        <v>@sergio_fajardo</v>
      </c>
      <c r="C3403" s="5" t="s">
        <v>16</v>
      </c>
      <c r="D3403" s="5" t="s">
        <v>3424</v>
      </c>
      <c r="E3403" s="6" t="str">
        <f>HYPERLINK("https://twitter.com/sergio_fajardo/status/1452319391123640330","1452319391123640330")</f>
        <v>1452319391123640330</v>
      </c>
      <c r="F3403" s="7" t="s">
        <v>17</v>
      </c>
      <c r="G3403" s="7">
        <v>1598072</v>
      </c>
      <c r="H3403" s="7">
        <v>588</v>
      </c>
      <c r="I3403" s="7">
        <v>4</v>
      </c>
      <c r="J3403" s="7">
        <v>30</v>
      </c>
      <c r="K3403" s="7" t="s">
        <v>18</v>
      </c>
      <c r="L3403" s="8">
        <v>39891.213356481479</v>
      </c>
      <c r="M3403" s="9" t="s">
        <v>19</v>
      </c>
      <c r="N3403" s="9" t="s">
        <v>22</v>
      </c>
      <c r="O3403" s="6" t="str">
        <f>HYPERLINK("https://pbs.twimg.com/profile_images/1433591977631748099/wuGDIimB_normal.jpg","View")</f>
        <v>View</v>
      </c>
      <c r="P3403" s="7"/>
    </row>
    <row r="3404" spans="1:16">
      <c r="A3404" s="3">
        <v>44494.145844907413</v>
      </c>
      <c r="B3404" s="4" t="str">
        <f>HYPERLINK("https://twitter.com/sergio_fajardo","@sergio_fajardo")</f>
        <v>@sergio_fajardo</v>
      </c>
      <c r="C3404" s="5" t="s">
        <v>16</v>
      </c>
      <c r="D3404" s="5" t="s">
        <v>3425</v>
      </c>
      <c r="E3404" s="6" t="str">
        <f>HYPERLINK("https://twitter.com/sergio_fajardo/status/1452394473271566348","1452394473271566348")</f>
        <v>1452394473271566348</v>
      </c>
      <c r="F3404" s="7" t="s">
        <v>2329</v>
      </c>
      <c r="G3404" s="7">
        <v>1598087</v>
      </c>
      <c r="H3404" s="7">
        <v>588</v>
      </c>
      <c r="I3404" s="7">
        <v>9</v>
      </c>
      <c r="J3404" s="7">
        <v>35</v>
      </c>
      <c r="K3404" s="7" t="s">
        <v>18</v>
      </c>
      <c r="L3404" s="8">
        <v>39891.213356481479</v>
      </c>
      <c r="M3404" s="9" t="s">
        <v>19</v>
      </c>
      <c r="N3404" s="9" t="s">
        <v>22</v>
      </c>
      <c r="O3404" s="6" t="str">
        <f>HYPERLINK("https://pbs.twimg.com/profile_images/1433591977631748099/wuGDIimB_normal.jpg","View")</f>
        <v>View</v>
      </c>
      <c r="P3404" s="7"/>
    </row>
    <row r="3405" spans="1:16">
      <c r="A3405" s="3">
        <v>44494.336435185185</v>
      </c>
      <c r="B3405" s="4" t="str">
        <f>HYPERLINK("https://twitter.com/sergio_fajardo","@sergio_fajardo")</f>
        <v>@sergio_fajardo</v>
      </c>
      <c r="C3405" s="5" t="s">
        <v>16</v>
      </c>
      <c r="D3405" s="5" t="s">
        <v>3426</v>
      </c>
      <c r="E3405" s="6" t="str">
        <f>HYPERLINK("https://twitter.com/sergio_fajardo/status/1452463543366963200","1452463543366963200")</f>
        <v>1452463543366963200</v>
      </c>
      <c r="F3405" s="7" t="s">
        <v>17</v>
      </c>
      <c r="G3405" s="7">
        <v>1598121</v>
      </c>
      <c r="H3405" s="7">
        <v>588</v>
      </c>
      <c r="I3405" s="7">
        <v>3</v>
      </c>
      <c r="J3405" s="7">
        <v>21</v>
      </c>
      <c r="K3405" s="7" t="s">
        <v>18</v>
      </c>
      <c r="L3405" s="8">
        <v>39891.213356481479</v>
      </c>
      <c r="M3405" s="9" t="s">
        <v>19</v>
      </c>
      <c r="N3405" s="9" t="s">
        <v>22</v>
      </c>
      <c r="O3405" s="6" t="str">
        <f>HYPERLINK("https://pbs.twimg.com/profile_images/1433591977631748099/wuGDIimB_normal.jpg","View")</f>
        <v>View</v>
      </c>
      <c r="P3405" s="7"/>
    </row>
    <row r="3406" spans="1:16">
      <c r="A3406" s="3">
        <v>44494.746504629627</v>
      </c>
      <c r="B3406" s="4" t="str">
        <f>HYPERLINK("https://twitter.com/sergio_fajardo","@sergio_fajardo")</f>
        <v>@sergio_fajardo</v>
      </c>
      <c r="C3406" s="5" t="s">
        <v>16</v>
      </c>
      <c r="D3406" s="5" t="s">
        <v>3427</v>
      </c>
      <c r="E3406" s="6" t="str">
        <f>HYPERLINK("https://twitter.com/sergio_fajardo/status/1452612147075338247","1452612147075338247")</f>
        <v>1452612147075338247</v>
      </c>
      <c r="F3406" s="7" t="s">
        <v>17</v>
      </c>
      <c r="G3406" s="7">
        <v>1598141</v>
      </c>
      <c r="H3406" s="7">
        <v>588</v>
      </c>
      <c r="I3406" s="7">
        <v>19</v>
      </c>
      <c r="J3406" s="7">
        <v>100</v>
      </c>
      <c r="K3406" s="7" t="s">
        <v>18</v>
      </c>
      <c r="L3406" s="8">
        <v>39891.213356481479</v>
      </c>
      <c r="M3406" s="9" t="s">
        <v>19</v>
      </c>
      <c r="N3406" s="9" t="s">
        <v>22</v>
      </c>
      <c r="O3406" s="6" t="str">
        <f>HYPERLINK("https://pbs.twimg.com/profile_images/1433591977631748099/wuGDIimB_normal.jpg","View")</f>
        <v>View</v>
      </c>
      <c r="P3406" s="7"/>
    </row>
    <row r="3407" spans="1:16">
      <c r="A3407" s="3">
        <v>44494.804467592592</v>
      </c>
      <c r="B3407" s="4" t="str">
        <f>HYPERLINK("https://twitter.com/sergio_fajardo","@sergio_fajardo")</f>
        <v>@sergio_fajardo</v>
      </c>
      <c r="C3407" s="5" t="s">
        <v>16</v>
      </c>
      <c r="D3407" s="5" t="s">
        <v>3428</v>
      </c>
      <c r="E3407" s="6" t="str">
        <f>HYPERLINK("https://twitter.com/sergio_fajardo/status/1452633151684190215","1452633151684190215")</f>
        <v>1452633151684190215</v>
      </c>
      <c r="F3407" s="7" t="s">
        <v>17</v>
      </c>
      <c r="G3407" s="7">
        <v>1598142</v>
      </c>
      <c r="H3407" s="7">
        <v>588</v>
      </c>
      <c r="I3407" s="7">
        <v>102</v>
      </c>
      <c r="J3407" s="7">
        <v>0</v>
      </c>
      <c r="K3407" s="7" t="s">
        <v>18</v>
      </c>
      <c r="L3407" s="8">
        <v>39891.213356481479</v>
      </c>
      <c r="M3407" s="9" t="s">
        <v>19</v>
      </c>
      <c r="N3407" s="9" t="s">
        <v>22</v>
      </c>
      <c r="O3407" s="6" t="str">
        <f>HYPERLINK("https://pbs.twimg.com/profile_images/1433591977631748099/wuGDIimB_normal.jpg","View")</f>
        <v>View</v>
      </c>
      <c r="P3407" s="7"/>
    </row>
    <row r="3408" spans="1:16">
      <c r="A3408" s="3">
        <v>44495.013796296298</v>
      </c>
      <c r="B3408" s="4" t="str">
        <f>HYPERLINK("https://twitter.com/sergio_fajardo","@sergio_fajardo")</f>
        <v>@sergio_fajardo</v>
      </c>
      <c r="C3408" s="5" t="s">
        <v>16</v>
      </c>
      <c r="D3408" s="5" t="s">
        <v>3429</v>
      </c>
      <c r="E3408" s="6" t="str">
        <f>HYPERLINK("https://twitter.com/sergio_fajardo/status/1452709010164027398","1452709010164027398")</f>
        <v>1452709010164027398</v>
      </c>
      <c r="F3408" s="7" t="s">
        <v>17</v>
      </c>
      <c r="G3408" s="7">
        <v>1598176</v>
      </c>
      <c r="H3408" s="7">
        <v>588</v>
      </c>
      <c r="I3408" s="7">
        <v>22</v>
      </c>
      <c r="J3408" s="7">
        <v>0</v>
      </c>
      <c r="K3408" s="7" t="s">
        <v>18</v>
      </c>
      <c r="L3408" s="8">
        <v>39891.213356481479</v>
      </c>
      <c r="M3408" s="9" t="s">
        <v>19</v>
      </c>
      <c r="N3408" s="9" t="s">
        <v>22</v>
      </c>
      <c r="O3408" s="6" t="str">
        <f>HYPERLINK("https://pbs.twimg.com/profile_images/1433591977631748099/wuGDIimB_normal.jpg","View")</f>
        <v>View</v>
      </c>
      <c r="P3408" s="7"/>
    </row>
    <row r="3409" spans="1:16">
      <c r="A3409" s="3">
        <v>44495.304745370369</v>
      </c>
      <c r="B3409" s="4" t="str">
        <f>HYPERLINK("https://twitter.com/sergio_fajardo","@sergio_fajardo")</f>
        <v>@sergio_fajardo</v>
      </c>
      <c r="C3409" s="5" t="s">
        <v>16</v>
      </c>
      <c r="D3409" s="5" t="s">
        <v>3430</v>
      </c>
      <c r="E3409" s="6" t="str">
        <f>HYPERLINK("https://twitter.com/sergio_fajardo/status/1452814445865013250","1452814445865013250")</f>
        <v>1452814445865013250</v>
      </c>
      <c r="F3409" s="7" t="s">
        <v>17</v>
      </c>
      <c r="G3409" s="7">
        <v>1598230</v>
      </c>
      <c r="H3409" s="7">
        <v>588</v>
      </c>
      <c r="I3409" s="7">
        <v>18</v>
      </c>
      <c r="J3409" s="7">
        <v>115</v>
      </c>
      <c r="K3409" s="7" t="s">
        <v>18</v>
      </c>
      <c r="L3409" s="8">
        <v>39891.213356481479</v>
      </c>
      <c r="M3409" s="9" t="s">
        <v>19</v>
      </c>
      <c r="N3409" s="9" t="s">
        <v>22</v>
      </c>
      <c r="O3409" s="6" t="str">
        <f>HYPERLINK("https://pbs.twimg.com/profile_images/1433591977631748099/wuGDIimB_normal.jpg","View")</f>
        <v>View</v>
      </c>
      <c r="P3409" s="7"/>
    </row>
    <row r="3410" spans="1:16">
      <c r="A3410" s="3">
        <v>44495.304745370369</v>
      </c>
      <c r="B3410" s="4" t="str">
        <f>HYPERLINK("https://twitter.com/sergio_fajardo","@sergio_fajardo")</f>
        <v>@sergio_fajardo</v>
      </c>
      <c r="C3410" s="5" t="s">
        <v>16</v>
      </c>
      <c r="D3410" s="5" t="s">
        <v>3431</v>
      </c>
      <c r="E3410" s="6" t="str">
        <f>HYPERLINK("https://twitter.com/sergio_fajardo/status/1452814446921928706","1452814446921928706")</f>
        <v>1452814446921928706</v>
      </c>
      <c r="F3410" s="7" t="s">
        <v>17</v>
      </c>
      <c r="G3410" s="7">
        <v>1598230</v>
      </c>
      <c r="H3410" s="7">
        <v>588</v>
      </c>
      <c r="I3410" s="7">
        <v>15</v>
      </c>
      <c r="J3410" s="7">
        <v>86</v>
      </c>
      <c r="K3410" s="7" t="s">
        <v>18</v>
      </c>
      <c r="L3410" s="8">
        <v>39891.213356481479</v>
      </c>
      <c r="M3410" s="9" t="s">
        <v>19</v>
      </c>
      <c r="N3410" s="9" t="s">
        <v>22</v>
      </c>
      <c r="O3410" s="6" t="str">
        <f>HYPERLINK("https://pbs.twimg.com/profile_images/1433591977631748099/wuGDIimB_normal.jpg","View")</f>
        <v>View</v>
      </c>
      <c r="P3410" s="7"/>
    </row>
    <row r="3411" spans="1:16">
      <c r="A3411" s="3">
        <v>44495.309039351851</v>
      </c>
      <c r="B3411" s="4" t="str">
        <f>HYPERLINK("https://twitter.com/sergio_fajardo","@sergio_fajardo")</f>
        <v>@sergio_fajardo</v>
      </c>
      <c r="C3411" s="5" t="s">
        <v>16</v>
      </c>
      <c r="D3411" s="5" t="s">
        <v>3432</v>
      </c>
      <c r="E3411" s="6" t="str">
        <f>HYPERLINK("https://twitter.com/sergio_fajardo/status/1452816001687560201","1452816001687560201")</f>
        <v>1452816001687560201</v>
      </c>
      <c r="F3411" s="7" t="s">
        <v>17</v>
      </c>
      <c r="G3411" s="7">
        <v>1598230</v>
      </c>
      <c r="H3411" s="7">
        <v>588</v>
      </c>
      <c r="I3411" s="7">
        <v>10</v>
      </c>
      <c r="J3411" s="7">
        <v>44</v>
      </c>
      <c r="K3411" s="7" t="s">
        <v>18</v>
      </c>
      <c r="L3411" s="8">
        <v>39891.213356481479</v>
      </c>
      <c r="M3411" s="9" t="s">
        <v>19</v>
      </c>
      <c r="N3411" s="9" t="s">
        <v>22</v>
      </c>
      <c r="O3411" s="6" t="str">
        <f>HYPERLINK("https://pbs.twimg.com/profile_images/1433591977631748099/wuGDIimB_normal.jpg","View")</f>
        <v>View</v>
      </c>
      <c r="P3411" s="7"/>
    </row>
    <row r="3412" spans="1:16">
      <c r="A3412" s="3">
        <v>44495.338692129633</v>
      </c>
      <c r="B3412" s="4" t="str">
        <f>HYPERLINK("https://twitter.com/sergio_fajardo","@sergio_fajardo")</f>
        <v>@sergio_fajardo</v>
      </c>
      <c r="C3412" s="5" t="s">
        <v>16</v>
      </c>
      <c r="D3412" s="5" t="s">
        <v>3433</v>
      </c>
      <c r="E3412" s="6" t="str">
        <f>HYPERLINK("https://twitter.com/sergio_fajardo/status/1452826748601741315","1452826748601741315")</f>
        <v>1452826748601741315</v>
      </c>
      <c r="F3412" s="7" t="s">
        <v>17</v>
      </c>
      <c r="G3412" s="7">
        <v>1598232</v>
      </c>
      <c r="H3412" s="7">
        <v>588</v>
      </c>
      <c r="I3412" s="7">
        <v>52</v>
      </c>
      <c r="J3412" s="7">
        <v>0</v>
      </c>
      <c r="K3412" s="7" t="s">
        <v>18</v>
      </c>
      <c r="L3412" s="8">
        <v>39891.213356481479</v>
      </c>
      <c r="M3412" s="9" t="s">
        <v>19</v>
      </c>
      <c r="N3412" s="9" t="s">
        <v>22</v>
      </c>
      <c r="O3412" s="6" t="str">
        <f>HYPERLINK("https://pbs.twimg.com/profile_images/1433591977631748099/wuGDIimB_normal.jpg","View")</f>
        <v>View</v>
      </c>
      <c r="P3412" s="7"/>
    </row>
    <row r="3413" spans="1:16">
      <c r="A3413" s="3">
        <v>44496.075844907406</v>
      </c>
      <c r="B3413" s="4" t="str">
        <f>HYPERLINK("https://twitter.com/sergio_fajardo","@sergio_fajardo")</f>
        <v>@sergio_fajardo</v>
      </c>
      <c r="C3413" s="5" t="s">
        <v>16</v>
      </c>
      <c r="D3413" s="5" t="s">
        <v>3434</v>
      </c>
      <c r="E3413" s="6" t="str">
        <f>HYPERLINK("https://twitter.com/sergio_fajardo/status/1453093883353645059","1453093883353645059")</f>
        <v>1453093883353645059</v>
      </c>
      <c r="F3413" s="7" t="s">
        <v>23</v>
      </c>
      <c r="G3413" s="7">
        <v>1598287</v>
      </c>
      <c r="H3413" s="7">
        <v>588</v>
      </c>
      <c r="I3413" s="7">
        <v>7</v>
      </c>
      <c r="J3413" s="7">
        <v>59</v>
      </c>
      <c r="K3413" s="7" t="s">
        <v>18</v>
      </c>
      <c r="L3413" s="8">
        <v>39891.213356481479</v>
      </c>
      <c r="M3413" s="9" t="s">
        <v>19</v>
      </c>
      <c r="N3413" s="9" t="s">
        <v>22</v>
      </c>
      <c r="O3413" s="6" t="str">
        <f>HYPERLINK("https://pbs.twimg.com/profile_images/1433591977631748099/wuGDIimB_normal.jpg","View")</f>
        <v>View</v>
      </c>
      <c r="P3413" s="7"/>
    </row>
    <row r="3414" spans="1:16">
      <c r="A3414" s="3">
        <v>44496.111203703702</v>
      </c>
      <c r="B3414" s="4" t="str">
        <f>HYPERLINK("https://twitter.com/sergio_fajardo","@sergio_fajardo")</f>
        <v>@sergio_fajardo</v>
      </c>
      <c r="C3414" s="5" t="s">
        <v>16</v>
      </c>
      <c r="D3414" s="5" t="s">
        <v>3435</v>
      </c>
      <c r="E3414" s="6" t="str">
        <f>HYPERLINK("https://twitter.com/sergio_fajardo/status/1453106696453300228","1453106696453300228")</f>
        <v>1453106696453300228</v>
      </c>
      <c r="F3414" s="7" t="s">
        <v>17</v>
      </c>
      <c r="G3414" s="7">
        <v>1598289</v>
      </c>
      <c r="H3414" s="7">
        <v>588</v>
      </c>
      <c r="I3414" s="7">
        <v>213</v>
      </c>
      <c r="J3414" s="7">
        <v>0</v>
      </c>
      <c r="K3414" s="7" t="s">
        <v>18</v>
      </c>
      <c r="L3414" s="8">
        <v>39891.213356481479</v>
      </c>
      <c r="M3414" s="9" t="s">
        <v>19</v>
      </c>
      <c r="N3414" s="9" t="s">
        <v>22</v>
      </c>
      <c r="O3414" s="6" t="str">
        <f>HYPERLINK("https://pbs.twimg.com/profile_images/1433591977631748099/wuGDIimB_normal.jpg","View")</f>
        <v>View</v>
      </c>
      <c r="P3414" s="7"/>
    </row>
    <row r="3415" spans="1:16">
      <c r="A3415" s="3">
        <v>44496.166296296295</v>
      </c>
      <c r="B3415" s="4" t="str">
        <f>HYPERLINK("https://twitter.com/sergio_fajardo","@sergio_fajardo")</f>
        <v>@sergio_fajardo</v>
      </c>
      <c r="C3415" s="5" t="s">
        <v>16</v>
      </c>
      <c r="D3415" s="5" t="s">
        <v>3436</v>
      </c>
      <c r="E3415" s="6" t="str">
        <f>HYPERLINK("https://twitter.com/sergio_fajardo/status/1453126661986205709","1453126661986205709")</f>
        <v>1453126661986205709</v>
      </c>
      <c r="F3415" s="7" t="s">
        <v>17</v>
      </c>
      <c r="G3415" s="7">
        <v>1598284</v>
      </c>
      <c r="H3415" s="7">
        <v>588</v>
      </c>
      <c r="I3415" s="7">
        <v>149</v>
      </c>
      <c r="J3415" s="7">
        <v>0</v>
      </c>
      <c r="K3415" s="7" t="s">
        <v>18</v>
      </c>
      <c r="L3415" s="8">
        <v>39891.213356481479</v>
      </c>
      <c r="M3415" s="9" t="s">
        <v>19</v>
      </c>
      <c r="N3415" s="9" t="s">
        <v>22</v>
      </c>
      <c r="O3415" s="6" t="str">
        <f>HYPERLINK("https://pbs.twimg.com/profile_images/1433591977631748099/wuGDIimB_normal.jpg","View")</f>
        <v>View</v>
      </c>
      <c r="P3415" s="7"/>
    </row>
    <row r="3416" spans="1:16">
      <c r="A3416" s="3">
        <v>44496.224004629628</v>
      </c>
      <c r="B3416" s="4" t="str">
        <f>HYPERLINK("https://twitter.com/sergio_fajardo","@sergio_fajardo")</f>
        <v>@sergio_fajardo</v>
      </c>
      <c r="C3416" s="5" t="s">
        <v>16</v>
      </c>
      <c r="D3416" s="5" t="s">
        <v>3437</v>
      </c>
      <c r="E3416" s="6" t="str">
        <f>HYPERLINK("https://twitter.com/sergio_fajardo/status/1453147574630854657","1453147574630854657")</f>
        <v>1453147574630854657</v>
      </c>
      <c r="F3416" s="7" t="s">
        <v>17</v>
      </c>
      <c r="G3416" s="7">
        <v>1598293</v>
      </c>
      <c r="H3416" s="7">
        <v>588</v>
      </c>
      <c r="I3416" s="7">
        <v>58</v>
      </c>
      <c r="J3416" s="7">
        <v>291</v>
      </c>
      <c r="K3416" s="7" t="s">
        <v>18</v>
      </c>
      <c r="L3416" s="8">
        <v>39891.213356481479</v>
      </c>
      <c r="M3416" s="9" t="s">
        <v>19</v>
      </c>
      <c r="N3416" s="9" t="s">
        <v>22</v>
      </c>
      <c r="O3416" s="6" t="str">
        <f>HYPERLINK("https://pbs.twimg.com/profile_images/1433591977631748099/wuGDIimB_normal.jpg","View")</f>
        <v>View</v>
      </c>
      <c r="P3416" s="7"/>
    </row>
    <row r="3417" spans="1:16">
      <c r="A3417" s="3">
        <v>44496.251481481479</v>
      </c>
      <c r="B3417" s="4" t="str">
        <f>HYPERLINK("https://twitter.com/sergio_fajardo","@sergio_fajardo")</f>
        <v>@sergio_fajardo</v>
      </c>
      <c r="C3417" s="5" t="s">
        <v>16</v>
      </c>
      <c r="D3417" s="5" t="s">
        <v>3438</v>
      </c>
      <c r="E3417" s="6" t="str">
        <f>HYPERLINK("https://twitter.com/sergio_fajardo/status/1453157530859888651","1453157530859888651")</f>
        <v>1453157530859888651</v>
      </c>
      <c r="F3417" s="7" t="s">
        <v>2329</v>
      </c>
      <c r="G3417" s="7">
        <v>1598296</v>
      </c>
      <c r="H3417" s="7">
        <v>588</v>
      </c>
      <c r="I3417" s="7">
        <v>7</v>
      </c>
      <c r="J3417" s="7">
        <v>29</v>
      </c>
      <c r="K3417" s="7" t="s">
        <v>18</v>
      </c>
      <c r="L3417" s="8">
        <v>39891.213356481479</v>
      </c>
      <c r="M3417" s="9" t="s">
        <v>19</v>
      </c>
      <c r="N3417" s="9" t="s">
        <v>22</v>
      </c>
      <c r="O3417" s="6" t="str">
        <f>HYPERLINK("https://pbs.twimg.com/profile_images/1433591977631748099/wuGDIimB_normal.jpg","View")</f>
        <v>View</v>
      </c>
      <c r="P3417" s="7"/>
    </row>
    <row r="3418" spans="1:16">
      <c r="A3418" s="3">
        <v>44496.289652777778</v>
      </c>
      <c r="B3418" s="4" t="str">
        <f>HYPERLINK("https://twitter.com/sergio_fajardo","@sergio_fajardo")</f>
        <v>@sergio_fajardo</v>
      </c>
      <c r="C3418" s="5" t="s">
        <v>16</v>
      </c>
      <c r="D3418" s="5" t="s">
        <v>3439</v>
      </c>
      <c r="E3418" s="6" t="str">
        <f>HYPERLINK("https://twitter.com/sergio_fajardo/status/1453171363796094981","1453171363796094981")</f>
        <v>1453171363796094981</v>
      </c>
      <c r="F3418" s="7" t="s">
        <v>23</v>
      </c>
      <c r="G3418" s="7">
        <v>1598293</v>
      </c>
      <c r="H3418" s="7">
        <v>588</v>
      </c>
      <c r="I3418" s="7">
        <v>2</v>
      </c>
      <c r="J3418" s="7">
        <v>9</v>
      </c>
      <c r="K3418" s="7" t="s">
        <v>18</v>
      </c>
      <c r="L3418" s="8">
        <v>39891.213356481479</v>
      </c>
      <c r="M3418" s="9" t="s">
        <v>19</v>
      </c>
      <c r="N3418" s="9" t="s">
        <v>22</v>
      </c>
      <c r="O3418" s="6" t="str">
        <f>HYPERLINK("https://pbs.twimg.com/profile_images/1433591977631748099/wuGDIimB_normal.jpg","View")</f>
        <v>View</v>
      </c>
      <c r="P3418" s="7"/>
    </row>
    <row r="3419" spans="1:16">
      <c r="A3419" s="3">
        <v>44496.311990740738</v>
      </c>
      <c r="B3419" s="4" t="str">
        <f>HYPERLINK("https://twitter.com/sergio_fajardo","@sergio_fajardo")</f>
        <v>@sergio_fajardo</v>
      </c>
      <c r="C3419" s="5" t="s">
        <v>16</v>
      </c>
      <c r="D3419" s="5" t="s">
        <v>3440</v>
      </c>
      <c r="E3419" s="6" t="str">
        <f>HYPERLINK("https://twitter.com/sergio_fajardo/status/1453179459813642246","1453179459813642246")</f>
        <v>1453179459813642246</v>
      </c>
      <c r="F3419" s="7" t="s">
        <v>17</v>
      </c>
      <c r="G3419" s="7">
        <v>1598291</v>
      </c>
      <c r="H3419" s="7">
        <v>588</v>
      </c>
      <c r="I3419" s="7">
        <v>3</v>
      </c>
      <c r="J3419" s="7">
        <v>16</v>
      </c>
      <c r="K3419" s="7" t="s">
        <v>18</v>
      </c>
      <c r="L3419" s="8">
        <v>39891.213356481479</v>
      </c>
      <c r="M3419" s="9" t="s">
        <v>19</v>
      </c>
      <c r="N3419" s="9" t="s">
        <v>22</v>
      </c>
      <c r="O3419" s="6" t="str">
        <f>HYPERLINK("https://pbs.twimg.com/profile_images/1433591977631748099/wuGDIimB_normal.jpg","View")</f>
        <v>View</v>
      </c>
      <c r="P3419" s="7"/>
    </row>
    <row r="3420" spans="1:16">
      <c r="A3420" s="3">
        <v>44496.313055555554</v>
      </c>
      <c r="B3420" s="4" t="str">
        <f>HYPERLINK("https://twitter.com/sergio_fajardo","@sergio_fajardo")</f>
        <v>@sergio_fajardo</v>
      </c>
      <c r="C3420" s="5" t="s">
        <v>16</v>
      </c>
      <c r="D3420" s="5" t="s">
        <v>3441</v>
      </c>
      <c r="E3420" s="6" t="str">
        <f>HYPERLINK("https://twitter.com/sergio_fajardo/status/1453179843382816775","1453179843382816775")</f>
        <v>1453179843382816775</v>
      </c>
      <c r="F3420" s="7" t="s">
        <v>17</v>
      </c>
      <c r="G3420" s="7">
        <v>1598291</v>
      </c>
      <c r="H3420" s="7">
        <v>588</v>
      </c>
      <c r="I3420" s="7">
        <v>3</v>
      </c>
      <c r="J3420" s="7">
        <v>13</v>
      </c>
      <c r="K3420" s="7" t="s">
        <v>18</v>
      </c>
      <c r="L3420" s="8">
        <v>39891.213356481479</v>
      </c>
      <c r="M3420" s="9" t="s">
        <v>19</v>
      </c>
      <c r="N3420" s="9" t="s">
        <v>22</v>
      </c>
      <c r="O3420" s="6" t="str">
        <f>HYPERLINK("https://pbs.twimg.com/profile_images/1433591977631748099/wuGDIimB_normal.jpg","View")</f>
        <v>View</v>
      </c>
      <c r="P3420" s="7"/>
    </row>
    <row r="3421" spans="1:16">
      <c r="A3421" s="3">
        <v>44496.316944444443</v>
      </c>
      <c r="B3421" s="4" t="str">
        <f>HYPERLINK("https://twitter.com/sergio_fajardo","@sergio_fajardo")</f>
        <v>@sergio_fajardo</v>
      </c>
      <c r="C3421" s="5" t="s">
        <v>16</v>
      </c>
      <c r="D3421" s="5" t="s">
        <v>3442</v>
      </c>
      <c r="E3421" s="6" t="str">
        <f>HYPERLINK("https://twitter.com/sergio_fajardo/status/1453181254527078405","1453181254527078405")</f>
        <v>1453181254527078405</v>
      </c>
      <c r="F3421" s="7" t="s">
        <v>17</v>
      </c>
      <c r="G3421" s="7">
        <v>1598291</v>
      </c>
      <c r="H3421" s="7">
        <v>588</v>
      </c>
      <c r="I3421" s="7">
        <v>2</v>
      </c>
      <c r="J3421" s="7">
        <v>39</v>
      </c>
      <c r="K3421" s="7" t="s">
        <v>18</v>
      </c>
      <c r="L3421" s="8">
        <v>39891.213356481479</v>
      </c>
      <c r="M3421" s="9" t="s">
        <v>19</v>
      </c>
      <c r="N3421" s="9" t="s">
        <v>22</v>
      </c>
      <c r="O3421" s="6" t="str">
        <f>HYPERLINK("https://pbs.twimg.com/profile_images/1433591977631748099/wuGDIimB_normal.jpg","View")</f>
        <v>View</v>
      </c>
      <c r="P3421" s="7"/>
    </row>
    <row r="3422" spans="1:16">
      <c r="A3422" s="3">
        <v>44496.322233796294</v>
      </c>
      <c r="B3422" s="4" t="str">
        <f>HYPERLINK("https://twitter.com/sergio_fajardo","@sergio_fajardo")</f>
        <v>@sergio_fajardo</v>
      </c>
      <c r="C3422" s="5" t="s">
        <v>16</v>
      </c>
      <c r="D3422" s="5" t="s">
        <v>3443</v>
      </c>
      <c r="E3422" s="6" t="str">
        <f>HYPERLINK("https://twitter.com/sergio_fajardo/status/1453183170891952131","1453183170891952131")</f>
        <v>1453183170891952131</v>
      </c>
      <c r="F3422" s="7" t="s">
        <v>17</v>
      </c>
      <c r="G3422" s="7">
        <v>1598291</v>
      </c>
      <c r="H3422" s="7">
        <v>588</v>
      </c>
      <c r="I3422" s="7">
        <v>2</v>
      </c>
      <c r="J3422" s="7">
        <v>0</v>
      </c>
      <c r="K3422" s="7" t="s">
        <v>18</v>
      </c>
      <c r="L3422" s="8">
        <v>39891.213356481479</v>
      </c>
      <c r="M3422" s="9" t="s">
        <v>19</v>
      </c>
      <c r="N3422" s="9" t="s">
        <v>22</v>
      </c>
      <c r="O3422" s="6" t="str">
        <f>HYPERLINK("https://pbs.twimg.com/profile_images/1433591977631748099/wuGDIimB_normal.jpg","View")</f>
        <v>View</v>
      </c>
      <c r="P3422" s="7"/>
    </row>
    <row r="3423" spans="1:16">
      <c r="A3423" s="3">
        <v>44496.75472222222</v>
      </c>
      <c r="B3423" s="4" t="str">
        <f>HYPERLINK("https://twitter.com/sergio_fajardo","@sergio_fajardo")</f>
        <v>@sergio_fajardo</v>
      </c>
      <c r="C3423" s="5" t="s">
        <v>16</v>
      </c>
      <c r="D3423" s="4" t="s">
        <v>3444</v>
      </c>
      <c r="E3423" s="6" t="str">
        <f>HYPERLINK("https://twitter.com/sergio_fajardo/status/1453339898711248898","1453339898711248898")</f>
        <v>1453339898711248898</v>
      </c>
      <c r="F3423" s="7" t="s">
        <v>17</v>
      </c>
      <c r="G3423" s="7">
        <v>1598314</v>
      </c>
      <c r="H3423" s="7">
        <v>588</v>
      </c>
      <c r="I3423" s="7">
        <v>4</v>
      </c>
      <c r="J3423" s="7">
        <v>16</v>
      </c>
      <c r="K3423" s="7" t="s">
        <v>18</v>
      </c>
      <c r="L3423" s="8">
        <v>39891.213356481479</v>
      </c>
      <c r="M3423" s="9" t="s">
        <v>19</v>
      </c>
      <c r="N3423" s="9" t="s">
        <v>22</v>
      </c>
      <c r="O3423" s="6" t="str">
        <f>HYPERLINK("https://pbs.twimg.com/profile_images/1433591977631748099/wuGDIimB_normal.jpg","View")</f>
        <v>View</v>
      </c>
      <c r="P3423" s="7"/>
    </row>
    <row r="3424" spans="1:16">
      <c r="A3424" s="3">
        <v>44496.783912037034</v>
      </c>
      <c r="B3424" s="4" t="str">
        <f>HYPERLINK("https://twitter.com/sergio_fajardo","@sergio_fajardo")</f>
        <v>@sergio_fajardo</v>
      </c>
      <c r="C3424" s="5" t="s">
        <v>16</v>
      </c>
      <c r="D3424" s="5" t="s">
        <v>3445</v>
      </c>
      <c r="E3424" s="6" t="str">
        <f>HYPERLINK("https://twitter.com/sergio_fajardo/status/1453350479828824066","1453350479828824066")</f>
        <v>1453350479828824066</v>
      </c>
      <c r="F3424" s="7" t="s">
        <v>23</v>
      </c>
      <c r="G3424" s="7">
        <v>1598324</v>
      </c>
      <c r="H3424" s="7">
        <v>588</v>
      </c>
      <c r="I3424" s="7">
        <v>6</v>
      </c>
      <c r="J3424" s="7">
        <v>45</v>
      </c>
      <c r="K3424" s="7" t="s">
        <v>18</v>
      </c>
      <c r="L3424" s="8">
        <v>39891.213356481479</v>
      </c>
      <c r="M3424" s="9" t="s">
        <v>19</v>
      </c>
      <c r="N3424" s="9" t="s">
        <v>22</v>
      </c>
      <c r="O3424" s="6" t="str">
        <f>HYPERLINK("https://pbs.twimg.com/profile_images/1433591977631748099/wuGDIimB_normal.jpg","View")</f>
        <v>View</v>
      </c>
      <c r="P3424" s="7"/>
    </row>
    <row r="3425" spans="1:16">
      <c r="A3425" s="3">
        <v>44496.784189814818</v>
      </c>
      <c r="B3425" s="4" t="str">
        <f>HYPERLINK("https://twitter.com/sergio_fajardo","@sergio_fajardo")</f>
        <v>@sergio_fajardo</v>
      </c>
      <c r="C3425" s="5" t="s">
        <v>16</v>
      </c>
      <c r="D3425" s="5" t="s">
        <v>3446</v>
      </c>
      <c r="E3425" s="6" t="str">
        <f>HYPERLINK("https://twitter.com/sergio_fajardo/status/1453350576956268546","1453350576956268546")</f>
        <v>1453350576956268546</v>
      </c>
      <c r="F3425" s="7" t="s">
        <v>23</v>
      </c>
      <c r="G3425" s="7">
        <v>1598324</v>
      </c>
      <c r="H3425" s="7">
        <v>588</v>
      </c>
      <c r="I3425" s="7">
        <v>5</v>
      </c>
      <c r="J3425" s="7">
        <v>36</v>
      </c>
      <c r="K3425" s="7" t="s">
        <v>18</v>
      </c>
      <c r="L3425" s="8">
        <v>39891.213356481479</v>
      </c>
      <c r="M3425" s="9" t="s">
        <v>19</v>
      </c>
      <c r="N3425" s="9" t="s">
        <v>22</v>
      </c>
      <c r="O3425" s="6" t="str">
        <f>HYPERLINK("https://pbs.twimg.com/profile_images/1433591977631748099/wuGDIimB_normal.jpg","View")</f>
        <v>View</v>
      </c>
      <c r="P3425" s="7"/>
    </row>
    <row r="3426" spans="1:16">
      <c r="A3426" s="3">
        <v>44496.803564814814</v>
      </c>
      <c r="B3426" s="4" t="str">
        <f>HYPERLINK("https://twitter.com/sergio_fajardo","@sergio_fajardo")</f>
        <v>@sergio_fajardo</v>
      </c>
      <c r="C3426" s="5" t="s">
        <v>16</v>
      </c>
      <c r="D3426" s="5" t="s">
        <v>3447</v>
      </c>
      <c r="E3426" s="6" t="str">
        <f>HYPERLINK("https://twitter.com/sergio_fajardo/status/1453357600133849092","1453357600133849092")</f>
        <v>1453357600133849092</v>
      </c>
      <c r="F3426" s="7" t="s">
        <v>2329</v>
      </c>
      <c r="G3426" s="7">
        <v>1598324</v>
      </c>
      <c r="H3426" s="7">
        <v>588</v>
      </c>
      <c r="I3426" s="7">
        <v>0</v>
      </c>
      <c r="J3426" s="7">
        <v>3</v>
      </c>
      <c r="K3426" s="7" t="s">
        <v>18</v>
      </c>
      <c r="L3426" s="8">
        <v>39891.213356481479</v>
      </c>
      <c r="M3426" s="9" t="s">
        <v>19</v>
      </c>
      <c r="N3426" s="9" t="s">
        <v>22</v>
      </c>
      <c r="O3426" s="6" t="str">
        <f>HYPERLINK("https://pbs.twimg.com/profile_images/1433591977631748099/wuGDIimB_normal.jpg","View")</f>
        <v>View</v>
      </c>
      <c r="P3426" s="7"/>
    </row>
    <row r="3427" spans="1:16">
      <c r="A3427" s="3">
        <v>44497.257905092592</v>
      </c>
      <c r="B3427" s="4" t="str">
        <f>HYPERLINK("https://twitter.com/sergio_fajardo","@sergio_fajardo")</f>
        <v>@sergio_fajardo</v>
      </c>
      <c r="C3427" s="5" t="s">
        <v>16</v>
      </c>
      <c r="D3427" s="5" t="s">
        <v>3448</v>
      </c>
      <c r="E3427" s="6" t="str">
        <f>HYPERLINK("https://twitter.com/sergio_fajardo/status/1453522245222031360","1453522245222031360")</f>
        <v>1453522245222031360</v>
      </c>
      <c r="F3427" s="7" t="s">
        <v>17</v>
      </c>
      <c r="G3427" s="7">
        <v>1598386</v>
      </c>
      <c r="H3427" s="7">
        <v>588</v>
      </c>
      <c r="I3427" s="7">
        <v>2</v>
      </c>
      <c r="J3427" s="7">
        <v>18</v>
      </c>
      <c r="K3427" s="7" t="s">
        <v>18</v>
      </c>
      <c r="L3427" s="8">
        <v>39891.213356481479</v>
      </c>
      <c r="M3427" s="9" t="s">
        <v>19</v>
      </c>
      <c r="N3427" s="9" t="s">
        <v>22</v>
      </c>
      <c r="O3427" s="6" t="str">
        <f>HYPERLINK("https://pbs.twimg.com/profile_images/1433591977631748099/wuGDIimB_normal.jpg","View")</f>
        <v>View</v>
      </c>
      <c r="P3427" s="7"/>
    </row>
    <row r="3428" spans="1:16">
      <c r="A3428" s="3">
        <v>44497.421319444446</v>
      </c>
      <c r="B3428" s="4" t="str">
        <f>HYPERLINK("https://twitter.com/sergio_fajardo","@sergio_fajardo")</f>
        <v>@sergio_fajardo</v>
      </c>
      <c r="C3428" s="5" t="s">
        <v>16</v>
      </c>
      <c r="D3428" s="5" t="s">
        <v>3449</v>
      </c>
      <c r="E3428" s="6" t="str">
        <f>HYPERLINK("https://twitter.com/sergio_fajardo/status/1453581467922075649","1453581467922075649")</f>
        <v>1453581467922075649</v>
      </c>
      <c r="F3428" s="7" t="s">
        <v>17</v>
      </c>
      <c r="G3428" s="7">
        <v>1598397</v>
      </c>
      <c r="H3428" s="7">
        <v>588</v>
      </c>
      <c r="I3428" s="7">
        <v>1</v>
      </c>
      <c r="J3428" s="7">
        <v>11</v>
      </c>
      <c r="K3428" s="7" t="s">
        <v>18</v>
      </c>
      <c r="L3428" s="8">
        <v>39891.213356481479</v>
      </c>
      <c r="M3428" s="9" t="s">
        <v>19</v>
      </c>
      <c r="N3428" s="9" t="s">
        <v>22</v>
      </c>
      <c r="O3428" s="6" t="str">
        <f>HYPERLINK("https://pbs.twimg.com/profile_images/1433591977631748099/wuGDIimB_normal.jpg","View")</f>
        <v>View</v>
      </c>
      <c r="P3428" s="7"/>
    </row>
    <row r="3429" spans="1:16">
      <c r="A3429" s="3">
        <v>44497.423587962963</v>
      </c>
      <c r="B3429" s="4" t="str">
        <f>HYPERLINK("https://twitter.com/sergio_fajardo","@sergio_fajardo")</f>
        <v>@sergio_fajardo</v>
      </c>
      <c r="C3429" s="5" t="s">
        <v>16</v>
      </c>
      <c r="D3429" s="5" t="s">
        <v>3450</v>
      </c>
      <c r="E3429" s="6" t="str">
        <f>HYPERLINK("https://twitter.com/sergio_fajardo/status/1453582288516751364","1453582288516751364")</f>
        <v>1453582288516751364</v>
      </c>
      <c r="F3429" s="7" t="s">
        <v>17</v>
      </c>
      <c r="G3429" s="7">
        <v>1598397</v>
      </c>
      <c r="H3429" s="7">
        <v>588</v>
      </c>
      <c r="I3429" s="7">
        <v>13</v>
      </c>
      <c r="J3429" s="7">
        <v>0</v>
      </c>
      <c r="K3429" s="7" t="s">
        <v>18</v>
      </c>
      <c r="L3429" s="8">
        <v>39891.213356481479</v>
      </c>
      <c r="M3429" s="9" t="s">
        <v>19</v>
      </c>
      <c r="N3429" s="9" t="s">
        <v>22</v>
      </c>
      <c r="O3429" s="6" t="str">
        <f>HYPERLINK("https://pbs.twimg.com/profile_images/1433591977631748099/wuGDIimB_normal.jpg","View")</f>
        <v>View</v>
      </c>
      <c r="P3429" s="7"/>
    </row>
    <row r="3430" spans="1:16">
      <c r="A3430" s="3">
        <v>44497.781388888892</v>
      </c>
      <c r="B3430" s="4" t="str">
        <f>HYPERLINK("https://twitter.com/sergio_fajardo","@sergio_fajardo")</f>
        <v>@sergio_fajardo</v>
      </c>
      <c r="C3430" s="5" t="s">
        <v>16</v>
      </c>
      <c r="D3430" s="5" t="s">
        <v>3451</v>
      </c>
      <c r="E3430" s="6" t="str">
        <f>HYPERLINK("https://twitter.com/sergio_fajardo/status/1453711949993218054","1453711949993218054")</f>
        <v>1453711949993218054</v>
      </c>
      <c r="F3430" s="7" t="s">
        <v>17</v>
      </c>
      <c r="G3430" s="7">
        <v>1598411</v>
      </c>
      <c r="H3430" s="7">
        <v>588</v>
      </c>
      <c r="I3430" s="7">
        <v>2</v>
      </c>
      <c r="J3430" s="7">
        <v>0</v>
      </c>
      <c r="K3430" s="7" t="s">
        <v>18</v>
      </c>
      <c r="L3430" s="8">
        <v>39891.213356481479</v>
      </c>
      <c r="M3430" s="9" t="s">
        <v>19</v>
      </c>
      <c r="N3430" s="9" t="s">
        <v>22</v>
      </c>
      <c r="O3430" s="6" t="str">
        <f>HYPERLINK("https://pbs.twimg.com/profile_images/1433591977631748099/wuGDIimB_normal.jpg","View")</f>
        <v>View</v>
      </c>
      <c r="P3430" s="7"/>
    </row>
    <row r="3431" spans="1:16">
      <c r="A3431" s="3">
        <v>44497.843946759254</v>
      </c>
      <c r="B3431" s="4" t="str">
        <f>HYPERLINK("https://twitter.com/sergio_fajardo","@sergio_fajardo")</f>
        <v>@sergio_fajardo</v>
      </c>
      <c r="C3431" s="5" t="s">
        <v>16</v>
      </c>
      <c r="D3431" s="5" t="s">
        <v>3452</v>
      </c>
      <c r="E3431" s="6" t="str">
        <f>HYPERLINK("https://twitter.com/sergio_fajardo/status/1453734622915792898","1453734622915792898")</f>
        <v>1453734622915792898</v>
      </c>
      <c r="F3431" s="7" t="s">
        <v>17</v>
      </c>
      <c r="G3431" s="7">
        <v>1598342</v>
      </c>
      <c r="H3431" s="7">
        <v>589</v>
      </c>
      <c r="I3431" s="7">
        <v>2</v>
      </c>
      <c r="J3431" s="7">
        <v>0</v>
      </c>
      <c r="K3431" s="7" t="s">
        <v>18</v>
      </c>
      <c r="L3431" s="8">
        <v>39891.213356481479</v>
      </c>
      <c r="M3431" s="9" t="s">
        <v>19</v>
      </c>
      <c r="N3431" s="9" t="s">
        <v>22</v>
      </c>
      <c r="O3431" s="6" t="str">
        <f>HYPERLINK("https://pbs.twimg.com/profile_images/1433591977631748099/wuGDIimB_normal.jpg","View")</f>
        <v>View</v>
      </c>
      <c r="P3431" s="7"/>
    </row>
    <row r="3432" spans="1:16">
      <c r="A3432" s="3">
        <v>44497.869722222225</v>
      </c>
      <c r="B3432" s="4" t="str">
        <f>HYPERLINK("https://twitter.com/sergio_fajardo","@sergio_fajardo")</f>
        <v>@sergio_fajardo</v>
      </c>
      <c r="C3432" s="5" t="s">
        <v>16</v>
      </c>
      <c r="D3432" s="5" t="s">
        <v>3453</v>
      </c>
      <c r="E3432" s="6" t="str">
        <f>HYPERLINK("https://twitter.com/sergio_fajardo/status/1453743962397757441","1453743962397757441")</f>
        <v>1453743962397757441</v>
      </c>
      <c r="F3432" s="7" t="s">
        <v>23</v>
      </c>
      <c r="G3432" s="7">
        <v>1598423</v>
      </c>
      <c r="H3432" s="7">
        <v>589</v>
      </c>
      <c r="I3432" s="7">
        <v>3</v>
      </c>
      <c r="J3432" s="7">
        <v>18</v>
      </c>
      <c r="K3432" s="7" t="s">
        <v>18</v>
      </c>
      <c r="L3432" s="8">
        <v>39891.213356481479</v>
      </c>
      <c r="M3432" s="9" t="s">
        <v>19</v>
      </c>
      <c r="N3432" s="9" t="s">
        <v>22</v>
      </c>
      <c r="O3432" s="6" t="str">
        <f>HYPERLINK("https://pbs.twimg.com/profile_images/1433591977631748099/wuGDIimB_normal.jpg","View")</f>
        <v>View</v>
      </c>
      <c r="P3432" s="7"/>
    </row>
    <row r="3433" spans="1:16">
      <c r="A3433" s="3">
        <v>44497.888877314814</v>
      </c>
      <c r="B3433" s="4" t="str">
        <f>HYPERLINK("https://twitter.com/sergio_fajardo","@sergio_fajardo")</f>
        <v>@sergio_fajardo</v>
      </c>
      <c r="C3433" s="5" t="s">
        <v>16</v>
      </c>
      <c r="D3433" s="5" t="s">
        <v>3454</v>
      </c>
      <c r="E3433" s="6" t="str">
        <f>HYPERLINK("https://twitter.com/sergio_fajardo/status/1453750904113569797","1453750904113569797")</f>
        <v>1453750904113569797</v>
      </c>
      <c r="F3433" s="7" t="s">
        <v>17</v>
      </c>
      <c r="G3433" s="7">
        <v>1598425</v>
      </c>
      <c r="H3433" s="7">
        <v>589</v>
      </c>
      <c r="I3433" s="7">
        <v>3</v>
      </c>
      <c r="J3433" s="7">
        <v>0</v>
      </c>
      <c r="K3433" s="7" t="s">
        <v>18</v>
      </c>
      <c r="L3433" s="8">
        <v>39891.213356481479</v>
      </c>
      <c r="M3433" s="9" t="s">
        <v>19</v>
      </c>
      <c r="N3433" s="9" t="s">
        <v>22</v>
      </c>
      <c r="O3433" s="6" t="str">
        <f>HYPERLINK("https://pbs.twimg.com/profile_images/1433591977631748099/wuGDIimB_normal.jpg","View")</f>
        <v>View</v>
      </c>
      <c r="P3433" s="7"/>
    </row>
    <row r="3434" spans="1:16">
      <c r="A3434" s="3">
        <v>44497.924560185187</v>
      </c>
      <c r="B3434" s="4" t="str">
        <f>HYPERLINK("https://twitter.com/sergio_fajardo","@sergio_fajardo")</f>
        <v>@sergio_fajardo</v>
      </c>
      <c r="C3434" s="5" t="s">
        <v>16</v>
      </c>
      <c r="D3434" s="5" t="s">
        <v>3455</v>
      </c>
      <c r="E3434" s="6" t="str">
        <f>HYPERLINK("https://twitter.com/sergio_fajardo/status/1453763836427882497","1453763836427882497")</f>
        <v>1453763836427882497</v>
      </c>
      <c r="F3434" s="7" t="s">
        <v>23</v>
      </c>
      <c r="G3434" s="7">
        <v>1598430</v>
      </c>
      <c r="H3434" s="7">
        <v>590</v>
      </c>
      <c r="I3434" s="7">
        <v>3</v>
      </c>
      <c r="J3434" s="7">
        <v>10</v>
      </c>
      <c r="K3434" s="7" t="s">
        <v>18</v>
      </c>
      <c r="L3434" s="8">
        <v>39891.213356481479</v>
      </c>
      <c r="M3434" s="9" t="s">
        <v>19</v>
      </c>
      <c r="N3434" s="9" t="s">
        <v>22</v>
      </c>
      <c r="O3434" s="6" t="str">
        <f>HYPERLINK("https://pbs.twimg.com/profile_images/1433591977631748099/wuGDIimB_normal.jpg","View")</f>
        <v>View</v>
      </c>
      <c r="P3434" s="7"/>
    </row>
    <row r="3435" spans="1:16">
      <c r="A3435" s="3">
        <v>44497.925729166665</v>
      </c>
      <c r="B3435" s="4" t="str">
        <f>HYPERLINK("https://twitter.com/sergio_fajardo","@sergio_fajardo")</f>
        <v>@sergio_fajardo</v>
      </c>
      <c r="C3435" s="5" t="s">
        <v>16</v>
      </c>
      <c r="D3435" s="5" t="s">
        <v>3456</v>
      </c>
      <c r="E3435" s="6" t="str">
        <f>HYPERLINK("https://twitter.com/sergio_fajardo/status/1453764258257412100","1453764258257412100")</f>
        <v>1453764258257412100</v>
      </c>
      <c r="F3435" s="7" t="s">
        <v>17</v>
      </c>
      <c r="G3435" s="7">
        <v>1598430</v>
      </c>
      <c r="H3435" s="7">
        <v>590</v>
      </c>
      <c r="I3435" s="7">
        <v>10</v>
      </c>
      <c r="J3435" s="7">
        <v>0</v>
      </c>
      <c r="K3435" s="7" t="s">
        <v>18</v>
      </c>
      <c r="L3435" s="8">
        <v>39891.213356481479</v>
      </c>
      <c r="M3435" s="9" t="s">
        <v>19</v>
      </c>
      <c r="N3435" s="9" t="s">
        <v>22</v>
      </c>
      <c r="O3435" s="6" t="str">
        <f>HYPERLINK("https://pbs.twimg.com/profile_images/1433591977631748099/wuGDIimB_normal.jpg","View")</f>
        <v>View</v>
      </c>
      <c r="P3435" s="7"/>
    </row>
    <row r="3436" spans="1:16">
      <c r="A3436" s="3">
        <v>44498.011053240742</v>
      </c>
      <c r="B3436" s="4" t="str">
        <f>HYPERLINK("https://twitter.com/sergio_fajardo","@sergio_fajardo")</f>
        <v>@sergio_fajardo</v>
      </c>
      <c r="C3436" s="5" t="s">
        <v>16</v>
      </c>
      <c r="D3436" s="5" t="s">
        <v>3457</v>
      </c>
      <c r="E3436" s="6" t="str">
        <f>HYPERLINK("https://twitter.com/sergio_fajardo/status/1453795179757031430","1453795179757031430")</f>
        <v>1453795179757031430</v>
      </c>
      <c r="F3436" s="7" t="s">
        <v>23</v>
      </c>
      <c r="G3436" s="7">
        <v>1598435</v>
      </c>
      <c r="H3436" s="7">
        <v>591</v>
      </c>
      <c r="I3436" s="7">
        <v>1</v>
      </c>
      <c r="J3436" s="7">
        <v>0</v>
      </c>
      <c r="K3436" s="7" t="s">
        <v>18</v>
      </c>
      <c r="L3436" s="8">
        <v>39891.213356481479</v>
      </c>
      <c r="M3436" s="9" t="s">
        <v>19</v>
      </c>
      <c r="N3436" s="9" t="s">
        <v>22</v>
      </c>
      <c r="O3436" s="6" t="str">
        <f>HYPERLINK("https://pbs.twimg.com/profile_images/1433591977631748099/wuGDIimB_normal.jpg","View")</f>
        <v>View</v>
      </c>
      <c r="P3436" s="7"/>
    </row>
    <row r="3437" spans="1:16">
      <c r="A3437" s="3">
        <v>44498.01357638889</v>
      </c>
      <c r="B3437" s="4" t="str">
        <f>HYPERLINK("https://twitter.com/sergio_fajardo","@sergio_fajardo")</f>
        <v>@sergio_fajardo</v>
      </c>
      <c r="C3437" s="5" t="s">
        <v>16</v>
      </c>
      <c r="D3437" s="5" t="s">
        <v>3458</v>
      </c>
      <c r="E3437" s="6" t="str">
        <f>HYPERLINK("https://twitter.com/sergio_fajardo/status/1453796094140428289","1453796094140428289")</f>
        <v>1453796094140428289</v>
      </c>
      <c r="F3437" s="7" t="s">
        <v>23</v>
      </c>
      <c r="G3437" s="7">
        <v>1598434</v>
      </c>
      <c r="H3437" s="7">
        <v>591</v>
      </c>
      <c r="I3437" s="7">
        <v>7</v>
      </c>
      <c r="J3437" s="7">
        <v>13</v>
      </c>
      <c r="K3437" s="7" t="s">
        <v>18</v>
      </c>
      <c r="L3437" s="8">
        <v>39891.213356481479</v>
      </c>
      <c r="M3437" s="9" t="s">
        <v>19</v>
      </c>
      <c r="N3437" s="9" t="s">
        <v>22</v>
      </c>
      <c r="O3437" s="6" t="str">
        <f>HYPERLINK("https://pbs.twimg.com/profile_images/1433591977631748099/wuGDIimB_normal.jpg","View")</f>
        <v>View</v>
      </c>
      <c r="P3437" s="7"/>
    </row>
    <row r="3438" spans="1:16">
      <c r="A3438" s="3">
        <v>44498.043564814812</v>
      </c>
      <c r="B3438" s="4" t="str">
        <f>HYPERLINK("https://twitter.com/sergio_fajardo","@sergio_fajardo")</f>
        <v>@sergio_fajardo</v>
      </c>
      <c r="C3438" s="5" t="s">
        <v>16</v>
      </c>
      <c r="D3438" s="5" t="s">
        <v>3459</v>
      </c>
      <c r="E3438" s="6" t="str">
        <f>HYPERLINK("https://twitter.com/sergio_fajardo/status/1453806959786962946","1453806959786962946")</f>
        <v>1453806959786962946</v>
      </c>
      <c r="F3438" s="7" t="s">
        <v>23</v>
      </c>
      <c r="G3438" s="7">
        <v>1598444</v>
      </c>
      <c r="H3438" s="7">
        <v>591</v>
      </c>
      <c r="I3438" s="7">
        <v>4</v>
      </c>
      <c r="J3438" s="7">
        <v>10</v>
      </c>
      <c r="K3438" s="7" t="s">
        <v>18</v>
      </c>
      <c r="L3438" s="8">
        <v>39891.213356481479</v>
      </c>
      <c r="M3438" s="9" t="s">
        <v>19</v>
      </c>
      <c r="N3438" s="9" t="s">
        <v>22</v>
      </c>
      <c r="O3438" s="6" t="str">
        <f>HYPERLINK("https://pbs.twimg.com/profile_images/1433591977631748099/wuGDIimB_normal.jpg","View")</f>
        <v>View</v>
      </c>
      <c r="P3438" s="7"/>
    </row>
    <row r="3439" spans="1:16">
      <c r="A3439" s="3">
        <v>44498.1012037037</v>
      </c>
      <c r="B3439" s="4" t="str">
        <f>HYPERLINK("https://twitter.com/sergio_fajardo","@sergio_fajardo")</f>
        <v>@sergio_fajardo</v>
      </c>
      <c r="C3439" s="5" t="s">
        <v>16</v>
      </c>
      <c r="D3439" s="5" t="s">
        <v>3460</v>
      </c>
      <c r="E3439" s="6" t="str">
        <f>HYPERLINK("https://twitter.com/sergio_fajardo/status/1453827849723461637","1453827849723461637")</f>
        <v>1453827849723461637</v>
      </c>
      <c r="F3439" s="7" t="s">
        <v>17</v>
      </c>
      <c r="G3439" s="7">
        <v>1598447</v>
      </c>
      <c r="H3439" s="7">
        <v>591</v>
      </c>
      <c r="I3439" s="7">
        <v>51</v>
      </c>
      <c r="J3439" s="7">
        <v>0</v>
      </c>
      <c r="K3439" s="7" t="s">
        <v>18</v>
      </c>
      <c r="L3439" s="8">
        <v>39891.213356481479</v>
      </c>
      <c r="M3439" s="9" t="s">
        <v>19</v>
      </c>
      <c r="N3439" s="9" t="s">
        <v>22</v>
      </c>
      <c r="O3439" s="6" t="str">
        <f>HYPERLINK("https://pbs.twimg.com/profile_images/1433591977631748099/wuGDIimB_normal.jpg","View")</f>
        <v>View</v>
      </c>
      <c r="P3439" s="7"/>
    </row>
    <row r="3440" spans="1:16">
      <c r="A3440" s="3">
        <v>44498.302951388891</v>
      </c>
      <c r="B3440" s="4" t="str">
        <f>HYPERLINK("https://twitter.com/sergio_fajardo","@sergio_fajardo")</f>
        <v>@sergio_fajardo</v>
      </c>
      <c r="C3440" s="5" t="s">
        <v>16</v>
      </c>
      <c r="D3440" s="5" t="s">
        <v>3461</v>
      </c>
      <c r="E3440" s="6" t="str">
        <f>HYPERLINK("https://twitter.com/sergio_fajardo/status/1453900958887469084","1453900958887469084")</f>
        <v>1453900958887469084</v>
      </c>
      <c r="F3440" s="7" t="s">
        <v>2329</v>
      </c>
      <c r="G3440" s="7">
        <v>1598468</v>
      </c>
      <c r="H3440" s="7">
        <v>592</v>
      </c>
      <c r="I3440" s="7">
        <v>0</v>
      </c>
      <c r="J3440" s="7">
        <v>2</v>
      </c>
      <c r="K3440" s="7" t="s">
        <v>18</v>
      </c>
      <c r="L3440" s="8">
        <v>39891.213356481479</v>
      </c>
      <c r="M3440" s="9" t="s">
        <v>19</v>
      </c>
      <c r="N3440" s="9" t="s">
        <v>22</v>
      </c>
      <c r="O3440" s="6" t="str">
        <f>HYPERLINK("https://pbs.twimg.com/profile_images/1433591977631748099/wuGDIimB_normal.jpg","View")</f>
        <v>View</v>
      </c>
      <c r="P3440" s="7"/>
    </row>
    <row r="3441" spans="1:16">
      <c r="A3441" s="3">
        <v>44498.698645833334</v>
      </c>
      <c r="B3441" s="4" t="str">
        <f>HYPERLINK("https://twitter.com/sergio_fajardo","@sergio_fajardo")</f>
        <v>@sergio_fajardo</v>
      </c>
      <c r="C3441" s="5" t="s">
        <v>16</v>
      </c>
      <c r="D3441" s="5" t="s">
        <v>3462</v>
      </c>
      <c r="E3441" s="6" t="str">
        <f>HYPERLINK("https://twitter.com/sergio_fajardo/status/1454044352347529220","1454044352347529220")</f>
        <v>1454044352347529220</v>
      </c>
      <c r="F3441" s="7" t="s">
        <v>17</v>
      </c>
      <c r="G3441" s="7">
        <v>1598493</v>
      </c>
      <c r="H3441" s="7">
        <v>592</v>
      </c>
      <c r="I3441" s="7">
        <v>4</v>
      </c>
      <c r="J3441" s="7">
        <v>0</v>
      </c>
      <c r="K3441" s="7" t="s">
        <v>18</v>
      </c>
      <c r="L3441" s="8">
        <v>39891.213356481479</v>
      </c>
      <c r="M3441" s="9" t="s">
        <v>19</v>
      </c>
      <c r="N3441" s="9" t="s">
        <v>22</v>
      </c>
      <c r="O3441" s="6" t="str">
        <f>HYPERLINK("https://pbs.twimg.com/profile_images/1433591977631748099/wuGDIimB_normal.jpg","View")</f>
        <v>View</v>
      </c>
      <c r="P3441" s="7"/>
    </row>
    <row r="3442" spans="1:16">
      <c r="A3442" s="3">
        <v>44498.782187500001</v>
      </c>
      <c r="B3442" s="4" t="str">
        <f>HYPERLINK("https://twitter.com/sergio_fajardo","@sergio_fajardo")</f>
        <v>@sergio_fajardo</v>
      </c>
      <c r="C3442" s="5" t="s">
        <v>16</v>
      </c>
      <c r="D3442" s="5" t="s">
        <v>3463</v>
      </c>
      <c r="E3442" s="6" t="str">
        <f>HYPERLINK("https://twitter.com/sergio_fajardo/status/1454074628175978496","1454074628175978496")</f>
        <v>1454074628175978496</v>
      </c>
      <c r="F3442" s="7" t="s">
        <v>23</v>
      </c>
      <c r="G3442" s="7">
        <v>1598507</v>
      </c>
      <c r="H3442" s="7">
        <v>592</v>
      </c>
      <c r="I3442" s="7">
        <v>169</v>
      </c>
      <c r="J3442" s="7">
        <v>0</v>
      </c>
      <c r="K3442" s="7" t="s">
        <v>18</v>
      </c>
      <c r="L3442" s="8">
        <v>39891.213356481479</v>
      </c>
      <c r="M3442" s="9" t="s">
        <v>19</v>
      </c>
      <c r="N3442" s="9" t="s">
        <v>22</v>
      </c>
      <c r="O3442" s="6" t="str">
        <f>HYPERLINK("https://pbs.twimg.com/profile_images/1433591977631748099/wuGDIimB_normal.jpg","View")</f>
        <v>View</v>
      </c>
      <c r="P3442" s="7"/>
    </row>
    <row r="3443" spans="1:16">
      <c r="A3443" s="3">
        <v>44498.817928240736</v>
      </c>
      <c r="B3443" s="4" t="str">
        <f>HYPERLINK("https://twitter.com/sergio_fajardo","@sergio_fajardo")</f>
        <v>@sergio_fajardo</v>
      </c>
      <c r="C3443" s="5" t="s">
        <v>16</v>
      </c>
      <c r="D3443" s="5" t="s">
        <v>3464</v>
      </c>
      <c r="E3443" s="6" t="str">
        <f>HYPERLINK("https://twitter.com/sergio_fajardo/status/1454087578873966592","1454087578873966592")</f>
        <v>1454087578873966592</v>
      </c>
      <c r="F3443" s="7" t="s">
        <v>17</v>
      </c>
      <c r="G3443" s="7">
        <v>1598513</v>
      </c>
      <c r="H3443" s="7">
        <v>592</v>
      </c>
      <c r="I3443" s="7">
        <v>3</v>
      </c>
      <c r="J3443" s="7">
        <v>8</v>
      </c>
      <c r="K3443" s="7" t="s">
        <v>18</v>
      </c>
      <c r="L3443" s="8">
        <v>39891.213356481479</v>
      </c>
      <c r="M3443" s="9" t="s">
        <v>19</v>
      </c>
      <c r="N3443" s="9" t="s">
        <v>22</v>
      </c>
      <c r="O3443" s="6" t="str">
        <f>HYPERLINK("https://pbs.twimg.com/profile_images/1433591977631748099/wuGDIimB_normal.jpg","View")</f>
        <v>View</v>
      </c>
      <c r="P3443" s="7"/>
    </row>
    <row r="3444" spans="1:16">
      <c r="A3444" s="3">
        <v>44498.869571759264</v>
      </c>
      <c r="B3444" s="4" t="str">
        <f>HYPERLINK("https://twitter.com/sergio_fajardo","@sergio_fajardo")</f>
        <v>@sergio_fajardo</v>
      </c>
      <c r="C3444" s="5" t="s">
        <v>16</v>
      </c>
      <c r="D3444" s="5" t="s">
        <v>3465</v>
      </c>
      <c r="E3444" s="6" t="str">
        <f>HYPERLINK("https://twitter.com/sergio_fajardo/status/1454106294407806986","1454106294407806986")</f>
        <v>1454106294407806986</v>
      </c>
      <c r="F3444" s="7" t="s">
        <v>23</v>
      </c>
      <c r="G3444" s="7">
        <v>1598529</v>
      </c>
      <c r="H3444" s="7">
        <v>592</v>
      </c>
      <c r="I3444" s="7">
        <v>10</v>
      </c>
      <c r="J3444" s="7">
        <v>0</v>
      </c>
      <c r="K3444" s="7" t="s">
        <v>18</v>
      </c>
      <c r="L3444" s="8">
        <v>39891.213356481479</v>
      </c>
      <c r="M3444" s="9" t="s">
        <v>19</v>
      </c>
      <c r="N3444" s="9" t="s">
        <v>22</v>
      </c>
      <c r="O3444" s="6" t="str">
        <f>HYPERLINK("https://pbs.twimg.com/profile_images/1433591977631748099/wuGDIimB_normal.jpg","View")</f>
        <v>View</v>
      </c>
      <c r="P3444" s="7"/>
    </row>
    <row r="3445" spans="1:16">
      <c r="A3445" s="3">
        <v>44498.956643518519</v>
      </c>
      <c r="B3445" s="4" t="str">
        <f>HYPERLINK("https://twitter.com/sergio_fajardo","@sergio_fajardo")</f>
        <v>@sergio_fajardo</v>
      </c>
      <c r="C3445" s="5" t="s">
        <v>16</v>
      </c>
      <c r="D3445" s="5" t="s">
        <v>3466</v>
      </c>
      <c r="E3445" s="6" t="str">
        <f>HYPERLINK("https://twitter.com/sergio_fajardo/status/1454137851105402883","1454137851105402883")</f>
        <v>1454137851105402883</v>
      </c>
      <c r="F3445" s="7" t="s">
        <v>2329</v>
      </c>
      <c r="G3445" s="7">
        <v>1598536</v>
      </c>
      <c r="H3445" s="7">
        <v>592</v>
      </c>
      <c r="I3445" s="7">
        <v>8</v>
      </c>
      <c r="J3445" s="7">
        <v>48</v>
      </c>
      <c r="K3445" s="7" t="s">
        <v>18</v>
      </c>
      <c r="L3445" s="8">
        <v>39891.213356481479</v>
      </c>
      <c r="M3445" s="9" t="s">
        <v>19</v>
      </c>
      <c r="N3445" s="9" t="s">
        <v>22</v>
      </c>
      <c r="O3445" s="6" t="str">
        <f>HYPERLINK("https://pbs.twimg.com/profile_images/1433591977631748099/wuGDIimB_normal.jpg","View")</f>
        <v>View</v>
      </c>
      <c r="P3445" s="7"/>
    </row>
    <row r="3446" spans="1:16">
      <c r="A3446" s="3">
        <v>44498.964363425926</v>
      </c>
      <c r="B3446" s="4" t="str">
        <f>HYPERLINK("https://twitter.com/sergio_fajardo","@sergio_fajardo")</f>
        <v>@sergio_fajardo</v>
      </c>
      <c r="C3446" s="5" t="s">
        <v>16</v>
      </c>
      <c r="D3446" s="5" t="s">
        <v>3467</v>
      </c>
      <c r="E3446" s="6" t="str">
        <f>HYPERLINK("https://twitter.com/sergio_fajardo/status/1454140644847411202","1454140644847411202")</f>
        <v>1454140644847411202</v>
      </c>
      <c r="F3446" s="7" t="s">
        <v>17</v>
      </c>
      <c r="G3446" s="7">
        <v>1598536</v>
      </c>
      <c r="H3446" s="7">
        <v>592</v>
      </c>
      <c r="I3446" s="7">
        <v>11</v>
      </c>
      <c r="J3446" s="7">
        <v>0</v>
      </c>
      <c r="K3446" s="7" t="s">
        <v>18</v>
      </c>
      <c r="L3446" s="8">
        <v>39891.213356481479</v>
      </c>
      <c r="M3446" s="9" t="s">
        <v>19</v>
      </c>
      <c r="N3446" s="9" t="s">
        <v>22</v>
      </c>
      <c r="O3446" s="6" t="str">
        <f>HYPERLINK("https://pbs.twimg.com/profile_images/1433591977631748099/wuGDIimB_normal.jpg","View")</f>
        <v>View</v>
      </c>
      <c r="P3446" s="7"/>
    </row>
    <row r="3447" spans="1:16">
      <c r="A3447" s="3">
        <v>44499.053182870368</v>
      </c>
      <c r="B3447" s="4" t="str">
        <f>HYPERLINK("https://twitter.com/sergio_fajardo","@sergio_fajardo")</f>
        <v>@sergio_fajardo</v>
      </c>
      <c r="C3447" s="5" t="s">
        <v>16</v>
      </c>
      <c r="D3447" s="5" t="s">
        <v>3468</v>
      </c>
      <c r="E3447" s="6" t="str">
        <f>HYPERLINK("https://twitter.com/sergio_fajardo/status/1454172832712245254","1454172832712245254")</f>
        <v>1454172832712245254</v>
      </c>
      <c r="F3447" s="7" t="s">
        <v>2329</v>
      </c>
      <c r="G3447" s="7">
        <v>1598544</v>
      </c>
      <c r="H3447" s="7">
        <v>592</v>
      </c>
      <c r="I3447" s="7">
        <v>0</v>
      </c>
      <c r="J3447" s="7">
        <v>1</v>
      </c>
      <c r="K3447" s="7" t="s">
        <v>18</v>
      </c>
      <c r="L3447" s="8">
        <v>39891.213356481479</v>
      </c>
      <c r="M3447" s="9" t="s">
        <v>19</v>
      </c>
      <c r="N3447" s="9" t="s">
        <v>22</v>
      </c>
      <c r="O3447" s="6" t="str">
        <f>HYPERLINK("https://pbs.twimg.com/profile_images/1433591977631748099/wuGDIimB_normal.jpg","View")</f>
        <v>View</v>
      </c>
      <c r="P3447" s="7"/>
    </row>
    <row r="3448" spans="1:16">
      <c r="A3448" s="3">
        <v>44499.196203703701</v>
      </c>
      <c r="B3448" s="4" t="str">
        <f>HYPERLINK("https://twitter.com/sergio_fajardo","@sergio_fajardo")</f>
        <v>@sergio_fajardo</v>
      </c>
      <c r="C3448" s="5" t="s">
        <v>16</v>
      </c>
      <c r="D3448" s="5" t="s">
        <v>3469</v>
      </c>
      <c r="E3448" s="6" t="str">
        <f>HYPERLINK("https://twitter.com/sergio_fajardo/status/1454224661819052037","1454224661819052037")</f>
        <v>1454224661819052037</v>
      </c>
      <c r="F3448" s="7" t="s">
        <v>2329</v>
      </c>
      <c r="G3448" s="7">
        <v>1598556</v>
      </c>
      <c r="H3448" s="7">
        <v>592</v>
      </c>
      <c r="I3448" s="7">
        <v>2</v>
      </c>
      <c r="J3448" s="7">
        <v>24</v>
      </c>
      <c r="K3448" s="7" t="s">
        <v>18</v>
      </c>
      <c r="L3448" s="8">
        <v>39891.213356481479</v>
      </c>
      <c r="M3448" s="9" t="s">
        <v>19</v>
      </c>
      <c r="N3448" s="9" t="s">
        <v>22</v>
      </c>
      <c r="O3448" s="6" t="str">
        <f>HYPERLINK("https://pbs.twimg.com/profile_images/1433591977631748099/wuGDIimB_normal.jpg","View")</f>
        <v>View</v>
      </c>
      <c r="P3448" s="7"/>
    </row>
    <row r="3449" spans="1:16">
      <c r="A3449" s="3">
        <v>44499.773263888885</v>
      </c>
      <c r="B3449" s="4" t="str">
        <f>HYPERLINK("https://twitter.com/sergio_fajardo","@sergio_fajardo")</f>
        <v>@sergio_fajardo</v>
      </c>
      <c r="C3449" s="5" t="s">
        <v>16</v>
      </c>
      <c r="D3449" s="5" t="s">
        <v>3470</v>
      </c>
      <c r="E3449" s="6" t="str">
        <f>HYPERLINK("https://twitter.com/sergio_fajardo/status/1454433781075619844","1454433781075619844")</f>
        <v>1454433781075619844</v>
      </c>
      <c r="F3449" s="7" t="s">
        <v>20</v>
      </c>
      <c r="G3449" s="7">
        <v>1598571</v>
      </c>
      <c r="H3449" s="7">
        <v>593</v>
      </c>
      <c r="I3449" s="7">
        <v>7</v>
      </c>
      <c r="J3449" s="7">
        <v>31</v>
      </c>
      <c r="K3449" s="7" t="s">
        <v>18</v>
      </c>
      <c r="L3449" s="8">
        <v>39891.213356481479</v>
      </c>
      <c r="M3449" s="9" t="s">
        <v>19</v>
      </c>
      <c r="N3449" s="9" t="s">
        <v>22</v>
      </c>
      <c r="O3449" s="6" t="str">
        <f>HYPERLINK("https://pbs.twimg.com/profile_images/1433591977631748099/wuGDIimB_normal.jpg","View")</f>
        <v>View</v>
      </c>
      <c r="P3449" s="7"/>
    </row>
    <row r="3450" spans="1:16">
      <c r="A3450" s="3">
        <v>44499.773263888885</v>
      </c>
      <c r="B3450" s="4" t="str">
        <f>HYPERLINK("https://twitter.com/sergio_fajardo","@sergio_fajardo")</f>
        <v>@sergio_fajardo</v>
      </c>
      <c r="C3450" s="5" t="s">
        <v>16</v>
      </c>
      <c r="D3450" s="5" t="s">
        <v>3471</v>
      </c>
      <c r="E3450" s="6" t="str">
        <f>HYPERLINK("https://twitter.com/sergio_fajardo/status/1454433782635827203","1454433782635827203")</f>
        <v>1454433782635827203</v>
      </c>
      <c r="F3450" s="7" t="s">
        <v>20</v>
      </c>
      <c r="G3450" s="7">
        <v>1598571</v>
      </c>
      <c r="H3450" s="7">
        <v>593</v>
      </c>
      <c r="I3450" s="7">
        <v>5</v>
      </c>
      <c r="J3450" s="7">
        <v>14</v>
      </c>
      <c r="K3450" s="7" t="s">
        <v>18</v>
      </c>
      <c r="L3450" s="8">
        <v>39891.213356481479</v>
      </c>
      <c r="M3450" s="9" t="s">
        <v>19</v>
      </c>
      <c r="N3450" s="9" t="s">
        <v>22</v>
      </c>
      <c r="O3450" s="6" t="str">
        <f>HYPERLINK("https://pbs.twimg.com/profile_images/1433591977631748099/wuGDIimB_normal.jpg","View")</f>
        <v>View</v>
      </c>
      <c r="P3450" s="7"/>
    </row>
    <row r="3451" spans="1:16">
      <c r="A3451" s="3">
        <v>44499.774675925924</v>
      </c>
      <c r="B3451" s="4" t="str">
        <f>HYPERLINK("https://twitter.com/sergio_fajardo","@sergio_fajardo")</f>
        <v>@sergio_fajardo</v>
      </c>
      <c r="C3451" s="5" t="s">
        <v>16</v>
      </c>
      <c r="D3451" s="5" t="s">
        <v>3472</v>
      </c>
      <c r="E3451" s="6" t="str">
        <f>HYPERLINK("https://twitter.com/sergio_fajardo/status/1454434294848446465","1454434294848446465")</f>
        <v>1454434294848446465</v>
      </c>
      <c r="F3451" s="7" t="s">
        <v>2329</v>
      </c>
      <c r="G3451" s="7">
        <v>1598571</v>
      </c>
      <c r="H3451" s="7">
        <v>593</v>
      </c>
      <c r="I3451" s="7">
        <v>6</v>
      </c>
      <c r="J3451" s="7">
        <v>29</v>
      </c>
      <c r="K3451" s="7" t="s">
        <v>18</v>
      </c>
      <c r="L3451" s="8">
        <v>39891.213356481479</v>
      </c>
      <c r="M3451" s="9" t="s">
        <v>19</v>
      </c>
      <c r="N3451" s="9" t="s">
        <v>22</v>
      </c>
      <c r="O3451" s="6" t="str">
        <f>HYPERLINK("https://pbs.twimg.com/profile_images/1433591977631748099/wuGDIimB_normal.jpg","View")</f>
        <v>View</v>
      </c>
      <c r="P3451" s="7"/>
    </row>
    <row r="3452" spans="1:16">
      <c r="A3452" s="3">
        <v>44499.845138888893</v>
      </c>
      <c r="B3452" s="4" t="str">
        <f>HYPERLINK("https://twitter.com/sergio_fajardo","@sergio_fajardo")</f>
        <v>@sergio_fajardo</v>
      </c>
      <c r="C3452" s="5" t="s">
        <v>16</v>
      </c>
      <c r="D3452" s="5" t="s">
        <v>3473</v>
      </c>
      <c r="E3452" s="6" t="str">
        <f>HYPERLINK("https://twitter.com/sergio_fajardo/status/1454459829578260484","1454459829578260484")</f>
        <v>1454459829578260484</v>
      </c>
      <c r="F3452" s="7" t="s">
        <v>20</v>
      </c>
      <c r="G3452" s="7">
        <v>1598576</v>
      </c>
      <c r="H3452" s="7">
        <v>595</v>
      </c>
      <c r="I3452" s="7">
        <v>0</v>
      </c>
      <c r="J3452" s="7">
        <v>1</v>
      </c>
      <c r="K3452" s="7" t="s">
        <v>18</v>
      </c>
      <c r="L3452" s="8">
        <v>39891.213356481479</v>
      </c>
      <c r="M3452" s="9" t="s">
        <v>19</v>
      </c>
      <c r="N3452" s="9" t="s">
        <v>22</v>
      </c>
      <c r="O3452" s="6" t="str">
        <f>HYPERLINK("https://pbs.twimg.com/profile_images/1433591977631748099/wuGDIimB_normal.jpg","View")</f>
        <v>View</v>
      </c>
      <c r="P3452" s="7"/>
    </row>
    <row r="3453" spans="1:16">
      <c r="A3453" s="3">
        <v>44499.983449074076</v>
      </c>
      <c r="B3453" s="4" t="str">
        <f>HYPERLINK("https://twitter.com/sergio_fajardo","@sergio_fajardo")</f>
        <v>@sergio_fajardo</v>
      </c>
      <c r="C3453" s="5" t="s">
        <v>16</v>
      </c>
      <c r="D3453" s="5" t="s">
        <v>3474</v>
      </c>
      <c r="E3453" s="6" t="str">
        <f>HYPERLINK("https://twitter.com/sergio_fajardo/status/1454509950382772235","1454509950382772235")</f>
        <v>1454509950382772235</v>
      </c>
      <c r="F3453" s="7" t="s">
        <v>17</v>
      </c>
      <c r="G3453" s="7">
        <v>1598591</v>
      </c>
      <c r="H3453" s="7">
        <v>601</v>
      </c>
      <c r="I3453" s="7">
        <v>6</v>
      </c>
      <c r="J3453" s="7">
        <v>0</v>
      </c>
      <c r="K3453" s="7" t="s">
        <v>18</v>
      </c>
      <c r="L3453" s="8">
        <v>39891.213356481479</v>
      </c>
      <c r="M3453" s="9" t="s">
        <v>19</v>
      </c>
      <c r="N3453" s="9" t="s">
        <v>22</v>
      </c>
      <c r="O3453" s="6" t="str">
        <f>HYPERLINK("https://pbs.twimg.com/profile_images/1433591977631748099/wuGDIimB_normal.jpg","View")</f>
        <v>View</v>
      </c>
      <c r="P3453" s="7"/>
    </row>
    <row r="3454" spans="1:16">
      <c r="A3454" s="3">
        <v>44500.050023148149</v>
      </c>
      <c r="B3454" s="4" t="str">
        <f>HYPERLINK("https://twitter.com/sergio_fajardo","@sergio_fajardo")</f>
        <v>@sergio_fajardo</v>
      </c>
      <c r="C3454" s="5" t="s">
        <v>16</v>
      </c>
      <c r="D3454" s="5" t="s">
        <v>3475</v>
      </c>
      <c r="E3454" s="6" t="str">
        <f>HYPERLINK("https://twitter.com/sergio_fajardo/status/1454534076187164695","1454534076187164695")</f>
        <v>1454534076187164695</v>
      </c>
      <c r="F3454" s="7" t="s">
        <v>17</v>
      </c>
      <c r="G3454" s="7">
        <v>1598598</v>
      </c>
      <c r="H3454" s="7">
        <v>601</v>
      </c>
      <c r="I3454" s="7">
        <v>21</v>
      </c>
      <c r="J3454" s="7">
        <v>0</v>
      </c>
      <c r="K3454" s="7" t="s">
        <v>18</v>
      </c>
      <c r="L3454" s="8">
        <v>39891.213356481479</v>
      </c>
      <c r="M3454" s="9" t="s">
        <v>19</v>
      </c>
      <c r="N3454" s="9" t="s">
        <v>22</v>
      </c>
      <c r="O3454" s="6" t="str">
        <f>HYPERLINK("https://pbs.twimg.com/profile_images/1433591977631748099/wuGDIimB_normal.jpg","View")</f>
        <v>View</v>
      </c>
      <c r="P3454" s="7"/>
    </row>
    <row r="3455" spans="1:16">
      <c r="A3455" s="3">
        <v>44500.129988425921</v>
      </c>
      <c r="B3455" s="4" t="str">
        <f>HYPERLINK("https://twitter.com/sergio_fajardo","@sergio_fajardo")</f>
        <v>@sergio_fajardo</v>
      </c>
      <c r="C3455" s="5" t="s">
        <v>16</v>
      </c>
      <c r="D3455" s="5" t="s">
        <v>3476</v>
      </c>
      <c r="E3455" s="6" t="str">
        <f>HYPERLINK("https://twitter.com/sergio_fajardo/status/1454563054415458306","1454563054415458306")</f>
        <v>1454563054415458306</v>
      </c>
      <c r="F3455" s="7" t="s">
        <v>17</v>
      </c>
      <c r="G3455" s="7">
        <v>1598612</v>
      </c>
      <c r="H3455" s="7">
        <v>602</v>
      </c>
      <c r="I3455" s="7">
        <v>17</v>
      </c>
      <c r="J3455" s="7">
        <v>46</v>
      </c>
      <c r="K3455" s="7" t="s">
        <v>18</v>
      </c>
      <c r="L3455" s="8">
        <v>39891.213356481479</v>
      </c>
      <c r="M3455" s="9" t="s">
        <v>19</v>
      </c>
      <c r="N3455" s="9" t="s">
        <v>22</v>
      </c>
      <c r="O3455" s="6" t="str">
        <f>HYPERLINK("https://pbs.twimg.com/profile_images/1433591977631748099/wuGDIimB_normal.jpg","View")</f>
        <v>View</v>
      </c>
      <c r="P3455" s="7"/>
    </row>
    <row r="3456" spans="1:16">
      <c r="A3456" s="3">
        <v>44500.814467592594</v>
      </c>
      <c r="B3456" s="4" t="str">
        <f>HYPERLINK("https://twitter.com/sergio_fajardo","@sergio_fajardo")</f>
        <v>@sergio_fajardo</v>
      </c>
      <c r="C3456" s="5" t="s">
        <v>16</v>
      </c>
      <c r="D3456" s="5" t="s">
        <v>3477</v>
      </c>
      <c r="E3456" s="6" t="str">
        <f>HYPERLINK("https://twitter.com/sergio_fajardo/status/1454811103029047299","1454811103029047299")</f>
        <v>1454811103029047299</v>
      </c>
      <c r="F3456" s="7" t="s">
        <v>2329</v>
      </c>
      <c r="G3456" s="7">
        <v>1598553</v>
      </c>
      <c r="H3456" s="7">
        <v>602</v>
      </c>
      <c r="I3456" s="7">
        <v>4</v>
      </c>
      <c r="J3456" s="7">
        <v>23</v>
      </c>
      <c r="K3456" s="7" t="s">
        <v>18</v>
      </c>
      <c r="L3456" s="8">
        <v>39891.213356481479</v>
      </c>
      <c r="M3456" s="9" t="s">
        <v>19</v>
      </c>
      <c r="N3456" s="9" t="s">
        <v>22</v>
      </c>
      <c r="O3456" s="6" t="str">
        <f>HYPERLINK("https://pbs.twimg.com/profile_images/1433591977631748099/wuGDIimB_normal.jpg","View")</f>
        <v>View</v>
      </c>
      <c r="P3456" s="7"/>
    </row>
    <row r="3457" spans="1:16">
      <c r="A3457" s="3">
        <v>44500.899733796294</v>
      </c>
      <c r="B3457" s="4" t="str">
        <f>HYPERLINK("https://twitter.com/sergio_fajardo","@sergio_fajardo")</f>
        <v>@sergio_fajardo</v>
      </c>
      <c r="C3457" s="5" t="s">
        <v>16</v>
      </c>
      <c r="D3457" s="5" t="s">
        <v>3478</v>
      </c>
      <c r="E3457" s="6" t="str">
        <f>HYPERLINK("https://twitter.com/sergio_fajardo/status/1454842000117731330","1454842000117731330")</f>
        <v>1454842000117731330</v>
      </c>
      <c r="F3457" s="7" t="s">
        <v>2329</v>
      </c>
      <c r="G3457" s="7">
        <v>1598623</v>
      </c>
      <c r="H3457" s="7">
        <v>602</v>
      </c>
      <c r="I3457" s="7">
        <v>15</v>
      </c>
      <c r="J3457" s="7">
        <v>59</v>
      </c>
      <c r="K3457" s="7" t="s">
        <v>18</v>
      </c>
      <c r="L3457" s="8">
        <v>39891.213356481479</v>
      </c>
      <c r="M3457" s="9" t="s">
        <v>19</v>
      </c>
      <c r="N3457" s="9" t="s">
        <v>22</v>
      </c>
      <c r="O3457" s="6" t="str">
        <f>HYPERLINK("https://pbs.twimg.com/profile_images/1433591977631748099/wuGDIimB_normal.jpg","View")</f>
        <v>View</v>
      </c>
      <c r="P3457" s="7"/>
    </row>
    <row r="3458" spans="1:16">
      <c r="A3458" s="3">
        <v>44500.944386574076</v>
      </c>
      <c r="B3458" s="4" t="str">
        <f>HYPERLINK("https://twitter.com/sergio_fajardo","@sergio_fajardo")</f>
        <v>@sergio_fajardo</v>
      </c>
      <c r="C3458" s="5" t="s">
        <v>16</v>
      </c>
      <c r="D3458" s="5" t="s">
        <v>3479</v>
      </c>
      <c r="E3458" s="6" t="str">
        <f>HYPERLINK("https://twitter.com/sergio_fajardo/status/1454858183822950400","1454858183822950400")</f>
        <v>1454858183822950400</v>
      </c>
      <c r="F3458" s="7" t="s">
        <v>17</v>
      </c>
      <c r="G3458" s="7">
        <v>1598623</v>
      </c>
      <c r="H3458" s="7">
        <v>602</v>
      </c>
      <c r="I3458" s="7">
        <v>8</v>
      </c>
      <c r="J3458" s="7">
        <v>0</v>
      </c>
      <c r="K3458" s="7" t="s">
        <v>18</v>
      </c>
      <c r="L3458" s="8">
        <v>39891.213356481479</v>
      </c>
      <c r="M3458" s="9" t="s">
        <v>19</v>
      </c>
      <c r="N3458" s="9" t="s">
        <v>22</v>
      </c>
      <c r="O3458" s="6" t="str">
        <f>HYPERLINK("https://pbs.twimg.com/profile_images/1433591977631748099/wuGDIimB_normal.jpg","View")</f>
        <v>View</v>
      </c>
      <c r="P3458" s="7"/>
    </row>
    <row r="3459" spans="1:16">
      <c r="A3459" s="3">
        <v>44500.944918981477</v>
      </c>
      <c r="B3459" s="4" t="str">
        <f>HYPERLINK("https://twitter.com/sergio_fajardo","@sergio_fajardo")</f>
        <v>@sergio_fajardo</v>
      </c>
      <c r="C3459" s="5" t="s">
        <v>16</v>
      </c>
      <c r="D3459" s="5" t="s">
        <v>3480</v>
      </c>
      <c r="E3459" s="6" t="str">
        <f>HYPERLINK("https://twitter.com/sergio_fajardo/status/1454858375800532998","1454858375800532998")</f>
        <v>1454858375800532998</v>
      </c>
      <c r="F3459" s="7" t="s">
        <v>17</v>
      </c>
      <c r="G3459" s="7">
        <v>1598623</v>
      </c>
      <c r="H3459" s="7">
        <v>602</v>
      </c>
      <c r="I3459" s="7">
        <v>30</v>
      </c>
      <c r="J3459" s="7">
        <v>0</v>
      </c>
      <c r="K3459" s="7" t="s">
        <v>18</v>
      </c>
      <c r="L3459" s="8">
        <v>39891.213356481479</v>
      </c>
      <c r="M3459" s="9" t="s">
        <v>19</v>
      </c>
      <c r="N3459" s="9" t="s">
        <v>22</v>
      </c>
      <c r="O3459" s="6" t="str">
        <f>HYPERLINK("https://pbs.twimg.com/profile_images/1433591977631748099/wuGDIimB_normal.jpg","View")</f>
        <v>View</v>
      </c>
      <c r="P3459" s="7"/>
    </row>
    <row r="3460" spans="1:16">
      <c r="A3460" s="3">
        <v>44501.164965277778</v>
      </c>
      <c r="B3460" s="4" t="str">
        <f>HYPERLINK("https://twitter.com/sergio_fajardo","@sergio_fajardo")</f>
        <v>@sergio_fajardo</v>
      </c>
      <c r="C3460" s="5" t="s">
        <v>16</v>
      </c>
      <c r="D3460" s="5" t="s">
        <v>3481</v>
      </c>
      <c r="E3460" s="6" t="str">
        <f>HYPERLINK("https://twitter.com/sergio_fajardo/status/1454938118671544321","1454938118671544321")</f>
        <v>1454938118671544321</v>
      </c>
      <c r="F3460" s="7" t="s">
        <v>17</v>
      </c>
      <c r="G3460" s="7">
        <v>1598555</v>
      </c>
      <c r="H3460" s="7">
        <v>602</v>
      </c>
      <c r="I3460" s="7">
        <v>11</v>
      </c>
      <c r="J3460" s="7">
        <v>0</v>
      </c>
      <c r="K3460" s="7" t="s">
        <v>18</v>
      </c>
      <c r="L3460" s="8">
        <v>39891.213356481479</v>
      </c>
      <c r="M3460" s="9" t="s">
        <v>19</v>
      </c>
      <c r="N3460" s="9" t="s">
        <v>22</v>
      </c>
      <c r="O3460" s="6" t="str">
        <f>HYPERLINK("https://pbs.twimg.com/profile_images/1433591977631748099/wuGDIimB_normal.jpg","View")</f>
        <v>View</v>
      </c>
      <c r="P3460" s="7"/>
    </row>
    <row r="3461" spans="1:16">
      <c r="A3461" s="3">
        <v>44501.256400462968</v>
      </c>
      <c r="B3461" s="4" t="str">
        <f>HYPERLINK("https://twitter.com/sergio_fajardo","@sergio_fajardo")</f>
        <v>@sergio_fajardo</v>
      </c>
      <c r="C3461" s="5" t="s">
        <v>16</v>
      </c>
      <c r="D3461" s="5" t="s">
        <v>3482</v>
      </c>
      <c r="E3461" s="6" t="str">
        <f>HYPERLINK("https://twitter.com/sergio_fajardo/status/1454971252570009607","1454971252570009607")</f>
        <v>1454971252570009607</v>
      </c>
      <c r="F3461" s="7" t="s">
        <v>17</v>
      </c>
      <c r="G3461" s="7">
        <v>1598643</v>
      </c>
      <c r="H3461" s="7">
        <v>602</v>
      </c>
      <c r="I3461" s="7">
        <v>399</v>
      </c>
      <c r="J3461" s="7">
        <v>0</v>
      </c>
      <c r="K3461" s="7" t="s">
        <v>18</v>
      </c>
      <c r="L3461" s="8">
        <v>39891.213356481479</v>
      </c>
      <c r="M3461" s="9" t="s">
        <v>19</v>
      </c>
      <c r="N3461" s="9" t="s">
        <v>22</v>
      </c>
      <c r="O3461" s="6" t="str">
        <f>HYPERLINK("https://pbs.twimg.com/profile_images/1433591977631748099/wuGDIimB_normal.jpg","View")</f>
        <v>View</v>
      </c>
      <c r="P3461" s="7"/>
    </row>
    <row r="3462" spans="1:16">
      <c r="A3462" s="3">
        <v>44501.925034722226</v>
      </c>
      <c r="B3462" s="4" t="str">
        <f>HYPERLINK("https://twitter.com/sergio_fajardo","@sergio_fajardo")</f>
        <v>@sergio_fajardo</v>
      </c>
      <c r="C3462" s="5" t="s">
        <v>16</v>
      </c>
      <c r="D3462" s="5" t="s">
        <v>3483</v>
      </c>
      <c r="E3462" s="6" t="str">
        <f>HYPERLINK("https://twitter.com/sergio_fajardo/status/1455213558862684173","1455213558862684173")</f>
        <v>1455213558862684173</v>
      </c>
      <c r="F3462" s="7" t="s">
        <v>2329</v>
      </c>
      <c r="G3462" s="7">
        <v>1598661</v>
      </c>
      <c r="H3462" s="7">
        <v>602</v>
      </c>
      <c r="I3462" s="7">
        <v>4</v>
      </c>
      <c r="J3462" s="7">
        <v>26</v>
      </c>
      <c r="K3462" s="7" t="s">
        <v>18</v>
      </c>
      <c r="L3462" s="8">
        <v>39891.213356481479</v>
      </c>
      <c r="M3462" s="9" t="s">
        <v>19</v>
      </c>
      <c r="N3462" s="9" t="s">
        <v>22</v>
      </c>
      <c r="O3462" s="6" t="str">
        <f>HYPERLINK("https://pbs.twimg.com/profile_images/1433591977631748099/wuGDIimB_normal.jpg","View")</f>
        <v>View</v>
      </c>
      <c r="P3462" s="7"/>
    </row>
    <row r="3463" spans="1:16">
      <c r="A3463" s="3">
        <v>44502.939189814817</v>
      </c>
      <c r="B3463" s="4" t="str">
        <f>HYPERLINK("https://twitter.com/sergio_fajardo","@sergio_fajardo")</f>
        <v>@sergio_fajardo</v>
      </c>
      <c r="C3463" s="5" t="s">
        <v>16</v>
      </c>
      <c r="D3463" s="5" t="s">
        <v>3484</v>
      </c>
      <c r="E3463" s="6" t="str">
        <f>HYPERLINK("https://twitter.com/sergio_fajardo/status/1455581074445189128","1455581074445189128")</f>
        <v>1455581074445189128</v>
      </c>
      <c r="F3463" s="7" t="s">
        <v>17</v>
      </c>
      <c r="G3463" s="7">
        <v>1598735</v>
      </c>
      <c r="H3463" s="7">
        <v>602</v>
      </c>
      <c r="I3463" s="7">
        <v>3</v>
      </c>
      <c r="J3463" s="7">
        <v>0</v>
      </c>
      <c r="K3463" s="7" t="s">
        <v>18</v>
      </c>
      <c r="L3463" s="8">
        <v>39891.213356481479</v>
      </c>
      <c r="M3463" s="9" t="s">
        <v>19</v>
      </c>
      <c r="N3463" s="9" t="s">
        <v>22</v>
      </c>
      <c r="O3463" s="6" t="str">
        <f>HYPERLINK("https://pbs.twimg.com/profile_images/1433591977631748099/wuGDIimB_normal.jpg","View")</f>
        <v>View</v>
      </c>
      <c r="P3463" s="7"/>
    </row>
    <row r="3464" spans="1:16">
      <c r="A3464" s="3">
        <v>44502.967800925922</v>
      </c>
      <c r="B3464" s="4" t="str">
        <f>HYPERLINK("https://twitter.com/sergio_fajardo","@sergio_fajardo")</f>
        <v>@sergio_fajardo</v>
      </c>
      <c r="C3464" s="5" t="s">
        <v>16</v>
      </c>
      <c r="D3464" s="5" t="s">
        <v>3485</v>
      </c>
      <c r="E3464" s="6" t="str">
        <f>HYPERLINK("https://twitter.com/sergio_fajardo/status/1455591444320854016","1455591444320854016")</f>
        <v>1455591444320854016</v>
      </c>
      <c r="F3464" s="7" t="s">
        <v>17</v>
      </c>
      <c r="G3464" s="7">
        <v>1598730</v>
      </c>
      <c r="H3464" s="7">
        <v>602</v>
      </c>
      <c r="I3464" s="7">
        <v>7</v>
      </c>
      <c r="J3464" s="7">
        <v>27</v>
      </c>
      <c r="K3464" s="7" t="s">
        <v>18</v>
      </c>
      <c r="L3464" s="8">
        <v>39891.213356481479</v>
      </c>
      <c r="M3464" s="9" t="s">
        <v>19</v>
      </c>
      <c r="N3464" s="9" t="s">
        <v>22</v>
      </c>
      <c r="O3464" s="6" t="str">
        <f>HYPERLINK("https://pbs.twimg.com/profile_images/1433591977631748099/wuGDIimB_normal.jpg","View")</f>
        <v>View</v>
      </c>
      <c r="P3464" s="7"/>
    </row>
    <row r="3465" spans="1:16">
      <c r="A3465" s="3">
        <v>44503.277696759258</v>
      </c>
      <c r="B3465" s="4" t="str">
        <f>HYPERLINK("https://twitter.com/sergio_fajardo","@sergio_fajardo")</f>
        <v>@sergio_fajardo</v>
      </c>
      <c r="C3465" s="5" t="s">
        <v>16</v>
      </c>
      <c r="D3465" s="5" t="s">
        <v>3486</v>
      </c>
      <c r="E3465" s="6" t="str">
        <f>HYPERLINK("https://twitter.com/sergio_fajardo/status/1455703745753407489","1455703745753407489")</f>
        <v>1455703745753407489</v>
      </c>
      <c r="F3465" s="7" t="s">
        <v>23</v>
      </c>
      <c r="G3465" s="7">
        <v>1598769</v>
      </c>
      <c r="H3465" s="7">
        <v>602</v>
      </c>
      <c r="I3465" s="7">
        <v>10</v>
      </c>
      <c r="J3465" s="7">
        <v>39</v>
      </c>
      <c r="K3465" s="7" t="s">
        <v>18</v>
      </c>
      <c r="L3465" s="8">
        <v>39891.213356481479</v>
      </c>
      <c r="M3465" s="9" t="s">
        <v>19</v>
      </c>
      <c r="N3465" s="9" t="s">
        <v>22</v>
      </c>
      <c r="O3465" s="6" t="str">
        <f>HYPERLINK("https://pbs.twimg.com/profile_images/1433591977631748099/wuGDIimB_normal.jpg","View")</f>
        <v>View</v>
      </c>
      <c r="P3465" s="7"/>
    </row>
    <row r="3466" spans="1:16">
      <c r="A3466" s="3">
        <v>44503.277696759258</v>
      </c>
      <c r="B3466" s="4" t="str">
        <f>HYPERLINK("https://twitter.com/sergio_fajardo","@sergio_fajardo")</f>
        <v>@sergio_fajardo</v>
      </c>
      <c r="C3466" s="5" t="s">
        <v>16</v>
      </c>
      <c r="D3466" s="5" t="s">
        <v>3487</v>
      </c>
      <c r="E3466" s="6" t="str">
        <f>HYPERLINK("https://twitter.com/sergio_fajardo/status/1455703746843906053","1455703746843906053")</f>
        <v>1455703746843906053</v>
      </c>
      <c r="F3466" s="7" t="s">
        <v>23</v>
      </c>
      <c r="G3466" s="7">
        <v>1598769</v>
      </c>
      <c r="H3466" s="7">
        <v>602</v>
      </c>
      <c r="I3466" s="7">
        <v>0</v>
      </c>
      <c r="J3466" s="7">
        <v>7</v>
      </c>
      <c r="K3466" s="7" t="s">
        <v>18</v>
      </c>
      <c r="L3466" s="8">
        <v>39891.213356481479</v>
      </c>
      <c r="M3466" s="9" t="s">
        <v>19</v>
      </c>
      <c r="N3466" s="9" t="s">
        <v>22</v>
      </c>
      <c r="O3466" s="6" t="str">
        <f>HYPERLINK("https://pbs.twimg.com/profile_images/1433591977631748099/wuGDIimB_normal.jpg","View")</f>
        <v>View</v>
      </c>
      <c r="P3466" s="7"/>
    </row>
    <row r="3467" spans="1:16">
      <c r="A3467" s="3">
        <v>44503.277696759258</v>
      </c>
      <c r="B3467" s="4" t="str">
        <f>HYPERLINK("https://twitter.com/sergio_fajardo","@sergio_fajardo")</f>
        <v>@sergio_fajardo</v>
      </c>
      <c r="C3467" s="5" t="s">
        <v>16</v>
      </c>
      <c r="D3467" s="5" t="s">
        <v>3488</v>
      </c>
      <c r="E3467" s="6" t="str">
        <f>HYPERLINK("https://twitter.com/sergio_fajardo/status/1455703748056072194","1455703748056072194")</f>
        <v>1455703748056072194</v>
      </c>
      <c r="F3467" s="7" t="s">
        <v>23</v>
      </c>
      <c r="G3467" s="7">
        <v>1598769</v>
      </c>
      <c r="H3467" s="7">
        <v>602</v>
      </c>
      <c r="I3467" s="7">
        <v>1</v>
      </c>
      <c r="J3467" s="7">
        <v>9</v>
      </c>
      <c r="K3467" s="7" t="s">
        <v>18</v>
      </c>
      <c r="L3467" s="8">
        <v>39891.213356481479</v>
      </c>
      <c r="M3467" s="9" t="s">
        <v>19</v>
      </c>
      <c r="N3467" s="9" t="s">
        <v>22</v>
      </c>
      <c r="O3467" s="6" t="str">
        <f>HYPERLINK("https://pbs.twimg.com/profile_images/1433591977631748099/wuGDIimB_normal.jpg","View")</f>
        <v>View</v>
      </c>
      <c r="P3467" s="7"/>
    </row>
    <row r="3468" spans="1:16">
      <c r="A3468" s="3">
        <v>44503.277708333335</v>
      </c>
      <c r="B3468" s="4" t="str">
        <f>HYPERLINK("https://twitter.com/sergio_fajardo","@sergio_fajardo")</f>
        <v>@sergio_fajardo</v>
      </c>
      <c r="C3468" s="5" t="s">
        <v>16</v>
      </c>
      <c r="D3468" s="5" t="s">
        <v>3489</v>
      </c>
      <c r="E3468" s="6" t="str">
        <f>HYPERLINK("https://twitter.com/sergio_fajardo/status/1455703749171847168","1455703749171847168")</f>
        <v>1455703749171847168</v>
      </c>
      <c r="F3468" s="7" t="s">
        <v>23</v>
      </c>
      <c r="G3468" s="7">
        <v>1598769</v>
      </c>
      <c r="H3468" s="7">
        <v>602</v>
      </c>
      <c r="I3468" s="7">
        <v>0</v>
      </c>
      <c r="J3468" s="7">
        <v>10</v>
      </c>
      <c r="K3468" s="7" t="s">
        <v>18</v>
      </c>
      <c r="L3468" s="8">
        <v>39891.213356481479</v>
      </c>
      <c r="M3468" s="9" t="s">
        <v>19</v>
      </c>
      <c r="N3468" s="9" t="s">
        <v>22</v>
      </c>
      <c r="O3468" s="6" t="str">
        <f>HYPERLINK("https://pbs.twimg.com/profile_images/1433591977631748099/wuGDIimB_normal.jpg","View")</f>
        <v>View</v>
      </c>
      <c r="P3468" s="7"/>
    </row>
    <row r="3469" spans="1:16">
      <c r="A3469" s="3">
        <v>44503.277708333335</v>
      </c>
      <c r="B3469" s="4" t="str">
        <f>HYPERLINK("https://twitter.com/sergio_fajardo","@sergio_fajardo")</f>
        <v>@sergio_fajardo</v>
      </c>
      <c r="C3469" s="5" t="s">
        <v>16</v>
      </c>
      <c r="D3469" s="5" t="s">
        <v>3490</v>
      </c>
      <c r="E3469" s="6" t="str">
        <f>HYPERLINK("https://twitter.com/sergio_fajardo/status/1455703750446886916","1455703750446886916")</f>
        <v>1455703750446886916</v>
      </c>
      <c r="F3469" s="7" t="s">
        <v>23</v>
      </c>
      <c r="G3469" s="7">
        <v>1598769</v>
      </c>
      <c r="H3469" s="7">
        <v>602</v>
      </c>
      <c r="I3469" s="7">
        <v>1</v>
      </c>
      <c r="J3469" s="7">
        <v>7</v>
      </c>
      <c r="K3469" s="7" t="s">
        <v>18</v>
      </c>
      <c r="L3469" s="8">
        <v>39891.213356481479</v>
      </c>
      <c r="M3469" s="9" t="s">
        <v>19</v>
      </c>
      <c r="N3469" s="9" t="s">
        <v>22</v>
      </c>
      <c r="O3469" s="6" t="str">
        <f>HYPERLINK("https://pbs.twimg.com/profile_images/1433591977631748099/wuGDIimB_normal.jpg","View")</f>
        <v>View</v>
      </c>
      <c r="P3469" s="7"/>
    </row>
    <row r="3470" spans="1:16">
      <c r="A3470" s="3">
        <v>44503.277708333335</v>
      </c>
      <c r="B3470" s="4" t="str">
        <f>HYPERLINK("https://twitter.com/sergio_fajardo","@sergio_fajardo")</f>
        <v>@sergio_fajardo</v>
      </c>
      <c r="C3470" s="5" t="s">
        <v>16</v>
      </c>
      <c r="D3470" s="5" t="s">
        <v>3491</v>
      </c>
      <c r="E3470" s="6" t="str">
        <f>HYPERLINK("https://twitter.com/sergio_fajardo/status/1455703751738773508","1455703751738773508")</f>
        <v>1455703751738773508</v>
      </c>
      <c r="F3470" s="7" t="s">
        <v>23</v>
      </c>
      <c r="G3470" s="7">
        <v>1598769</v>
      </c>
      <c r="H3470" s="7">
        <v>602</v>
      </c>
      <c r="I3470" s="7">
        <v>2</v>
      </c>
      <c r="J3470" s="7">
        <v>18</v>
      </c>
      <c r="K3470" s="7" t="s">
        <v>18</v>
      </c>
      <c r="L3470" s="8">
        <v>39891.213356481479</v>
      </c>
      <c r="M3470" s="9" t="s">
        <v>19</v>
      </c>
      <c r="N3470" s="9" t="s">
        <v>22</v>
      </c>
      <c r="O3470" s="6" t="str">
        <f>HYPERLINK("https://pbs.twimg.com/profile_images/1433591977631748099/wuGDIimB_normal.jpg","View")</f>
        <v>View</v>
      </c>
      <c r="P3470" s="7"/>
    </row>
    <row r="3471" spans="1:16">
      <c r="A3471" s="3">
        <v>44503.277719907404</v>
      </c>
      <c r="B3471" s="4" t="str">
        <f>HYPERLINK("https://twitter.com/sergio_fajardo","@sergio_fajardo")</f>
        <v>@sergio_fajardo</v>
      </c>
      <c r="C3471" s="5" t="s">
        <v>16</v>
      </c>
      <c r="D3471" s="5" t="s">
        <v>3492</v>
      </c>
      <c r="E3471" s="6" t="str">
        <f>HYPERLINK("https://twitter.com/sergio_fajardo/status/1455703752925749254","1455703752925749254")</f>
        <v>1455703752925749254</v>
      </c>
      <c r="F3471" s="7" t="s">
        <v>23</v>
      </c>
      <c r="G3471" s="7">
        <v>1598769</v>
      </c>
      <c r="H3471" s="7">
        <v>602</v>
      </c>
      <c r="I3471" s="7">
        <v>3</v>
      </c>
      <c r="J3471" s="7">
        <v>21</v>
      </c>
      <c r="K3471" s="7" t="s">
        <v>18</v>
      </c>
      <c r="L3471" s="8">
        <v>39891.213356481479</v>
      </c>
      <c r="M3471" s="9" t="s">
        <v>19</v>
      </c>
      <c r="N3471" s="9" t="s">
        <v>22</v>
      </c>
      <c r="O3471" s="6" t="str">
        <f>HYPERLINK("https://pbs.twimg.com/profile_images/1433591977631748099/wuGDIimB_normal.jpg","View")</f>
        <v>View</v>
      </c>
      <c r="P3471" s="7"/>
    </row>
    <row r="3472" spans="1:16">
      <c r="A3472" s="3">
        <v>44503.673055555555</v>
      </c>
      <c r="B3472" s="4" t="str">
        <f>HYPERLINK("https://twitter.com/sergio_fajardo","@sergio_fajardo")</f>
        <v>@sergio_fajardo</v>
      </c>
      <c r="C3472" s="5" t="s">
        <v>16</v>
      </c>
      <c r="D3472" s="5" t="s">
        <v>3493</v>
      </c>
      <c r="E3472" s="6" t="str">
        <f>HYPERLINK("https://twitter.com/sergio_fajardo/status/1455847021751975943","1455847021751975943")</f>
        <v>1455847021751975943</v>
      </c>
      <c r="F3472" s="7" t="s">
        <v>17</v>
      </c>
      <c r="G3472" s="7">
        <v>1598786</v>
      </c>
      <c r="H3472" s="7">
        <v>602</v>
      </c>
      <c r="I3472" s="7">
        <v>48</v>
      </c>
      <c r="J3472" s="7">
        <v>0</v>
      </c>
      <c r="K3472" s="7" t="s">
        <v>18</v>
      </c>
      <c r="L3472" s="8">
        <v>39891.213356481479</v>
      </c>
      <c r="M3472" s="9" t="s">
        <v>19</v>
      </c>
      <c r="N3472" s="9" t="s">
        <v>22</v>
      </c>
      <c r="O3472" s="6" t="str">
        <f>HYPERLINK("https://pbs.twimg.com/profile_images/1433591977631748099/wuGDIimB_normal.jpg","View")</f>
        <v>View</v>
      </c>
      <c r="P3472" s="7"/>
    </row>
    <row r="3473" spans="1:16">
      <c r="A3473" s="3">
        <v>44504.735300925924</v>
      </c>
      <c r="B3473" s="4" t="str">
        <f>HYPERLINK("https://twitter.com/sergio_fajardo","@sergio_fajardo")</f>
        <v>@sergio_fajardo</v>
      </c>
      <c r="C3473" s="5" t="s">
        <v>16</v>
      </c>
      <c r="D3473" s="5" t="s">
        <v>3494</v>
      </c>
      <c r="E3473" s="6" t="str">
        <f>HYPERLINK("https://twitter.com/sergio_fajardo/status/1456231964235767811","1456231964235767811")</f>
        <v>1456231964235767811</v>
      </c>
      <c r="F3473" s="7" t="s">
        <v>23</v>
      </c>
      <c r="G3473" s="7">
        <v>1598849</v>
      </c>
      <c r="H3473" s="7">
        <v>602</v>
      </c>
      <c r="I3473" s="7">
        <v>6</v>
      </c>
      <c r="J3473" s="7">
        <v>11</v>
      </c>
      <c r="K3473" s="7" t="s">
        <v>18</v>
      </c>
      <c r="L3473" s="8">
        <v>39891.213356481479</v>
      </c>
      <c r="M3473" s="9" t="s">
        <v>19</v>
      </c>
      <c r="N3473" s="9" t="s">
        <v>22</v>
      </c>
      <c r="O3473" s="6" t="str">
        <f>HYPERLINK("https://pbs.twimg.com/profile_images/1433591977631748099/wuGDIimB_normal.jpg","View")</f>
        <v>View</v>
      </c>
      <c r="P3473" s="7"/>
    </row>
    <row r="3474" spans="1:16">
      <c r="A3474" s="3">
        <v>44504.773668981477</v>
      </c>
      <c r="B3474" s="4" t="str">
        <f>HYPERLINK("https://twitter.com/sergio_fajardo","@sergio_fajardo")</f>
        <v>@sergio_fajardo</v>
      </c>
      <c r="C3474" s="5" t="s">
        <v>16</v>
      </c>
      <c r="D3474" s="5" t="s">
        <v>3495</v>
      </c>
      <c r="E3474" s="6" t="str">
        <f>HYPERLINK("https://twitter.com/sergio_fajardo/status/1456245867460050946","1456245867460050946")</f>
        <v>1456245867460050946</v>
      </c>
      <c r="F3474" s="7" t="s">
        <v>17</v>
      </c>
      <c r="G3474" s="7">
        <v>1598850</v>
      </c>
      <c r="H3474" s="7">
        <v>602</v>
      </c>
      <c r="I3474" s="7">
        <v>9</v>
      </c>
      <c r="J3474" s="7">
        <v>26</v>
      </c>
      <c r="K3474" s="7" t="s">
        <v>18</v>
      </c>
      <c r="L3474" s="8">
        <v>39891.213356481479</v>
      </c>
      <c r="M3474" s="9" t="s">
        <v>19</v>
      </c>
      <c r="N3474" s="9" t="s">
        <v>22</v>
      </c>
      <c r="O3474" s="6" t="str">
        <f>HYPERLINK("https://pbs.twimg.com/profile_images/1433591977631748099/wuGDIimB_normal.jpg","View")</f>
        <v>View</v>
      </c>
      <c r="P3474" s="7"/>
    </row>
    <row r="3475" spans="1:16">
      <c r="A3475" s="3">
        <v>44504.792824074073</v>
      </c>
      <c r="B3475" s="4" t="str">
        <f>HYPERLINK("https://twitter.com/sergio_fajardo","@sergio_fajardo")</f>
        <v>@sergio_fajardo</v>
      </c>
      <c r="C3475" s="5" t="s">
        <v>16</v>
      </c>
      <c r="D3475" s="5" t="s">
        <v>3496</v>
      </c>
      <c r="E3475" s="6" t="str">
        <f>HYPERLINK("https://twitter.com/sergio_fajardo/status/1456252808865452032","1456252808865452032")</f>
        <v>1456252808865452032</v>
      </c>
      <c r="F3475" s="7" t="s">
        <v>17</v>
      </c>
      <c r="G3475" s="7">
        <v>1598850</v>
      </c>
      <c r="H3475" s="7">
        <v>602</v>
      </c>
      <c r="I3475" s="7">
        <v>10</v>
      </c>
      <c r="J3475" s="7">
        <v>0</v>
      </c>
      <c r="K3475" s="7" t="s">
        <v>18</v>
      </c>
      <c r="L3475" s="8">
        <v>39891.213356481479</v>
      </c>
      <c r="M3475" s="9" t="s">
        <v>19</v>
      </c>
      <c r="N3475" s="9" t="s">
        <v>22</v>
      </c>
      <c r="O3475" s="6" t="str">
        <f>HYPERLINK("https://pbs.twimg.com/profile_images/1433591977631748099/wuGDIimB_normal.jpg","View")</f>
        <v>View</v>
      </c>
      <c r="P3475" s="7"/>
    </row>
    <row r="3476" spans="1:16">
      <c r="A3476" s="3">
        <v>44504.833912037036</v>
      </c>
      <c r="B3476" s="4" t="str">
        <f>HYPERLINK("https://twitter.com/sergio_fajardo","@sergio_fajardo")</f>
        <v>@sergio_fajardo</v>
      </c>
      <c r="C3476" s="5" t="s">
        <v>16</v>
      </c>
      <c r="D3476" s="5" t="s">
        <v>3497</v>
      </c>
      <c r="E3476" s="6" t="str">
        <f>HYPERLINK("https://twitter.com/sergio_fajardo/status/1456267699282006018","1456267699282006018")</f>
        <v>1456267699282006018</v>
      </c>
      <c r="F3476" s="7" t="s">
        <v>17</v>
      </c>
      <c r="G3476" s="7">
        <v>1598779</v>
      </c>
      <c r="H3476" s="7">
        <v>602</v>
      </c>
      <c r="I3476" s="7">
        <v>14</v>
      </c>
      <c r="J3476" s="7">
        <v>0</v>
      </c>
      <c r="K3476" s="7" t="s">
        <v>18</v>
      </c>
      <c r="L3476" s="8">
        <v>39891.213356481479</v>
      </c>
      <c r="M3476" s="9" t="s">
        <v>19</v>
      </c>
      <c r="N3476" s="9" t="s">
        <v>22</v>
      </c>
      <c r="O3476" s="6" t="str">
        <f>HYPERLINK("https://pbs.twimg.com/profile_images/1433591977631748099/wuGDIimB_normal.jpg","View")</f>
        <v>View</v>
      </c>
      <c r="P3476" s="7"/>
    </row>
    <row r="3477" spans="1:16">
      <c r="A3477" s="3">
        <v>44505.14576388889</v>
      </c>
      <c r="B3477" s="4" t="str">
        <f>HYPERLINK("https://twitter.com/sergio_fajardo","@sergio_fajardo")</f>
        <v>@sergio_fajardo</v>
      </c>
      <c r="C3477" s="5" t="s">
        <v>16</v>
      </c>
      <c r="D3477" s="5" t="s">
        <v>3498</v>
      </c>
      <c r="E3477" s="6" t="str">
        <f>HYPERLINK("https://twitter.com/sergio_fajardo/status/1456380709703127042","1456380709703127042")</f>
        <v>1456380709703127042</v>
      </c>
      <c r="F3477" s="7" t="s">
        <v>17</v>
      </c>
      <c r="G3477" s="7">
        <v>1598885</v>
      </c>
      <c r="H3477" s="7">
        <v>602</v>
      </c>
      <c r="I3477" s="7">
        <v>2</v>
      </c>
      <c r="J3477" s="7">
        <v>12</v>
      </c>
      <c r="K3477" s="7" t="s">
        <v>18</v>
      </c>
      <c r="L3477" s="8">
        <v>39891.213356481479</v>
      </c>
      <c r="M3477" s="9" t="s">
        <v>19</v>
      </c>
      <c r="N3477" s="9" t="s">
        <v>22</v>
      </c>
      <c r="O3477" s="6" t="str">
        <f>HYPERLINK("https://pbs.twimg.com/profile_images/1433591977631748099/wuGDIimB_normal.jpg","View")</f>
        <v>View</v>
      </c>
      <c r="P3477" s="7"/>
    </row>
    <row r="3478" spans="1:16">
      <c r="A3478" s="3">
        <v>44505.24046296296</v>
      </c>
      <c r="B3478" s="4" t="str">
        <f>HYPERLINK("https://twitter.com/sergio_fajardo","@sergio_fajardo")</f>
        <v>@sergio_fajardo</v>
      </c>
      <c r="C3478" s="5" t="s">
        <v>16</v>
      </c>
      <c r="D3478" s="5" t="s">
        <v>3499</v>
      </c>
      <c r="E3478" s="6" t="str">
        <f>HYPERLINK("https://twitter.com/sergio_fajardo/status/1456415027766964227","1456415027766964227")</f>
        <v>1456415027766964227</v>
      </c>
      <c r="F3478" s="7" t="s">
        <v>17</v>
      </c>
      <c r="G3478" s="7">
        <v>1598896</v>
      </c>
      <c r="H3478" s="7">
        <v>602</v>
      </c>
      <c r="I3478" s="7">
        <v>6</v>
      </c>
      <c r="J3478" s="7">
        <v>0</v>
      </c>
      <c r="K3478" s="7" t="s">
        <v>18</v>
      </c>
      <c r="L3478" s="8">
        <v>39891.213356481479</v>
      </c>
      <c r="M3478" s="9" t="s">
        <v>19</v>
      </c>
      <c r="N3478" s="9" t="s">
        <v>22</v>
      </c>
      <c r="O3478" s="6" t="str">
        <f>HYPERLINK("https://pbs.twimg.com/profile_images/1433591977631748099/wuGDIimB_normal.jpg","View")</f>
        <v>View</v>
      </c>
      <c r="P3478" s="7"/>
    </row>
    <row r="3479" spans="1:16">
      <c r="A3479" s="3">
        <v>44505.240497685183</v>
      </c>
      <c r="B3479" s="4" t="str">
        <f>HYPERLINK("https://twitter.com/sergio_fajardo","@sergio_fajardo")</f>
        <v>@sergio_fajardo</v>
      </c>
      <c r="C3479" s="5" t="s">
        <v>16</v>
      </c>
      <c r="D3479" s="5" t="s">
        <v>3500</v>
      </c>
      <c r="E3479" s="6" t="str">
        <f>HYPERLINK("https://twitter.com/sergio_fajardo/status/1456415041306169346","1456415041306169346")</f>
        <v>1456415041306169346</v>
      </c>
      <c r="F3479" s="7" t="s">
        <v>17</v>
      </c>
      <c r="G3479" s="7">
        <v>1598896</v>
      </c>
      <c r="H3479" s="7">
        <v>602</v>
      </c>
      <c r="I3479" s="7">
        <v>3</v>
      </c>
      <c r="J3479" s="7">
        <v>0</v>
      </c>
      <c r="K3479" s="7" t="s">
        <v>18</v>
      </c>
      <c r="L3479" s="8">
        <v>39891.213356481479</v>
      </c>
      <c r="M3479" s="9" t="s">
        <v>19</v>
      </c>
      <c r="N3479" s="9" t="s">
        <v>22</v>
      </c>
      <c r="O3479" s="6" t="str">
        <f>HYPERLINK("https://pbs.twimg.com/profile_images/1433591977631748099/wuGDIimB_normal.jpg","View")</f>
        <v>View</v>
      </c>
      <c r="P3479" s="7"/>
    </row>
    <row r="3480" spans="1:16">
      <c r="A3480" s="3">
        <v>44505.609479166669</v>
      </c>
      <c r="B3480" s="4" t="str">
        <f>HYPERLINK("https://twitter.com/sergio_fajardo","@sergio_fajardo")</f>
        <v>@sergio_fajardo</v>
      </c>
      <c r="C3480" s="5" t="s">
        <v>16</v>
      </c>
      <c r="D3480" s="5" t="s">
        <v>3501</v>
      </c>
      <c r="E3480" s="6" t="str">
        <f>HYPERLINK("https://twitter.com/sergio_fajardo/status/1456548755675750401","1456548755675750401")</f>
        <v>1456548755675750401</v>
      </c>
      <c r="F3480" s="7" t="s">
        <v>17</v>
      </c>
      <c r="G3480" s="7">
        <v>1598927</v>
      </c>
      <c r="H3480" s="7">
        <v>602</v>
      </c>
      <c r="I3480" s="7">
        <v>6</v>
      </c>
      <c r="J3480" s="7">
        <v>0</v>
      </c>
      <c r="K3480" s="7" t="s">
        <v>18</v>
      </c>
      <c r="L3480" s="8">
        <v>39891.213356481479</v>
      </c>
      <c r="M3480" s="9" t="s">
        <v>19</v>
      </c>
      <c r="N3480" s="9" t="s">
        <v>22</v>
      </c>
      <c r="O3480" s="6" t="str">
        <f>HYPERLINK("https://pbs.twimg.com/profile_images/1433591977631748099/wuGDIimB_normal.jpg","View")</f>
        <v>View</v>
      </c>
      <c r="P3480" s="7"/>
    </row>
    <row r="3481" spans="1:16">
      <c r="A3481" s="3">
        <v>44505.764189814814</v>
      </c>
      <c r="B3481" s="4" t="str">
        <f>HYPERLINK("https://twitter.com/sergio_fajardo","@sergio_fajardo")</f>
        <v>@sergio_fajardo</v>
      </c>
      <c r="C3481" s="5" t="s">
        <v>16</v>
      </c>
      <c r="D3481" s="5" t="s">
        <v>3502</v>
      </c>
      <c r="E3481" s="6" t="str">
        <f>HYPERLINK("https://twitter.com/sergio_fajardo/status/1456604821763600389","1456604821763600389")</f>
        <v>1456604821763600389</v>
      </c>
      <c r="F3481" s="7" t="s">
        <v>2329</v>
      </c>
      <c r="G3481" s="7">
        <v>1598928</v>
      </c>
      <c r="H3481" s="7">
        <v>602</v>
      </c>
      <c r="I3481" s="7">
        <v>15</v>
      </c>
      <c r="J3481" s="7">
        <v>41</v>
      </c>
      <c r="K3481" s="7" t="s">
        <v>18</v>
      </c>
      <c r="L3481" s="8">
        <v>39891.213356481479</v>
      </c>
      <c r="M3481" s="9" t="s">
        <v>19</v>
      </c>
      <c r="N3481" s="9" t="s">
        <v>22</v>
      </c>
      <c r="O3481" s="6" t="str">
        <f>HYPERLINK("https://pbs.twimg.com/profile_images/1433591977631748099/wuGDIimB_normal.jpg","View")</f>
        <v>View</v>
      </c>
      <c r="P3481" s="7"/>
    </row>
    <row r="3482" spans="1:16">
      <c r="A3482" s="3">
        <v>44505.810231481482</v>
      </c>
      <c r="B3482" s="4" t="str">
        <f>HYPERLINK("https://twitter.com/sergio_fajardo","@sergio_fajardo")</f>
        <v>@sergio_fajardo</v>
      </c>
      <c r="C3482" s="5" t="s">
        <v>16</v>
      </c>
      <c r="D3482" s="5" t="s">
        <v>3503</v>
      </c>
      <c r="E3482" s="6" t="str">
        <f>HYPERLINK("https://twitter.com/sergio_fajardo/status/1456621507489185794","1456621507489185794")</f>
        <v>1456621507489185794</v>
      </c>
      <c r="F3482" s="7" t="s">
        <v>2329</v>
      </c>
      <c r="G3482" s="7">
        <v>1598929</v>
      </c>
      <c r="H3482" s="7">
        <v>602</v>
      </c>
      <c r="I3482" s="7">
        <v>3</v>
      </c>
      <c r="J3482" s="7">
        <v>10</v>
      </c>
      <c r="K3482" s="7" t="s">
        <v>18</v>
      </c>
      <c r="L3482" s="8">
        <v>39891.213356481479</v>
      </c>
      <c r="M3482" s="9" t="s">
        <v>19</v>
      </c>
      <c r="N3482" s="9" t="s">
        <v>22</v>
      </c>
      <c r="O3482" s="6" t="str">
        <f>HYPERLINK("https://pbs.twimg.com/profile_images/1433591977631748099/wuGDIimB_normal.jpg","View")</f>
        <v>View</v>
      </c>
      <c r="P3482" s="7"/>
    </row>
    <row r="3483" spans="1:16">
      <c r="A3483" s="3">
        <v>44505.853159722217</v>
      </c>
      <c r="B3483" s="4" t="str">
        <f>HYPERLINK("https://twitter.com/sergio_fajardo","@sergio_fajardo")</f>
        <v>@sergio_fajardo</v>
      </c>
      <c r="C3483" s="5" t="s">
        <v>16</v>
      </c>
      <c r="D3483" s="5" t="s">
        <v>3504</v>
      </c>
      <c r="E3483" s="6" t="str">
        <f>HYPERLINK("https://twitter.com/sergio_fajardo/status/1456637063143567366","1456637063143567366")</f>
        <v>1456637063143567366</v>
      </c>
      <c r="F3483" s="7" t="s">
        <v>17</v>
      </c>
      <c r="G3483" s="7">
        <v>1598930</v>
      </c>
      <c r="H3483" s="7">
        <v>602</v>
      </c>
      <c r="I3483" s="7">
        <v>5</v>
      </c>
      <c r="J3483" s="7">
        <v>0</v>
      </c>
      <c r="K3483" s="7" t="s">
        <v>18</v>
      </c>
      <c r="L3483" s="8">
        <v>39891.213356481479</v>
      </c>
      <c r="M3483" s="9" t="s">
        <v>19</v>
      </c>
      <c r="N3483" s="9" t="s">
        <v>22</v>
      </c>
      <c r="O3483" s="6" t="str">
        <f>HYPERLINK("https://pbs.twimg.com/profile_images/1433591977631748099/wuGDIimB_normal.jpg","View")</f>
        <v>View</v>
      </c>
      <c r="P3483" s="7"/>
    </row>
    <row r="3484" spans="1:16">
      <c r="A3484" s="3">
        <v>44505.95385416667</v>
      </c>
      <c r="B3484" s="4" t="str">
        <f>HYPERLINK("https://twitter.com/sergio_fajardo","@sergio_fajardo")</f>
        <v>@sergio_fajardo</v>
      </c>
      <c r="C3484" s="5" t="s">
        <v>16</v>
      </c>
      <c r="D3484" s="5" t="s">
        <v>3505</v>
      </c>
      <c r="E3484" s="6" t="str">
        <f>HYPERLINK("https://twitter.com/sergio_fajardo/status/1456673551638056963","1456673551638056963")</f>
        <v>1456673551638056963</v>
      </c>
      <c r="F3484" s="7" t="s">
        <v>17</v>
      </c>
      <c r="G3484" s="7">
        <v>1598933</v>
      </c>
      <c r="H3484" s="7">
        <v>602</v>
      </c>
      <c r="I3484" s="7">
        <v>9</v>
      </c>
      <c r="J3484" s="7">
        <v>23</v>
      </c>
      <c r="K3484" s="7" t="s">
        <v>18</v>
      </c>
      <c r="L3484" s="8">
        <v>39891.213356481479</v>
      </c>
      <c r="M3484" s="9" t="s">
        <v>19</v>
      </c>
      <c r="N3484" s="9" t="s">
        <v>22</v>
      </c>
      <c r="O3484" s="6" t="str">
        <f>HYPERLINK("https://pbs.twimg.com/profile_images/1433591977631748099/wuGDIimB_normal.jpg","View")</f>
        <v>View</v>
      </c>
      <c r="P3484" s="7"/>
    </row>
    <row r="3485" spans="1:16">
      <c r="A3485" s="3">
        <v>44505.954004629632</v>
      </c>
      <c r="B3485" s="4" t="str">
        <f>HYPERLINK("https://twitter.com/sergio_fajardo","@sergio_fajardo")</f>
        <v>@sergio_fajardo</v>
      </c>
      <c r="C3485" s="5" t="s">
        <v>16</v>
      </c>
      <c r="D3485" s="5" t="s">
        <v>3506</v>
      </c>
      <c r="E3485" s="6" t="str">
        <f>HYPERLINK("https://twitter.com/sergio_fajardo/status/1456673608395366408","1456673608395366408")</f>
        <v>1456673608395366408</v>
      </c>
      <c r="F3485" s="7" t="s">
        <v>17</v>
      </c>
      <c r="G3485" s="7">
        <v>1598933</v>
      </c>
      <c r="H3485" s="7">
        <v>602</v>
      </c>
      <c r="I3485" s="7">
        <v>18</v>
      </c>
      <c r="J3485" s="7">
        <v>0</v>
      </c>
      <c r="K3485" s="7" t="s">
        <v>18</v>
      </c>
      <c r="L3485" s="8">
        <v>39891.213356481479</v>
      </c>
      <c r="M3485" s="9" t="s">
        <v>19</v>
      </c>
      <c r="N3485" s="9" t="s">
        <v>22</v>
      </c>
      <c r="O3485" s="6" t="str">
        <f>HYPERLINK("https://pbs.twimg.com/profile_images/1433591977631748099/wuGDIimB_normal.jpg","View")</f>
        <v>View</v>
      </c>
      <c r="P3485" s="7"/>
    </row>
    <row r="3486" spans="1:16">
      <c r="A3486" s="3">
        <v>44505.98055555555</v>
      </c>
      <c r="B3486" s="4" t="str">
        <f>HYPERLINK("https://twitter.com/sergio_fajardo","@sergio_fajardo")</f>
        <v>@sergio_fajardo</v>
      </c>
      <c r="C3486" s="5" t="s">
        <v>16</v>
      </c>
      <c r="D3486" s="5" t="s">
        <v>3507</v>
      </c>
      <c r="E3486" s="6" t="str">
        <f>HYPERLINK("https://twitter.com/sergio_fajardo/status/1456683231751835648","1456683231751835648")</f>
        <v>1456683231751835648</v>
      </c>
      <c r="F3486" s="7" t="s">
        <v>17</v>
      </c>
      <c r="G3486" s="7">
        <v>1598932</v>
      </c>
      <c r="H3486" s="7">
        <v>602</v>
      </c>
      <c r="I3486" s="7">
        <v>4</v>
      </c>
      <c r="J3486" s="7">
        <v>0</v>
      </c>
      <c r="K3486" s="7" t="s">
        <v>18</v>
      </c>
      <c r="L3486" s="8">
        <v>39891.213356481479</v>
      </c>
      <c r="M3486" s="9" t="s">
        <v>19</v>
      </c>
      <c r="N3486" s="9" t="s">
        <v>22</v>
      </c>
      <c r="O3486" s="6" t="str">
        <f>HYPERLINK("https://pbs.twimg.com/profile_images/1433591977631748099/wuGDIimB_normal.jpg","View")</f>
        <v>View</v>
      </c>
      <c r="P3486" s="7"/>
    </row>
    <row r="3487" spans="1:16">
      <c r="A3487" s="3">
        <v>44505.990659722222</v>
      </c>
      <c r="B3487" s="4" t="str">
        <f>HYPERLINK("https://twitter.com/sergio_fajardo","@sergio_fajardo")</f>
        <v>@sergio_fajardo</v>
      </c>
      <c r="C3487" s="5" t="s">
        <v>16</v>
      </c>
      <c r="D3487" s="5" t="s">
        <v>3508</v>
      </c>
      <c r="E3487" s="6" t="str">
        <f>HYPERLINK("https://twitter.com/sergio_fajardo/status/1456686891240247298","1456686891240247298")</f>
        <v>1456686891240247298</v>
      </c>
      <c r="F3487" s="7" t="s">
        <v>17</v>
      </c>
      <c r="G3487" s="7">
        <v>1598933</v>
      </c>
      <c r="H3487" s="7">
        <v>602</v>
      </c>
      <c r="I3487" s="7">
        <v>1</v>
      </c>
      <c r="J3487" s="7">
        <v>0</v>
      </c>
      <c r="K3487" s="7" t="s">
        <v>18</v>
      </c>
      <c r="L3487" s="8">
        <v>39891.213356481479</v>
      </c>
      <c r="M3487" s="9" t="s">
        <v>19</v>
      </c>
      <c r="N3487" s="9" t="s">
        <v>22</v>
      </c>
      <c r="O3487" s="6" t="str">
        <f>HYPERLINK("https://pbs.twimg.com/profile_images/1433591977631748099/wuGDIimB_normal.jpg","View")</f>
        <v>View</v>
      </c>
      <c r="P3487" s="7"/>
    </row>
    <row r="3488" spans="1:16">
      <c r="A3488" s="3">
        <v>44505.990717592591</v>
      </c>
      <c r="B3488" s="4" t="str">
        <f>HYPERLINK("https://twitter.com/sergio_fajardo","@sergio_fajardo")</f>
        <v>@sergio_fajardo</v>
      </c>
      <c r="C3488" s="5" t="s">
        <v>16</v>
      </c>
      <c r="D3488" s="5" t="s">
        <v>3509</v>
      </c>
      <c r="E3488" s="6" t="str">
        <f>HYPERLINK("https://twitter.com/sergio_fajardo/status/1456686910584279043","1456686910584279043")</f>
        <v>1456686910584279043</v>
      </c>
      <c r="F3488" s="7" t="s">
        <v>17</v>
      </c>
      <c r="G3488" s="7">
        <v>1598933</v>
      </c>
      <c r="H3488" s="7">
        <v>602</v>
      </c>
      <c r="I3488" s="7">
        <v>3</v>
      </c>
      <c r="J3488" s="7">
        <v>0</v>
      </c>
      <c r="K3488" s="7" t="s">
        <v>18</v>
      </c>
      <c r="L3488" s="8">
        <v>39891.213356481479</v>
      </c>
      <c r="M3488" s="9" t="s">
        <v>19</v>
      </c>
      <c r="N3488" s="9" t="s">
        <v>22</v>
      </c>
      <c r="O3488" s="6" t="str">
        <f>HYPERLINK("https://pbs.twimg.com/profile_images/1433591977631748099/wuGDIimB_normal.jpg","View")</f>
        <v>View</v>
      </c>
      <c r="P3488" s="7"/>
    </row>
    <row r="3489" spans="1:16">
      <c r="A3489" s="3">
        <v>44505.990798611107</v>
      </c>
      <c r="B3489" s="4" t="str">
        <f>HYPERLINK("https://twitter.com/sergio_fajardo","@sergio_fajardo")</f>
        <v>@sergio_fajardo</v>
      </c>
      <c r="C3489" s="5" t="s">
        <v>16</v>
      </c>
      <c r="D3489" s="5" t="s">
        <v>3510</v>
      </c>
      <c r="E3489" s="6" t="str">
        <f>HYPERLINK("https://twitter.com/sergio_fajardo/status/1456686939864719364","1456686939864719364")</f>
        <v>1456686939864719364</v>
      </c>
      <c r="F3489" s="7" t="s">
        <v>17</v>
      </c>
      <c r="G3489" s="7">
        <v>1598933</v>
      </c>
      <c r="H3489" s="7">
        <v>602</v>
      </c>
      <c r="I3489" s="7">
        <v>2</v>
      </c>
      <c r="J3489" s="7">
        <v>0</v>
      </c>
      <c r="K3489" s="7" t="s">
        <v>18</v>
      </c>
      <c r="L3489" s="8">
        <v>39891.213356481479</v>
      </c>
      <c r="M3489" s="9" t="s">
        <v>19</v>
      </c>
      <c r="N3489" s="9" t="s">
        <v>22</v>
      </c>
      <c r="O3489" s="6" t="str">
        <f>HYPERLINK("https://pbs.twimg.com/profile_images/1433591977631748099/wuGDIimB_normal.jpg","View")</f>
        <v>View</v>
      </c>
      <c r="P3489" s="7"/>
    </row>
    <row r="3490" spans="1:16">
      <c r="A3490" s="3">
        <v>44505.992280092592</v>
      </c>
      <c r="B3490" s="4" t="str">
        <f>HYPERLINK("https://twitter.com/sergio_fajardo","@sergio_fajardo")</f>
        <v>@sergio_fajardo</v>
      </c>
      <c r="C3490" s="5" t="s">
        <v>16</v>
      </c>
      <c r="D3490" s="5" t="s">
        <v>3511</v>
      </c>
      <c r="E3490" s="6" t="str">
        <f>HYPERLINK("https://twitter.com/sergio_fajardo/status/1456687479956836370","1456687479956836370")</f>
        <v>1456687479956836370</v>
      </c>
      <c r="F3490" s="7" t="s">
        <v>17</v>
      </c>
      <c r="G3490" s="7">
        <v>1598933</v>
      </c>
      <c r="H3490" s="7">
        <v>602</v>
      </c>
      <c r="I3490" s="7">
        <v>1</v>
      </c>
      <c r="J3490" s="7">
        <v>0</v>
      </c>
      <c r="K3490" s="7" t="s">
        <v>18</v>
      </c>
      <c r="L3490" s="8">
        <v>39891.213356481479</v>
      </c>
      <c r="M3490" s="9" t="s">
        <v>19</v>
      </c>
      <c r="N3490" s="9" t="s">
        <v>22</v>
      </c>
      <c r="O3490" s="6" t="str">
        <f>HYPERLINK("https://pbs.twimg.com/profile_images/1433591977631748099/wuGDIimB_normal.jpg","View")</f>
        <v>View</v>
      </c>
      <c r="P3490" s="7"/>
    </row>
    <row r="3491" spans="1:16">
      <c r="A3491" s="3">
        <v>44506.066203703704</v>
      </c>
      <c r="B3491" s="4" t="str">
        <f>HYPERLINK("https://twitter.com/sergio_fajardo","@sergio_fajardo")</f>
        <v>@sergio_fajardo</v>
      </c>
      <c r="C3491" s="5" t="s">
        <v>16</v>
      </c>
      <c r="D3491" s="5" t="s">
        <v>3512</v>
      </c>
      <c r="E3491" s="6" t="str">
        <f>HYPERLINK("https://twitter.com/sergio_fajardo/status/1456714268578045956","1456714268578045956")</f>
        <v>1456714268578045956</v>
      </c>
      <c r="F3491" s="7" t="s">
        <v>23</v>
      </c>
      <c r="G3491" s="7">
        <v>1598928</v>
      </c>
      <c r="H3491" s="7">
        <v>602</v>
      </c>
      <c r="I3491" s="7">
        <v>11</v>
      </c>
      <c r="J3491" s="7">
        <v>0</v>
      </c>
      <c r="K3491" s="7" t="s">
        <v>18</v>
      </c>
      <c r="L3491" s="8">
        <v>39891.213356481479</v>
      </c>
      <c r="M3491" s="9" t="s">
        <v>19</v>
      </c>
      <c r="N3491" s="9" t="s">
        <v>22</v>
      </c>
      <c r="O3491" s="6" t="str">
        <f>HYPERLINK("https://pbs.twimg.com/profile_images/1433591977631748099/wuGDIimB_normal.jpg","View")</f>
        <v>View</v>
      </c>
      <c r="P3491" s="7"/>
    </row>
    <row r="3492" spans="1:16">
      <c r="A3492" s="3">
        <v>44506.103425925925</v>
      </c>
      <c r="B3492" s="4" t="str">
        <f>HYPERLINK("https://twitter.com/sergio_fajardo","@sergio_fajardo")</f>
        <v>@sergio_fajardo</v>
      </c>
      <c r="C3492" s="5" t="s">
        <v>16</v>
      </c>
      <c r="D3492" s="5" t="s">
        <v>3513</v>
      </c>
      <c r="E3492" s="6" t="str">
        <f>HYPERLINK("https://twitter.com/sergio_fajardo/status/1456727757858250753","1456727757858250753")</f>
        <v>1456727757858250753</v>
      </c>
      <c r="F3492" s="7" t="s">
        <v>17</v>
      </c>
      <c r="G3492" s="7">
        <v>1598929</v>
      </c>
      <c r="H3492" s="7">
        <v>602</v>
      </c>
      <c r="I3492" s="7">
        <v>1</v>
      </c>
      <c r="J3492" s="7">
        <v>0</v>
      </c>
      <c r="K3492" s="7" t="s">
        <v>18</v>
      </c>
      <c r="L3492" s="8">
        <v>39891.213356481479</v>
      </c>
      <c r="M3492" s="9" t="s">
        <v>19</v>
      </c>
      <c r="N3492" s="9" t="s">
        <v>22</v>
      </c>
      <c r="O3492" s="6" t="str">
        <f>HYPERLINK("https://pbs.twimg.com/profile_images/1433591977631748099/wuGDIimB_normal.jpg","View")</f>
        <v>View</v>
      </c>
      <c r="P3492" s="7"/>
    </row>
    <row r="3493" spans="1:16">
      <c r="A3493" s="3">
        <v>44506.105578703704</v>
      </c>
      <c r="B3493" s="4" t="str">
        <f>HYPERLINK("https://twitter.com/sergio_fajardo","@sergio_fajardo")</f>
        <v>@sergio_fajardo</v>
      </c>
      <c r="C3493" s="5" t="s">
        <v>16</v>
      </c>
      <c r="D3493" s="5" t="s">
        <v>3514</v>
      </c>
      <c r="E3493" s="6" t="str">
        <f>HYPERLINK("https://twitter.com/sergio_fajardo/status/1456728535238852614","1456728535238852614")</f>
        <v>1456728535238852614</v>
      </c>
      <c r="F3493" s="7" t="s">
        <v>17</v>
      </c>
      <c r="G3493" s="7">
        <v>1598929</v>
      </c>
      <c r="H3493" s="7">
        <v>602</v>
      </c>
      <c r="I3493" s="7">
        <v>1</v>
      </c>
      <c r="J3493" s="7">
        <v>0</v>
      </c>
      <c r="K3493" s="7" t="s">
        <v>18</v>
      </c>
      <c r="L3493" s="8">
        <v>39891.213356481479</v>
      </c>
      <c r="M3493" s="9" t="s">
        <v>19</v>
      </c>
      <c r="N3493" s="9" t="s">
        <v>22</v>
      </c>
      <c r="O3493" s="6" t="str">
        <f>HYPERLINK("https://pbs.twimg.com/profile_images/1433591977631748099/wuGDIimB_normal.jpg","View")</f>
        <v>View</v>
      </c>
      <c r="P3493" s="7"/>
    </row>
    <row r="3494" spans="1:16">
      <c r="A3494" s="3">
        <v>44506.337893518517</v>
      </c>
      <c r="B3494" s="4" t="str">
        <f>HYPERLINK("https://twitter.com/sergio_fajardo","@sergio_fajardo")</f>
        <v>@sergio_fajardo</v>
      </c>
      <c r="C3494" s="5" t="s">
        <v>16</v>
      </c>
      <c r="D3494" s="5" t="s">
        <v>3515</v>
      </c>
      <c r="E3494" s="6" t="str">
        <f>HYPERLINK("https://twitter.com/sergio_fajardo/status/1456812725632389122","1456812725632389122")</f>
        <v>1456812725632389122</v>
      </c>
      <c r="F3494" s="7" t="s">
        <v>17</v>
      </c>
      <c r="G3494" s="7">
        <v>1598937</v>
      </c>
      <c r="H3494" s="7">
        <v>602</v>
      </c>
      <c r="I3494" s="7">
        <v>3</v>
      </c>
      <c r="J3494" s="7">
        <v>0</v>
      </c>
      <c r="K3494" s="7" t="s">
        <v>18</v>
      </c>
      <c r="L3494" s="8">
        <v>39891.213356481479</v>
      </c>
      <c r="M3494" s="9" t="s">
        <v>19</v>
      </c>
      <c r="N3494" s="9" t="s">
        <v>22</v>
      </c>
      <c r="O3494" s="6" t="str">
        <f>HYPERLINK("https://pbs.twimg.com/profile_images/1433591977631748099/wuGDIimB_normal.jpg","View")</f>
        <v>View</v>
      </c>
      <c r="P3494" s="7"/>
    </row>
    <row r="3495" spans="1:16">
      <c r="A3495" s="3">
        <v>44507.236076388886</v>
      </c>
      <c r="B3495" s="4" t="str">
        <f>HYPERLINK("https://twitter.com/sergio_fajardo","@sergio_fajardo")</f>
        <v>@sergio_fajardo</v>
      </c>
      <c r="C3495" s="5" t="s">
        <v>16</v>
      </c>
      <c r="D3495" s="5" t="s">
        <v>3516</v>
      </c>
      <c r="E3495" s="6" t="str">
        <f>HYPERLINK("https://twitter.com/sergio_fajardo/status/1457138214469308420","1457138214469308420")</f>
        <v>1457138214469308420</v>
      </c>
      <c r="F3495" s="7" t="s">
        <v>2329</v>
      </c>
      <c r="G3495" s="7">
        <v>1598985</v>
      </c>
      <c r="H3495" s="7">
        <v>602</v>
      </c>
      <c r="I3495" s="7">
        <v>9</v>
      </c>
      <c r="J3495" s="7">
        <v>32</v>
      </c>
      <c r="K3495" s="7" t="s">
        <v>18</v>
      </c>
      <c r="L3495" s="8">
        <v>39891.213356481479</v>
      </c>
      <c r="M3495" s="9" t="s">
        <v>19</v>
      </c>
      <c r="N3495" s="9" t="s">
        <v>22</v>
      </c>
      <c r="O3495" s="6" t="str">
        <f>HYPERLINK("https://pbs.twimg.com/profile_images/1433591977631748099/wuGDIimB_normal.jpg","View")</f>
        <v>View</v>
      </c>
      <c r="P3495" s="7"/>
    </row>
    <row r="3496" spans="1:16">
      <c r="A3496" s="3">
        <v>44507.784918981481</v>
      </c>
      <c r="B3496" s="4" t="str">
        <f>HYPERLINK("https://twitter.com/sergio_fajardo","@sergio_fajardo")</f>
        <v>@sergio_fajardo</v>
      </c>
      <c r="C3496" s="5" t="s">
        <v>16</v>
      </c>
      <c r="D3496" s="5" t="s">
        <v>3517</v>
      </c>
      <c r="E3496" s="6" t="str">
        <f>HYPERLINK("https://twitter.com/sergio_fajardo/status/1457337108193030146","1457337108193030146")</f>
        <v>1457337108193030146</v>
      </c>
      <c r="F3496" s="7" t="s">
        <v>20</v>
      </c>
      <c r="G3496" s="7">
        <v>1599009</v>
      </c>
      <c r="H3496" s="7">
        <v>602</v>
      </c>
      <c r="I3496" s="7">
        <v>5</v>
      </c>
      <c r="J3496" s="7">
        <v>28</v>
      </c>
      <c r="K3496" s="7" t="s">
        <v>18</v>
      </c>
      <c r="L3496" s="8">
        <v>39891.213356481479</v>
      </c>
      <c r="M3496" s="9" t="s">
        <v>19</v>
      </c>
      <c r="N3496" s="9" t="s">
        <v>22</v>
      </c>
      <c r="O3496" s="6" t="str">
        <f>HYPERLINK("https://pbs.twimg.com/profile_images/1433591977631748099/wuGDIimB_normal.jpg","View")</f>
        <v>View</v>
      </c>
      <c r="P3496" s="7"/>
    </row>
    <row r="3497" spans="1:16">
      <c r="A3497" s="3">
        <v>44507.784918981481</v>
      </c>
      <c r="B3497" s="4" t="str">
        <f>HYPERLINK("https://twitter.com/sergio_fajardo","@sergio_fajardo")</f>
        <v>@sergio_fajardo</v>
      </c>
      <c r="C3497" s="5" t="s">
        <v>16</v>
      </c>
      <c r="D3497" s="5" t="s">
        <v>3518</v>
      </c>
      <c r="E3497" s="6" t="str">
        <f>HYPERLINK("https://twitter.com/sergio_fajardo/status/1457337110604783624","1457337110604783624")</f>
        <v>1457337110604783624</v>
      </c>
      <c r="F3497" s="7" t="s">
        <v>20</v>
      </c>
      <c r="G3497" s="7">
        <v>1599009</v>
      </c>
      <c r="H3497" s="7">
        <v>602</v>
      </c>
      <c r="I3497" s="7">
        <v>2</v>
      </c>
      <c r="J3497" s="7">
        <v>7</v>
      </c>
      <c r="K3497" s="7" t="s">
        <v>18</v>
      </c>
      <c r="L3497" s="8">
        <v>39891.213356481479</v>
      </c>
      <c r="M3497" s="9" t="s">
        <v>19</v>
      </c>
      <c r="N3497" s="9" t="s">
        <v>22</v>
      </c>
      <c r="O3497" s="6" t="str">
        <f>HYPERLINK("https://pbs.twimg.com/profile_images/1433591977631748099/wuGDIimB_normal.jpg","View")</f>
        <v>View</v>
      </c>
      <c r="P3497" s="7"/>
    </row>
    <row r="3498" spans="1:16">
      <c r="A3498" s="3">
        <v>44507.833333333328</v>
      </c>
      <c r="B3498" s="4" t="str">
        <f>HYPERLINK("https://twitter.com/sergio_fajardo","@sergio_fajardo")</f>
        <v>@sergio_fajardo</v>
      </c>
      <c r="C3498" s="5" t="s">
        <v>16</v>
      </c>
      <c r="D3498" s="5" t="s">
        <v>3519</v>
      </c>
      <c r="E3498" s="6" t="str">
        <f>HYPERLINK("https://twitter.com/sergio_fajardo/status/1457354653386133513","1457354653386133513")</f>
        <v>1457354653386133513</v>
      </c>
      <c r="F3498" s="7" t="s">
        <v>2329</v>
      </c>
      <c r="G3498" s="7">
        <v>1599008</v>
      </c>
      <c r="H3498" s="7">
        <v>602</v>
      </c>
      <c r="I3498" s="7">
        <v>2</v>
      </c>
      <c r="J3498" s="7">
        <v>7</v>
      </c>
      <c r="K3498" s="7" t="s">
        <v>18</v>
      </c>
      <c r="L3498" s="8">
        <v>39891.213356481479</v>
      </c>
      <c r="M3498" s="9" t="s">
        <v>19</v>
      </c>
      <c r="N3498" s="9" t="s">
        <v>22</v>
      </c>
      <c r="O3498" s="6" t="str">
        <f>HYPERLINK("https://pbs.twimg.com/profile_images/1433591977631748099/wuGDIimB_normal.jpg","View")</f>
        <v>View</v>
      </c>
      <c r="P3498" s="7"/>
    </row>
    <row r="3499" spans="1:16">
      <c r="A3499" s="3">
        <v>44508.141840277778</v>
      </c>
      <c r="B3499" s="4" t="str">
        <f>HYPERLINK("https://twitter.com/sergio_fajardo","@sergio_fajardo")</f>
        <v>@sergio_fajardo</v>
      </c>
      <c r="C3499" s="5" t="s">
        <v>16</v>
      </c>
      <c r="D3499" s="5" t="s">
        <v>3520</v>
      </c>
      <c r="E3499" s="6" t="str">
        <f>HYPERLINK("https://twitter.com/sergio_fajardo/status/1457466452567601154","1457466452567601154")</f>
        <v>1457466452567601154</v>
      </c>
      <c r="F3499" s="7" t="s">
        <v>17</v>
      </c>
      <c r="G3499" s="7">
        <v>1599024</v>
      </c>
      <c r="H3499" s="7">
        <v>602</v>
      </c>
      <c r="I3499" s="7">
        <v>14</v>
      </c>
      <c r="J3499" s="7">
        <v>67</v>
      </c>
      <c r="K3499" s="7" t="s">
        <v>18</v>
      </c>
      <c r="L3499" s="8">
        <v>39891.213356481479</v>
      </c>
      <c r="M3499" s="9" t="s">
        <v>19</v>
      </c>
      <c r="N3499" s="9" t="s">
        <v>22</v>
      </c>
      <c r="O3499" s="6" t="str">
        <f>HYPERLINK("https://pbs.twimg.com/profile_images/1433591977631748099/wuGDIimB_normal.jpg","View")</f>
        <v>View</v>
      </c>
      <c r="P3499" s="7"/>
    </row>
    <row r="3500" spans="1:16">
      <c r="A3500" s="3">
        <v>44508.805092592593</v>
      </c>
      <c r="B3500" s="4" t="str">
        <f>HYPERLINK("https://twitter.com/sergio_fajardo","@sergio_fajardo")</f>
        <v>@sergio_fajardo</v>
      </c>
      <c r="C3500" s="5" t="s">
        <v>16</v>
      </c>
      <c r="D3500" s="5" t="s">
        <v>3521</v>
      </c>
      <c r="E3500" s="6" t="str">
        <f>HYPERLINK("https://twitter.com/sergio_fajardo/status/1457706807967821830","1457706807967821830")</f>
        <v>1457706807967821830</v>
      </c>
      <c r="F3500" s="7" t="s">
        <v>17</v>
      </c>
      <c r="G3500" s="7">
        <v>1599039</v>
      </c>
      <c r="H3500" s="7">
        <v>602</v>
      </c>
      <c r="I3500" s="7">
        <v>25</v>
      </c>
      <c r="J3500" s="7">
        <v>179</v>
      </c>
      <c r="K3500" s="7" t="s">
        <v>18</v>
      </c>
      <c r="L3500" s="8">
        <v>39891.213356481479</v>
      </c>
      <c r="M3500" s="9" t="s">
        <v>19</v>
      </c>
      <c r="N3500" s="9" t="s">
        <v>22</v>
      </c>
      <c r="O3500" s="6" t="str">
        <f>HYPERLINK("https://pbs.twimg.com/profile_images/1433591977631748099/wuGDIimB_normal.jpg","View")</f>
        <v>View</v>
      </c>
      <c r="P3500" s="7"/>
    </row>
    <row r="3501" spans="1:16">
      <c r="A3501" s="3">
        <v>44509.22587962963</v>
      </c>
      <c r="B3501" s="4" t="str">
        <f>HYPERLINK("https://twitter.com/sergio_fajardo","@sergio_fajardo")</f>
        <v>@sergio_fajardo</v>
      </c>
      <c r="C3501" s="5" t="s">
        <v>16</v>
      </c>
      <c r="D3501" s="5" t="s">
        <v>3522</v>
      </c>
      <c r="E3501" s="6" t="str">
        <f>HYPERLINK("https://twitter.com/sergio_fajardo/status/1457859296226680837","1457859296226680837")</f>
        <v>1457859296226680837</v>
      </c>
      <c r="F3501" s="7" t="s">
        <v>17</v>
      </c>
      <c r="G3501" s="7">
        <v>1599058</v>
      </c>
      <c r="H3501" s="7">
        <v>602</v>
      </c>
      <c r="I3501" s="7">
        <v>35</v>
      </c>
      <c r="J3501" s="7">
        <v>155</v>
      </c>
      <c r="K3501" s="7" t="s">
        <v>18</v>
      </c>
      <c r="L3501" s="8">
        <v>39891.213356481479</v>
      </c>
      <c r="M3501" s="9" t="s">
        <v>19</v>
      </c>
      <c r="N3501" s="9" t="s">
        <v>22</v>
      </c>
      <c r="O3501" s="6" t="str">
        <f>HYPERLINK("https://pbs.twimg.com/profile_images/1433591977631748099/wuGDIimB_normal.jpg","View")</f>
        <v>View</v>
      </c>
      <c r="P3501" s="7"/>
    </row>
    <row r="3502" spans="1:16">
      <c r="A3502" s="3">
        <v>44510.275613425925</v>
      </c>
      <c r="B3502" s="4" t="str">
        <f>HYPERLINK("https://twitter.com/sergio_fajardo","@sergio_fajardo")</f>
        <v>@sergio_fajardo</v>
      </c>
      <c r="C3502" s="5" t="s">
        <v>16</v>
      </c>
      <c r="D3502" s="5" t="s">
        <v>3523</v>
      </c>
      <c r="E3502" s="6" t="str">
        <f>HYPERLINK("https://twitter.com/sergio_fajardo/status/1458239708576759808","1458239708576759808")</f>
        <v>1458239708576759808</v>
      </c>
      <c r="F3502" s="7" t="s">
        <v>17</v>
      </c>
      <c r="G3502" s="7">
        <v>1599104</v>
      </c>
      <c r="H3502" s="7">
        <v>602</v>
      </c>
      <c r="I3502" s="7">
        <v>6</v>
      </c>
      <c r="J3502" s="7">
        <v>23</v>
      </c>
      <c r="K3502" s="7" t="s">
        <v>18</v>
      </c>
      <c r="L3502" s="8">
        <v>39891.213356481479</v>
      </c>
      <c r="M3502" s="9" t="s">
        <v>19</v>
      </c>
      <c r="N3502" s="9" t="s">
        <v>22</v>
      </c>
      <c r="O3502" s="6" t="str">
        <f>HYPERLINK("https://pbs.twimg.com/profile_images/1433591977631748099/wuGDIimB_normal.jpg","View")</f>
        <v>View</v>
      </c>
      <c r="P3502" s="7"/>
    </row>
    <row r="3503" spans="1:16">
      <c r="A3503" s="3">
        <v>44510.870752314819</v>
      </c>
      <c r="B3503" s="4" t="str">
        <f>HYPERLINK("https://twitter.com/sergio_fajardo","@sergio_fajardo")</f>
        <v>@sergio_fajardo</v>
      </c>
      <c r="C3503" s="5" t="s">
        <v>16</v>
      </c>
      <c r="D3503" s="5" t="s">
        <v>3524</v>
      </c>
      <c r="E3503" s="6" t="str">
        <f>HYPERLINK("https://twitter.com/sergio_fajardo/status/1458455377524269057","1458455377524269057")</f>
        <v>1458455377524269057</v>
      </c>
      <c r="F3503" s="7" t="s">
        <v>17</v>
      </c>
      <c r="G3503" s="7">
        <v>1599150</v>
      </c>
      <c r="H3503" s="7">
        <v>602</v>
      </c>
      <c r="I3503" s="7">
        <v>9</v>
      </c>
      <c r="J3503" s="7">
        <v>0</v>
      </c>
      <c r="K3503" s="7" t="s">
        <v>18</v>
      </c>
      <c r="L3503" s="8">
        <v>39891.213356481479</v>
      </c>
      <c r="M3503" s="9" t="s">
        <v>19</v>
      </c>
      <c r="N3503" s="9" t="s">
        <v>22</v>
      </c>
      <c r="O3503" s="6" t="str">
        <f>HYPERLINK("https://pbs.twimg.com/profile_images/1433591977631748099/wuGDIimB_normal.jpg","View")</f>
        <v>View</v>
      </c>
      <c r="P3503" s="7"/>
    </row>
    <row r="3504" spans="1:16">
      <c r="A3504" s="3">
        <v>44511.056458333333</v>
      </c>
      <c r="B3504" s="4" t="str">
        <f>HYPERLINK("https://twitter.com/sergio_fajardo","@sergio_fajardo")</f>
        <v>@sergio_fajardo</v>
      </c>
      <c r="C3504" s="5" t="s">
        <v>16</v>
      </c>
      <c r="D3504" s="5" t="s">
        <v>3525</v>
      </c>
      <c r="E3504" s="6" t="str">
        <f>HYPERLINK("https://twitter.com/sergio_fajardo/status/1458522677153501192","1458522677153501192")</f>
        <v>1458522677153501192</v>
      </c>
      <c r="F3504" s="7" t="s">
        <v>17</v>
      </c>
      <c r="G3504" s="7">
        <v>1599167</v>
      </c>
      <c r="H3504" s="7">
        <v>602</v>
      </c>
      <c r="I3504" s="7">
        <v>540</v>
      </c>
      <c r="J3504" s="7">
        <v>0</v>
      </c>
      <c r="K3504" s="7" t="s">
        <v>18</v>
      </c>
      <c r="L3504" s="8">
        <v>39891.213356481479</v>
      </c>
      <c r="M3504" s="9" t="s">
        <v>19</v>
      </c>
      <c r="N3504" s="9" t="s">
        <v>22</v>
      </c>
      <c r="O3504" s="6" t="str">
        <f>HYPERLINK("https://pbs.twimg.com/profile_images/1433591977631748099/wuGDIimB_normal.jpg","View")</f>
        <v>View</v>
      </c>
      <c r="P3504" s="7"/>
    </row>
    <row r="3505" spans="1:16">
      <c r="A3505" s="3">
        <v>44511.173460648148</v>
      </c>
      <c r="B3505" s="4" t="str">
        <f>HYPERLINK("https://twitter.com/sergio_fajardo","@sergio_fajardo")</f>
        <v>@sergio_fajardo</v>
      </c>
      <c r="C3505" s="5" t="s">
        <v>16</v>
      </c>
      <c r="D3505" s="5" t="s">
        <v>3526</v>
      </c>
      <c r="E3505" s="6" t="str">
        <f>HYPERLINK("https://twitter.com/sergio_fajardo/status/1458565073912442886","1458565073912442886")</f>
        <v>1458565073912442886</v>
      </c>
      <c r="F3505" s="7" t="s">
        <v>17</v>
      </c>
      <c r="G3505" s="7">
        <v>1599174</v>
      </c>
      <c r="H3505" s="7">
        <v>602</v>
      </c>
      <c r="I3505" s="7">
        <v>15</v>
      </c>
      <c r="J3505" s="7">
        <v>41</v>
      </c>
      <c r="K3505" s="7" t="s">
        <v>18</v>
      </c>
      <c r="L3505" s="8">
        <v>39891.213356481479</v>
      </c>
      <c r="M3505" s="9" t="s">
        <v>19</v>
      </c>
      <c r="N3505" s="9" t="s">
        <v>22</v>
      </c>
      <c r="O3505" s="6" t="str">
        <f>HYPERLINK("https://pbs.twimg.com/profile_images/1433591977631748099/wuGDIimB_normal.jpg","View")</f>
        <v>View</v>
      </c>
      <c r="P3505" s="7"/>
    </row>
    <row r="3506" spans="1:16">
      <c r="A3506" s="3">
        <v>44511.188784722224</v>
      </c>
      <c r="B3506" s="4" t="str">
        <f>HYPERLINK("https://twitter.com/sergio_fajardo","@sergio_fajardo")</f>
        <v>@sergio_fajardo</v>
      </c>
      <c r="C3506" s="5" t="s">
        <v>16</v>
      </c>
      <c r="D3506" s="5" t="s">
        <v>3527</v>
      </c>
      <c r="E3506" s="6" t="str">
        <f>HYPERLINK("https://twitter.com/sergio_fajardo/status/1458570630803165193","1458570630803165193")</f>
        <v>1458570630803165193</v>
      </c>
      <c r="F3506" s="7" t="s">
        <v>17</v>
      </c>
      <c r="G3506" s="7">
        <v>1599180</v>
      </c>
      <c r="H3506" s="7">
        <v>602</v>
      </c>
      <c r="I3506" s="7">
        <v>3</v>
      </c>
      <c r="J3506" s="7">
        <v>51</v>
      </c>
      <c r="K3506" s="7" t="s">
        <v>18</v>
      </c>
      <c r="L3506" s="8">
        <v>39891.213356481479</v>
      </c>
      <c r="M3506" s="9" t="s">
        <v>19</v>
      </c>
      <c r="N3506" s="9" t="s">
        <v>22</v>
      </c>
      <c r="O3506" s="6" t="str">
        <f>HYPERLINK("https://pbs.twimg.com/profile_images/1433591977631748099/wuGDIimB_normal.jpg","View")</f>
        <v>View</v>
      </c>
      <c r="P3506" s="7"/>
    </row>
    <row r="3507" spans="1:16">
      <c r="A3507" s="3">
        <v>44511.19054398148</v>
      </c>
      <c r="B3507" s="4" t="str">
        <f>HYPERLINK("https://twitter.com/sergio_fajardo","@sergio_fajardo")</f>
        <v>@sergio_fajardo</v>
      </c>
      <c r="C3507" s="5" t="s">
        <v>16</v>
      </c>
      <c r="D3507" s="5" t="s">
        <v>3528</v>
      </c>
      <c r="E3507" s="6" t="str">
        <f>HYPERLINK("https://twitter.com/sergio_fajardo/status/1458571265057382400","1458571265057382400")</f>
        <v>1458571265057382400</v>
      </c>
      <c r="F3507" s="7" t="s">
        <v>17</v>
      </c>
      <c r="G3507" s="7">
        <v>1599180</v>
      </c>
      <c r="H3507" s="7">
        <v>602</v>
      </c>
      <c r="I3507" s="7">
        <v>4</v>
      </c>
      <c r="J3507" s="7">
        <v>33</v>
      </c>
      <c r="K3507" s="7" t="s">
        <v>18</v>
      </c>
      <c r="L3507" s="8">
        <v>39891.213356481479</v>
      </c>
      <c r="M3507" s="9" t="s">
        <v>19</v>
      </c>
      <c r="N3507" s="9" t="s">
        <v>22</v>
      </c>
      <c r="O3507" s="6" t="str">
        <f>HYPERLINK("https://pbs.twimg.com/profile_images/1433591977631748099/wuGDIimB_normal.jpg","View")</f>
        <v>View</v>
      </c>
      <c r="P3507" s="7"/>
    </row>
    <row r="3508" spans="1:16">
      <c r="A3508" s="3">
        <v>44511.817858796298</v>
      </c>
      <c r="B3508" s="4" t="str">
        <f>HYPERLINK("https://twitter.com/sergio_fajardo","@sergio_fajardo")</f>
        <v>@sergio_fajardo</v>
      </c>
      <c r="C3508" s="5" t="s">
        <v>16</v>
      </c>
      <c r="D3508" s="5" t="s">
        <v>3529</v>
      </c>
      <c r="E3508" s="6" t="str">
        <f>HYPERLINK("https://twitter.com/sergio_fajardo/status/1458798597424574470","1458798597424574470")</f>
        <v>1458798597424574470</v>
      </c>
      <c r="F3508" s="7" t="s">
        <v>23</v>
      </c>
      <c r="G3508" s="7">
        <v>1599230</v>
      </c>
      <c r="H3508" s="7">
        <v>602</v>
      </c>
      <c r="I3508" s="7">
        <v>6</v>
      </c>
      <c r="J3508" s="7">
        <v>14</v>
      </c>
      <c r="K3508" s="7" t="s">
        <v>18</v>
      </c>
      <c r="L3508" s="8">
        <v>39891.213356481479</v>
      </c>
      <c r="M3508" s="9" t="s">
        <v>19</v>
      </c>
      <c r="N3508" s="9" t="s">
        <v>22</v>
      </c>
      <c r="O3508" s="6" t="str">
        <f>HYPERLINK("https://pbs.twimg.com/profile_images/1433591977631748099/wuGDIimB_normal.jpg","View")</f>
        <v>View</v>
      </c>
      <c r="P3508" s="7"/>
    </row>
    <row r="3509" spans="1:16">
      <c r="A3509" s="3">
        <v>44511.820694444439</v>
      </c>
      <c r="B3509" s="4" t="str">
        <f>HYPERLINK("https://twitter.com/sergio_fajardo","@sergio_fajardo")</f>
        <v>@sergio_fajardo</v>
      </c>
      <c r="C3509" s="5" t="s">
        <v>16</v>
      </c>
      <c r="D3509" s="5" t="s">
        <v>3530</v>
      </c>
      <c r="E3509" s="6" t="str">
        <f>HYPERLINK("https://twitter.com/sergio_fajardo/status/1458799625771520003","1458799625771520003")</f>
        <v>1458799625771520003</v>
      </c>
      <c r="F3509" s="7" t="s">
        <v>23</v>
      </c>
      <c r="G3509" s="7">
        <v>1599230</v>
      </c>
      <c r="H3509" s="7">
        <v>602</v>
      </c>
      <c r="I3509" s="7">
        <v>44</v>
      </c>
      <c r="J3509" s="7">
        <v>154</v>
      </c>
      <c r="K3509" s="7" t="s">
        <v>18</v>
      </c>
      <c r="L3509" s="8">
        <v>39891.213356481479</v>
      </c>
      <c r="M3509" s="9" t="s">
        <v>19</v>
      </c>
      <c r="N3509" s="9" t="s">
        <v>22</v>
      </c>
      <c r="O3509" s="6" t="str">
        <f>HYPERLINK("https://pbs.twimg.com/profile_images/1433591977631748099/wuGDIimB_normal.jpg","View")</f>
        <v>View</v>
      </c>
      <c r="P3509" s="7"/>
    </row>
    <row r="3510" spans="1:16">
      <c r="A3510" s="3">
        <v>44511.823460648149</v>
      </c>
      <c r="B3510" s="4" t="str">
        <f>HYPERLINK("https://twitter.com/sergio_fajardo","@sergio_fajardo")</f>
        <v>@sergio_fajardo</v>
      </c>
      <c r="C3510" s="5" t="s">
        <v>16</v>
      </c>
      <c r="D3510" s="5" t="s">
        <v>3531</v>
      </c>
      <c r="E3510" s="6" t="str">
        <f>HYPERLINK("https://twitter.com/sergio_fajardo/status/1458800629313421315","1458800629313421315")</f>
        <v>1458800629313421315</v>
      </c>
      <c r="F3510" s="7" t="s">
        <v>17</v>
      </c>
      <c r="G3510" s="7">
        <v>1599230</v>
      </c>
      <c r="H3510" s="7">
        <v>602</v>
      </c>
      <c r="I3510" s="7">
        <v>3</v>
      </c>
      <c r="J3510" s="7">
        <v>13</v>
      </c>
      <c r="K3510" s="7" t="s">
        <v>18</v>
      </c>
      <c r="L3510" s="8">
        <v>39891.213356481479</v>
      </c>
      <c r="M3510" s="9" t="s">
        <v>19</v>
      </c>
      <c r="N3510" s="9" t="s">
        <v>22</v>
      </c>
      <c r="O3510" s="6" t="str">
        <f>HYPERLINK("https://pbs.twimg.com/profile_images/1433591977631748099/wuGDIimB_normal.jpg","View")</f>
        <v>View</v>
      </c>
      <c r="P3510" s="7"/>
    </row>
    <row r="3511" spans="1:16">
      <c r="A3511" s="3">
        <v>44511.830983796295</v>
      </c>
      <c r="B3511" s="4" t="str">
        <f>HYPERLINK("https://twitter.com/sergio_fajardo","@sergio_fajardo")</f>
        <v>@sergio_fajardo</v>
      </c>
      <c r="C3511" s="5" t="s">
        <v>16</v>
      </c>
      <c r="D3511" s="5" t="s">
        <v>3532</v>
      </c>
      <c r="E3511" s="6" t="str">
        <f>HYPERLINK("https://twitter.com/sergio_fajardo/status/1458803354990174215","1458803354990174215")</f>
        <v>1458803354990174215</v>
      </c>
      <c r="F3511" s="7" t="s">
        <v>17</v>
      </c>
      <c r="G3511" s="7">
        <v>1599230</v>
      </c>
      <c r="H3511" s="7">
        <v>602</v>
      </c>
      <c r="I3511" s="7">
        <v>5</v>
      </c>
      <c r="J3511" s="7">
        <v>0</v>
      </c>
      <c r="K3511" s="7" t="s">
        <v>18</v>
      </c>
      <c r="L3511" s="8">
        <v>39891.213356481479</v>
      </c>
      <c r="M3511" s="9" t="s">
        <v>19</v>
      </c>
      <c r="N3511" s="9" t="s">
        <v>22</v>
      </c>
      <c r="O3511" s="6" t="str">
        <f>HYPERLINK("https://pbs.twimg.com/profile_images/1433591977631748099/wuGDIimB_normal.jpg","View")</f>
        <v>View</v>
      </c>
      <c r="P3511" s="7"/>
    </row>
    <row r="3512" spans="1:16">
      <c r="A3512" s="3">
        <v>44511.888402777782</v>
      </c>
      <c r="B3512" s="4" t="str">
        <f>HYPERLINK("https://twitter.com/sergio_fajardo","@sergio_fajardo")</f>
        <v>@sergio_fajardo</v>
      </c>
      <c r="C3512" s="5" t="s">
        <v>16</v>
      </c>
      <c r="D3512" s="5" t="s">
        <v>3533</v>
      </c>
      <c r="E3512" s="6" t="str">
        <f>HYPERLINK("https://twitter.com/sergio_fajardo/status/1458824160633921537","1458824160633921537")</f>
        <v>1458824160633921537</v>
      </c>
      <c r="F3512" s="7" t="s">
        <v>17</v>
      </c>
      <c r="G3512" s="7">
        <v>1599241</v>
      </c>
      <c r="H3512" s="7">
        <v>602</v>
      </c>
      <c r="I3512" s="7">
        <v>17</v>
      </c>
      <c r="J3512" s="7">
        <v>56</v>
      </c>
      <c r="K3512" s="7" t="s">
        <v>18</v>
      </c>
      <c r="L3512" s="8">
        <v>39891.213356481479</v>
      </c>
      <c r="M3512" s="9" t="s">
        <v>19</v>
      </c>
      <c r="N3512" s="9" t="s">
        <v>22</v>
      </c>
      <c r="O3512" s="6" t="str">
        <f>HYPERLINK("https://pbs.twimg.com/profile_images/1433591977631748099/wuGDIimB_normal.jpg","View")</f>
        <v>View</v>
      </c>
      <c r="P3512" s="7"/>
    </row>
    <row r="3513" spans="1:16">
      <c r="A3513" s="3">
        <v>44511.90252314815</v>
      </c>
      <c r="B3513" s="4" t="str">
        <f>HYPERLINK("https://twitter.com/sergio_fajardo","@sergio_fajardo")</f>
        <v>@sergio_fajardo</v>
      </c>
      <c r="C3513" s="5" t="s">
        <v>16</v>
      </c>
      <c r="D3513" s="5" t="s">
        <v>3534</v>
      </c>
      <c r="E3513" s="6" t="str">
        <f>HYPERLINK("https://twitter.com/sergio_fajardo/status/1458829279609995269","1458829279609995269")</f>
        <v>1458829279609995269</v>
      </c>
      <c r="F3513" s="7" t="s">
        <v>17</v>
      </c>
      <c r="G3513" s="7">
        <v>1599241</v>
      </c>
      <c r="H3513" s="7">
        <v>602</v>
      </c>
      <c r="I3513" s="7">
        <v>33</v>
      </c>
      <c r="J3513" s="7">
        <v>0</v>
      </c>
      <c r="K3513" s="7" t="s">
        <v>18</v>
      </c>
      <c r="L3513" s="8">
        <v>39891.213356481479</v>
      </c>
      <c r="M3513" s="9" t="s">
        <v>19</v>
      </c>
      <c r="N3513" s="9" t="s">
        <v>22</v>
      </c>
      <c r="O3513" s="6" t="str">
        <f>HYPERLINK("https://pbs.twimg.com/profile_images/1433591977631748099/wuGDIimB_normal.jpg","View")</f>
        <v>View</v>
      </c>
      <c r="P3513" s="7"/>
    </row>
    <row r="3514" spans="1:16">
      <c r="A3514" s="3">
        <v>44512.084247685183</v>
      </c>
      <c r="B3514" s="4" t="str">
        <f>HYPERLINK("https://twitter.com/sergio_fajardo","@sergio_fajardo")</f>
        <v>@sergio_fajardo</v>
      </c>
      <c r="C3514" s="5" t="s">
        <v>16</v>
      </c>
      <c r="D3514" s="5" t="s">
        <v>3535</v>
      </c>
      <c r="E3514" s="6" t="str">
        <f>HYPERLINK("https://twitter.com/sergio_fajardo/status/1458895133441732620","1458895133441732620")</f>
        <v>1458895133441732620</v>
      </c>
      <c r="F3514" s="7" t="s">
        <v>17</v>
      </c>
      <c r="G3514" s="7">
        <v>1599256</v>
      </c>
      <c r="H3514" s="7">
        <v>602</v>
      </c>
      <c r="I3514" s="7">
        <v>28</v>
      </c>
      <c r="J3514" s="7">
        <v>159</v>
      </c>
      <c r="K3514" s="7" t="s">
        <v>18</v>
      </c>
      <c r="L3514" s="8">
        <v>39891.213356481479</v>
      </c>
      <c r="M3514" s="9" t="s">
        <v>19</v>
      </c>
      <c r="N3514" s="9" t="s">
        <v>22</v>
      </c>
      <c r="O3514" s="6" t="str">
        <f>HYPERLINK("https://pbs.twimg.com/profile_images/1433591977631748099/wuGDIimB_normal.jpg","View")</f>
        <v>View</v>
      </c>
      <c r="P3514" s="7"/>
    </row>
    <row r="3515" spans="1:16">
      <c r="A3515" s="3">
        <v>44512.127210648148</v>
      </c>
      <c r="B3515" s="4" t="str">
        <f>HYPERLINK("https://twitter.com/sergio_fajardo","@sergio_fajardo")</f>
        <v>@sergio_fajardo</v>
      </c>
      <c r="C3515" s="5" t="s">
        <v>16</v>
      </c>
      <c r="D3515" s="5" t="s">
        <v>3536</v>
      </c>
      <c r="E3515" s="6" t="str">
        <f>HYPERLINK("https://twitter.com/sergio_fajardo/status/1458910701234307075","1458910701234307075")</f>
        <v>1458910701234307075</v>
      </c>
      <c r="F3515" s="7" t="s">
        <v>17</v>
      </c>
      <c r="G3515" s="7">
        <v>1599258</v>
      </c>
      <c r="H3515" s="7">
        <v>601</v>
      </c>
      <c r="I3515" s="7">
        <v>6</v>
      </c>
      <c r="J3515" s="7">
        <v>40</v>
      </c>
      <c r="K3515" s="7" t="s">
        <v>18</v>
      </c>
      <c r="L3515" s="8">
        <v>39891.213356481479</v>
      </c>
      <c r="M3515" s="9" t="s">
        <v>19</v>
      </c>
      <c r="N3515" s="9" t="s">
        <v>22</v>
      </c>
      <c r="O3515" s="6" t="str">
        <f>HYPERLINK("https://pbs.twimg.com/profile_images/1433591977631748099/wuGDIimB_normal.jpg","View")</f>
        <v>View</v>
      </c>
      <c r="P3515" s="7"/>
    </row>
    <row r="3516" spans="1:16">
      <c r="A3516" s="3">
        <v>44512.130578703705</v>
      </c>
      <c r="B3516" s="4" t="str">
        <f>HYPERLINK("https://twitter.com/sergio_fajardo","@sergio_fajardo")</f>
        <v>@sergio_fajardo</v>
      </c>
      <c r="C3516" s="5" t="s">
        <v>16</v>
      </c>
      <c r="D3516" s="5" t="s">
        <v>3537</v>
      </c>
      <c r="E3516" s="6" t="str">
        <f>HYPERLINK("https://twitter.com/sergio_fajardo/status/1458911922405924874","1458911922405924874")</f>
        <v>1458911922405924874</v>
      </c>
      <c r="F3516" s="7" t="s">
        <v>23</v>
      </c>
      <c r="G3516" s="7">
        <v>1599258</v>
      </c>
      <c r="H3516" s="7">
        <v>601</v>
      </c>
      <c r="I3516" s="7">
        <v>3</v>
      </c>
      <c r="J3516" s="7">
        <v>13</v>
      </c>
      <c r="K3516" s="7" t="s">
        <v>18</v>
      </c>
      <c r="L3516" s="8">
        <v>39891.213356481479</v>
      </c>
      <c r="M3516" s="9" t="s">
        <v>19</v>
      </c>
      <c r="N3516" s="9" t="s">
        <v>22</v>
      </c>
      <c r="O3516" s="6" t="str">
        <f>HYPERLINK("https://pbs.twimg.com/profile_images/1433591977631748099/wuGDIimB_normal.jpg","View")</f>
        <v>View</v>
      </c>
      <c r="P3516" s="7"/>
    </row>
    <row r="3517" spans="1:16">
      <c r="A3517" s="3">
        <v>44512.148958333331</v>
      </c>
      <c r="B3517" s="4" t="str">
        <f>HYPERLINK("https://twitter.com/sergio_fajardo","@sergio_fajardo")</f>
        <v>@sergio_fajardo</v>
      </c>
      <c r="C3517" s="5" t="s">
        <v>16</v>
      </c>
      <c r="D3517" s="5" t="s">
        <v>3538</v>
      </c>
      <c r="E3517" s="6" t="str">
        <f>HYPERLINK("https://twitter.com/sergio_fajardo/status/1458918585015934984","1458918585015934984")</f>
        <v>1458918585015934984</v>
      </c>
      <c r="F3517" s="7" t="s">
        <v>17</v>
      </c>
      <c r="G3517" s="7">
        <v>1599263</v>
      </c>
      <c r="H3517" s="7">
        <v>601</v>
      </c>
      <c r="I3517" s="7">
        <v>144</v>
      </c>
      <c r="J3517" s="7">
        <v>0</v>
      </c>
      <c r="K3517" s="7" t="s">
        <v>18</v>
      </c>
      <c r="L3517" s="8">
        <v>39891.213356481479</v>
      </c>
      <c r="M3517" s="9" t="s">
        <v>19</v>
      </c>
      <c r="N3517" s="9" t="s">
        <v>22</v>
      </c>
      <c r="O3517" s="6" t="str">
        <f>HYPERLINK("https://pbs.twimg.com/profile_images/1433591977631748099/wuGDIimB_normal.jpg","View")</f>
        <v>View</v>
      </c>
      <c r="P3517" s="7"/>
    </row>
    <row r="3518" spans="1:16">
      <c r="A3518" s="3">
        <v>44512.181018518517</v>
      </c>
      <c r="B3518" s="4" t="str">
        <f>HYPERLINK("https://twitter.com/sergio_fajardo","@sergio_fajardo")</f>
        <v>@sergio_fajardo</v>
      </c>
      <c r="C3518" s="5" t="s">
        <v>16</v>
      </c>
      <c r="D3518" s="5" t="s">
        <v>3539</v>
      </c>
      <c r="E3518" s="6" t="str">
        <f>HYPERLINK("https://twitter.com/sergio_fajardo/status/1458930201270919176","1458930201270919176")</f>
        <v>1458930201270919176</v>
      </c>
      <c r="F3518" s="7" t="s">
        <v>23</v>
      </c>
      <c r="G3518" s="7">
        <v>1599268</v>
      </c>
      <c r="H3518" s="7">
        <v>601</v>
      </c>
      <c r="I3518" s="7">
        <v>6</v>
      </c>
      <c r="J3518" s="7">
        <v>22</v>
      </c>
      <c r="K3518" s="7" t="s">
        <v>18</v>
      </c>
      <c r="L3518" s="8">
        <v>39891.213356481479</v>
      </c>
      <c r="M3518" s="9" t="s">
        <v>19</v>
      </c>
      <c r="N3518" s="9" t="s">
        <v>22</v>
      </c>
      <c r="O3518" s="6" t="str">
        <f>HYPERLINK("https://pbs.twimg.com/profile_images/1433591977631748099/wuGDIimB_normal.jpg","View")</f>
        <v>View</v>
      </c>
      <c r="P3518" s="7"/>
    </row>
    <row r="3519" spans="1:16">
      <c r="A3519" s="3">
        <v>44512.18204861111</v>
      </c>
      <c r="B3519" s="4" t="str">
        <f>HYPERLINK("https://twitter.com/sergio_fajardo","@sergio_fajardo")</f>
        <v>@sergio_fajardo</v>
      </c>
      <c r="C3519" s="5" t="s">
        <v>16</v>
      </c>
      <c r="D3519" s="5" t="s">
        <v>3540</v>
      </c>
      <c r="E3519" s="6" t="str">
        <f>HYPERLINK("https://twitter.com/sergio_fajardo/status/1458930575818035201","1458930575818035201")</f>
        <v>1458930575818035201</v>
      </c>
      <c r="F3519" s="7" t="s">
        <v>17</v>
      </c>
      <c r="G3519" s="7">
        <v>1599268</v>
      </c>
      <c r="H3519" s="7">
        <v>601</v>
      </c>
      <c r="I3519" s="7">
        <v>74</v>
      </c>
      <c r="J3519" s="7">
        <v>0</v>
      </c>
      <c r="K3519" s="7" t="s">
        <v>18</v>
      </c>
      <c r="L3519" s="8">
        <v>39891.213356481479</v>
      </c>
      <c r="M3519" s="9" t="s">
        <v>19</v>
      </c>
      <c r="N3519" s="9" t="s">
        <v>22</v>
      </c>
      <c r="O3519" s="6" t="str">
        <f>HYPERLINK("https://pbs.twimg.com/profile_images/1433591977631748099/wuGDIimB_normal.jpg","View")</f>
        <v>View</v>
      </c>
      <c r="P3519" s="7"/>
    </row>
    <row r="3520" spans="1:16">
      <c r="A3520" s="3">
        <v>44512.699363425927</v>
      </c>
      <c r="B3520" s="4" t="str">
        <f>HYPERLINK("https://twitter.com/sergio_fajardo","@sergio_fajardo")</f>
        <v>@sergio_fajardo</v>
      </c>
      <c r="C3520" s="5" t="s">
        <v>16</v>
      </c>
      <c r="D3520" s="5" t="s">
        <v>3541</v>
      </c>
      <c r="E3520" s="6" t="str">
        <f>HYPERLINK("https://twitter.com/sergio_fajardo/status/1459118045763358722","1459118045763358722")</f>
        <v>1459118045763358722</v>
      </c>
      <c r="F3520" s="7" t="s">
        <v>17</v>
      </c>
      <c r="G3520" s="7">
        <v>1599305</v>
      </c>
      <c r="H3520" s="7">
        <v>601</v>
      </c>
      <c r="I3520" s="7">
        <v>4</v>
      </c>
      <c r="J3520" s="7">
        <v>18</v>
      </c>
      <c r="K3520" s="7" t="s">
        <v>18</v>
      </c>
      <c r="L3520" s="8">
        <v>39891.213356481479</v>
      </c>
      <c r="M3520" s="9" t="s">
        <v>19</v>
      </c>
      <c r="N3520" s="9" t="s">
        <v>22</v>
      </c>
      <c r="O3520" s="6" t="str">
        <f>HYPERLINK("https://pbs.twimg.com/profile_images/1433591977631748099/wuGDIimB_normal.jpg","View")</f>
        <v>View</v>
      </c>
      <c r="P3520" s="7"/>
    </row>
    <row r="3521" spans="1:16">
      <c r="A3521" s="3">
        <v>44512.728935185187</v>
      </c>
      <c r="B3521" s="4" t="str">
        <f>HYPERLINK("https://twitter.com/sergio_fajardo","@sergio_fajardo")</f>
        <v>@sergio_fajardo</v>
      </c>
      <c r="C3521" s="5" t="s">
        <v>16</v>
      </c>
      <c r="D3521" s="5" t="s">
        <v>3542</v>
      </c>
      <c r="E3521" s="6" t="str">
        <f>HYPERLINK("https://twitter.com/sergio_fajardo/status/1459128760003870751","1459128760003870751")</f>
        <v>1459128760003870751</v>
      </c>
      <c r="F3521" s="7" t="s">
        <v>17</v>
      </c>
      <c r="G3521" s="7">
        <v>1599305</v>
      </c>
      <c r="H3521" s="7">
        <v>602</v>
      </c>
      <c r="I3521" s="7">
        <v>3</v>
      </c>
      <c r="J3521" s="7">
        <v>0</v>
      </c>
      <c r="K3521" s="7" t="s">
        <v>18</v>
      </c>
      <c r="L3521" s="8">
        <v>39891.213356481479</v>
      </c>
      <c r="M3521" s="9" t="s">
        <v>19</v>
      </c>
      <c r="N3521" s="9" t="s">
        <v>22</v>
      </c>
      <c r="O3521" s="6" t="str">
        <f>HYPERLINK("https://pbs.twimg.com/profile_images/1433591977631748099/wuGDIimB_normal.jpg","View")</f>
        <v>View</v>
      </c>
      <c r="P3521" s="7"/>
    </row>
    <row r="3522" spans="1:16">
      <c r="A3522" s="3">
        <v>44512.729745370365</v>
      </c>
      <c r="B3522" s="4" t="str">
        <f>HYPERLINK("https://twitter.com/sergio_fajardo","@sergio_fajardo")</f>
        <v>@sergio_fajardo</v>
      </c>
      <c r="C3522" s="5" t="s">
        <v>16</v>
      </c>
      <c r="D3522" s="5" t="s">
        <v>3543</v>
      </c>
      <c r="E3522" s="6" t="str">
        <f>HYPERLINK("https://twitter.com/sergio_fajardo/status/1459129055115198468","1459129055115198468")</f>
        <v>1459129055115198468</v>
      </c>
      <c r="F3522" s="7" t="s">
        <v>17</v>
      </c>
      <c r="G3522" s="7">
        <v>1599305</v>
      </c>
      <c r="H3522" s="7">
        <v>602</v>
      </c>
      <c r="I3522" s="7">
        <v>1</v>
      </c>
      <c r="J3522" s="7">
        <v>2</v>
      </c>
      <c r="K3522" s="7" t="s">
        <v>18</v>
      </c>
      <c r="L3522" s="8">
        <v>39891.213356481479</v>
      </c>
      <c r="M3522" s="9" t="s">
        <v>19</v>
      </c>
      <c r="N3522" s="9" t="s">
        <v>22</v>
      </c>
      <c r="O3522" s="6" t="str">
        <f>HYPERLINK("https://pbs.twimg.com/profile_images/1433591977631748099/wuGDIimB_normal.jpg","View")</f>
        <v>View</v>
      </c>
      <c r="P3522" s="7"/>
    </row>
    <row r="3523" spans="1:16">
      <c r="A3523" s="3">
        <v>44512.805671296301</v>
      </c>
      <c r="B3523" s="4" t="str">
        <f>HYPERLINK("https://twitter.com/sergio_fajardo","@sergio_fajardo")</f>
        <v>@sergio_fajardo</v>
      </c>
      <c r="C3523" s="5" t="s">
        <v>16</v>
      </c>
      <c r="D3523" s="5" t="s">
        <v>3544</v>
      </c>
      <c r="E3523" s="6" t="str">
        <f>HYPERLINK("https://twitter.com/sergio_fajardo/status/1459156567484518400","1459156567484518400")</f>
        <v>1459156567484518400</v>
      </c>
      <c r="F3523" s="7" t="s">
        <v>17</v>
      </c>
      <c r="G3523" s="7">
        <v>1599313</v>
      </c>
      <c r="H3523" s="7">
        <v>602</v>
      </c>
      <c r="I3523" s="7">
        <v>1</v>
      </c>
      <c r="J3523" s="7">
        <v>0</v>
      </c>
      <c r="K3523" s="7" t="s">
        <v>18</v>
      </c>
      <c r="L3523" s="8">
        <v>39891.213356481479</v>
      </c>
      <c r="M3523" s="9" t="s">
        <v>19</v>
      </c>
      <c r="N3523" s="9" t="s">
        <v>22</v>
      </c>
      <c r="O3523" s="6" t="str">
        <f>HYPERLINK("https://pbs.twimg.com/profile_images/1433591977631748099/wuGDIimB_normal.jpg","View")</f>
        <v>View</v>
      </c>
      <c r="P3523" s="7"/>
    </row>
    <row r="3524" spans="1:16">
      <c r="A3524" s="3">
        <v>44512.805729166663</v>
      </c>
      <c r="B3524" s="4" t="str">
        <f>HYPERLINK("https://twitter.com/sergio_fajardo","@sergio_fajardo")</f>
        <v>@sergio_fajardo</v>
      </c>
      <c r="C3524" s="5" t="s">
        <v>16</v>
      </c>
      <c r="D3524" s="5" t="s">
        <v>3545</v>
      </c>
      <c r="E3524" s="6" t="str">
        <f>HYPERLINK("https://twitter.com/sergio_fajardo/status/1459156588623761409","1459156588623761409")</f>
        <v>1459156588623761409</v>
      </c>
      <c r="F3524" s="7" t="s">
        <v>17</v>
      </c>
      <c r="G3524" s="7">
        <v>1599313</v>
      </c>
      <c r="H3524" s="7">
        <v>602</v>
      </c>
      <c r="I3524" s="7">
        <v>4</v>
      </c>
      <c r="J3524" s="7">
        <v>0</v>
      </c>
      <c r="K3524" s="7" t="s">
        <v>18</v>
      </c>
      <c r="L3524" s="8">
        <v>39891.213356481479</v>
      </c>
      <c r="M3524" s="9" t="s">
        <v>19</v>
      </c>
      <c r="N3524" s="9" t="s">
        <v>22</v>
      </c>
      <c r="O3524" s="6" t="str">
        <f>HYPERLINK("https://pbs.twimg.com/profile_images/1433591977631748099/wuGDIimB_normal.jpg","View")</f>
        <v>View</v>
      </c>
      <c r="P3524" s="7"/>
    </row>
    <row r="3525" spans="1:16">
      <c r="A3525" s="3">
        <v>44512.816157407404</v>
      </c>
      <c r="B3525" s="4" t="str">
        <f>HYPERLINK("https://twitter.com/sergio_fajardo","@sergio_fajardo")</f>
        <v>@sergio_fajardo</v>
      </c>
      <c r="C3525" s="5" t="s">
        <v>16</v>
      </c>
      <c r="D3525" s="5" t="s">
        <v>3546</v>
      </c>
      <c r="E3525" s="6" t="str">
        <f>HYPERLINK("https://twitter.com/sergio_fajardo/status/1459160367058362377","1459160367058362377")</f>
        <v>1459160367058362377</v>
      </c>
      <c r="F3525" s="7" t="s">
        <v>17</v>
      </c>
      <c r="G3525" s="7">
        <v>1599312</v>
      </c>
      <c r="H3525" s="7">
        <v>602</v>
      </c>
      <c r="I3525" s="7">
        <v>8</v>
      </c>
      <c r="J3525" s="7">
        <v>51</v>
      </c>
      <c r="K3525" s="7" t="s">
        <v>18</v>
      </c>
      <c r="L3525" s="8">
        <v>39891.213356481479</v>
      </c>
      <c r="M3525" s="9" t="s">
        <v>19</v>
      </c>
      <c r="N3525" s="9" t="s">
        <v>22</v>
      </c>
      <c r="O3525" s="6" t="str">
        <f>HYPERLINK("https://pbs.twimg.com/profile_images/1433591977631748099/wuGDIimB_normal.jpg","View")</f>
        <v>View</v>
      </c>
      <c r="P3525" s="7"/>
    </row>
    <row r="3526" spans="1:16">
      <c r="A3526" s="3">
        <v>44512.872974537036</v>
      </c>
      <c r="B3526" s="4" t="str">
        <f>HYPERLINK("https://twitter.com/sergio_fajardo","@sergio_fajardo")</f>
        <v>@sergio_fajardo</v>
      </c>
      <c r="C3526" s="5" t="s">
        <v>16</v>
      </c>
      <c r="D3526" s="5" t="s">
        <v>3547</v>
      </c>
      <c r="E3526" s="6" t="str">
        <f>HYPERLINK("https://twitter.com/sergio_fajardo/status/1459180958196936710","1459180958196936710")</f>
        <v>1459180958196936710</v>
      </c>
      <c r="F3526" s="7" t="s">
        <v>2329</v>
      </c>
      <c r="G3526" s="7">
        <v>1599323</v>
      </c>
      <c r="H3526" s="7">
        <v>602</v>
      </c>
      <c r="I3526" s="7">
        <v>1</v>
      </c>
      <c r="J3526" s="7">
        <v>9</v>
      </c>
      <c r="K3526" s="7" t="s">
        <v>18</v>
      </c>
      <c r="L3526" s="8">
        <v>39891.213356481479</v>
      </c>
      <c r="M3526" s="9" t="s">
        <v>19</v>
      </c>
      <c r="N3526" s="9" t="s">
        <v>22</v>
      </c>
      <c r="O3526" s="6" t="str">
        <f>HYPERLINK("https://pbs.twimg.com/profile_images/1433591977631748099/wuGDIimB_normal.jpg","View")</f>
        <v>View</v>
      </c>
      <c r="P3526" s="7"/>
    </row>
    <row r="3527" spans="1:16">
      <c r="A3527" s="3">
        <v>44513.078912037032</v>
      </c>
      <c r="B3527" s="4" t="str">
        <f>HYPERLINK("https://twitter.com/sergio_fajardo","@sergio_fajardo")</f>
        <v>@sergio_fajardo</v>
      </c>
      <c r="C3527" s="5" t="s">
        <v>16</v>
      </c>
      <c r="D3527" s="5" t="s">
        <v>3548</v>
      </c>
      <c r="E3527" s="6" t="str">
        <f>HYPERLINK("https://twitter.com/sergio_fajardo/status/1459255588077117440","1459255588077117440")</f>
        <v>1459255588077117440</v>
      </c>
      <c r="F3527" s="7" t="s">
        <v>17</v>
      </c>
      <c r="G3527" s="7">
        <v>1599335</v>
      </c>
      <c r="H3527" s="7">
        <v>602</v>
      </c>
      <c r="I3527" s="7">
        <v>9</v>
      </c>
      <c r="J3527" s="7">
        <v>47</v>
      </c>
      <c r="K3527" s="7" t="s">
        <v>18</v>
      </c>
      <c r="L3527" s="8">
        <v>39891.213356481479</v>
      </c>
      <c r="M3527" s="9" t="s">
        <v>19</v>
      </c>
      <c r="N3527" s="9" t="s">
        <v>22</v>
      </c>
      <c r="O3527" s="6" t="str">
        <f>HYPERLINK("https://pbs.twimg.com/profile_images/1433591977631748099/wuGDIimB_normal.jpg","View")</f>
        <v>View</v>
      </c>
      <c r="P3527" s="7"/>
    </row>
    <row r="3528" spans="1:16">
      <c r="A3528" s="3">
        <v>44513.208333333328</v>
      </c>
      <c r="B3528" s="4" t="str">
        <f>HYPERLINK("https://twitter.com/sergio_fajardo","@sergio_fajardo")</f>
        <v>@sergio_fajardo</v>
      </c>
      <c r="C3528" s="5" t="s">
        <v>16</v>
      </c>
      <c r="D3528" s="5" t="s">
        <v>3549</v>
      </c>
      <c r="E3528" s="6" t="str">
        <f>HYPERLINK("https://twitter.com/sergio_fajardo/status/1459302489174556676","1459302489174556676")</f>
        <v>1459302489174556676</v>
      </c>
      <c r="F3528" s="7" t="s">
        <v>2329</v>
      </c>
      <c r="G3528" s="7">
        <v>1599336</v>
      </c>
      <c r="H3528" s="7">
        <v>602</v>
      </c>
      <c r="I3528" s="7">
        <v>2</v>
      </c>
      <c r="J3528" s="7">
        <v>12</v>
      </c>
      <c r="K3528" s="7" t="s">
        <v>18</v>
      </c>
      <c r="L3528" s="8">
        <v>39891.213356481479</v>
      </c>
      <c r="M3528" s="9" t="s">
        <v>19</v>
      </c>
      <c r="N3528" s="9" t="s">
        <v>22</v>
      </c>
      <c r="O3528" s="6" t="str">
        <f>HYPERLINK("https://pbs.twimg.com/profile_images/1433591977631748099/wuGDIimB_normal.jpg","View")</f>
        <v>View</v>
      </c>
      <c r="P3528" s="7"/>
    </row>
    <row r="3529" spans="1:16">
      <c r="A3529" s="3">
        <v>44513.225706018522</v>
      </c>
      <c r="B3529" s="4" t="str">
        <f>HYPERLINK("https://twitter.com/sergio_fajardo","@sergio_fajardo")</f>
        <v>@sergio_fajardo</v>
      </c>
      <c r="C3529" s="5" t="s">
        <v>16</v>
      </c>
      <c r="D3529" s="5" t="s">
        <v>3550</v>
      </c>
      <c r="E3529" s="6" t="str">
        <f>HYPERLINK("https://twitter.com/sergio_fajardo/status/1459308784346701827","1459308784346701827")</f>
        <v>1459308784346701827</v>
      </c>
      <c r="F3529" s="7" t="s">
        <v>17</v>
      </c>
      <c r="G3529" s="7">
        <v>1599338</v>
      </c>
      <c r="H3529" s="7">
        <v>602</v>
      </c>
      <c r="I3529" s="7">
        <v>1</v>
      </c>
      <c r="J3529" s="7">
        <v>7</v>
      </c>
      <c r="K3529" s="7" t="s">
        <v>18</v>
      </c>
      <c r="L3529" s="8">
        <v>39891.213356481479</v>
      </c>
      <c r="M3529" s="9" t="s">
        <v>19</v>
      </c>
      <c r="N3529" s="9" t="s">
        <v>22</v>
      </c>
      <c r="O3529" s="6" t="str">
        <f>HYPERLINK("https://pbs.twimg.com/profile_images/1433591977631748099/wuGDIimB_normal.jpg","View")</f>
        <v>View</v>
      </c>
      <c r="P3529" s="7"/>
    </row>
    <row r="3530" spans="1:16">
      <c r="A3530" s="3">
        <v>44513.226666666669</v>
      </c>
      <c r="B3530" s="4" t="str">
        <f>HYPERLINK("https://twitter.com/sergio_fajardo","@sergio_fajardo")</f>
        <v>@sergio_fajardo</v>
      </c>
      <c r="C3530" s="5" t="s">
        <v>16</v>
      </c>
      <c r="D3530" s="5" t="s">
        <v>3551</v>
      </c>
      <c r="E3530" s="6" t="str">
        <f>HYPERLINK("https://twitter.com/sergio_fajardo/status/1459309131416887296","1459309131416887296")</f>
        <v>1459309131416887296</v>
      </c>
      <c r="F3530" s="7" t="s">
        <v>17</v>
      </c>
      <c r="G3530" s="7">
        <v>1599338</v>
      </c>
      <c r="H3530" s="7">
        <v>602</v>
      </c>
      <c r="I3530" s="7">
        <v>0</v>
      </c>
      <c r="J3530" s="7">
        <v>9</v>
      </c>
      <c r="K3530" s="7" t="s">
        <v>18</v>
      </c>
      <c r="L3530" s="8">
        <v>39891.213356481479</v>
      </c>
      <c r="M3530" s="9" t="s">
        <v>19</v>
      </c>
      <c r="N3530" s="9" t="s">
        <v>22</v>
      </c>
      <c r="O3530" s="6" t="str">
        <f>HYPERLINK("https://pbs.twimg.com/profile_images/1433591977631748099/wuGDIimB_normal.jpg","View")</f>
        <v>View</v>
      </c>
      <c r="P3530" s="7"/>
    </row>
    <row r="3531" spans="1:16">
      <c r="A3531" s="3">
        <v>44513.227361111116</v>
      </c>
      <c r="B3531" s="4" t="str">
        <f>HYPERLINK("https://twitter.com/sergio_fajardo","@sergio_fajardo")</f>
        <v>@sergio_fajardo</v>
      </c>
      <c r="C3531" s="5" t="s">
        <v>16</v>
      </c>
      <c r="D3531" s="5" t="s">
        <v>3552</v>
      </c>
      <c r="E3531" s="6" t="str">
        <f>HYPERLINK("https://twitter.com/sergio_fajardo/status/1459309385772118016","1459309385772118016")</f>
        <v>1459309385772118016</v>
      </c>
      <c r="F3531" s="7" t="s">
        <v>17</v>
      </c>
      <c r="G3531" s="7">
        <v>1599338</v>
      </c>
      <c r="H3531" s="7">
        <v>602</v>
      </c>
      <c r="I3531" s="7">
        <v>0</v>
      </c>
      <c r="J3531" s="7">
        <v>6</v>
      </c>
      <c r="K3531" s="7" t="s">
        <v>18</v>
      </c>
      <c r="L3531" s="8">
        <v>39891.213356481479</v>
      </c>
      <c r="M3531" s="9" t="s">
        <v>19</v>
      </c>
      <c r="N3531" s="9" t="s">
        <v>22</v>
      </c>
      <c r="O3531" s="6" t="str">
        <f>HYPERLINK("https://pbs.twimg.com/profile_images/1433591977631748099/wuGDIimB_normal.jpg","View")</f>
        <v>View</v>
      </c>
      <c r="P3531" s="7"/>
    </row>
    <row r="3532" spans="1:16">
      <c r="A3532" s="3">
        <v>44513.228749999995</v>
      </c>
      <c r="B3532" s="4" t="str">
        <f>HYPERLINK("https://twitter.com/sergio_fajardo","@sergio_fajardo")</f>
        <v>@sergio_fajardo</v>
      </c>
      <c r="C3532" s="5" t="s">
        <v>16</v>
      </c>
      <c r="D3532" s="5" t="s">
        <v>3553</v>
      </c>
      <c r="E3532" s="6" t="str">
        <f>HYPERLINK("https://twitter.com/sergio_fajardo/status/1459309886672719872","1459309886672719872")</f>
        <v>1459309886672719872</v>
      </c>
      <c r="F3532" s="7" t="s">
        <v>17</v>
      </c>
      <c r="G3532" s="7">
        <v>1599338</v>
      </c>
      <c r="H3532" s="7">
        <v>602</v>
      </c>
      <c r="I3532" s="7">
        <v>1</v>
      </c>
      <c r="J3532" s="7">
        <v>0</v>
      </c>
      <c r="K3532" s="7" t="s">
        <v>18</v>
      </c>
      <c r="L3532" s="8">
        <v>39891.213356481479</v>
      </c>
      <c r="M3532" s="9" t="s">
        <v>19</v>
      </c>
      <c r="N3532" s="9" t="s">
        <v>22</v>
      </c>
      <c r="O3532" s="6" t="str">
        <f>HYPERLINK("https://pbs.twimg.com/profile_images/1433591977631748099/wuGDIimB_normal.jpg","View")</f>
        <v>View</v>
      </c>
      <c r="P3532" s="7"/>
    </row>
    <row r="3533" spans="1:16">
      <c r="A3533" s="3">
        <v>44513.229166666672</v>
      </c>
      <c r="B3533" s="4" t="str">
        <f>HYPERLINK("https://twitter.com/sergio_fajardo","@sergio_fajardo")</f>
        <v>@sergio_fajardo</v>
      </c>
      <c r="C3533" s="5" t="s">
        <v>16</v>
      </c>
      <c r="D3533" s="5" t="s">
        <v>3554</v>
      </c>
      <c r="E3533" s="6" t="str">
        <f>HYPERLINK("https://twitter.com/sergio_fajardo/status/1459310039894831104","1459310039894831104")</f>
        <v>1459310039894831104</v>
      </c>
      <c r="F3533" s="7" t="s">
        <v>2329</v>
      </c>
      <c r="G3533" s="7">
        <v>1599338</v>
      </c>
      <c r="H3533" s="7">
        <v>602</v>
      </c>
      <c r="I3533" s="7">
        <v>1</v>
      </c>
      <c r="J3533" s="7">
        <v>4</v>
      </c>
      <c r="K3533" s="7" t="s">
        <v>18</v>
      </c>
      <c r="L3533" s="8">
        <v>39891.213356481479</v>
      </c>
      <c r="M3533" s="9" t="s">
        <v>19</v>
      </c>
      <c r="N3533" s="9" t="s">
        <v>22</v>
      </c>
      <c r="O3533" s="6" t="str">
        <f>HYPERLINK("https://pbs.twimg.com/profile_images/1433591977631748099/wuGDIimB_normal.jpg","View")</f>
        <v>View</v>
      </c>
      <c r="P3533" s="7"/>
    </row>
    <row r="3534" spans="1:16">
      <c r="A3534" s="3">
        <v>44513.229861111111</v>
      </c>
      <c r="B3534" s="4" t="str">
        <f>HYPERLINK("https://twitter.com/sergio_fajardo","@sergio_fajardo")</f>
        <v>@sergio_fajardo</v>
      </c>
      <c r="C3534" s="5" t="s">
        <v>16</v>
      </c>
      <c r="D3534" s="5" t="s">
        <v>3555</v>
      </c>
      <c r="E3534" s="6" t="str">
        <f>HYPERLINK("https://twitter.com/sergio_fajardo/status/1459310288826781697","1459310288826781697")</f>
        <v>1459310288826781697</v>
      </c>
      <c r="F3534" s="7" t="s">
        <v>17</v>
      </c>
      <c r="G3534" s="7">
        <v>1599338</v>
      </c>
      <c r="H3534" s="7">
        <v>602</v>
      </c>
      <c r="I3534" s="7">
        <v>0</v>
      </c>
      <c r="J3534" s="7">
        <v>2</v>
      </c>
      <c r="K3534" s="7" t="s">
        <v>18</v>
      </c>
      <c r="L3534" s="8">
        <v>39891.213356481479</v>
      </c>
      <c r="M3534" s="9" t="s">
        <v>19</v>
      </c>
      <c r="N3534" s="9" t="s">
        <v>22</v>
      </c>
      <c r="O3534" s="6" t="str">
        <f>HYPERLINK("https://pbs.twimg.com/profile_images/1433591977631748099/wuGDIimB_normal.jpg","View")</f>
        <v>View</v>
      </c>
      <c r="P3534" s="7"/>
    </row>
    <row r="3535" spans="1:16">
      <c r="A3535" s="3">
        <v>44513.232349537036</v>
      </c>
      <c r="B3535" s="4" t="str">
        <f>HYPERLINK("https://twitter.com/sergio_fajardo","@sergio_fajardo")</f>
        <v>@sergio_fajardo</v>
      </c>
      <c r="C3535" s="5" t="s">
        <v>16</v>
      </c>
      <c r="D3535" s="5" t="s">
        <v>3556</v>
      </c>
      <c r="E3535" s="6" t="str">
        <f>HYPERLINK("https://twitter.com/sergio_fajardo/status/1459311190325276678","1459311190325276678")</f>
        <v>1459311190325276678</v>
      </c>
      <c r="F3535" s="7" t="s">
        <v>17</v>
      </c>
      <c r="G3535" s="7">
        <v>1599332</v>
      </c>
      <c r="H3535" s="7">
        <v>602</v>
      </c>
      <c r="I3535" s="7">
        <v>2</v>
      </c>
      <c r="J3535" s="7">
        <v>9</v>
      </c>
      <c r="K3535" s="7" t="s">
        <v>18</v>
      </c>
      <c r="L3535" s="8">
        <v>39891.213356481479</v>
      </c>
      <c r="M3535" s="9" t="s">
        <v>19</v>
      </c>
      <c r="N3535" s="9" t="s">
        <v>22</v>
      </c>
      <c r="O3535" s="6" t="str">
        <f>HYPERLINK("https://pbs.twimg.com/profile_images/1433591977631748099/wuGDIimB_normal.jpg","View")</f>
        <v>View</v>
      </c>
      <c r="P3535" s="7"/>
    </row>
    <row r="3536" spans="1:16">
      <c r="A3536" s="3">
        <v>44513.2346412037</v>
      </c>
      <c r="B3536" s="4" t="str">
        <f>HYPERLINK("https://twitter.com/sergio_fajardo","@sergio_fajardo")</f>
        <v>@sergio_fajardo</v>
      </c>
      <c r="C3536" s="5" t="s">
        <v>16</v>
      </c>
      <c r="D3536" s="5" t="s">
        <v>3557</v>
      </c>
      <c r="E3536" s="6" t="str">
        <f>HYPERLINK("https://twitter.com/sergio_fajardo/status/1459312021984493572","1459312021984493572")</f>
        <v>1459312021984493572</v>
      </c>
      <c r="F3536" s="7" t="s">
        <v>17</v>
      </c>
      <c r="G3536" s="7">
        <v>1599332</v>
      </c>
      <c r="H3536" s="7">
        <v>602</v>
      </c>
      <c r="I3536" s="7">
        <v>1</v>
      </c>
      <c r="J3536" s="7">
        <v>0</v>
      </c>
      <c r="K3536" s="7" t="s">
        <v>18</v>
      </c>
      <c r="L3536" s="8">
        <v>39891.213356481479</v>
      </c>
      <c r="M3536" s="9" t="s">
        <v>19</v>
      </c>
      <c r="N3536" s="9" t="s">
        <v>22</v>
      </c>
      <c r="O3536" s="6" t="str">
        <f>HYPERLINK("https://pbs.twimg.com/profile_images/1433591977631748099/wuGDIimB_normal.jpg","View")</f>
        <v>View</v>
      </c>
      <c r="P3536" s="7"/>
    </row>
    <row r="3537" spans="1:16">
      <c r="A3537" s="3">
        <v>44513.25</v>
      </c>
      <c r="B3537" s="4" t="str">
        <f>HYPERLINK("https://twitter.com/sergio_fajardo","@sergio_fajardo")</f>
        <v>@sergio_fajardo</v>
      </c>
      <c r="C3537" s="5" t="s">
        <v>16</v>
      </c>
      <c r="D3537" s="5" t="s">
        <v>3558</v>
      </c>
      <c r="E3537" s="6" t="str">
        <f>HYPERLINK("https://twitter.com/sergio_fajardo/status/1459317587053989889","1459317587053989889")</f>
        <v>1459317587053989889</v>
      </c>
      <c r="F3537" s="7" t="s">
        <v>2329</v>
      </c>
      <c r="G3537" s="7">
        <v>1599332</v>
      </c>
      <c r="H3537" s="7">
        <v>602</v>
      </c>
      <c r="I3537" s="7">
        <v>1</v>
      </c>
      <c r="J3537" s="7">
        <v>4</v>
      </c>
      <c r="K3537" s="7" t="s">
        <v>18</v>
      </c>
      <c r="L3537" s="8">
        <v>39891.213356481479</v>
      </c>
      <c r="M3537" s="9" t="s">
        <v>19</v>
      </c>
      <c r="N3537" s="9" t="s">
        <v>22</v>
      </c>
      <c r="O3537" s="6" t="str">
        <f>HYPERLINK("https://pbs.twimg.com/profile_images/1433591977631748099/wuGDIimB_normal.jpg","View")</f>
        <v>View</v>
      </c>
      <c r="P3537" s="7"/>
    </row>
    <row r="3538" spans="1:16">
      <c r="A3538" s="3">
        <v>44513.256307870368</v>
      </c>
      <c r="B3538" s="4" t="str">
        <f>HYPERLINK("https://twitter.com/sergio_fajardo","@sergio_fajardo")</f>
        <v>@sergio_fajardo</v>
      </c>
      <c r="C3538" s="5" t="s">
        <v>16</v>
      </c>
      <c r="D3538" s="5" t="s">
        <v>3559</v>
      </c>
      <c r="E3538" s="6" t="str">
        <f>HYPERLINK("https://twitter.com/sergio_fajardo/status/1459319872693882880","1459319872693882880")</f>
        <v>1459319872693882880</v>
      </c>
      <c r="F3538" s="7" t="s">
        <v>17</v>
      </c>
      <c r="G3538" s="7">
        <v>1599335</v>
      </c>
      <c r="H3538" s="7">
        <v>602</v>
      </c>
      <c r="I3538" s="7">
        <v>10</v>
      </c>
      <c r="J3538" s="7">
        <v>67</v>
      </c>
      <c r="K3538" s="7" t="s">
        <v>18</v>
      </c>
      <c r="L3538" s="8">
        <v>39891.213356481479</v>
      </c>
      <c r="M3538" s="9" t="s">
        <v>19</v>
      </c>
      <c r="N3538" s="9" t="s">
        <v>22</v>
      </c>
      <c r="O3538" s="6" t="str">
        <f>HYPERLINK("https://pbs.twimg.com/profile_images/1433591977631748099/wuGDIimB_normal.jpg","View")</f>
        <v>View</v>
      </c>
      <c r="P3538" s="7"/>
    </row>
    <row r="3539" spans="1:16">
      <c r="A3539" s="3">
        <v>44513.285787037035</v>
      </c>
      <c r="B3539" s="4" t="str">
        <f>HYPERLINK("https://twitter.com/sergio_fajardo","@sergio_fajardo")</f>
        <v>@sergio_fajardo</v>
      </c>
      <c r="C3539" s="5" t="s">
        <v>16</v>
      </c>
      <c r="D3539" s="5" t="s">
        <v>3560</v>
      </c>
      <c r="E3539" s="6" t="str">
        <f>HYPERLINK("https://twitter.com/sergio_fajardo/status/1459330557469417473","1459330557469417473")</f>
        <v>1459330557469417473</v>
      </c>
      <c r="F3539" s="7" t="s">
        <v>17</v>
      </c>
      <c r="G3539" s="7">
        <v>1599338</v>
      </c>
      <c r="H3539" s="7">
        <v>602</v>
      </c>
      <c r="I3539" s="7">
        <v>0</v>
      </c>
      <c r="J3539" s="7">
        <v>9</v>
      </c>
      <c r="K3539" s="7" t="s">
        <v>18</v>
      </c>
      <c r="L3539" s="8">
        <v>39891.213356481479</v>
      </c>
      <c r="M3539" s="9" t="s">
        <v>19</v>
      </c>
      <c r="N3539" s="9" t="s">
        <v>22</v>
      </c>
      <c r="O3539" s="6" t="str">
        <f>HYPERLINK("https://pbs.twimg.com/profile_images/1433591977631748099/wuGDIimB_normal.jpg","View")</f>
        <v>View</v>
      </c>
      <c r="P3539" s="7"/>
    </row>
    <row r="3540" spans="1:16">
      <c r="A3540" s="3">
        <v>44513.789513888885</v>
      </c>
      <c r="B3540" s="4" t="str">
        <f>HYPERLINK("https://twitter.com/sergio_fajardo","@sergio_fajardo")</f>
        <v>@sergio_fajardo</v>
      </c>
      <c r="C3540" s="5" t="s">
        <v>16</v>
      </c>
      <c r="D3540" s="5" t="s">
        <v>3561</v>
      </c>
      <c r="E3540" s="6" t="str">
        <f>HYPERLINK("https://twitter.com/sergio_fajardo/status/1459513101674500099","1459513101674500099")</f>
        <v>1459513101674500099</v>
      </c>
      <c r="F3540" s="7" t="s">
        <v>17</v>
      </c>
      <c r="G3540" s="7">
        <v>1599349</v>
      </c>
      <c r="H3540" s="7">
        <v>602</v>
      </c>
      <c r="I3540" s="7">
        <v>2</v>
      </c>
      <c r="J3540" s="7">
        <v>8</v>
      </c>
      <c r="K3540" s="7" t="s">
        <v>18</v>
      </c>
      <c r="L3540" s="8">
        <v>39891.213356481479</v>
      </c>
      <c r="M3540" s="9" t="s">
        <v>19</v>
      </c>
      <c r="N3540" s="9" t="s">
        <v>22</v>
      </c>
      <c r="O3540" s="6" t="str">
        <f>HYPERLINK("https://pbs.twimg.com/profile_images/1433591977631748099/wuGDIimB_normal.jpg","View")</f>
        <v>View</v>
      </c>
      <c r="P3540" s="7"/>
    </row>
    <row r="3541" spans="1:16">
      <c r="A3541" s="3">
        <v>44514.28800925926</v>
      </c>
      <c r="B3541" s="4" t="str">
        <f>HYPERLINK("https://twitter.com/sergio_fajardo","@sergio_fajardo")</f>
        <v>@sergio_fajardo</v>
      </c>
      <c r="C3541" s="5" t="s">
        <v>16</v>
      </c>
      <c r="D3541" s="5" t="s">
        <v>3562</v>
      </c>
      <c r="E3541" s="6" t="str">
        <f>HYPERLINK("https://twitter.com/sergio_fajardo/status/1459693749903187968","1459693749903187968")</f>
        <v>1459693749903187968</v>
      </c>
      <c r="F3541" s="7" t="s">
        <v>17</v>
      </c>
      <c r="G3541" s="7">
        <v>1599411</v>
      </c>
      <c r="H3541" s="7">
        <v>602</v>
      </c>
      <c r="I3541" s="7">
        <v>24</v>
      </c>
      <c r="J3541" s="7">
        <v>0</v>
      </c>
      <c r="K3541" s="7" t="s">
        <v>18</v>
      </c>
      <c r="L3541" s="8">
        <v>39891.213356481479</v>
      </c>
      <c r="M3541" s="9" t="s">
        <v>19</v>
      </c>
      <c r="N3541" s="9" t="s">
        <v>22</v>
      </c>
      <c r="O3541" s="6" t="str">
        <f>HYPERLINK("https://pbs.twimg.com/profile_images/1433591977631748099/wuGDIimB_normal.jpg","View")</f>
        <v>View</v>
      </c>
      <c r="P3541" s="7"/>
    </row>
    <row r="3542" spans="1:16">
      <c r="A3542" s="3">
        <v>44514.756203703699</v>
      </c>
      <c r="B3542" s="4" t="str">
        <f>HYPERLINK("https://twitter.com/sergio_fajardo","@sergio_fajardo")</f>
        <v>@sergio_fajardo</v>
      </c>
      <c r="C3542" s="5" t="s">
        <v>16</v>
      </c>
      <c r="D3542" s="5" t="s">
        <v>3563</v>
      </c>
      <c r="E3542" s="6" t="str">
        <f>HYPERLINK("https://twitter.com/sergio_fajardo/status/1459863419201413127","1459863419201413127")</f>
        <v>1459863419201413127</v>
      </c>
      <c r="F3542" s="7" t="s">
        <v>17</v>
      </c>
      <c r="G3542" s="7">
        <v>1599437</v>
      </c>
      <c r="H3542" s="7">
        <v>602</v>
      </c>
      <c r="I3542" s="7">
        <v>10</v>
      </c>
      <c r="J3542" s="7">
        <v>0</v>
      </c>
      <c r="K3542" s="7" t="s">
        <v>18</v>
      </c>
      <c r="L3542" s="8">
        <v>39891.213356481479</v>
      </c>
      <c r="M3542" s="9" t="s">
        <v>19</v>
      </c>
      <c r="N3542" s="9" t="s">
        <v>22</v>
      </c>
      <c r="O3542" s="6" t="str">
        <f>HYPERLINK("https://pbs.twimg.com/profile_images/1433591977631748099/wuGDIimB_normal.jpg","View")</f>
        <v>View</v>
      </c>
      <c r="P3542" s="7"/>
    </row>
    <row r="3543" spans="1:16">
      <c r="A3543" s="3">
        <v>44514.862013888887</v>
      </c>
      <c r="B3543" s="4" t="str">
        <f>HYPERLINK("https://twitter.com/sergio_fajardo","@sergio_fajardo")</f>
        <v>@sergio_fajardo</v>
      </c>
      <c r="C3543" s="5" t="s">
        <v>16</v>
      </c>
      <c r="D3543" s="5" t="s">
        <v>3564</v>
      </c>
      <c r="E3543" s="6" t="str">
        <f>HYPERLINK("https://twitter.com/sergio_fajardo/status/1459901761066614786","1459901761066614786")</f>
        <v>1459901761066614786</v>
      </c>
      <c r="F3543" s="7" t="s">
        <v>17</v>
      </c>
      <c r="G3543" s="7">
        <v>1599441</v>
      </c>
      <c r="H3543" s="7">
        <v>602</v>
      </c>
      <c r="I3543" s="7">
        <v>22</v>
      </c>
      <c r="J3543" s="7">
        <v>0</v>
      </c>
      <c r="K3543" s="7" t="s">
        <v>18</v>
      </c>
      <c r="L3543" s="8">
        <v>39891.213356481479</v>
      </c>
      <c r="M3543" s="9" t="s">
        <v>19</v>
      </c>
      <c r="N3543" s="9" t="s">
        <v>22</v>
      </c>
      <c r="O3543" s="6" t="str">
        <f>HYPERLINK("https://pbs.twimg.com/profile_images/1433591977631748099/wuGDIimB_normal.jpg","View")</f>
        <v>View</v>
      </c>
      <c r="P3543" s="7"/>
    </row>
    <row r="3544" spans="1:16">
      <c r="A3544" s="3">
        <v>44514.905439814815</v>
      </c>
      <c r="B3544" s="4" t="str">
        <f>HYPERLINK("https://twitter.com/sergio_fajardo","@sergio_fajardo")</f>
        <v>@sergio_fajardo</v>
      </c>
      <c r="C3544" s="5" t="s">
        <v>16</v>
      </c>
      <c r="D3544" s="5" t="s">
        <v>3565</v>
      </c>
      <c r="E3544" s="6" t="str">
        <f>HYPERLINK("https://twitter.com/sergio_fajardo/status/1459917498007052291","1459917498007052291")</f>
        <v>1459917498007052291</v>
      </c>
      <c r="F3544" s="7" t="s">
        <v>17</v>
      </c>
      <c r="G3544" s="7">
        <v>1599442</v>
      </c>
      <c r="H3544" s="7">
        <v>602</v>
      </c>
      <c r="I3544" s="7">
        <v>5</v>
      </c>
      <c r="J3544" s="7">
        <v>0</v>
      </c>
      <c r="K3544" s="7" t="s">
        <v>18</v>
      </c>
      <c r="L3544" s="8">
        <v>39891.213356481479</v>
      </c>
      <c r="M3544" s="9" t="s">
        <v>19</v>
      </c>
      <c r="N3544" s="9" t="s">
        <v>22</v>
      </c>
      <c r="O3544" s="6" t="str">
        <f>HYPERLINK("https://pbs.twimg.com/profile_images/1433591977631748099/wuGDIimB_normal.jpg","View")</f>
        <v>View</v>
      </c>
      <c r="P3544" s="7"/>
    </row>
    <row r="3545" spans="1:16">
      <c r="A3545" s="3">
        <v>44515.923900462964</v>
      </c>
      <c r="B3545" s="4" t="str">
        <f>HYPERLINK("https://twitter.com/sergio_fajardo","@sergio_fajardo")</f>
        <v>@sergio_fajardo</v>
      </c>
      <c r="C3545" s="5" t="s">
        <v>16</v>
      </c>
      <c r="D3545" s="5" t="s">
        <v>3566</v>
      </c>
      <c r="E3545" s="6" t="str">
        <f>HYPERLINK("https://twitter.com/sergio_fajardo/status/1460286576500617216","1460286576500617216")</f>
        <v>1460286576500617216</v>
      </c>
      <c r="F3545" s="7" t="s">
        <v>17</v>
      </c>
      <c r="G3545" s="7">
        <v>1599479</v>
      </c>
      <c r="H3545" s="7">
        <v>602</v>
      </c>
      <c r="I3545" s="7">
        <v>14</v>
      </c>
      <c r="J3545" s="7">
        <v>47</v>
      </c>
      <c r="K3545" s="7" t="s">
        <v>18</v>
      </c>
      <c r="L3545" s="8">
        <v>39891.213356481479</v>
      </c>
      <c r="M3545" s="9" t="s">
        <v>19</v>
      </c>
      <c r="N3545" s="9" t="s">
        <v>22</v>
      </c>
      <c r="O3545" s="6" t="str">
        <f>HYPERLINK("https://pbs.twimg.com/profile_images/1433591977631748099/wuGDIimB_normal.jpg","View")</f>
        <v>View</v>
      </c>
      <c r="P3545" s="7"/>
    </row>
    <row r="3546" spans="1:16">
      <c r="A3546" s="3">
        <v>44516.023668981477</v>
      </c>
      <c r="B3546" s="4" t="str">
        <f>HYPERLINK("https://twitter.com/sergio_fajardo","@sergio_fajardo")</f>
        <v>@sergio_fajardo</v>
      </c>
      <c r="C3546" s="5" t="s">
        <v>16</v>
      </c>
      <c r="D3546" s="5" t="s">
        <v>3567</v>
      </c>
      <c r="E3546" s="6" t="str">
        <f>HYPERLINK("https://twitter.com/sergio_fajardo/status/1460322734039306243","1460322734039306243")</f>
        <v>1460322734039306243</v>
      </c>
      <c r="F3546" s="7" t="s">
        <v>17</v>
      </c>
      <c r="G3546" s="7">
        <v>1599483</v>
      </c>
      <c r="H3546" s="7">
        <v>602</v>
      </c>
      <c r="I3546" s="7">
        <v>11</v>
      </c>
      <c r="J3546" s="7">
        <v>51</v>
      </c>
      <c r="K3546" s="7" t="s">
        <v>18</v>
      </c>
      <c r="L3546" s="8">
        <v>39891.213356481479</v>
      </c>
      <c r="M3546" s="9" t="s">
        <v>19</v>
      </c>
      <c r="N3546" s="9" t="s">
        <v>22</v>
      </c>
      <c r="O3546" s="6" t="str">
        <f>HYPERLINK("https://pbs.twimg.com/profile_images/1433591977631748099/wuGDIimB_normal.jpg","View")</f>
        <v>View</v>
      </c>
      <c r="P3546" s="7"/>
    </row>
    <row r="3547" spans="1:16">
      <c r="A3547" s="3">
        <v>44516.229178240741</v>
      </c>
      <c r="B3547" s="4" t="str">
        <f>HYPERLINK("https://twitter.com/sergio_fajardo","@sergio_fajardo")</f>
        <v>@sergio_fajardo</v>
      </c>
      <c r="C3547" s="5" t="s">
        <v>16</v>
      </c>
      <c r="D3547" s="5" t="s">
        <v>3568</v>
      </c>
      <c r="E3547" s="6" t="str">
        <f>HYPERLINK("https://twitter.com/sergio_fajardo/status/1460397206595325955","1460397206595325955")</f>
        <v>1460397206595325955</v>
      </c>
      <c r="F3547" s="7" t="s">
        <v>2329</v>
      </c>
      <c r="G3547" s="7">
        <v>1599487</v>
      </c>
      <c r="H3547" s="7">
        <v>602</v>
      </c>
      <c r="I3547" s="7">
        <v>4</v>
      </c>
      <c r="J3547" s="7">
        <v>20</v>
      </c>
      <c r="K3547" s="7" t="s">
        <v>18</v>
      </c>
      <c r="L3547" s="8">
        <v>39891.213356481479</v>
      </c>
      <c r="M3547" s="9" t="s">
        <v>19</v>
      </c>
      <c r="N3547" s="9" t="s">
        <v>22</v>
      </c>
      <c r="O3547" s="6" t="str">
        <f>HYPERLINK("https://pbs.twimg.com/profile_images/1433591977631748099/wuGDIimB_normal.jpg","View")</f>
        <v>View</v>
      </c>
      <c r="P3547" s="7"/>
    </row>
    <row r="3548" spans="1:16">
      <c r="A3548" s="3">
        <v>44516.259432870371</v>
      </c>
      <c r="B3548" s="4" t="str">
        <f>HYPERLINK("https://twitter.com/sergio_fajardo","@sergio_fajardo")</f>
        <v>@sergio_fajardo</v>
      </c>
      <c r="C3548" s="5" t="s">
        <v>16</v>
      </c>
      <c r="D3548" s="5" t="s">
        <v>3569</v>
      </c>
      <c r="E3548" s="6" t="str">
        <f>HYPERLINK("https://twitter.com/sergio_fajardo/status/1460408169545580549","1460408169545580549")</f>
        <v>1460408169545580549</v>
      </c>
      <c r="F3548" s="7" t="s">
        <v>17</v>
      </c>
      <c r="G3548" s="7">
        <v>1599492</v>
      </c>
      <c r="H3548" s="7">
        <v>602</v>
      </c>
      <c r="I3548" s="7">
        <v>2</v>
      </c>
      <c r="J3548" s="7">
        <v>0</v>
      </c>
      <c r="K3548" s="7" t="s">
        <v>18</v>
      </c>
      <c r="L3548" s="8">
        <v>39891.213356481479</v>
      </c>
      <c r="M3548" s="9" t="s">
        <v>19</v>
      </c>
      <c r="N3548" s="9" t="s">
        <v>22</v>
      </c>
      <c r="O3548" s="6" t="str">
        <f>HYPERLINK("https://pbs.twimg.com/profile_images/1433591977631748099/wuGDIimB_normal.jpg","View")</f>
        <v>View</v>
      </c>
      <c r="P3548" s="7"/>
    </row>
    <row r="3549" spans="1:16">
      <c r="A3549" s="3">
        <v>44516.276273148149</v>
      </c>
      <c r="B3549" s="4" t="str">
        <f>HYPERLINK("https://twitter.com/sergio_fajardo","@sergio_fajardo")</f>
        <v>@sergio_fajardo</v>
      </c>
      <c r="C3549" s="5" t="s">
        <v>16</v>
      </c>
      <c r="D3549" s="5" t="s">
        <v>3570</v>
      </c>
      <c r="E3549" s="6" t="str">
        <f>HYPERLINK("https://twitter.com/sergio_fajardo/status/1460414274074030087","1460414274074030087")</f>
        <v>1460414274074030087</v>
      </c>
      <c r="F3549" s="7" t="s">
        <v>17</v>
      </c>
      <c r="G3549" s="7">
        <v>1599498</v>
      </c>
      <c r="H3549" s="7">
        <v>602</v>
      </c>
      <c r="I3549" s="7">
        <v>3</v>
      </c>
      <c r="J3549" s="7">
        <v>27</v>
      </c>
      <c r="K3549" s="7" t="s">
        <v>18</v>
      </c>
      <c r="L3549" s="8">
        <v>39891.213356481479</v>
      </c>
      <c r="M3549" s="9" t="s">
        <v>19</v>
      </c>
      <c r="N3549" s="9" t="s">
        <v>22</v>
      </c>
      <c r="O3549" s="6" t="str">
        <f>HYPERLINK("https://pbs.twimg.com/profile_images/1433591977631748099/wuGDIimB_normal.jpg","View")</f>
        <v>View</v>
      </c>
      <c r="P3549" s="7"/>
    </row>
    <row r="3550" spans="1:16">
      <c r="A3550" s="3">
        <v>44516.282430555555</v>
      </c>
      <c r="B3550" s="4" t="str">
        <f>HYPERLINK("https://twitter.com/sergio_fajardo","@sergio_fajardo")</f>
        <v>@sergio_fajardo</v>
      </c>
      <c r="C3550" s="5" t="s">
        <v>16</v>
      </c>
      <c r="D3550" s="5" t="s">
        <v>3571</v>
      </c>
      <c r="E3550" s="6" t="str">
        <f>HYPERLINK("https://twitter.com/sergio_fajardo/status/1460416504638357505","1460416504638357505")</f>
        <v>1460416504638357505</v>
      </c>
      <c r="F3550" s="7" t="s">
        <v>17</v>
      </c>
      <c r="G3550" s="7">
        <v>1599498</v>
      </c>
      <c r="H3550" s="7">
        <v>602</v>
      </c>
      <c r="I3550" s="7">
        <v>2</v>
      </c>
      <c r="J3550" s="7">
        <v>19</v>
      </c>
      <c r="K3550" s="7" t="s">
        <v>18</v>
      </c>
      <c r="L3550" s="8">
        <v>39891.213356481479</v>
      </c>
      <c r="M3550" s="9" t="s">
        <v>19</v>
      </c>
      <c r="N3550" s="9" t="s">
        <v>22</v>
      </c>
      <c r="O3550" s="6" t="str">
        <f>HYPERLINK("https://pbs.twimg.com/profile_images/1433591977631748099/wuGDIimB_normal.jpg","View")</f>
        <v>View</v>
      </c>
      <c r="P3550" s="7"/>
    </row>
    <row r="3551" spans="1:16">
      <c r="A3551" s="3">
        <v>44516.764479166668</v>
      </c>
      <c r="B3551" s="4" t="str">
        <f>HYPERLINK("https://twitter.com/sergio_fajardo","@sergio_fajardo")</f>
        <v>@sergio_fajardo</v>
      </c>
      <c r="C3551" s="5" t="s">
        <v>16</v>
      </c>
      <c r="D3551" s="5" t="s">
        <v>3572</v>
      </c>
      <c r="E3551" s="6" t="str">
        <f>HYPERLINK("https://twitter.com/sergio_fajardo/status/1460591193159577602","1460591193159577602")</f>
        <v>1460591193159577602</v>
      </c>
      <c r="F3551" s="7" t="s">
        <v>17</v>
      </c>
      <c r="G3551" s="7">
        <v>1599523</v>
      </c>
      <c r="H3551" s="7">
        <v>602</v>
      </c>
      <c r="I3551" s="7">
        <v>12</v>
      </c>
      <c r="J3551" s="7">
        <v>43</v>
      </c>
      <c r="K3551" s="7" t="s">
        <v>18</v>
      </c>
      <c r="L3551" s="8">
        <v>39891.213356481479</v>
      </c>
      <c r="M3551" s="9" t="s">
        <v>19</v>
      </c>
      <c r="N3551" s="9" t="s">
        <v>22</v>
      </c>
      <c r="O3551" s="6" t="str">
        <f>HYPERLINK("https://pbs.twimg.com/profile_images/1433591977631748099/wuGDIimB_normal.jpg","View")</f>
        <v>View</v>
      </c>
      <c r="P3551" s="7"/>
    </row>
    <row r="3552" spans="1:16">
      <c r="A3552" s="3">
        <v>44516.852754629625</v>
      </c>
      <c r="B3552" s="4" t="str">
        <f>HYPERLINK("https://twitter.com/sergio_fajardo","@sergio_fajardo")</f>
        <v>@sergio_fajardo</v>
      </c>
      <c r="C3552" s="5" t="s">
        <v>16</v>
      </c>
      <c r="D3552" s="5" t="s">
        <v>3573</v>
      </c>
      <c r="E3552" s="6" t="str">
        <f>HYPERLINK("https://twitter.com/sergio_fajardo/status/1460623183443378184","1460623183443378184")</f>
        <v>1460623183443378184</v>
      </c>
      <c r="F3552" s="7" t="s">
        <v>2329</v>
      </c>
      <c r="G3552" s="7">
        <v>1599517</v>
      </c>
      <c r="H3552" s="7">
        <v>602</v>
      </c>
      <c r="I3552" s="7">
        <v>1</v>
      </c>
      <c r="J3552" s="7">
        <v>11</v>
      </c>
      <c r="K3552" s="7" t="s">
        <v>18</v>
      </c>
      <c r="L3552" s="8">
        <v>39891.213356481479</v>
      </c>
      <c r="M3552" s="9" t="s">
        <v>19</v>
      </c>
      <c r="N3552" s="9" t="s">
        <v>22</v>
      </c>
      <c r="O3552" s="6" t="str">
        <f>HYPERLINK("https://pbs.twimg.com/profile_images/1433591977631748099/wuGDIimB_normal.jpg","View")</f>
        <v>View</v>
      </c>
      <c r="P3552" s="7"/>
    </row>
    <row r="3553" spans="1:16">
      <c r="A3553" s="3">
        <v>44516.89508101852</v>
      </c>
      <c r="B3553" s="4" t="str">
        <f>HYPERLINK("https://twitter.com/sergio_fajardo","@sergio_fajardo")</f>
        <v>@sergio_fajardo</v>
      </c>
      <c r="C3553" s="5" t="s">
        <v>16</v>
      </c>
      <c r="D3553" s="5" t="s">
        <v>3574</v>
      </c>
      <c r="E3553" s="6" t="str">
        <f>HYPERLINK("https://twitter.com/sergio_fajardo/status/1460638520805142537","1460638520805142537")</f>
        <v>1460638520805142537</v>
      </c>
      <c r="F3553" s="7" t="s">
        <v>17</v>
      </c>
      <c r="G3553" s="7">
        <v>1599518</v>
      </c>
      <c r="H3553" s="7">
        <v>602</v>
      </c>
      <c r="I3553" s="7">
        <v>4</v>
      </c>
      <c r="J3553" s="7">
        <v>0</v>
      </c>
      <c r="K3553" s="7" t="s">
        <v>18</v>
      </c>
      <c r="L3553" s="8">
        <v>39891.213356481479</v>
      </c>
      <c r="M3553" s="9" t="s">
        <v>19</v>
      </c>
      <c r="N3553" s="9" t="s">
        <v>22</v>
      </c>
      <c r="O3553" s="6" t="str">
        <f>HYPERLINK("https://pbs.twimg.com/profile_images/1433591977631748099/wuGDIimB_normal.jpg","View")</f>
        <v>View</v>
      </c>
      <c r="P3553" s="7"/>
    </row>
    <row r="3554" spans="1:16">
      <c r="A3554" s="3">
        <v>44516.895370370374</v>
      </c>
      <c r="B3554" s="4" t="str">
        <f>HYPERLINK("https://twitter.com/sergio_fajardo","@sergio_fajardo")</f>
        <v>@sergio_fajardo</v>
      </c>
      <c r="C3554" s="5" t="s">
        <v>16</v>
      </c>
      <c r="D3554" s="5" t="s">
        <v>3575</v>
      </c>
      <c r="E3554" s="6" t="str">
        <f>HYPERLINK("https://twitter.com/sergio_fajardo/status/1460638624890949640","1460638624890949640")</f>
        <v>1460638624890949640</v>
      </c>
      <c r="F3554" s="7" t="s">
        <v>17</v>
      </c>
      <c r="G3554" s="7">
        <v>1599518</v>
      </c>
      <c r="H3554" s="7">
        <v>602</v>
      </c>
      <c r="I3554" s="7">
        <v>11</v>
      </c>
      <c r="J3554" s="7">
        <v>0</v>
      </c>
      <c r="K3554" s="7" t="s">
        <v>18</v>
      </c>
      <c r="L3554" s="8">
        <v>39891.213356481479</v>
      </c>
      <c r="M3554" s="9" t="s">
        <v>19</v>
      </c>
      <c r="N3554" s="9" t="s">
        <v>22</v>
      </c>
      <c r="O3554" s="6" t="str">
        <f>HYPERLINK("https://pbs.twimg.com/profile_images/1433591977631748099/wuGDIimB_normal.jpg","View")</f>
        <v>View</v>
      </c>
      <c r="P3554" s="7"/>
    </row>
    <row r="3555" spans="1:16">
      <c r="A3555" s="3">
        <v>44517.005787037036</v>
      </c>
      <c r="B3555" s="4" t="str">
        <f>HYPERLINK("https://twitter.com/sergio_fajardo","@sergio_fajardo")</f>
        <v>@sergio_fajardo</v>
      </c>
      <c r="C3555" s="5" t="s">
        <v>16</v>
      </c>
      <c r="D3555" s="5" t="s">
        <v>3576</v>
      </c>
      <c r="E3555" s="6" t="str">
        <f>HYPERLINK("https://twitter.com/sergio_fajardo/status/1460678638773444620","1460678638773444620")</f>
        <v>1460678638773444620</v>
      </c>
      <c r="F3555" s="7" t="s">
        <v>17</v>
      </c>
      <c r="G3555" s="7">
        <v>1599531</v>
      </c>
      <c r="H3555" s="7">
        <v>602</v>
      </c>
      <c r="I3555" s="7">
        <v>11</v>
      </c>
      <c r="J3555" s="7">
        <v>0</v>
      </c>
      <c r="K3555" s="7" t="s">
        <v>18</v>
      </c>
      <c r="L3555" s="8">
        <v>39891.213356481479</v>
      </c>
      <c r="M3555" s="9" t="s">
        <v>19</v>
      </c>
      <c r="N3555" s="9" t="s">
        <v>22</v>
      </c>
      <c r="O3555" s="6" t="str">
        <f>HYPERLINK("https://pbs.twimg.com/profile_images/1433591977631748099/wuGDIimB_normal.jpg","View")</f>
        <v>View</v>
      </c>
      <c r="P3555" s="7"/>
    </row>
    <row r="3556" spans="1:16">
      <c r="A3556" s="3">
        <v>44517.102303240739</v>
      </c>
      <c r="B3556" s="4" t="str">
        <f>HYPERLINK("https://twitter.com/sergio_fajardo","@sergio_fajardo")</f>
        <v>@sergio_fajardo</v>
      </c>
      <c r="C3556" s="5" t="s">
        <v>16</v>
      </c>
      <c r="D3556" s="5" t="s">
        <v>3577</v>
      </c>
      <c r="E3556" s="6" t="str">
        <f>HYPERLINK("https://twitter.com/sergio_fajardo/status/1460713614839533568","1460713614839533568")</f>
        <v>1460713614839533568</v>
      </c>
      <c r="F3556" s="7" t="s">
        <v>17</v>
      </c>
      <c r="G3556" s="7">
        <v>1599534</v>
      </c>
      <c r="H3556" s="7">
        <v>602</v>
      </c>
      <c r="I3556" s="7">
        <v>5</v>
      </c>
      <c r="J3556" s="7">
        <v>15</v>
      </c>
      <c r="K3556" s="7" t="s">
        <v>18</v>
      </c>
      <c r="L3556" s="8">
        <v>39891.213356481479</v>
      </c>
      <c r="M3556" s="9" t="s">
        <v>19</v>
      </c>
      <c r="N3556" s="9" t="s">
        <v>22</v>
      </c>
      <c r="O3556" s="6" t="str">
        <f>HYPERLINK("https://pbs.twimg.com/profile_images/1433591977631748099/wuGDIimB_normal.jpg","View")</f>
        <v>View</v>
      </c>
      <c r="P3556" s="7"/>
    </row>
    <row r="3557" spans="1:16">
      <c r="A3557" s="3">
        <v>44517.250949074078</v>
      </c>
      <c r="B3557" s="4" t="str">
        <f>HYPERLINK("https://twitter.com/sergio_fajardo","@sergio_fajardo")</f>
        <v>@sergio_fajardo</v>
      </c>
      <c r="C3557" s="5" t="s">
        <v>16</v>
      </c>
      <c r="D3557" s="5" t="s">
        <v>3578</v>
      </c>
      <c r="E3557" s="6" t="str">
        <f>HYPERLINK("https://twitter.com/sergio_fajardo/status/1460767485691678720","1460767485691678720")</f>
        <v>1460767485691678720</v>
      </c>
      <c r="F3557" s="7" t="s">
        <v>17</v>
      </c>
      <c r="G3557" s="7">
        <v>1599546</v>
      </c>
      <c r="H3557" s="7">
        <v>604</v>
      </c>
      <c r="I3557" s="7">
        <v>1</v>
      </c>
      <c r="J3557" s="7">
        <v>6</v>
      </c>
      <c r="K3557" s="7" t="s">
        <v>18</v>
      </c>
      <c r="L3557" s="8">
        <v>39891.213356481479</v>
      </c>
      <c r="M3557" s="9" t="s">
        <v>19</v>
      </c>
      <c r="N3557" s="9" t="s">
        <v>22</v>
      </c>
      <c r="O3557" s="6" t="str">
        <f>HYPERLINK("https://pbs.twimg.com/profile_images/1433591977631748099/wuGDIimB_normal.jpg","View")</f>
        <v>View</v>
      </c>
      <c r="P3557" s="7"/>
    </row>
    <row r="3558" spans="1:16">
      <c r="A3558" s="3">
        <v>44517.297164351854</v>
      </c>
      <c r="B3558" s="4" t="str">
        <f>HYPERLINK("https://twitter.com/sergio_fajardo","@sergio_fajardo")</f>
        <v>@sergio_fajardo</v>
      </c>
      <c r="C3558" s="5" t="s">
        <v>16</v>
      </c>
      <c r="D3558" s="5" t="s">
        <v>3579</v>
      </c>
      <c r="E3558" s="6" t="str">
        <f>HYPERLINK("https://twitter.com/sergio_fajardo/status/1460784230712197124","1460784230712197124")</f>
        <v>1460784230712197124</v>
      </c>
      <c r="F3558" s="7" t="s">
        <v>17</v>
      </c>
      <c r="G3558" s="7">
        <v>1599544</v>
      </c>
      <c r="H3558" s="7">
        <v>604</v>
      </c>
      <c r="I3558" s="7">
        <v>2</v>
      </c>
      <c r="J3558" s="7">
        <v>0</v>
      </c>
      <c r="K3558" s="7" t="s">
        <v>18</v>
      </c>
      <c r="L3558" s="8">
        <v>39891.213356481479</v>
      </c>
      <c r="M3558" s="9" t="s">
        <v>19</v>
      </c>
      <c r="N3558" s="9" t="s">
        <v>22</v>
      </c>
      <c r="O3558" s="6" t="str">
        <f>HYPERLINK("https://pbs.twimg.com/profile_images/1433591977631748099/wuGDIimB_normal.jpg","View")</f>
        <v>View</v>
      </c>
      <c r="P3558" s="7"/>
    </row>
    <row r="3559" spans="1:16">
      <c r="A3559" s="3">
        <v>44517.811724537038</v>
      </c>
      <c r="B3559" s="4" t="str">
        <f>HYPERLINK("https://twitter.com/sergio_fajardo","@sergio_fajardo")</f>
        <v>@sergio_fajardo</v>
      </c>
      <c r="C3559" s="5" t="s">
        <v>16</v>
      </c>
      <c r="D3559" s="5" t="s">
        <v>3580</v>
      </c>
      <c r="E3559" s="6" t="str">
        <f>HYPERLINK("https://twitter.com/sergio_fajardo/status/1460970702694227974","1460970702694227974")</f>
        <v>1460970702694227974</v>
      </c>
      <c r="F3559" s="7" t="s">
        <v>2329</v>
      </c>
      <c r="G3559" s="7">
        <v>1599576</v>
      </c>
      <c r="H3559" s="7">
        <v>604</v>
      </c>
      <c r="I3559" s="7">
        <v>4</v>
      </c>
      <c r="J3559" s="7">
        <v>24</v>
      </c>
      <c r="K3559" s="7" t="s">
        <v>18</v>
      </c>
      <c r="L3559" s="8">
        <v>39891.213356481479</v>
      </c>
      <c r="M3559" s="9" t="s">
        <v>19</v>
      </c>
      <c r="N3559" s="9" t="s">
        <v>22</v>
      </c>
      <c r="O3559" s="6" t="str">
        <f>HYPERLINK("https://pbs.twimg.com/profile_images/1433591977631748099/wuGDIimB_normal.jpg","View")</f>
        <v>View</v>
      </c>
      <c r="P3559" s="7"/>
    </row>
    <row r="3560" spans="1:16">
      <c r="A3560" s="3">
        <v>44517.860312500001</v>
      </c>
      <c r="B3560" s="4" t="str">
        <f>HYPERLINK("https://twitter.com/sergio_fajardo","@sergio_fajardo")</f>
        <v>@sergio_fajardo</v>
      </c>
      <c r="C3560" s="5" t="s">
        <v>16</v>
      </c>
      <c r="D3560" s="5" t="s">
        <v>3581</v>
      </c>
      <c r="E3560" s="6" t="str">
        <f>HYPERLINK("https://twitter.com/sergio_fajardo/status/1460988311485526020","1460988311485526020")</f>
        <v>1460988311485526020</v>
      </c>
      <c r="F3560" s="7" t="s">
        <v>17</v>
      </c>
      <c r="G3560" s="7">
        <v>1599589</v>
      </c>
      <c r="H3560" s="7">
        <v>604</v>
      </c>
      <c r="I3560" s="7">
        <v>8</v>
      </c>
      <c r="J3560" s="7">
        <v>0</v>
      </c>
      <c r="K3560" s="7" t="s">
        <v>18</v>
      </c>
      <c r="L3560" s="8">
        <v>39891.213356481479</v>
      </c>
      <c r="M3560" s="9" t="s">
        <v>19</v>
      </c>
      <c r="N3560" s="9" t="s">
        <v>22</v>
      </c>
      <c r="O3560" s="6" t="str">
        <f>HYPERLINK("https://pbs.twimg.com/profile_images/1433591977631748099/wuGDIimB_normal.jpg","View")</f>
        <v>View</v>
      </c>
      <c r="P3560" s="7"/>
    </row>
    <row r="3561" spans="1:16">
      <c r="A3561" s="3">
        <v>44517.860393518524</v>
      </c>
      <c r="B3561" s="4" t="str">
        <f>HYPERLINK("https://twitter.com/sergio_fajardo","@sergio_fajardo")</f>
        <v>@sergio_fajardo</v>
      </c>
      <c r="C3561" s="5" t="s">
        <v>16</v>
      </c>
      <c r="D3561" s="5" t="s">
        <v>3582</v>
      </c>
      <c r="E3561" s="6" t="str">
        <f>HYPERLINK("https://twitter.com/sergio_fajardo/status/1460988339205586947","1460988339205586947")</f>
        <v>1460988339205586947</v>
      </c>
      <c r="F3561" s="7" t="s">
        <v>17</v>
      </c>
      <c r="G3561" s="7">
        <v>1599589</v>
      </c>
      <c r="H3561" s="7">
        <v>604</v>
      </c>
      <c r="I3561" s="7">
        <v>4</v>
      </c>
      <c r="J3561" s="7">
        <v>0</v>
      </c>
      <c r="K3561" s="7" t="s">
        <v>18</v>
      </c>
      <c r="L3561" s="8">
        <v>39891.213356481479</v>
      </c>
      <c r="M3561" s="9" t="s">
        <v>19</v>
      </c>
      <c r="N3561" s="9" t="s">
        <v>22</v>
      </c>
      <c r="O3561" s="6" t="str">
        <f>HYPERLINK("https://pbs.twimg.com/profile_images/1433591977631748099/wuGDIimB_normal.jpg","View")</f>
        <v>View</v>
      </c>
      <c r="P3561" s="7"/>
    </row>
    <row r="3562" spans="1:16">
      <c r="A3562" s="3">
        <v>44517.863680555558</v>
      </c>
      <c r="B3562" s="4" t="str">
        <f>HYPERLINK("https://twitter.com/sergio_fajardo","@sergio_fajardo")</f>
        <v>@sergio_fajardo</v>
      </c>
      <c r="C3562" s="5" t="s">
        <v>16</v>
      </c>
      <c r="D3562" s="5" t="s">
        <v>3583</v>
      </c>
      <c r="E3562" s="6" t="str">
        <f>HYPERLINK("https://twitter.com/sergio_fajardo/status/1460989528114614284","1460989528114614284")</f>
        <v>1460989528114614284</v>
      </c>
      <c r="F3562" s="7" t="s">
        <v>17</v>
      </c>
      <c r="G3562" s="7">
        <v>1599589</v>
      </c>
      <c r="H3562" s="7">
        <v>604</v>
      </c>
      <c r="I3562" s="7">
        <v>5</v>
      </c>
      <c r="J3562" s="7">
        <v>0</v>
      </c>
      <c r="K3562" s="7" t="s">
        <v>18</v>
      </c>
      <c r="L3562" s="8">
        <v>39891.213356481479</v>
      </c>
      <c r="M3562" s="9" t="s">
        <v>19</v>
      </c>
      <c r="N3562" s="9" t="s">
        <v>22</v>
      </c>
      <c r="O3562" s="6" t="str">
        <f>HYPERLINK("https://pbs.twimg.com/profile_images/1433591977631748099/wuGDIimB_normal.jpg","View")</f>
        <v>View</v>
      </c>
      <c r="P3562" s="7"/>
    </row>
    <row r="3563" spans="1:16">
      <c r="A3563" s="3">
        <v>44517.863877314812</v>
      </c>
      <c r="B3563" s="4" t="str">
        <f>HYPERLINK("https://twitter.com/sergio_fajardo","@sergio_fajardo")</f>
        <v>@sergio_fajardo</v>
      </c>
      <c r="C3563" s="5" t="s">
        <v>16</v>
      </c>
      <c r="D3563" s="5" t="s">
        <v>3584</v>
      </c>
      <c r="E3563" s="6" t="str">
        <f>HYPERLINK("https://twitter.com/sergio_fajardo/status/1460989601020096516","1460989601020096516")</f>
        <v>1460989601020096516</v>
      </c>
      <c r="F3563" s="7" t="s">
        <v>17</v>
      </c>
      <c r="G3563" s="7">
        <v>1599589</v>
      </c>
      <c r="H3563" s="7">
        <v>604</v>
      </c>
      <c r="I3563" s="7">
        <v>8</v>
      </c>
      <c r="J3563" s="7">
        <v>0</v>
      </c>
      <c r="K3563" s="7" t="s">
        <v>18</v>
      </c>
      <c r="L3563" s="8">
        <v>39891.213356481479</v>
      </c>
      <c r="M3563" s="9" t="s">
        <v>19</v>
      </c>
      <c r="N3563" s="9" t="s">
        <v>22</v>
      </c>
      <c r="O3563" s="6" t="str">
        <f>HYPERLINK("https://pbs.twimg.com/profile_images/1433591977631748099/wuGDIimB_normal.jpg","View")</f>
        <v>View</v>
      </c>
      <c r="P3563" s="7"/>
    </row>
    <row r="3564" spans="1:16">
      <c r="A3564" s="3">
        <v>44517.903263888889</v>
      </c>
      <c r="B3564" s="4" t="str">
        <f>HYPERLINK("https://twitter.com/sergio_fajardo","@sergio_fajardo")</f>
        <v>@sergio_fajardo</v>
      </c>
      <c r="C3564" s="5" t="s">
        <v>16</v>
      </c>
      <c r="D3564" s="5" t="s">
        <v>3585</v>
      </c>
      <c r="E3564" s="6" t="str">
        <f>HYPERLINK("https://twitter.com/sergio_fajardo/status/1461003875520065552","1461003875520065552")</f>
        <v>1461003875520065552</v>
      </c>
      <c r="F3564" s="7" t="s">
        <v>17</v>
      </c>
      <c r="G3564" s="7">
        <v>1599594</v>
      </c>
      <c r="H3564" s="7">
        <v>604</v>
      </c>
      <c r="I3564" s="7">
        <v>6</v>
      </c>
      <c r="J3564" s="7">
        <v>0</v>
      </c>
      <c r="K3564" s="7" t="s">
        <v>18</v>
      </c>
      <c r="L3564" s="8">
        <v>39891.213356481479</v>
      </c>
      <c r="M3564" s="9" t="s">
        <v>19</v>
      </c>
      <c r="N3564" s="9" t="s">
        <v>22</v>
      </c>
      <c r="O3564" s="6" t="str">
        <f>HYPERLINK("https://pbs.twimg.com/profile_images/1433591977631748099/wuGDIimB_normal.jpg","View")</f>
        <v>View</v>
      </c>
      <c r="P3564" s="7"/>
    </row>
    <row r="3565" spans="1:16">
      <c r="A3565" s="3">
        <v>44517.90353009259</v>
      </c>
      <c r="B3565" s="4" t="str">
        <f>HYPERLINK("https://twitter.com/sergio_fajardo","@sergio_fajardo")</f>
        <v>@sergio_fajardo</v>
      </c>
      <c r="C3565" s="5" t="s">
        <v>16</v>
      </c>
      <c r="D3565" s="5" t="s">
        <v>3586</v>
      </c>
      <c r="E3565" s="6" t="str">
        <f>HYPERLINK("https://twitter.com/sergio_fajardo/status/1461003972974682117","1461003972974682117")</f>
        <v>1461003972974682117</v>
      </c>
      <c r="F3565" s="7" t="s">
        <v>17</v>
      </c>
      <c r="G3565" s="7">
        <v>1599594</v>
      </c>
      <c r="H3565" s="7">
        <v>604</v>
      </c>
      <c r="I3565" s="7">
        <v>6</v>
      </c>
      <c r="J3565" s="7">
        <v>0</v>
      </c>
      <c r="K3565" s="7" t="s">
        <v>18</v>
      </c>
      <c r="L3565" s="8">
        <v>39891.213356481479</v>
      </c>
      <c r="M3565" s="9" t="s">
        <v>19</v>
      </c>
      <c r="N3565" s="9" t="s">
        <v>22</v>
      </c>
      <c r="O3565" s="6" t="str">
        <f>HYPERLINK("https://pbs.twimg.com/profile_images/1433591977631748099/wuGDIimB_normal.jpg","View")</f>
        <v>View</v>
      </c>
      <c r="P3565" s="7"/>
    </row>
    <row r="3566" spans="1:16">
      <c r="A3566" s="3">
        <v>44517.966481481482</v>
      </c>
      <c r="B3566" s="4" t="str">
        <f>HYPERLINK("https://twitter.com/sergio_fajardo","@sergio_fajardo")</f>
        <v>@sergio_fajardo</v>
      </c>
      <c r="C3566" s="5" t="s">
        <v>16</v>
      </c>
      <c r="D3566" s="5" t="s">
        <v>3587</v>
      </c>
      <c r="E3566" s="6" t="str">
        <f>HYPERLINK("https://twitter.com/sergio_fajardo/status/1461026782946250755","1461026782946250755")</f>
        <v>1461026782946250755</v>
      </c>
      <c r="F3566" s="7" t="s">
        <v>17</v>
      </c>
      <c r="G3566" s="7">
        <v>1599593</v>
      </c>
      <c r="H3566" s="7">
        <v>604</v>
      </c>
      <c r="I3566" s="7">
        <v>10</v>
      </c>
      <c r="J3566" s="7">
        <v>0</v>
      </c>
      <c r="K3566" s="7" t="s">
        <v>18</v>
      </c>
      <c r="L3566" s="8">
        <v>39891.213356481479</v>
      </c>
      <c r="M3566" s="9" t="s">
        <v>19</v>
      </c>
      <c r="N3566" s="9" t="s">
        <v>22</v>
      </c>
      <c r="O3566" s="6" t="str">
        <f>HYPERLINK("https://pbs.twimg.com/profile_images/1433591977631748099/wuGDIimB_normal.jpg","View")</f>
        <v>View</v>
      </c>
      <c r="P3566" s="7"/>
    </row>
    <row r="3567" spans="1:16">
      <c r="A3567" s="3">
        <v>44518.033553240741</v>
      </c>
      <c r="B3567" s="4" t="str">
        <f>HYPERLINK("https://twitter.com/sergio_fajardo","@sergio_fajardo")</f>
        <v>@sergio_fajardo</v>
      </c>
      <c r="C3567" s="5" t="s">
        <v>16</v>
      </c>
      <c r="D3567" s="5" t="s">
        <v>3588</v>
      </c>
      <c r="E3567" s="6" t="str">
        <f>HYPERLINK("https://twitter.com/sergio_fajardo/status/1461051088728166405","1461051088728166405")</f>
        <v>1461051088728166405</v>
      </c>
      <c r="F3567" s="7" t="s">
        <v>17</v>
      </c>
      <c r="G3567" s="7">
        <v>1599592</v>
      </c>
      <c r="H3567" s="7">
        <v>604</v>
      </c>
      <c r="I3567" s="7">
        <v>7</v>
      </c>
      <c r="J3567" s="7">
        <v>0</v>
      </c>
      <c r="K3567" s="7" t="s">
        <v>18</v>
      </c>
      <c r="L3567" s="8">
        <v>39891.213356481479</v>
      </c>
      <c r="M3567" s="9" t="s">
        <v>19</v>
      </c>
      <c r="N3567" s="9" t="s">
        <v>22</v>
      </c>
      <c r="O3567" s="6" t="str">
        <f>HYPERLINK("https://pbs.twimg.com/profile_images/1433591977631748099/wuGDIimB_normal.jpg","View")</f>
        <v>View</v>
      </c>
      <c r="P3567" s="7"/>
    </row>
    <row r="3568" spans="1:16">
      <c r="A3568" s="3">
        <v>44518.043321759258</v>
      </c>
      <c r="B3568" s="4" t="str">
        <f>HYPERLINK("https://twitter.com/sergio_fajardo","@sergio_fajardo")</f>
        <v>@sergio_fajardo</v>
      </c>
      <c r="C3568" s="5" t="s">
        <v>16</v>
      </c>
      <c r="D3568" s="5" t="s">
        <v>3589</v>
      </c>
      <c r="E3568" s="6" t="str">
        <f>HYPERLINK("https://twitter.com/sergio_fajardo/status/1461054627789643780","1461054627789643780")</f>
        <v>1461054627789643780</v>
      </c>
      <c r="F3568" s="7" t="s">
        <v>17</v>
      </c>
      <c r="G3568" s="7">
        <v>1599596</v>
      </c>
      <c r="H3568" s="7">
        <v>604</v>
      </c>
      <c r="I3568" s="7">
        <v>1242</v>
      </c>
      <c r="J3568" s="7">
        <v>0</v>
      </c>
      <c r="K3568" s="7" t="s">
        <v>18</v>
      </c>
      <c r="L3568" s="8">
        <v>39891.213356481479</v>
      </c>
      <c r="M3568" s="9" t="s">
        <v>19</v>
      </c>
      <c r="N3568" s="9" t="s">
        <v>22</v>
      </c>
      <c r="O3568" s="6" t="str">
        <f>HYPERLINK("https://pbs.twimg.com/profile_images/1433591977631748099/wuGDIimB_normal.jpg","View")</f>
        <v>View</v>
      </c>
      <c r="P3568" s="7"/>
    </row>
    <row r="3569" spans="1:16">
      <c r="A3569" s="3">
        <v>44518.098159722227</v>
      </c>
      <c r="B3569" s="4" t="str">
        <f>HYPERLINK("https://twitter.com/sergio_fajardo","@sergio_fajardo")</f>
        <v>@sergio_fajardo</v>
      </c>
      <c r="C3569" s="5" t="s">
        <v>16</v>
      </c>
      <c r="D3569" s="5" t="s">
        <v>3590</v>
      </c>
      <c r="E3569" s="6" t="str">
        <f>HYPERLINK("https://twitter.com/sergio_fajardo/status/1461074502486564873","1461074502486564873")</f>
        <v>1461074502486564873</v>
      </c>
      <c r="F3569" s="7" t="s">
        <v>17</v>
      </c>
      <c r="G3569" s="7">
        <v>1599596</v>
      </c>
      <c r="H3569" s="7">
        <v>604</v>
      </c>
      <c r="I3569" s="7">
        <v>5</v>
      </c>
      <c r="J3569" s="7">
        <v>0</v>
      </c>
      <c r="K3569" s="7" t="s">
        <v>18</v>
      </c>
      <c r="L3569" s="8">
        <v>39891.213356481479</v>
      </c>
      <c r="M3569" s="9" t="s">
        <v>19</v>
      </c>
      <c r="N3569" s="9" t="s">
        <v>22</v>
      </c>
      <c r="O3569" s="6" t="str">
        <f>HYPERLINK("https://pbs.twimg.com/profile_images/1433591977631748099/wuGDIimB_normal.jpg","View")</f>
        <v>View</v>
      </c>
      <c r="P3569" s="7"/>
    </row>
    <row r="3570" spans="1:16">
      <c r="A3570" s="3">
        <v>44518.103460648148</v>
      </c>
      <c r="B3570" s="4" t="str">
        <f>HYPERLINK("https://twitter.com/sergio_fajardo","@sergio_fajardo")</f>
        <v>@sergio_fajardo</v>
      </c>
      <c r="C3570" s="5" t="s">
        <v>16</v>
      </c>
      <c r="D3570" s="5" t="s">
        <v>3591</v>
      </c>
      <c r="E3570" s="6" t="str">
        <f>HYPERLINK("https://twitter.com/sergio_fajardo/status/1461076421611294722","1461076421611294722")</f>
        <v>1461076421611294722</v>
      </c>
      <c r="F3570" s="7" t="s">
        <v>17</v>
      </c>
      <c r="G3570" s="7">
        <v>1599596</v>
      </c>
      <c r="H3570" s="7">
        <v>604</v>
      </c>
      <c r="I3570" s="7">
        <v>6</v>
      </c>
      <c r="J3570" s="7">
        <v>39</v>
      </c>
      <c r="K3570" s="7" t="s">
        <v>18</v>
      </c>
      <c r="L3570" s="8">
        <v>39891.213356481479</v>
      </c>
      <c r="M3570" s="9" t="s">
        <v>19</v>
      </c>
      <c r="N3570" s="9" t="s">
        <v>22</v>
      </c>
      <c r="O3570" s="6" t="str">
        <f>HYPERLINK("https://pbs.twimg.com/profile_images/1433591977631748099/wuGDIimB_normal.jpg","View")</f>
        <v>View</v>
      </c>
      <c r="P3570" s="7"/>
    </row>
    <row r="3571" spans="1:16">
      <c r="A3571" s="3">
        <v>44518.176990740743</v>
      </c>
      <c r="B3571" s="4" t="str">
        <f>HYPERLINK("https://twitter.com/sergio_fajardo","@sergio_fajardo")</f>
        <v>@sergio_fajardo</v>
      </c>
      <c r="C3571" s="5" t="s">
        <v>16</v>
      </c>
      <c r="D3571" s="5" t="s">
        <v>3592</v>
      </c>
      <c r="E3571" s="6" t="str">
        <f>HYPERLINK("https://twitter.com/sergio_fajardo/status/1461103068594982918","1461103068594982918")</f>
        <v>1461103068594982918</v>
      </c>
      <c r="F3571" s="7" t="s">
        <v>23</v>
      </c>
      <c r="G3571" s="7">
        <v>1599599</v>
      </c>
      <c r="H3571" s="7">
        <v>604</v>
      </c>
      <c r="I3571" s="7">
        <v>5</v>
      </c>
      <c r="J3571" s="7">
        <v>19</v>
      </c>
      <c r="K3571" s="7" t="s">
        <v>18</v>
      </c>
      <c r="L3571" s="8">
        <v>39891.213356481479</v>
      </c>
      <c r="M3571" s="9" t="s">
        <v>19</v>
      </c>
      <c r="N3571" s="9" t="s">
        <v>22</v>
      </c>
      <c r="O3571" s="6" t="str">
        <f>HYPERLINK("https://pbs.twimg.com/profile_images/1433591977631748099/wuGDIimB_normal.jpg","View")</f>
        <v>View</v>
      </c>
      <c r="P3571" s="7"/>
    </row>
    <row r="3572" spans="1:16">
      <c r="A3572" s="3">
        <v>44518.193703703699</v>
      </c>
      <c r="B3572" s="4" t="str">
        <f>HYPERLINK("https://twitter.com/sergio_fajardo","@sergio_fajardo")</f>
        <v>@sergio_fajardo</v>
      </c>
      <c r="C3572" s="5" t="s">
        <v>16</v>
      </c>
      <c r="D3572" s="5" t="s">
        <v>3593</v>
      </c>
      <c r="E3572" s="6" t="str">
        <f>HYPERLINK("https://twitter.com/sergio_fajardo/status/1461109126398939136","1461109126398939136")</f>
        <v>1461109126398939136</v>
      </c>
      <c r="F3572" s="7" t="s">
        <v>17</v>
      </c>
      <c r="G3572" s="7">
        <v>1599607</v>
      </c>
      <c r="H3572" s="7">
        <v>604</v>
      </c>
      <c r="I3572" s="7">
        <v>4</v>
      </c>
      <c r="J3572" s="7">
        <v>20</v>
      </c>
      <c r="K3572" s="7" t="s">
        <v>18</v>
      </c>
      <c r="L3572" s="8">
        <v>39891.213356481479</v>
      </c>
      <c r="M3572" s="9" t="s">
        <v>19</v>
      </c>
      <c r="N3572" s="9" t="s">
        <v>22</v>
      </c>
      <c r="O3572" s="6" t="str">
        <f>HYPERLINK("https://pbs.twimg.com/profile_images/1433591977631748099/wuGDIimB_normal.jpg","View")</f>
        <v>View</v>
      </c>
      <c r="P3572" s="7"/>
    </row>
    <row r="3573" spans="1:16">
      <c r="A3573" s="3">
        <v>44518.211712962962</v>
      </c>
      <c r="B3573" s="4" t="str">
        <f>HYPERLINK("https://twitter.com/sergio_fajardo","@sergio_fajardo")</f>
        <v>@sergio_fajardo</v>
      </c>
      <c r="C3573" s="5" t="s">
        <v>16</v>
      </c>
      <c r="D3573" s="5" t="s">
        <v>3594</v>
      </c>
      <c r="E3573" s="6" t="str">
        <f>HYPERLINK("https://twitter.com/sergio_fajardo/status/1461115654371790851","1461115654371790851")</f>
        <v>1461115654371790851</v>
      </c>
      <c r="F3573" s="7" t="s">
        <v>23</v>
      </c>
      <c r="G3573" s="7">
        <v>1599611</v>
      </c>
      <c r="H3573" s="7">
        <v>604</v>
      </c>
      <c r="I3573" s="7">
        <v>8</v>
      </c>
      <c r="J3573" s="7">
        <v>21</v>
      </c>
      <c r="K3573" s="7" t="s">
        <v>18</v>
      </c>
      <c r="L3573" s="8">
        <v>39891.213356481479</v>
      </c>
      <c r="M3573" s="9" t="s">
        <v>19</v>
      </c>
      <c r="N3573" s="9" t="s">
        <v>22</v>
      </c>
      <c r="O3573" s="6" t="str">
        <f>HYPERLINK("https://pbs.twimg.com/profile_images/1433591977631748099/wuGDIimB_normal.jpg","View")</f>
        <v>View</v>
      </c>
      <c r="P3573" s="7"/>
    </row>
    <row r="3574" spans="1:16">
      <c r="A3574" s="3">
        <v>44518.241435185184</v>
      </c>
      <c r="B3574" s="4" t="str">
        <f>HYPERLINK("https://twitter.com/sergio_fajardo","@sergio_fajardo")</f>
        <v>@sergio_fajardo</v>
      </c>
      <c r="C3574" s="5" t="s">
        <v>16</v>
      </c>
      <c r="D3574" s="5" t="s">
        <v>3595</v>
      </c>
      <c r="E3574" s="6" t="str">
        <f>HYPERLINK("https://twitter.com/sergio_fajardo/status/1461126424996294657","1461126424996294657")</f>
        <v>1461126424996294657</v>
      </c>
      <c r="F3574" s="7" t="s">
        <v>17</v>
      </c>
      <c r="G3574" s="7">
        <v>1599617</v>
      </c>
      <c r="H3574" s="7">
        <v>604</v>
      </c>
      <c r="I3574" s="7">
        <v>7</v>
      </c>
      <c r="J3574" s="7">
        <v>13</v>
      </c>
      <c r="K3574" s="7" t="s">
        <v>18</v>
      </c>
      <c r="L3574" s="8">
        <v>39891.213356481479</v>
      </c>
      <c r="M3574" s="9" t="s">
        <v>19</v>
      </c>
      <c r="N3574" s="9" t="s">
        <v>22</v>
      </c>
      <c r="O3574" s="6" t="str">
        <f>HYPERLINK("https://pbs.twimg.com/profile_images/1433591977631748099/wuGDIimB_normal.jpg","View")</f>
        <v>View</v>
      </c>
      <c r="P3574" s="7"/>
    </row>
    <row r="3575" spans="1:16">
      <c r="A3575" s="3">
        <v>44518.256967592592</v>
      </c>
      <c r="B3575" s="4" t="str">
        <f>HYPERLINK("https://twitter.com/sergio_fajardo","@sergio_fajardo")</f>
        <v>@sergio_fajardo</v>
      </c>
      <c r="C3575" s="5" t="s">
        <v>16</v>
      </c>
      <c r="D3575" s="5" t="s">
        <v>3596</v>
      </c>
      <c r="E3575" s="6" t="str">
        <f>HYPERLINK("https://twitter.com/sergio_fajardo/status/1461132051055271937","1461132051055271937")</f>
        <v>1461132051055271937</v>
      </c>
      <c r="F3575" s="7" t="s">
        <v>17</v>
      </c>
      <c r="G3575" s="7">
        <v>1599617</v>
      </c>
      <c r="H3575" s="7">
        <v>604</v>
      </c>
      <c r="I3575" s="7">
        <v>5</v>
      </c>
      <c r="J3575" s="7">
        <v>0</v>
      </c>
      <c r="K3575" s="7" t="s">
        <v>18</v>
      </c>
      <c r="L3575" s="8">
        <v>39891.213356481479</v>
      </c>
      <c r="M3575" s="9" t="s">
        <v>19</v>
      </c>
      <c r="N3575" s="9" t="s">
        <v>22</v>
      </c>
      <c r="O3575" s="6" t="str">
        <f>HYPERLINK("https://pbs.twimg.com/profile_images/1433591977631748099/wuGDIimB_normal.jpg","View")</f>
        <v>View</v>
      </c>
      <c r="P3575" s="7"/>
    </row>
    <row r="3576" spans="1:16">
      <c r="A3576" s="3">
        <v>44518.256990740745</v>
      </c>
      <c r="B3576" s="4" t="str">
        <f>HYPERLINK("https://twitter.com/sergio_fajardo","@sergio_fajardo")</f>
        <v>@sergio_fajardo</v>
      </c>
      <c r="C3576" s="5" t="s">
        <v>16</v>
      </c>
      <c r="D3576" s="5" t="s">
        <v>3597</v>
      </c>
      <c r="E3576" s="6" t="str">
        <f>HYPERLINK("https://twitter.com/sergio_fajardo/status/1461132059418808323","1461132059418808323")</f>
        <v>1461132059418808323</v>
      </c>
      <c r="F3576" s="7" t="s">
        <v>17</v>
      </c>
      <c r="G3576" s="7">
        <v>1599617</v>
      </c>
      <c r="H3576" s="7">
        <v>604</v>
      </c>
      <c r="I3576" s="7">
        <v>2</v>
      </c>
      <c r="J3576" s="7">
        <v>0</v>
      </c>
      <c r="K3576" s="7" t="s">
        <v>18</v>
      </c>
      <c r="L3576" s="8">
        <v>39891.213356481479</v>
      </c>
      <c r="M3576" s="9" t="s">
        <v>19</v>
      </c>
      <c r="N3576" s="9" t="s">
        <v>22</v>
      </c>
      <c r="O3576" s="6" t="str">
        <f>HYPERLINK("https://pbs.twimg.com/profile_images/1433591977631748099/wuGDIimB_normal.jpg","View")</f>
        <v>View</v>
      </c>
      <c r="P3576" s="7"/>
    </row>
    <row r="3577" spans="1:16">
      <c r="A3577" s="3">
        <v>44518.866446759261</v>
      </c>
      <c r="B3577" s="4" t="str">
        <f>HYPERLINK("https://twitter.com/sergio_fajardo","@sergio_fajardo")</f>
        <v>@sergio_fajardo</v>
      </c>
      <c r="C3577" s="5" t="s">
        <v>16</v>
      </c>
      <c r="D3577" s="5" t="s">
        <v>3598</v>
      </c>
      <c r="E3577" s="6" t="str">
        <f>HYPERLINK("https://twitter.com/sergio_fajardo/status/1461352922436882441","1461352922436882441")</f>
        <v>1461352922436882441</v>
      </c>
      <c r="F3577" s="7" t="s">
        <v>17</v>
      </c>
      <c r="G3577" s="7">
        <v>1599589</v>
      </c>
      <c r="H3577" s="7">
        <v>604</v>
      </c>
      <c r="I3577" s="7">
        <v>35</v>
      </c>
      <c r="J3577" s="7">
        <v>179</v>
      </c>
      <c r="K3577" s="7" t="s">
        <v>18</v>
      </c>
      <c r="L3577" s="8">
        <v>39891.213356481479</v>
      </c>
      <c r="M3577" s="9" t="s">
        <v>19</v>
      </c>
      <c r="N3577" s="9" t="s">
        <v>22</v>
      </c>
      <c r="O3577" s="6" t="str">
        <f>HYPERLINK("https://pbs.twimg.com/profile_images/1433591977631748099/wuGDIimB_normal.jpg","View")</f>
        <v>View</v>
      </c>
      <c r="P3577" s="7"/>
    </row>
    <row r="3578" spans="1:16">
      <c r="A3578" s="3">
        <v>44518.878668981481</v>
      </c>
      <c r="B3578" s="4" t="str">
        <f>HYPERLINK("https://twitter.com/sergio_fajardo","@sergio_fajardo")</f>
        <v>@sergio_fajardo</v>
      </c>
      <c r="C3578" s="5" t="s">
        <v>16</v>
      </c>
      <c r="D3578" s="5" t="s">
        <v>3599</v>
      </c>
      <c r="E3578" s="6" t="str">
        <f>HYPERLINK("https://twitter.com/sergio_fajardo/status/1461357351215063048","1461357351215063048")</f>
        <v>1461357351215063048</v>
      </c>
      <c r="F3578" s="7" t="s">
        <v>17</v>
      </c>
      <c r="G3578" s="7">
        <v>1599590</v>
      </c>
      <c r="H3578" s="7">
        <v>604</v>
      </c>
      <c r="I3578" s="7">
        <v>2</v>
      </c>
      <c r="J3578" s="7">
        <v>12</v>
      </c>
      <c r="K3578" s="7" t="s">
        <v>18</v>
      </c>
      <c r="L3578" s="8">
        <v>39891.213356481479</v>
      </c>
      <c r="M3578" s="9" t="s">
        <v>19</v>
      </c>
      <c r="N3578" s="9" t="s">
        <v>22</v>
      </c>
      <c r="O3578" s="6" t="str">
        <f>HYPERLINK("https://pbs.twimg.com/profile_images/1433591977631748099/wuGDIimB_normal.jpg","View")</f>
        <v>View</v>
      </c>
      <c r="P3578" s="7"/>
    </row>
    <row r="3579" spans="1:16">
      <c r="A3579" s="3">
        <v>44518.903726851851</v>
      </c>
      <c r="B3579" s="4" t="str">
        <f>HYPERLINK("https://twitter.com/sergio_fajardo","@sergio_fajardo")</f>
        <v>@sergio_fajardo</v>
      </c>
      <c r="C3579" s="5" t="s">
        <v>16</v>
      </c>
      <c r="D3579" s="5" t="s">
        <v>3600</v>
      </c>
      <c r="E3579" s="6" t="str">
        <f>HYPERLINK("https://twitter.com/sergio_fajardo/status/1461366429626732565","1461366429626732565")</f>
        <v>1461366429626732565</v>
      </c>
      <c r="F3579" s="7" t="s">
        <v>17</v>
      </c>
      <c r="G3579" s="7">
        <v>1599669</v>
      </c>
      <c r="H3579" s="7">
        <v>604</v>
      </c>
      <c r="I3579" s="7">
        <v>17</v>
      </c>
      <c r="J3579" s="7">
        <v>0</v>
      </c>
      <c r="K3579" s="7" t="s">
        <v>18</v>
      </c>
      <c r="L3579" s="8">
        <v>39891.213356481479</v>
      </c>
      <c r="M3579" s="9" t="s">
        <v>19</v>
      </c>
      <c r="N3579" s="9" t="s">
        <v>22</v>
      </c>
      <c r="O3579" s="6" t="str">
        <f>HYPERLINK("https://pbs.twimg.com/profile_images/1433591977631748099/wuGDIimB_normal.jpg","View")</f>
        <v>View</v>
      </c>
      <c r="P3579" s="7"/>
    </row>
    <row r="3580" spans="1:16">
      <c r="A3580" s="3">
        <v>44518.906087962961</v>
      </c>
      <c r="B3580" s="4" t="str">
        <f>HYPERLINK("https://twitter.com/sergio_fajardo","@sergio_fajardo")</f>
        <v>@sergio_fajardo</v>
      </c>
      <c r="C3580" s="5" t="s">
        <v>16</v>
      </c>
      <c r="D3580" s="5" t="s">
        <v>3601</v>
      </c>
      <c r="E3580" s="6" t="str">
        <f>HYPERLINK("https://twitter.com/sergio_fajardo/status/1461367285805772803","1461367285805772803")</f>
        <v>1461367285805772803</v>
      </c>
      <c r="F3580" s="7" t="s">
        <v>17</v>
      </c>
      <c r="G3580" s="7">
        <v>1599669</v>
      </c>
      <c r="H3580" s="7">
        <v>604</v>
      </c>
      <c r="I3580" s="7">
        <v>10</v>
      </c>
      <c r="J3580" s="7">
        <v>24</v>
      </c>
      <c r="K3580" s="7" t="s">
        <v>18</v>
      </c>
      <c r="L3580" s="8">
        <v>39891.213356481479</v>
      </c>
      <c r="M3580" s="9" t="s">
        <v>19</v>
      </c>
      <c r="N3580" s="9" t="s">
        <v>22</v>
      </c>
      <c r="O3580" s="6" t="str">
        <f>HYPERLINK("https://pbs.twimg.com/profile_images/1433591977631748099/wuGDIimB_normal.jpg","View")</f>
        <v>View</v>
      </c>
      <c r="P3580" s="7"/>
    </row>
    <row r="3581" spans="1:16">
      <c r="A3581" s="3">
        <v>44518.951469907406</v>
      </c>
      <c r="B3581" s="4" t="str">
        <f>HYPERLINK("https://twitter.com/sergio_fajardo","@sergio_fajardo")</f>
        <v>@sergio_fajardo</v>
      </c>
      <c r="C3581" s="5" t="s">
        <v>16</v>
      </c>
      <c r="D3581" s="5" t="s">
        <v>3602</v>
      </c>
      <c r="E3581" s="6" t="str">
        <f>HYPERLINK("https://twitter.com/sergio_fajardo/status/1461383730753380360","1461383730753380360")</f>
        <v>1461383730753380360</v>
      </c>
      <c r="F3581" s="7" t="s">
        <v>17</v>
      </c>
      <c r="G3581" s="7">
        <v>1599672</v>
      </c>
      <c r="H3581" s="7">
        <v>604</v>
      </c>
      <c r="I3581" s="7">
        <v>3</v>
      </c>
      <c r="J3581" s="7">
        <v>7</v>
      </c>
      <c r="K3581" s="7" t="s">
        <v>18</v>
      </c>
      <c r="L3581" s="8">
        <v>39891.213356481479</v>
      </c>
      <c r="M3581" s="9" t="s">
        <v>19</v>
      </c>
      <c r="N3581" s="9" t="s">
        <v>22</v>
      </c>
      <c r="O3581" s="6" t="str">
        <f>HYPERLINK("https://pbs.twimg.com/profile_images/1433591977631748099/wuGDIimB_normal.jpg","View")</f>
        <v>View</v>
      </c>
      <c r="P3581" s="7"/>
    </row>
    <row r="3582" spans="1:16">
      <c r="A3582" s="3">
        <v>44518.955335648148</v>
      </c>
      <c r="B3582" s="4" t="str">
        <f>HYPERLINK("https://twitter.com/sergio_fajardo","@sergio_fajardo")</f>
        <v>@sergio_fajardo</v>
      </c>
      <c r="C3582" s="5" t="s">
        <v>16</v>
      </c>
      <c r="D3582" s="5" t="s">
        <v>3603</v>
      </c>
      <c r="E3582" s="6" t="str">
        <f>HYPERLINK("https://twitter.com/sergio_fajardo/status/1461385134507282435","1461385134507282435")</f>
        <v>1461385134507282435</v>
      </c>
      <c r="F3582" s="7" t="s">
        <v>17</v>
      </c>
      <c r="G3582" s="7">
        <v>1599672</v>
      </c>
      <c r="H3582" s="7">
        <v>604</v>
      </c>
      <c r="I3582" s="7">
        <v>1</v>
      </c>
      <c r="J3582" s="7">
        <v>4</v>
      </c>
      <c r="K3582" s="7" t="s">
        <v>18</v>
      </c>
      <c r="L3582" s="8">
        <v>39891.213356481479</v>
      </c>
      <c r="M3582" s="9" t="s">
        <v>19</v>
      </c>
      <c r="N3582" s="9" t="s">
        <v>22</v>
      </c>
      <c r="O3582" s="6" t="str">
        <f>HYPERLINK("https://pbs.twimg.com/profile_images/1433591977631748099/wuGDIimB_normal.jpg","View")</f>
        <v>View</v>
      </c>
      <c r="P3582" s="7"/>
    </row>
    <row r="3583" spans="1:16">
      <c r="A3583" s="3">
        <v>44518.96912037037</v>
      </c>
      <c r="B3583" s="4" t="str">
        <f>HYPERLINK("https://twitter.com/sergio_fajardo","@sergio_fajardo")</f>
        <v>@sergio_fajardo</v>
      </c>
      <c r="C3583" s="5" t="s">
        <v>16</v>
      </c>
      <c r="D3583" s="5" t="s">
        <v>3604</v>
      </c>
      <c r="E3583" s="6" t="str">
        <f>HYPERLINK("https://twitter.com/sergio_fajardo/status/1461390129809997831","1461390129809997831")</f>
        <v>1461390129809997831</v>
      </c>
      <c r="F3583" s="7" t="s">
        <v>17</v>
      </c>
      <c r="G3583" s="7">
        <v>1599670</v>
      </c>
      <c r="H3583" s="7">
        <v>604</v>
      </c>
      <c r="I3583" s="7">
        <v>3</v>
      </c>
      <c r="J3583" s="7">
        <v>21</v>
      </c>
      <c r="K3583" s="7" t="s">
        <v>18</v>
      </c>
      <c r="L3583" s="8">
        <v>39891.213356481479</v>
      </c>
      <c r="M3583" s="9" t="s">
        <v>19</v>
      </c>
      <c r="N3583" s="9" t="s">
        <v>22</v>
      </c>
      <c r="O3583" s="6" t="str">
        <f>HYPERLINK("https://pbs.twimg.com/profile_images/1433591977631748099/wuGDIimB_normal.jpg","View")</f>
        <v>View</v>
      </c>
      <c r="P3583" s="7"/>
    </row>
    <row r="3584" spans="1:16">
      <c r="A3584" s="3">
        <v>44519.111655092594</v>
      </c>
      <c r="B3584" s="4" t="str">
        <f>HYPERLINK("https://twitter.com/sergio_fajardo","@sergio_fajardo")</f>
        <v>@sergio_fajardo</v>
      </c>
      <c r="C3584" s="5" t="s">
        <v>16</v>
      </c>
      <c r="D3584" s="5" t="s">
        <v>3605</v>
      </c>
      <c r="E3584" s="6" t="str">
        <f>HYPERLINK("https://twitter.com/sergio_fajardo/status/1461441780579250179","1461441780579250179")</f>
        <v>1461441780579250179</v>
      </c>
      <c r="F3584" s="7" t="s">
        <v>17</v>
      </c>
      <c r="G3584" s="7">
        <v>1599690</v>
      </c>
      <c r="H3584" s="7">
        <v>605</v>
      </c>
      <c r="I3584" s="7">
        <v>8</v>
      </c>
      <c r="J3584" s="7">
        <v>42</v>
      </c>
      <c r="K3584" s="7" t="s">
        <v>18</v>
      </c>
      <c r="L3584" s="8">
        <v>39891.213356481479</v>
      </c>
      <c r="M3584" s="9" t="s">
        <v>19</v>
      </c>
      <c r="N3584" s="9" t="s">
        <v>22</v>
      </c>
      <c r="O3584" s="6" t="str">
        <f>HYPERLINK("https://pbs.twimg.com/profile_images/1433591977631748099/wuGDIimB_normal.jpg","View")</f>
        <v>View</v>
      </c>
      <c r="P3584" s="7"/>
    </row>
    <row r="3585" spans="1:16">
      <c r="A3585" s="3">
        <v>44519.176527777774</v>
      </c>
      <c r="B3585" s="4" t="str">
        <f>HYPERLINK("https://twitter.com/sergio_fajardo","@sergio_fajardo")</f>
        <v>@sergio_fajardo</v>
      </c>
      <c r="C3585" s="5" t="s">
        <v>16</v>
      </c>
      <c r="D3585" s="5" t="s">
        <v>3606</v>
      </c>
      <c r="E3585" s="6" t="str">
        <f>HYPERLINK("https://twitter.com/sergio_fajardo/status/1461465290173259780","1461465290173259780")</f>
        <v>1461465290173259780</v>
      </c>
      <c r="F3585" s="7" t="s">
        <v>17</v>
      </c>
      <c r="G3585" s="7">
        <v>1599698</v>
      </c>
      <c r="H3585" s="7">
        <v>605</v>
      </c>
      <c r="I3585" s="7">
        <v>2</v>
      </c>
      <c r="J3585" s="7">
        <v>0</v>
      </c>
      <c r="K3585" s="7" t="s">
        <v>18</v>
      </c>
      <c r="L3585" s="8">
        <v>39891.213356481479</v>
      </c>
      <c r="M3585" s="9" t="s">
        <v>19</v>
      </c>
      <c r="N3585" s="9" t="s">
        <v>22</v>
      </c>
      <c r="O3585" s="6" t="str">
        <f>HYPERLINK("https://pbs.twimg.com/profile_images/1433591977631748099/wuGDIimB_normal.jpg","View")</f>
        <v>View</v>
      </c>
      <c r="P3585" s="7"/>
    </row>
    <row r="3586" spans="1:16">
      <c r="A3586" s="3">
        <v>44519.18751157407</v>
      </c>
      <c r="B3586" s="4" t="str">
        <f>HYPERLINK("https://twitter.com/sergio_fajardo","@sergio_fajardo")</f>
        <v>@sergio_fajardo</v>
      </c>
      <c r="C3586" s="5" t="s">
        <v>16</v>
      </c>
      <c r="D3586" s="5" t="s">
        <v>3607</v>
      </c>
      <c r="E3586" s="6" t="str">
        <f>HYPERLINK("https://twitter.com/sergio_fajardo/status/1461469269699350533","1461469269699350533")</f>
        <v>1461469269699350533</v>
      </c>
      <c r="F3586" s="7" t="s">
        <v>2329</v>
      </c>
      <c r="G3586" s="7">
        <v>1599698</v>
      </c>
      <c r="H3586" s="7">
        <v>605</v>
      </c>
      <c r="I3586" s="7">
        <v>0</v>
      </c>
      <c r="J3586" s="7">
        <v>6</v>
      </c>
      <c r="K3586" s="7" t="s">
        <v>18</v>
      </c>
      <c r="L3586" s="8">
        <v>39891.213356481479</v>
      </c>
      <c r="M3586" s="9" t="s">
        <v>19</v>
      </c>
      <c r="N3586" s="9" t="s">
        <v>22</v>
      </c>
      <c r="O3586" s="6" t="str">
        <f>HYPERLINK("https://pbs.twimg.com/profile_images/1433591977631748099/wuGDIimB_normal.jpg","View")</f>
        <v>View</v>
      </c>
      <c r="P3586" s="7"/>
    </row>
    <row r="3587" spans="1:16">
      <c r="A3587" s="3">
        <v>44519.517152777778</v>
      </c>
      <c r="B3587" s="4" t="str">
        <f>HYPERLINK("https://twitter.com/sergio_fajardo","@sergio_fajardo")</f>
        <v>@sergio_fajardo</v>
      </c>
      <c r="C3587" s="5" t="s">
        <v>16</v>
      </c>
      <c r="D3587" s="5" t="s">
        <v>3608</v>
      </c>
      <c r="E3587" s="6" t="str">
        <f>HYPERLINK("https://twitter.com/sergio_fajardo/status/1461588727256469511","1461588727256469511")</f>
        <v>1461588727256469511</v>
      </c>
      <c r="F3587" s="7" t="s">
        <v>17</v>
      </c>
      <c r="G3587" s="7">
        <v>1599727</v>
      </c>
      <c r="H3587" s="7">
        <v>605</v>
      </c>
      <c r="I3587" s="7">
        <v>5</v>
      </c>
      <c r="J3587" s="7">
        <v>0</v>
      </c>
      <c r="K3587" s="7" t="s">
        <v>18</v>
      </c>
      <c r="L3587" s="8">
        <v>39891.213356481479</v>
      </c>
      <c r="M3587" s="9" t="s">
        <v>19</v>
      </c>
      <c r="N3587" s="9" t="s">
        <v>22</v>
      </c>
      <c r="O3587" s="6" t="str">
        <f>HYPERLINK("https://pbs.twimg.com/profile_images/1433591977631748099/wuGDIimB_normal.jpg","View")</f>
        <v>View</v>
      </c>
      <c r="P3587" s="7"/>
    </row>
    <row r="3588" spans="1:16">
      <c r="A3588" s="3">
        <v>44519.809074074074</v>
      </c>
      <c r="B3588" s="4" t="str">
        <f>HYPERLINK("https://twitter.com/sergio_fajardo","@sergio_fajardo")</f>
        <v>@sergio_fajardo</v>
      </c>
      <c r="C3588" s="5" t="s">
        <v>16</v>
      </c>
      <c r="D3588" s="5" t="s">
        <v>3609</v>
      </c>
      <c r="E3588" s="6" t="str">
        <f>HYPERLINK("https://twitter.com/sergio_fajardo/status/1461694515111202818","1461694515111202818")</f>
        <v>1461694515111202818</v>
      </c>
      <c r="F3588" s="7" t="s">
        <v>2329</v>
      </c>
      <c r="G3588" s="7">
        <v>1599742</v>
      </c>
      <c r="H3588" s="7">
        <v>605</v>
      </c>
      <c r="I3588" s="7">
        <v>2</v>
      </c>
      <c r="J3588" s="7">
        <v>20</v>
      </c>
      <c r="K3588" s="7" t="s">
        <v>18</v>
      </c>
      <c r="L3588" s="8">
        <v>39891.213356481479</v>
      </c>
      <c r="M3588" s="9" t="s">
        <v>19</v>
      </c>
      <c r="N3588" s="9" t="s">
        <v>22</v>
      </c>
      <c r="O3588" s="6" t="str">
        <f>HYPERLINK("https://pbs.twimg.com/profile_images/1433591977631748099/wuGDIimB_normal.jpg","View")</f>
        <v>View</v>
      </c>
      <c r="P3588" s="7"/>
    </row>
    <row r="3589" spans="1:16">
      <c r="A3589" s="3">
        <v>44519.882650462961</v>
      </c>
      <c r="B3589" s="4" t="str">
        <f>HYPERLINK("https://twitter.com/sergio_fajardo","@sergio_fajardo")</f>
        <v>@sergio_fajardo</v>
      </c>
      <c r="C3589" s="5" t="s">
        <v>16</v>
      </c>
      <c r="D3589" s="5" t="s">
        <v>3610</v>
      </c>
      <c r="E3589" s="6" t="str">
        <f>HYPERLINK("https://twitter.com/sergio_fajardo/status/1461721179778166790","1461721179778166790")</f>
        <v>1461721179778166790</v>
      </c>
      <c r="F3589" s="7" t="s">
        <v>23</v>
      </c>
      <c r="G3589" s="7">
        <v>1599757</v>
      </c>
      <c r="H3589" s="7">
        <v>605</v>
      </c>
      <c r="I3589" s="7">
        <v>5</v>
      </c>
      <c r="J3589" s="7">
        <v>34</v>
      </c>
      <c r="K3589" s="7" t="s">
        <v>18</v>
      </c>
      <c r="L3589" s="8">
        <v>39891.213356481479</v>
      </c>
      <c r="M3589" s="9" t="s">
        <v>19</v>
      </c>
      <c r="N3589" s="9" t="s">
        <v>22</v>
      </c>
      <c r="O3589" s="6" t="str">
        <f>HYPERLINK("https://pbs.twimg.com/profile_images/1433591977631748099/wuGDIimB_normal.jpg","View")</f>
        <v>View</v>
      </c>
      <c r="P3589" s="7"/>
    </row>
    <row r="3590" spans="1:16">
      <c r="A3590" s="3">
        <v>44519.920752314814</v>
      </c>
      <c r="B3590" s="4" t="str">
        <f>HYPERLINK("https://twitter.com/sergio_fajardo","@sergio_fajardo")</f>
        <v>@sergio_fajardo</v>
      </c>
      <c r="C3590" s="5" t="s">
        <v>16</v>
      </c>
      <c r="D3590" s="5" t="s">
        <v>3611</v>
      </c>
      <c r="E3590" s="6" t="str">
        <f>HYPERLINK("https://twitter.com/sergio_fajardo/status/1461734986491609088","1461734986491609088")</f>
        <v>1461734986491609088</v>
      </c>
      <c r="F3590" s="7" t="s">
        <v>20</v>
      </c>
      <c r="G3590" s="7">
        <v>1599761</v>
      </c>
      <c r="H3590" s="7">
        <v>605</v>
      </c>
      <c r="I3590" s="7">
        <v>19</v>
      </c>
      <c r="J3590" s="7">
        <v>0</v>
      </c>
      <c r="K3590" s="7" t="s">
        <v>18</v>
      </c>
      <c r="L3590" s="8">
        <v>39891.213356481479</v>
      </c>
      <c r="M3590" s="9" t="s">
        <v>19</v>
      </c>
      <c r="N3590" s="9" t="s">
        <v>22</v>
      </c>
      <c r="O3590" s="6" t="str">
        <f>HYPERLINK("https://pbs.twimg.com/profile_images/1433591977631748099/wuGDIimB_normal.jpg","View")</f>
        <v>View</v>
      </c>
      <c r="P3590" s="7"/>
    </row>
    <row r="3591" spans="1:16">
      <c r="A3591" s="3">
        <v>44520.064305555556</v>
      </c>
      <c r="B3591" s="4" t="str">
        <f>HYPERLINK("https://twitter.com/sergio_fajardo","@sergio_fajardo")</f>
        <v>@sergio_fajardo</v>
      </c>
      <c r="C3591" s="5" t="s">
        <v>16</v>
      </c>
      <c r="D3591" s="5" t="s">
        <v>3612</v>
      </c>
      <c r="E3591" s="6" t="str">
        <f>HYPERLINK("https://twitter.com/sergio_fajardo/status/1461787011732414469","1461787011732414469")</f>
        <v>1461787011732414469</v>
      </c>
      <c r="F3591" s="7" t="s">
        <v>17</v>
      </c>
      <c r="G3591" s="7">
        <v>1599777</v>
      </c>
      <c r="H3591" s="7">
        <v>605</v>
      </c>
      <c r="I3591" s="7">
        <v>25</v>
      </c>
      <c r="J3591" s="7">
        <v>152</v>
      </c>
      <c r="K3591" s="7" t="s">
        <v>18</v>
      </c>
      <c r="L3591" s="8">
        <v>39891.213356481479</v>
      </c>
      <c r="M3591" s="9" t="s">
        <v>19</v>
      </c>
      <c r="N3591" s="9" t="s">
        <v>22</v>
      </c>
      <c r="O3591" s="6" t="str">
        <f>HYPERLINK("https://pbs.twimg.com/profile_images/1433591977631748099/wuGDIimB_normal.jpg","View")</f>
        <v>View</v>
      </c>
      <c r="P3591" s="7"/>
    </row>
    <row r="3592" spans="1:16">
      <c r="A3592" s="3">
        <v>44520.077708333338</v>
      </c>
      <c r="B3592" s="4" t="str">
        <f>HYPERLINK("https://twitter.com/sergio_fajardo","@sergio_fajardo")</f>
        <v>@sergio_fajardo</v>
      </c>
      <c r="C3592" s="5" t="s">
        <v>16</v>
      </c>
      <c r="D3592" s="5" t="s">
        <v>3613</v>
      </c>
      <c r="E3592" s="6" t="str">
        <f>HYPERLINK("https://twitter.com/sergio_fajardo/status/1461791868317020167","1461791868317020167")</f>
        <v>1461791868317020167</v>
      </c>
      <c r="F3592" s="7" t="s">
        <v>17</v>
      </c>
      <c r="G3592" s="7">
        <v>1599777</v>
      </c>
      <c r="H3592" s="7">
        <v>605</v>
      </c>
      <c r="I3592" s="7">
        <v>6</v>
      </c>
      <c r="J3592" s="7">
        <v>0</v>
      </c>
      <c r="K3592" s="7" t="s">
        <v>18</v>
      </c>
      <c r="L3592" s="8">
        <v>39891.213356481479</v>
      </c>
      <c r="M3592" s="9" t="s">
        <v>19</v>
      </c>
      <c r="N3592" s="9" t="s">
        <v>22</v>
      </c>
      <c r="O3592" s="6" t="str">
        <f>HYPERLINK("https://pbs.twimg.com/profile_images/1433591977631748099/wuGDIimB_normal.jpg","View")</f>
        <v>View</v>
      </c>
      <c r="P3592" s="7"/>
    </row>
    <row r="3593" spans="1:16">
      <c r="A3593" s="3">
        <v>44520.438726851848</v>
      </c>
      <c r="B3593" s="4" t="str">
        <f>HYPERLINK("https://twitter.com/sergio_fajardo","@sergio_fajardo")</f>
        <v>@sergio_fajardo</v>
      </c>
      <c r="C3593" s="5" t="s">
        <v>16</v>
      </c>
      <c r="D3593" s="5" t="s">
        <v>3614</v>
      </c>
      <c r="E3593" s="6" t="str">
        <f>HYPERLINK("https://twitter.com/sergio_fajardo/status/1461922697466757121","1461922697466757121")</f>
        <v>1461922697466757121</v>
      </c>
      <c r="F3593" s="7" t="s">
        <v>17</v>
      </c>
      <c r="G3593" s="7">
        <v>1599818</v>
      </c>
      <c r="H3593" s="7">
        <v>605</v>
      </c>
      <c r="I3593" s="7">
        <v>64</v>
      </c>
      <c r="J3593" s="7">
        <v>0</v>
      </c>
      <c r="K3593" s="7" t="s">
        <v>18</v>
      </c>
      <c r="L3593" s="8">
        <v>39891.213356481479</v>
      </c>
      <c r="M3593" s="9" t="s">
        <v>19</v>
      </c>
      <c r="N3593" s="9" t="s">
        <v>22</v>
      </c>
      <c r="O3593" s="6" t="str">
        <f>HYPERLINK("https://pbs.twimg.com/profile_images/1433591977631748099/wuGDIimB_normal.jpg","View")</f>
        <v>View</v>
      </c>
      <c r="P3593" s="7"/>
    </row>
    <row r="3594" spans="1:16">
      <c r="A3594" s="3">
        <v>44520.786365740743</v>
      </c>
      <c r="B3594" s="4" t="str">
        <f>HYPERLINK("https://twitter.com/sergio_fajardo","@sergio_fajardo")</f>
        <v>@sergio_fajardo</v>
      </c>
      <c r="C3594" s="5" t="s">
        <v>16</v>
      </c>
      <c r="D3594" s="5" t="s">
        <v>3615</v>
      </c>
      <c r="E3594" s="6" t="str">
        <f>HYPERLINK("https://twitter.com/sergio_fajardo/status/1462048674930958337","1462048674930958337")</f>
        <v>1462048674930958337</v>
      </c>
      <c r="F3594" s="7" t="s">
        <v>17</v>
      </c>
      <c r="G3594" s="7">
        <v>1599830</v>
      </c>
      <c r="H3594" s="7">
        <v>605</v>
      </c>
      <c r="I3594" s="7">
        <v>4</v>
      </c>
      <c r="J3594" s="7">
        <v>28</v>
      </c>
      <c r="K3594" s="7" t="s">
        <v>18</v>
      </c>
      <c r="L3594" s="8">
        <v>39891.213356481479</v>
      </c>
      <c r="M3594" s="9" t="s">
        <v>19</v>
      </c>
      <c r="N3594" s="9" t="s">
        <v>22</v>
      </c>
      <c r="O3594" s="6" t="str">
        <f>HYPERLINK("https://pbs.twimg.com/profile_images/1433591977631748099/wuGDIimB_normal.jpg","View")</f>
        <v>View</v>
      </c>
      <c r="P3594" s="7"/>
    </row>
    <row r="3595" spans="1:16">
      <c r="A3595" s="3">
        <v>44520.828078703707</v>
      </c>
      <c r="B3595" s="4" t="str">
        <f>HYPERLINK("https://twitter.com/sergio_fajardo","@sergio_fajardo")</f>
        <v>@sergio_fajardo</v>
      </c>
      <c r="C3595" s="5" t="s">
        <v>16</v>
      </c>
      <c r="D3595" s="5" t="s">
        <v>3616</v>
      </c>
      <c r="E3595" s="6" t="str">
        <f>HYPERLINK("https://twitter.com/sergio_fajardo/status/1462063790485295109","1462063790485295109")</f>
        <v>1462063790485295109</v>
      </c>
      <c r="F3595" s="7" t="s">
        <v>17</v>
      </c>
      <c r="G3595" s="7">
        <v>1599831</v>
      </c>
      <c r="H3595" s="7">
        <v>605</v>
      </c>
      <c r="I3595" s="7">
        <v>4</v>
      </c>
      <c r="J3595" s="7">
        <v>19</v>
      </c>
      <c r="K3595" s="7" t="s">
        <v>18</v>
      </c>
      <c r="L3595" s="8">
        <v>39891.213356481479</v>
      </c>
      <c r="M3595" s="9" t="s">
        <v>19</v>
      </c>
      <c r="N3595" s="9" t="s">
        <v>22</v>
      </c>
      <c r="O3595" s="6" t="str">
        <f>HYPERLINK("https://pbs.twimg.com/profile_images/1433591977631748099/wuGDIimB_normal.jpg","View")</f>
        <v>View</v>
      </c>
      <c r="P3595" s="7"/>
    </row>
    <row r="3596" spans="1:16">
      <c r="A3596" s="3">
        <v>44520.90143518518</v>
      </c>
      <c r="B3596" s="4" t="str">
        <f>HYPERLINK("https://twitter.com/sergio_fajardo","@sergio_fajardo")</f>
        <v>@sergio_fajardo</v>
      </c>
      <c r="C3596" s="5" t="s">
        <v>16</v>
      </c>
      <c r="D3596" s="5" t="s">
        <v>3617</v>
      </c>
      <c r="E3596" s="6" t="str">
        <f>HYPERLINK("https://twitter.com/sergio_fajardo/status/1462090374655193098","1462090374655193098")</f>
        <v>1462090374655193098</v>
      </c>
      <c r="F3596" s="7" t="s">
        <v>17</v>
      </c>
      <c r="G3596" s="7">
        <v>1599831</v>
      </c>
      <c r="H3596" s="7">
        <v>605</v>
      </c>
      <c r="I3596" s="7">
        <v>5</v>
      </c>
      <c r="J3596" s="7">
        <v>0</v>
      </c>
      <c r="K3596" s="7" t="s">
        <v>18</v>
      </c>
      <c r="L3596" s="8">
        <v>39891.213356481479</v>
      </c>
      <c r="M3596" s="9" t="s">
        <v>19</v>
      </c>
      <c r="N3596" s="9" t="s">
        <v>22</v>
      </c>
      <c r="O3596" s="6" t="str">
        <f>HYPERLINK("https://pbs.twimg.com/profile_images/1433591977631748099/wuGDIimB_normal.jpg","View")</f>
        <v>View</v>
      </c>
      <c r="P3596" s="7"/>
    </row>
    <row r="3597" spans="1:16">
      <c r="A3597" s="3">
        <v>44520.901469907403</v>
      </c>
      <c r="B3597" s="4" t="str">
        <f>HYPERLINK("https://twitter.com/sergio_fajardo","@sergio_fajardo")</f>
        <v>@sergio_fajardo</v>
      </c>
      <c r="C3597" s="5" t="s">
        <v>16</v>
      </c>
      <c r="D3597" s="5" t="s">
        <v>3618</v>
      </c>
      <c r="E3597" s="6" t="str">
        <f>HYPERLINK("https://twitter.com/sergio_fajardo/status/1462090387829493777","1462090387829493777")</f>
        <v>1462090387829493777</v>
      </c>
      <c r="F3597" s="7" t="s">
        <v>17</v>
      </c>
      <c r="G3597" s="7">
        <v>1599831</v>
      </c>
      <c r="H3597" s="7">
        <v>605</v>
      </c>
      <c r="I3597" s="7">
        <v>2</v>
      </c>
      <c r="J3597" s="7">
        <v>0</v>
      </c>
      <c r="K3597" s="7" t="s">
        <v>18</v>
      </c>
      <c r="L3597" s="8">
        <v>39891.213356481479</v>
      </c>
      <c r="M3597" s="9" t="s">
        <v>19</v>
      </c>
      <c r="N3597" s="9" t="s">
        <v>22</v>
      </c>
      <c r="O3597" s="6" t="str">
        <f>HYPERLINK("https://pbs.twimg.com/profile_images/1433591977631748099/wuGDIimB_normal.jpg","View")</f>
        <v>View</v>
      </c>
      <c r="P3597" s="7"/>
    </row>
    <row r="3598" spans="1:16">
      <c r="A3598" s="3">
        <v>44521.15626157407</v>
      </c>
      <c r="B3598" s="4" t="str">
        <f>HYPERLINK("https://twitter.com/sergio_fajardo","@sergio_fajardo")</f>
        <v>@sergio_fajardo</v>
      </c>
      <c r="C3598" s="5" t="s">
        <v>16</v>
      </c>
      <c r="D3598" s="5" t="s">
        <v>3619</v>
      </c>
      <c r="E3598" s="6" t="str">
        <f>HYPERLINK("https://twitter.com/sergio_fajardo/status/1462182722374414336","1462182722374414336")</f>
        <v>1462182722374414336</v>
      </c>
      <c r="F3598" s="7" t="s">
        <v>2329</v>
      </c>
      <c r="G3598" s="7">
        <v>1599859</v>
      </c>
      <c r="H3598" s="7">
        <v>605</v>
      </c>
      <c r="I3598" s="7">
        <v>10</v>
      </c>
      <c r="J3598" s="7">
        <v>20</v>
      </c>
      <c r="K3598" s="7" t="s">
        <v>18</v>
      </c>
      <c r="L3598" s="8">
        <v>39891.213356481479</v>
      </c>
      <c r="M3598" s="9" t="s">
        <v>19</v>
      </c>
      <c r="N3598" s="9" t="s">
        <v>22</v>
      </c>
      <c r="O3598" s="6" t="str">
        <f>HYPERLINK("https://pbs.twimg.com/profile_images/1433591977631748099/wuGDIimB_normal.jpg","View")</f>
        <v>View</v>
      </c>
      <c r="P3598" s="7"/>
    </row>
    <row r="3599" spans="1:16">
      <c r="A3599" s="3">
        <v>44521.270914351851</v>
      </c>
      <c r="B3599" s="4" t="str">
        <f>HYPERLINK("https://twitter.com/sergio_fajardo","@sergio_fajardo")</f>
        <v>@sergio_fajardo</v>
      </c>
      <c r="C3599" s="5" t="s">
        <v>16</v>
      </c>
      <c r="D3599" s="5" t="s">
        <v>3620</v>
      </c>
      <c r="E3599" s="6" t="str">
        <f>HYPERLINK("https://twitter.com/sergio_fajardo/status/1462224272328384512","1462224272328384512")</f>
        <v>1462224272328384512</v>
      </c>
      <c r="F3599" s="7" t="s">
        <v>2329</v>
      </c>
      <c r="G3599" s="7">
        <v>1599877</v>
      </c>
      <c r="H3599" s="7">
        <v>604</v>
      </c>
      <c r="I3599" s="7">
        <v>1</v>
      </c>
      <c r="J3599" s="7">
        <v>6</v>
      </c>
      <c r="K3599" s="7" t="s">
        <v>18</v>
      </c>
      <c r="L3599" s="8">
        <v>39891.213356481479</v>
      </c>
      <c r="M3599" s="9" t="s">
        <v>19</v>
      </c>
      <c r="N3599" s="9" t="s">
        <v>22</v>
      </c>
      <c r="O3599" s="6" t="str">
        <f>HYPERLINK("https://pbs.twimg.com/profile_images/1433591977631748099/wuGDIimB_normal.jpg","View")</f>
        <v>View</v>
      </c>
      <c r="P3599" s="7"/>
    </row>
    <row r="3600" spans="1:16">
      <c r="A3600" s="3">
        <v>44521.795902777776</v>
      </c>
      <c r="B3600" s="4" t="str">
        <f>HYPERLINK("https://twitter.com/sergio_fajardo","@sergio_fajardo")</f>
        <v>@sergio_fajardo</v>
      </c>
      <c r="C3600" s="5" t="s">
        <v>16</v>
      </c>
      <c r="D3600" s="5" t="s">
        <v>3621</v>
      </c>
      <c r="E3600" s="6" t="str">
        <f>HYPERLINK("https://twitter.com/sergio_fajardo/status/1462414520811413514","1462414520811413514")</f>
        <v>1462414520811413514</v>
      </c>
      <c r="F3600" s="7" t="s">
        <v>17</v>
      </c>
      <c r="G3600" s="7">
        <v>1599896</v>
      </c>
      <c r="H3600" s="7">
        <v>604</v>
      </c>
      <c r="I3600" s="7">
        <v>2</v>
      </c>
      <c r="J3600" s="7">
        <v>0</v>
      </c>
      <c r="K3600" s="7" t="s">
        <v>18</v>
      </c>
      <c r="L3600" s="8">
        <v>39891.213356481479</v>
      </c>
      <c r="M3600" s="9" t="s">
        <v>19</v>
      </c>
      <c r="N3600" s="9" t="s">
        <v>22</v>
      </c>
      <c r="O3600" s="6" t="str">
        <f>HYPERLINK("https://pbs.twimg.com/profile_images/1433591977631748099/wuGDIimB_normal.jpg","View")</f>
        <v>View</v>
      </c>
      <c r="P3600" s="7"/>
    </row>
    <row r="3601" spans="1:16">
      <c r="A3601" s="3">
        <v>44521.897349537037</v>
      </c>
      <c r="B3601" s="4" t="str">
        <f>HYPERLINK("https://twitter.com/sergio_fajardo","@sergio_fajardo")</f>
        <v>@sergio_fajardo</v>
      </c>
      <c r="C3601" s="5" t="s">
        <v>16</v>
      </c>
      <c r="D3601" s="5" t="s">
        <v>3622</v>
      </c>
      <c r="E3601" s="6" t="str">
        <f>HYPERLINK("https://twitter.com/sergio_fajardo/status/1462451283227406339","1462451283227406339")</f>
        <v>1462451283227406339</v>
      </c>
      <c r="F3601" s="7" t="s">
        <v>17</v>
      </c>
      <c r="G3601" s="7">
        <v>1599912</v>
      </c>
      <c r="H3601" s="7">
        <v>604</v>
      </c>
      <c r="I3601" s="7">
        <v>4</v>
      </c>
      <c r="J3601" s="7">
        <v>0</v>
      </c>
      <c r="K3601" s="7" t="s">
        <v>18</v>
      </c>
      <c r="L3601" s="8">
        <v>39891.213356481479</v>
      </c>
      <c r="M3601" s="9" t="s">
        <v>19</v>
      </c>
      <c r="N3601" s="9" t="s">
        <v>22</v>
      </c>
      <c r="O3601" s="6" t="str">
        <f>HYPERLINK("https://pbs.twimg.com/profile_images/1433591977631748099/wuGDIimB_normal.jpg","View")</f>
        <v>View</v>
      </c>
      <c r="P3601" s="7"/>
    </row>
    <row r="3602" spans="1:16">
      <c r="A3602" s="3">
        <v>44521.908634259264</v>
      </c>
      <c r="B3602" s="4" t="str">
        <f>HYPERLINK("https://twitter.com/sergio_fajardo","@sergio_fajardo")</f>
        <v>@sergio_fajardo</v>
      </c>
      <c r="C3602" s="5" t="s">
        <v>16</v>
      </c>
      <c r="D3602" s="5" t="s">
        <v>3623</v>
      </c>
      <c r="E3602" s="6" t="str">
        <f>HYPERLINK("https://twitter.com/sergio_fajardo/status/1462455373370212357","1462455373370212357")</f>
        <v>1462455373370212357</v>
      </c>
      <c r="F3602" s="7" t="s">
        <v>20</v>
      </c>
      <c r="G3602" s="7">
        <v>1599914</v>
      </c>
      <c r="H3602" s="7">
        <v>604</v>
      </c>
      <c r="I3602" s="7">
        <v>9</v>
      </c>
      <c r="J3602" s="7">
        <v>44</v>
      </c>
      <c r="K3602" s="7" t="s">
        <v>18</v>
      </c>
      <c r="L3602" s="8">
        <v>39891.213356481479</v>
      </c>
      <c r="M3602" s="9" t="s">
        <v>19</v>
      </c>
      <c r="N3602" s="9" t="s">
        <v>22</v>
      </c>
      <c r="O3602" s="6" t="str">
        <f>HYPERLINK("https://pbs.twimg.com/profile_images/1433591977631748099/wuGDIimB_normal.jpg","View")</f>
        <v>View</v>
      </c>
      <c r="P3602" s="7"/>
    </row>
    <row r="3603" spans="1:16">
      <c r="A3603" s="3">
        <v>44521.922175925924</v>
      </c>
      <c r="B3603" s="4" t="str">
        <f>HYPERLINK("https://twitter.com/sergio_fajardo","@sergio_fajardo")</f>
        <v>@sergio_fajardo</v>
      </c>
      <c r="C3603" s="5" t="s">
        <v>16</v>
      </c>
      <c r="D3603" s="5" t="s">
        <v>3624</v>
      </c>
      <c r="E3603" s="6" t="str">
        <f>HYPERLINK("https://twitter.com/sergio_fajardo/status/1462460280487784449","1462460280487784449")</f>
        <v>1462460280487784449</v>
      </c>
      <c r="F3603" s="7" t="s">
        <v>20</v>
      </c>
      <c r="G3603" s="7">
        <v>1599906</v>
      </c>
      <c r="H3603" s="7">
        <v>604</v>
      </c>
      <c r="I3603" s="7">
        <v>11</v>
      </c>
      <c r="J3603" s="7">
        <v>30</v>
      </c>
      <c r="K3603" s="7" t="s">
        <v>18</v>
      </c>
      <c r="L3603" s="8">
        <v>39891.213356481479</v>
      </c>
      <c r="M3603" s="9" t="s">
        <v>19</v>
      </c>
      <c r="N3603" s="9" t="s">
        <v>22</v>
      </c>
      <c r="O3603" s="6" t="str">
        <f>HYPERLINK("https://pbs.twimg.com/profile_images/1433591977631748099/wuGDIimB_normal.jpg","View")</f>
        <v>View</v>
      </c>
      <c r="P3603" s="7"/>
    </row>
    <row r="3604" spans="1:16">
      <c r="A3604" s="3">
        <v>44521.933854166666</v>
      </c>
      <c r="B3604" s="4" t="str">
        <f>HYPERLINK("https://twitter.com/sergio_fajardo","@sergio_fajardo")</f>
        <v>@sergio_fajardo</v>
      </c>
      <c r="C3604" s="5" t="s">
        <v>16</v>
      </c>
      <c r="D3604" s="5" t="s">
        <v>3625</v>
      </c>
      <c r="E3604" s="6" t="str">
        <f>HYPERLINK("https://twitter.com/sergio_fajardo/status/1462464509881241609","1462464509881241609")</f>
        <v>1462464509881241609</v>
      </c>
      <c r="F3604" s="7" t="s">
        <v>20</v>
      </c>
      <c r="G3604" s="7">
        <v>1599906</v>
      </c>
      <c r="H3604" s="7">
        <v>604</v>
      </c>
      <c r="I3604" s="7">
        <v>6</v>
      </c>
      <c r="J3604" s="7">
        <v>0</v>
      </c>
      <c r="K3604" s="7" t="s">
        <v>18</v>
      </c>
      <c r="L3604" s="8">
        <v>39891.213356481479</v>
      </c>
      <c r="M3604" s="9" t="s">
        <v>19</v>
      </c>
      <c r="N3604" s="9" t="s">
        <v>22</v>
      </c>
      <c r="O3604" s="6" t="str">
        <f>HYPERLINK("https://pbs.twimg.com/profile_images/1433591977631748099/wuGDIimB_normal.jpg","View")</f>
        <v>View</v>
      </c>
      <c r="P3604" s="7"/>
    </row>
    <row r="3605" spans="1:16">
      <c r="A3605" s="3">
        <v>44521.934178240743</v>
      </c>
      <c r="B3605" s="4" t="str">
        <f>HYPERLINK("https://twitter.com/sergio_fajardo","@sergio_fajardo")</f>
        <v>@sergio_fajardo</v>
      </c>
      <c r="C3605" s="5" t="s">
        <v>16</v>
      </c>
      <c r="D3605" s="5" t="s">
        <v>3626</v>
      </c>
      <c r="E3605" s="6" t="str">
        <f>HYPERLINK("https://twitter.com/sergio_fajardo/status/1462464630534586369","1462464630534586369")</f>
        <v>1462464630534586369</v>
      </c>
      <c r="F3605" s="7" t="s">
        <v>20</v>
      </c>
      <c r="G3605" s="7">
        <v>1599906</v>
      </c>
      <c r="H3605" s="7">
        <v>604</v>
      </c>
      <c r="I3605" s="7">
        <v>6</v>
      </c>
      <c r="J3605" s="7">
        <v>0</v>
      </c>
      <c r="K3605" s="7" t="s">
        <v>18</v>
      </c>
      <c r="L3605" s="8">
        <v>39891.213356481479</v>
      </c>
      <c r="M3605" s="9" t="s">
        <v>19</v>
      </c>
      <c r="N3605" s="9" t="s">
        <v>22</v>
      </c>
      <c r="O3605" s="6" t="str">
        <f>HYPERLINK("https://pbs.twimg.com/profile_images/1433591977631748099/wuGDIimB_normal.jpg","View")</f>
        <v>View</v>
      </c>
      <c r="P3605" s="7"/>
    </row>
    <row r="3606" spans="1:16">
      <c r="A3606" s="3">
        <v>44521.958865740744</v>
      </c>
      <c r="B3606" s="4" t="str">
        <f>HYPERLINK("https://twitter.com/sergio_fajardo","@sergio_fajardo")</f>
        <v>@sergio_fajardo</v>
      </c>
      <c r="C3606" s="5" t="s">
        <v>16</v>
      </c>
      <c r="D3606" s="5" t="s">
        <v>3627</v>
      </c>
      <c r="E3606" s="6" t="str">
        <f>HYPERLINK("https://twitter.com/sergio_fajardo/status/1462473574523023366","1462473574523023366")</f>
        <v>1462473574523023366</v>
      </c>
      <c r="F3606" s="7" t="s">
        <v>20</v>
      </c>
      <c r="G3606" s="7">
        <v>1599908</v>
      </c>
      <c r="H3606" s="7">
        <v>604</v>
      </c>
      <c r="I3606" s="7">
        <v>1</v>
      </c>
      <c r="J3606" s="7">
        <v>3</v>
      </c>
      <c r="K3606" s="7" t="s">
        <v>18</v>
      </c>
      <c r="L3606" s="8">
        <v>39891.213356481479</v>
      </c>
      <c r="M3606" s="9" t="s">
        <v>19</v>
      </c>
      <c r="N3606" s="9" t="s">
        <v>22</v>
      </c>
      <c r="O3606" s="6" t="str">
        <f>HYPERLINK("https://pbs.twimg.com/profile_images/1433591977631748099/wuGDIimB_normal.jpg","View")</f>
        <v>View</v>
      </c>
      <c r="P3606" s="7"/>
    </row>
    <row r="3607" spans="1:16">
      <c r="A3607" s="3">
        <v>44521.970162037032</v>
      </c>
      <c r="B3607" s="4" t="str">
        <f>HYPERLINK("https://twitter.com/sergio_fajardo","@sergio_fajardo")</f>
        <v>@sergio_fajardo</v>
      </c>
      <c r="C3607" s="5" t="s">
        <v>16</v>
      </c>
      <c r="D3607" s="5" t="s">
        <v>3628</v>
      </c>
      <c r="E3607" s="6" t="str">
        <f>HYPERLINK("https://twitter.com/sergio_fajardo/status/1462477669040369666","1462477669040369666")</f>
        <v>1462477669040369666</v>
      </c>
      <c r="F3607" s="7" t="s">
        <v>20</v>
      </c>
      <c r="G3607" s="7">
        <v>1599908</v>
      </c>
      <c r="H3607" s="7">
        <v>604</v>
      </c>
      <c r="I3607" s="7">
        <v>4</v>
      </c>
      <c r="J3607" s="7">
        <v>29</v>
      </c>
      <c r="K3607" s="7" t="s">
        <v>18</v>
      </c>
      <c r="L3607" s="8">
        <v>39891.213356481479</v>
      </c>
      <c r="M3607" s="9" t="s">
        <v>19</v>
      </c>
      <c r="N3607" s="9" t="s">
        <v>22</v>
      </c>
      <c r="O3607" s="6" t="str">
        <f>HYPERLINK("https://pbs.twimg.com/profile_images/1433591977631748099/wuGDIimB_normal.jpg","View")</f>
        <v>View</v>
      </c>
      <c r="P3607" s="7"/>
    </row>
    <row r="3608" spans="1:16">
      <c r="A3608" s="3">
        <v>44521.985995370371</v>
      </c>
      <c r="B3608" s="4" t="str">
        <f>HYPERLINK("https://twitter.com/sergio_fajardo","@sergio_fajardo")</f>
        <v>@sergio_fajardo</v>
      </c>
      <c r="C3608" s="5" t="s">
        <v>16</v>
      </c>
      <c r="D3608" s="5" t="s">
        <v>3629</v>
      </c>
      <c r="E3608" s="6" t="str">
        <f>HYPERLINK("https://twitter.com/sergio_fajardo/status/1462483408039337986","1462483408039337986")</f>
        <v>1462483408039337986</v>
      </c>
      <c r="F3608" s="7" t="s">
        <v>20</v>
      </c>
      <c r="G3608" s="7">
        <v>1599913</v>
      </c>
      <c r="H3608" s="7">
        <v>604</v>
      </c>
      <c r="I3608" s="7">
        <v>4</v>
      </c>
      <c r="J3608" s="7">
        <v>32</v>
      </c>
      <c r="K3608" s="7" t="s">
        <v>18</v>
      </c>
      <c r="L3608" s="8">
        <v>39891.213356481479</v>
      </c>
      <c r="M3608" s="9" t="s">
        <v>19</v>
      </c>
      <c r="N3608" s="9" t="s">
        <v>22</v>
      </c>
      <c r="O3608" s="6" t="str">
        <f>HYPERLINK("https://pbs.twimg.com/profile_images/1433591977631748099/wuGDIimB_normal.jpg","View")</f>
        <v>View</v>
      </c>
      <c r="P3608" s="7"/>
    </row>
    <row r="3609" spans="1:16">
      <c r="A3609" s="3">
        <v>44522.003761574073</v>
      </c>
      <c r="B3609" s="4" t="str">
        <f>HYPERLINK("https://twitter.com/sergio_fajardo","@sergio_fajardo")</f>
        <v>@sergio_fajardo</v>
      </c>
      <c r="C3609" s="5" t="s">
        <v>16</v>
      </c>
      <c r="D3609" s="5" t="s">
        <v>3630</v>
      </c>
      <c r="E3609" s="6" t="str">
        <f>HYPERLINK("https://twitter.com/sergio_fajardo/status/1462489844312162314","1462489844312162314")</f>
        <v>1462489844312162314</v>
      </c>
      <c r="F3609" s="7" t="s">
        <v>20</v>
      </c>
      <c r="G3609" s="7">
        <v>1599903</v>
      </c>
      <c r="H3609" s="7">
        <v>604</v>
      </c>
      <c r="I3609" s="7">
        <v>8</v>
      </c>
      <c r="J3609" s="7">
        <v>0</v>
      </c>
      <c r="K3609" s="7" t="s">
        <v>18</v>
      </c>
      <c r="L3609" s="8">
        <v>39891.213356481479</v>
      </c>
      <c r="M3609" s="9" t="s">
        <v>19</v>
      </c>
      <c r="N3609" s="9" t="s">
        <v>22</v>
      </c>
      <c r="O3609" s="6" t="str">
        <f>HYPERLINK("https://pbs.twimg.com/profile_images/1433591977631748099/wuGDIimB_normal.jpg","View")</f>
        <v>View</v>
      </c>
      <c r="P3609" s="7"/>
    </row>
    <row r="3610" spans="1:16">
      <c r="A3610" s="3">
        <v>44522.006979166668</v>
      </c>
      <c r="B3610" s="4" t="str">
        <f>HYPERLINK("https://twitter.com/sergio_fajardo","@sergio_fajardo")</f>
        <v>@sergio_fajardo</v>
      </c>
      <c r="C3610" s="5" t="s">
        <v>16</v>
      </c>
      <c r="D3610" s="5" t="s">
        <v>3631</v>
      </c>
      <c r="E3610" s="6" t="str">
        <f>HYPERLINK("https://twitter.com/sergio_fajardo/status/1462491010253017092","1462491010253017092")</f>
        <v>1462491010253017092</v>
      </c>
      <c r="F3610" s="7" t="s">
        <v>17</v>
      </c>
      <c r="G3610" s="7">
        <v>1599903</v>
      </c>
      <c r="H3610" s="7">
        <v>604</v>
      </c>
      <c r="I3610" s="7">
        <v>5</v>
      </c>
      <c r="J3610" s="7">
        <v>0</v>
      </c>
      <c r="K3610" s="7" t="s">
        <v>18</v>
      </c>
      <c r="L3610" s="8">
        <v>39891.213356481479</v>
      </c>
      <c r="M3610" s="9" t="s">
        <v>19</v>
      </c>
      <c r="N3610" s="9" t="s">
        <v>22</v>
      </c>
      <c r="O3610" s="6" t="str">
        <f>HYPERLINK("https://pbs.twimg.com/profile_images/1433591977631748099/wuGDIimB_normal.jpg","View")</f>
        <v>View</v>
      </c>
      <c r="P3610" s="7"/>
    </row>
    <row r="3611" spans="1:16">
      <c r="A3611" s="3">
        <v>44522.069328703699</v>
      </c>
      <c r="B3611" s="4" t="str">
        <f>HYPERLINK("https://twitter.com/sergio_fajardo","@sergio_fajardo")</f>
        <v>@sergio_fajardo</v>
      </c>
      <c r="C3611" s="5" t="s">
        <v>16</v>
      </c>
      <c r="D3611" s="5" t="s">
        <v>3632</v>
      </c>
      <c r="E3611" s="6" t="str">
        <f>HYPERLINK("https://twitter.com/sergio_fajardo/status/1462513607103717382","1462513607103717382")</f>
        <v>1462513607103717382</v>
      </c>
      <c r="F3611" s="7" t="s">
        <v>20</v>
      </c>
      <c r="G3611" s="7">
        <v>1599911</v>
      </c>
      <c r="H3611" s="7">
        <v>604</v>
      </c>
      <c r="I3611" s="7">
        <v>4</v>
      </c>
      <c r="J3611" s="7">
        <v>0</v>
      </c>
      <c r="K3611" s="7" t="s">
        <v>18</v>
      </c>
      <c r="L3611" s="8">
        <v>39891.213356481479</v>
      </c>
      <c r="M3611" s="9" t="s">
        <v>19</v>
      </c>
      <c r="N3611" s="9" t="s">
        <v>22</v>
      </c>
      <c r="O3611" s="6" t="str">
        <f>HYPERLINK("https://pbs.twimg.com/profile_images/1433591977631748099/wuGDIimB_normal.jpg","View")</f>
        <v>View</v>
      </c>
      <c r="P3611" s="7"/>
    </row>
    <row r="3612" spans="1:16">
      <c r="A3612" s="3">
        <v>44522.090902777782</v>
      </c>
      <c r="B3612" s="4" t="str">
        <f>HYPERLINK("https://twitter.com/sergio_fajardo","@sergio_fajardo")</f>
        <v>@sergio_fajardo</v>
      </c>
      <c r="C3612" s="5" t="s">
        <v>16</v>
      </c>
      <c r="D3612" s="5" t="s">
        <v>3633</v>
      </c>
      <c r="E3612" s="6" t="str">
        <f>HYPERLINK("https://twitter.com/sergio_fajardo/status/1462521423252099080","1462521423252099080")</f>
        <v>1462521423252099080</v>
      </c>
      <c r="F3612" s="7" t="s">
        <v>20</v>
      </c>
      <c r="G3612" s="7">
        <v>1599907</v>
      </c>
      <c r="H3612" s="7">
        <v>604</v>
      </c>
      <c r="I3612" s="7">
        <v>3</v>
      </c>
      <c r="J3612" s="7">
        <v>31</v>
      </c>
      <c r="K3612" s="7" t="s">
        <v>18</v>
      </c>
      <c r="L3612" s="8">
        <v>39891.213356481479</v>
      </c>
      <c r="M3612" s="9" t="s">
        <v>19</v>
      </c>
      <c r="N3612" s="9" t="s">
        <v>22</v>
      </c>
      <c r="O3612" s="6" t="str">
        <f>HYPERLINK("https://pbs.twimg.com/profile_images/1433591977631748099/wuGDIimB_normal.jpg","View")</f>
        <v>View</v>
      </c>
      <c r="P3612" s="7"/>
    </row>
    <row r="3613" spans="1:16">
      <c r="A3613" s="3">
        <v>44522.15792824074</v>
      </c>
      <c r="B3613" s="4" t="str">
        <f>HYPERLINK("https://twitter.com/sergio_fajardo","@sergio_fajardo")</f>
        <v>@sergio_fajardo</v>
      </c>
      <c r="C3613" s="5" t="s">
        <v>16</v>
      </c>
      <c r="D3613" s="5" t="s">
        <v>3634</v>
      </c>
      <c r="E3613" s="6" t="str">
        <f>HYPERLINK("https://twitter.com/sergio_fajardo/status/1462545714765234177","1462545714765234177")</f>
        <v>1462545714765234177</v>
      </c>
      <c r="F3613" s="7" t="s">
        <v>2329</v>
      </c>
      <c r="G3613" s="7">
        <v>1599908</v>
      </c>
      <c r="H3613" s="7">
        <v>604</v>
      </c>
      <c r="I3613" s="7">
        <v>13</v>
      </c>
      <c r="J3613" s="7">
        <v>36</v>
      </c>
      <c r="K3613" s="7" t="s">
        <v>18</v>
      </c>
      <c r="L3613" s="8">
        <v>39891.213356481479</v>
      </c>
      <c r="M3613" s="9" t="s">
        <v>19</v>
      </c>
      <c r="N3613" s="9" t="s">
        <v>22</v>
      </c>
      <c r="O3613" s="6" t="str">
        <f>HYPERLINK("https://pbs.twimg.com/profile_images/1433591977631748099/wuGDIimB_normal.jpg","View")</f>
        <v>View</v>
      </c>
      <c r="P3613" s="7"/>
    </row>
    <row r="3614" spans="1:16">
      <c r="A3614" s="3">
        <v>44522.19594907407</v>
      </c>
      <c r="B3614" s="4" t="str">
        <f>HYPERLINK("https://twitter.com/sergio_fajardo","@sergio_fajardo")</f>
        <v>@sergio_fajardo</v>
      </c>
      <c r="C3614" s="5" t="s">
        <v>16</v>
      </c>
      <c r="D3614" s="5" t="s">
        <v>3635</v>
      </c>
      <c r="E3614" s="6" t="str">
        <f>HYPERLINK("https://twitter.com/sergio_fajardo/status/1462559491782844416","1462559491782844416")</f>
        <v>1462559491782844416</v>
      </c>
      <c r="F3614" s="7" t="s">
        <v>17</v>
      </c>
      <c r="G3614" s="7">
        <v>1599914</v>
      </c>
      <c r="H3614" s="7">
        <v>604</v>
      </c>
      <c r="I3614" s="7">
        <v>5</v>
      </c>
      <c r="J3614" s="7">
        <v>0</v>
      </c>
      <c r="K3614" s="7" t="s">
        <v>18</v>
      </c>
      <c r="L3614" s="8">
        <v>39891.213356481479</v>
      </c>
      <c r="M3614" s="9" t="s">
        <v>19</v>
      </c>
      <c r="N3614" s="9" t="s">
        <v>22</v>
      </c>
      <c r="O3614" s="6" t="str">
        <f>HYPERLINK("https://pbs.twimg.com/profile_images/1433591977631748099/wuGDIimB_normal.jpg","View")</f>
        <v>View</v>
      </c>
      <c r="P3614" s="7"/>
    </row>
    <row r="3615" spans="1:16">
      <c r="A3615" s="3">
        <v>44522.196180555555</v>
      </c>
      <c r="B3615" s="4" t="str">
        <f>HYPERLINK("https://twitter.com/sergio_fajardo","@sergio_fajardo")</f>
        <v>@sergio_fajardo</v>
      </c>
      <c r="C3615" s="5" t="s">
        <v>16</v>
      </c>
      <c r="D3615" s="5" t="s">
        <v>3636</v>
      </c>
      <c r="E3615" s="6" t="str">
        <f>HYPERLINK("https://twitter.com/sergio_fajardo/status/1462559576465756163","1462559576465756163")</f>
        <v>1462559576465756163</v>
      </c>
      <c r="F3615" s="7" t="s">
        <v>17</v>
      </c>
      <c r="G3615" s="7">
        <v>1599914</v>
      </c>
      <c r="H3615" s="7">
        <v>604</v>
      </c>
      <c r="I3615" s="7">
        <v>6</v>
      </c>
      <c r="J3615" s="7">
        <v>0</v>
      </c>
      <c r="K3615" s="7" t="s">
        <v>18</v>
      </c>
      <c r="L3615" s="8">
        <v>39891.213356481479</v>
      </c>
      <c r="M3615" s="9" t="s">
        <v>19</v>
      </c>
      <c r="N3615" s="9" t="s">
        <v>22</v>
      </c>
      <c r="O3615" s="6" t="str">
        <f>HYPERLINK("https://pbs.twimg.com/profile_images/1433591977631748099/wuGDIimB_normal.jpg","View")</f>
        <v>View</v>
      </c>
      <c r="P3615" s="7"/>
    </row>
    <row r="3616" spans="1:16">
      <c r="A3616" s="3">
        <v>44522.268090277779</v>
      </c>
      <c r="B3616" s="4" t="str">
        <f>HYPERLINK("https://twitter.com/sergio_fajardo","@sergio_fajardo")</f>
        <v>@sergio_fajardo</v>
      </c>
      <c r="C3616" s="5" t="s">
        <v>16</v>
      </c>
      <c r="D3616" s="5" t="s">
        <v>3637</v>
      </c>
      <c r="E3616" s="6" t="str">
        <f>HYPERLINK("https://twitter.com/sergio_fajardo/status/1462585632941756422","1462585632941756422")</f>
        <v>1462585632941756422</v>
      </c>
      <c r="F3616" s="7" t="s">
        <v>17</v>
      </c>
      <c r="G3616" s="7">
        <v>1599925</v>
      </c>
      <c r="H3616" s="7">
        <v>604</v>
      </c>
      <c r="I3616" s="7">
        <v>2</v>
      </c>
      <c r="J3616" s="7">
        <v>0</v>
      </c>
      <c r="K3616" s="7" t="s">
        <v>18</v>
      </c>
      <c r="L3616" s="8">
        <v>39891.213356481479</v>
      </c>
      <c r="M3616" s="9" t="s">
        <v>19</v>
      </c>
      <c r="N3616" s="9" t="s">
        <v>22</v>
      </c>
      <c r="O3616" s="6" t="str">
        <f>HYPERLINK("https://pbs.twimg.com/profile_images/1433591977631748099/wuGDIimB_normal.jpg","View")</f>
        <v>View</v>
      </c>
      <c r="P3616" s="7"/>
    </row>
    <row r="3617" spans="1:16">
      <c r="A3617" s="3">
        <v>44522.268148148149</v>
      </c>
      <c r="B3617" s="4" t="str">
        <f>HYPERLINK("https://twitter.com/sergio_fajardo","@sergio_fajardo")</f>
        <v>@sergio_fajardo</v>
      </c>
      <c r="C3617" s="5" t="s">
        <v>16</v>
      </c>
      <c r="D3617" s="5" t="s">
        <v>3638</v>
      </c>
      <c r="E3617" s="6" t="str">
        <f>HYPERLINK("https://twitter.com/sergio_fajardo/status/1462585654559141896","1462585654559141896")</f>
        <v>1462585654559141896</v>
      </c>
      <c r="F3617" s="7" t="s">
        <v>17</v>
      </c>
      <c r="G3617" s="7">
        <v>1599925</v>
      </c>
      <c r="H3617" s="7">
        <v>604</v>
      </c>
      <c r="I3617" s="7">
        <v>1</v>
      </c>
      <c r="J3617" s="7">
        <v>0</v>
      </c>
      <c r="K3617" s="7" t="s">
        <v>18</v>
      </c>
      <c r="L3617" s="8">
        <v>39891.213356481479</v>
      </c>
      <c r="M3617" s="9" t="s">
        <v>19</v>
      </c>
      <c r="N3617" s="9" t="s">
        <v>22</v>
      </c>
      <c r="O3617" s="6" t="str">
        <f>HYPERLINK("https://pbs.twimg.com/profile_images/1433591977631748099/wuGDIimB_normal.jpg","View")</f>
        <v>View</v>
      </c>
      <c r="P3617" s="7"/>
    </row>
    <row r="3618" spans="1:16">
      <c r="A3618" s="3">
        <v>44522.297349537039</v>
      </c>
      <c r="B3618" s="4" t="str">
        <f>HYPERLINK("https://twitter.com/sergio_fajardo","@sergio_fajardo")</f>
        <v>@sergio_fajardo</v>
      </c>
      <c r="C3618" s="5" t="s">
        <v>16</v>
      </c>
      <c r="D3618" s="5" t="s">
        <v>3639</v>
      </c>
      <c r="E3618" s="6" t="str">
        <f>HYPERLINK("https://twitter.com/sergio_fajardo/status/1462596239510458369","1462596239510458369")</f>
        <v>1462596239510458369</v>
      </c>
      <c r="F3618" s="7" t="s">
        <v>17</v>
      </c>
      <c r="G3618" s="7">
        <v>1599924</v>
      </c>
      <c r="H3618" s="7">
        <v>604</v>
      </c>
      <c r="I3618" s="7">
        <v>9</v>
      </c>
      <c r="J3618" s="7">
        <v>23</v>
      </c>
      <c r="K3618" s="7" t="s">
        <v>18</v>
      </c>
      <c r="L3618" s="8">
        <v>39891.213356481479</v>
      </c>
      <c r="M3618" s="9" t="s">
        <v>19</v>
      </c>
      <c r="N3618" s="9" t="s">
        <v>22</v>
      </c>
      <c r="O3618" s="6" t="str">
        <f>HYPERLINK("https://pbs.twimg.com/profile_images/1433591977631748099/wuGDIimB_normal.jpg","View")</f>
        <v>View</v>
      </c>
      <c r="P3618" s="7"/>
    </row>
    <row r="3619" spans="1:16">
      <c r="A3619" s="3">
        <v>44522.301342592589</v>
      </c>
      <c r="B3619" s="4" t="str">
        <f>HYPERLINK("https://twitter.com/sergio_fajardo","@sergio_fajardo")</f>
        <v>@sergio_fajardo</v>
      </c>
      <c r="C3619" s="5" t="s">
        <v>16</v>
      </c>
      <c r="D3619" s="5" t="s">
        <v>3640</v>
      </c>
      <c r="E3619" s="6" t="str">
        <f>HYPERLINK("https://twitter.com/sergio_fajardo/status/1462597683080802309","1462597683080802309")</f>
        <v>1462597683080802309</v>
      </c>
      <c r="F3619" s="7" t="s">
        <v>17</v>
      </c>
      <c r="G3619" s="7">
        <v>1599924</v>
      </c>
      <c r="H3619" s="7">
        <v>604</v>
      </c>
      <c r="I3619" s="7">
        <v>20</v>
      </c>
      <c r="J3619" s="7">
        <v>99</v>
      </c>
      <c r="K3619" s="7" t="s">
        <v>18</v>
      </c>
      <c r="L3619" s="8">
        <v>39891.213356481479</v>
      </c>
      <c r="M3619" s="9" t="s">
        <v>19</v>
      </c>
      <c r="N3619" s="9" t="s">
        <v>22</v>
      </c>
      <c r="O3619" s="6" t="str">
        <f>HYPERLINK("https://pbs.twimg.com/profile_images/1433591977631748099/wuGDIimB_normal.jpg","View")</f>
        <v>View</v>
      </c>
      <c r="P3619" s="7"/>
    </row>
    <row r="3620" spans="1:16">
      <c r="A3620" s="3">
        <v>44522.778923611113</v>
      </c>
      <c r="B3620" s="4" t="str">
        <f>HYPERLINK("https://twitter.com/sergio_fajardo","@sergio_fajardo")</f>
        <v>@sergio_fajardo</v>
      </c>
      <c r="C3620" s="5" t="s">
        <v>16</v>
      </c>
      <c r="D3620" s="5" t="s">
        <v>3641</v>
      </c>
      <c r="E3620" s="6" t="str">
        <f>HYPERLINK("https://twitter.com/sergio_fajardo/status/1462770752751640582","1462770752751640582")</f>
        <v>1462770752751640582</v>
      </c>
      <c r="F3620" s="7" t="s">
        <v>17</v>
      </c>
      <c r="G3620" s="7">
        <v>1599953</v>
      </c>
      <c r="H3620" s="7">
        <v>604</v>
      </c>
      <c r="I3620" s="7">
        <v>3</v>
      </c>
      <c r="J3620" s="7">
        <v>0</v>
      </c>
      <c r="K3620" s="7" t="s">
        <v>18</v>
      </c>
      <c r="L3620" s="8">
        <v>39891.213356481479</v>
      </c>
      <c r="M3620" s="9" t="s">
        <v>19</v>
      </c>
      <c r="N3620" s="9" t="s">
        <v>22</v>
      </c>
      <c r="O3620" s="6" t="str">
        <f>HYPERLINK("https://pbs.twimg.com/profile_images/1433591977631748099/wuGDIimB_normal.jpg","View")</f>
        <v>View</v>
      </c>
      <c r="P3620" s="7"/>
    </row>
    <row r="3621" spans="1:16">
      <c r="A3621" s="3">
        <v>44522.82980324074</v>
      </c>
      <c r="B3621" s="4" t="str">
        <f>HYPERLINK("https://twitter.com/sergio_fajardo","@sergio_fajardo")</f>
        <v>@sergio_fajardo</v>
      </c>
      <c r="C3621" s="5" t="s">
        <v>16</v>
      </c>
      <c r="D3621" s="5" t="s">
        <v>3642</v>
      </c>
      <c r="E3621" s="6" t="str">
        <f>HYPERLINK("https://twitter.com/sergio_fajardo/status/1462789192665255940","1462789192665255940")</f>
        <v>1462789192665255940</v>
      </c>
      <c r="F3621" s="7" t="s">
        <v>17</v>
      </c>
      <c r="G3621" s="7">
        <v>1599955</v>
      </c>
      <c r="H3621" s="7">
        <v>604</v>
      </c>
      <c r="I3621" s="7">
        <v>3</v>
      </c>
      <c r="J3621" s="7">
        <v>21</v>
      </c>
      <c r="K3621" s="7" t="s">
        <v>18</v>
      </c>
      <c r="L3621" s="8">
        <v>39891.213356481479</v>
      </c>
      <c r="M3621" s="9" t="s">
        <v>19</v>
      </c>
      <c r="N3621" s="9" t="s">
        <v>22</v>
      </c>
      <c r="O3621" s="6" t="str">
        <f>HYPERLINK("https://pbs.twimg.com/profile_images/1433591977631748099/wuGDIimB_normal.jpg","View")</f>
        <v>View</v>
      </c>
      <c r="P3621" s="7"/>
    </row>
    <row r="3622" spans="1:16">
      <c r="A3622" s="3">
        <v>44522.86146990741</v>
      </c>
      <c r="B3622" s="4" t="str">
        <f>HYPERLINK("https://twitter.com/sergio_fajardo","@sergio_fajardo")</f>
        <v>@sergio_fajardo</v>
      </c>
      <c r="C3622" s="5" t="s">
        <v>16</v>
      </c>
      <c r="D3622" s="5" t="s">
        <v>3643</v>
      </c>
      <c r="E3622" s="6" t="str">
        <f>HYPERLINK("https://twitter.com/sergio_fajardo/status/1462800667806998536","1462800667806998536")</f>
        <v>1462800667806998536</v>
      </c>
      <c r="F3622" s="7" t="s">
        <v>17</v>
      </c>
      <c r="G3622" s="7">
        <v>1599959</v>
      </c>
      <c r="H3622" s="7">
        <v>604</v>
      </c>
      <c r="I3622" s="7">
        <v>7</v>
      </c>
      <c r="J3622" s="7">
        <v>58</v>
      </c>
      <c r="K3622" s="7" t="s">
        <v>18</v>
      </c>
      <c r="L3622" s="8">
        <v>39891.213356481479</v>
      </c>
      <c r="M3622" s="9" t="s">
        <v>19</v>
      </c>
      <c r="N3622" s="9" t="s">
        <v>22</v>
      </c>
      <c r="O3622" s="6" t="str">
        <f>HYPERLINK("https://pbs.twimg.com/profile_images/1433591977631748099/wuGDIimB_normal.jpg","View")</f>
        <v>View</v>
      </c>
      <c r="P3622" s="7"/>
    </row>
    <row r="3623" spans="1:16">
      <c r="A3623" s="3">
        <v>44522.918935185182</v>
      </c>
      <c r="B3623" s="4" t="str">
        <f>HYPERLINK("https://twitter.com/sergio_fajardo","@sergio_fajardo")</f>
        <v>@sergio_fajardo</v>
      </c>
      <c r="C3623" s="5" t="s">
        <v>16</v>
      </c>
      <c r="D3623" s="5" t="s">
        <v>3644</v>
      </c>
      <c r="E3623" s="6" t="str">
        <f>HYPERLINK("https://twitter.com/sergio_fajardo/status/1462821491301666822","1462821491301666822")</f>
        <v>1462821491301666822</v>
      </c>
      <c r="F3623" s="7" t="s">
        <v>17</v>
      </c>
      <c r="G3623" s="7">
        <v>1599974</v>
      </c>
      <c r="H3623" s="7">
        <v>604</v>
      </c>
      <c r="I3623" s="7">
        <v>10</v>
      </c>
      <c r="J3623" s="7">
        <v>0</v>
      </c>
      <c r="K3623" s="7" t="s">
        <v>18</v>
      </c>
      <c r="L3623" s="8">
        <v>39891.213356481479</v>
      </c>
      <c r="M3623" s="9" t="s">
        <v>19</v>
      </c>
      <c r="N3623" s="9" t="s">
        <v>22</v>
      </c>
      <c r="O3623" s="6" t="str">
        <f>HYPERLINK("https://pbs.twimg.com/profile_images/1433591977631748099/wuGDIimB_normal.jpg","View")</f>
        <v>View</v>
      </c>
      <c r="P3623" s="7"/>
    </row>
    <row r="3624" spans="1:16">
      <c r="A3624" s="3">
        <v>44522.919131944444</v>
      </c>
      <c r="B3624" s="4" t="str">
        <f>HYPERLINK("https://twitter.com/sergio_fajardo","@sergio_fajardo")</f>
        <v>@sergio_fajardo</v>
      </c>
      <c r="C3624" s="5" t="s">
        <v>16</v>
      </c>
      <c r="D3624" s="5" t="s">
        <v>3645</v>
      </c>
      <c r="E3624" s="6" t="str">
        <f>HYPERLINK("https://twitter.com/sergio_fajardo/status/1462821564727144483","1462821564727144483")</f>
        <v>1462821564727144483</v>
      </c>
      <c r="F3624" s="7" t="s">
        <v>17</v>
      </c>
      <c r="G3624" s="7">
        <v>1599974</v>
      </c>
      <c r="H3624" s="7">
        <v>604</v>
      </c>
      <c r="I3624" s="7">
        <v>3</v>
      </c>
      <c r="J3624" s="7">
        <v>0</v>
      </c>
      <c r="K3624" s="7" t="s">
        <v>18</v>
      </c>
      <c r="L3624" s="8">
        <v>39891.213356481479</v>
      </c>
      <c r="M3624" s="9" t="s">
        <v>19</v>
      </c>
      <c r="N3624" s="9" t="s">
        <v>22</v>
      </c>
      <c r="O3624" s="6" t="str">
        <f>HYPERLINK("https://pbs.twimg.com/profile_images/1433591977631748099/wuGDIimB_normal.jpg","View")</f>
        <v>View</v>
      </c>
      <c r="P3624" s="7"/>
    </row>
    <row r="3625" spans="1:16">
      <c r="A3625" s="3">
        <v>44523.076979166668</v>
      </c>
      <c r="B3625" s="4" t="str">
        <f>HYPERLINK("https://twitter.com/sergio_fajardo","@sergio_fajardo")</f>
        <v>@sergio_fajardo</v>
      </c>
      <c r="C3625" s="5" t="s">
        <v>16</v>
      </c>
      <c r="D3625" s="5" t="s">
        <v>3646</v>
      </c>
      <c r="E3625" s="6" t="str">
        <f>HYPERLINK("https://twitter.com/sergio_fajardo/status/1462878764581408772","1462878764581408772")</f>
        <v>1462878764581408772</v>
      </c>
      <c r="F3625" s="7" t="s">
        <v>20</v>
      </c>
      <c r="G3625" s="7">
        <v>1600009</v>
      </c>
      <c r="H3625" s="7">
        <v>604</v>
      </c>
      <c r="I3625" s="7">
        <v>12</v>
      </c>
      <c r="J3625" s="7">
        <v>36</v>
      </c>
      <c r="K3625" s="7" t="s">
        <v>18</v>
      </c>
      <c r="L3625" s="8">
        <v>39891.213356481479</v>
      </c>
      <c r="M3625" s="9" t="s">
        <v>19</v>
      </c>
      <c r="N3625" s="9" t="s">
        <v>22</v>
      </c>
      <c r="O3625" s="6" t="str">
        <f>HYPERLINK("https://pbs.twimg.com/profile_images/1433591977631748099/wuGDIimB_normal.jpg","View")</f>
        <v>View</v>
      </c>
      <c r="P3625" s="7"/>
    </row>
    <row r="3626" spans="1:16">
      <c r="A3626" s="3">
        <v>44523.085775462961</v>
      </c>
      <c r="B3626" s="4" t="str">
        <f>HYPERLINK("https://twitter.com/sergio_fajardo","@sergio_fajardo")</f>
        <v>@sergio_fajardo</v>
      </c>
      <c r="C3626" s="5" t="s">
        <v>16</v>
      </c>
      <c r="D3626" s="5" t="s">
        <v>3647</v>
      </c>
      <c r="E3626" s="6" t="str">
        <f>HYPERLINK("https://twitter.com/sergio_fajardo/status/1462881955951910913","1462881955951910913")</f>
        <v>1462881955951910913</v>
      </c>
      <c r="F3626" s="7" t="s">
        <v>20</v>
      </c>
      <c r="G3626" s="7">
        <v>1600008</v>
      </c>
      <c r="H3626" s="7">
        <v>604</v>
      </c>
      <c r="I3626" s="7">
        <v>4</v>
      </c>
      <c r="J3626" s="7">
        <v>0</v>
      </c>
      <c r="K3626" s="7" t="s">
        <v>18</v>
      </c>
      <c r="L3626" s="8">
        <v>39891.213356481479</v>
      </c>
      <c r="M3626" s="9" t="s">
        <v>19</v>
      </c>
      <c r="N3626" s="9" t="s">
        <v>22</v>
      </c>
      <c r="O3626" s="6" t="str">
        <f>HYPERLINK("https://pbs.twimg.com/profile_images/1433591977631748099/wuGDIimB_normal.jpg","View")</f>
        <v>View</v>
      </c>
      <c r="P3626" s="7"/>
    </row>
    <row r="3627" spans="1:16">
      <c r="A3627" s="3">
        <v>44523.108275462961</v>
      </c>
      <c r="B3627" s="4" t="str">
        <f>HYPERLINK("https://twitter.com/sergio_fajardo","@sergio_fajardo")</f>
        <v>@sergio_fajardo</v>
      </c>
      <c r="C3627" s="5" t="s">
        <v>16</v>
      </c>
      <c r="D3627" s="5" t="s">
        <v>3648</v>
      </c>
      <c r="E3627" s="6" t="str">
        <f>HYPERLINK("https://twitter.com/sergio_fajardo/status/1462890109091594248","1462890109091594248")</f>
        <v>1462890109091594248</v>
      </c>
      <c r="F3627" s="7" t="s">
        <v>23</v>
      </c>
      <c r="G3627" s="7">
        <v>1600014</v>
      </c>
      <c r="H3627" s="7">
        <v>604</v>
      </c>
      <c r="I3627" s="7">
        <v>23</v>
      </c>
      <c r="J3627" s="7">
        <v>96</v>
      </c>
      <c r="K3627" s="7" t="s">
        <v>18</v>
      </c>
      <c r="L3627" s="8">
        <v>39891.213356481479</v>
      </c>
      <c r="M3627" s="9" t="s">
        <v>19</v>
      </c>
      <c r="N3627" s="9" t="s">
        <v>22</v>
      </c>
      <c r="O3627" s="6" t="str">
        <f>HYPERLINK("https://pbs.twimg.com/profile_images/1433591977631748099/wuGDIimB_normal.jpg","View")</f>
        <v>View</v>
      </c>
      <c r="P3627" s="7"/>
    </row>
    <row r="3628" spans="1:16">
      <c r="A3628" s="3">
        <v>44523.134756944448</v>
      </c>
      <c r="B3628" s="4" t="str">
        <f>HYPERLINK("https://twitter.com/sergio_fajardo","@sergio_fajardo")</f>
        <v>@sergio_fajardo</v>
      </c>
      <c r="C3628" s="5" t="s">
        <v>16</v>
      </c>
      <c r="D3628" s="5" t="s">
        <v>3649</v>
      </c>
      <c r="E3628" s="6" t="str">
        <f>HYPERLINK("https://twitter.com/sergio_fajardo/status/1462899704707043331","1462899704707043331")</f>
        <v>1462899704707043331</v>
      </c>
      <c r="F3628" s="7" t="s">
        <v>17</v>
      </c>
      <c r="G3628" s="7">
        <v>1600016</v>
      </c>
      <c r="H3628" s="7">
        <v>604</v>
      </c>
      <c r="I3628" s="7">
        <v>2</v>
      </c>
      <c r="J3628" s="7">
        <v>31</v>
      </c>
      <c r="K3628" s="7" t="s">
        <v>18</v>
      </c>
      <c r="L3628" s="8">
        <v>39891.213356481479</v>
      </c>
      <c r="M3628" s="9" t="s">
        <v>19</v>
      </c>
      <c r="N3628" s="9" t="s">
        <v>22</v>
      </c>
      <c r="O3628" s="6" t="str">
        <f>HYPERLINK("https://pbs.twimg.com/profile_images/1433591977631748099/wuGDIimB_normal.jpg","View")</f>
        <v>View</v>
      </c>
      <c r="P3628" s="7"/>
    </row>
    <row r="3629" spans="1:16">
      <c r="A3629" s="3">
        <v>44523.147615740745</v>
      </c>
      <c r="B3629" s="4" t="str">
        <f>HYPERLINK("https://twitter.com/sergio_fajardo","@sergio_fajardo")</f>
        <v>@sergio_fajardo</v>
      </c>
      <c r="C3629" s="5" t="s">
        <v>16</v>
      </c>
      <c r="D3629" s="5" t="s">
        <v>3650</v>
      </c>
      <c r="E3629" s="6" t="str">
        <f>HYPERLINK("https://twitter.com/sergio_fajardo/status/1462904365010857984","1462904365010857984")</f>
        <v>1462904365010857984</v>
      </c>
      <c r="F3629" s="7" t="s">
        <v>17</v>
      </c>
      <c r="G3629" s="7">
        <v>1600016</v>
      </c>
      <c r="H3629" s="7">
        <v>604</v>
      </c>
      <c r="I3629" s="7">
        <v>2</v>
      </c>
      <c r="J3629" s="7">
        <v>15</v>
      </c>
      <c r="K3629" s="7" t="s">
        <v>18</v>
      </c>
      <c r="L3629" s="8">
        <v>39891.213356481479</v>
      </c>
      <c r="M3629" s="9" t="s">
        <v>19</v>
      </c>
      <c r="N3629" s="9" t="s">
        <v>22</v>
      </c>
      <c r="O3629" s="6" t="str">
        <f>HYPERLINK("https://pbs.twimg.com/profile_images/1433591977631748099/wuGDIimB_normal.jpg","View")</f>
        <v>View</v>
      </c>
      <c r="P3629" s="7"/>
    </row>
    <row r="3630" spans="1:16">
      <c r="A3630" s="3">
        <v>44523.173437500001</v>
      </c>
      <c r="B3630" s="4" t="str">
        <f>HYPERLINK("https://twitter.com/sergio_fajardo","@sergio_fajardo")</f>
        <v>@sergio_fajardo</v>
      </c>
      <c r="C3630" s="5" t="s">
        <v>16</v>
      </c>
      <c r="D3630" s="5" t="s">
        <v>3651</v>
      </c>
      <c r="E3630" s="6" t="str">
        <f>HYPERLINK("https://twitter.com/sergio_fajardo/status/1462913722867933185","1462913722867933185")</f>
        <v>1462913722867933185</v>
      </c>
      <c r="F3630" s="7" t="s">
        <v>20</v>
      </c>
      <c r="G3630" s="7">
        <v>1600011</v>
      </c>
      <c r="H3630" s="7">
        <v>605</v>
      </c>
      <c r="I3630" s="7">
        <v>1</v>
      </c>
      <c r="J3630" s="7">
        <v>8</v>
      </c>
      <c r="K3630" s="7" t="s">
        <v>18</v>
      </c>
      <c r="L3630" s="8">
        <v>39891.213356481479</v>
      </c>
      <c r="M3630" s="9" t="s">
        <v>19</v>
      </c>
      <c r="N3630" s="9" t="s">
        <v>22</v>
      </c>
      <c r="O3630" s="6" t="str">
        <f>HYPERLINK("https://pbs.twimg.com/profile_images/1433591977631748099/wuGDIimB_normal.jpg","View")</f>
        <v>View</v>
      </c>
      <c r="P3630" s="7"/>
    </row>
    <row r="3631" spans="1:16">
      <c r="A3631" s="3">
        <v>44523.174537037034</v>
      </c>
      <c r="B3631" s="4" t="str">
        <f>HYPERLINK("https://twitter.com/sergio_fajardo","@sergio_fajardo")</f>
        <v>@sergio_fajardo</v>
      </c>
      <c r="C3631" s="5" t="s">
        <v>16</v>
      </c>
      <c r="D3631" s="5" t="s">
        <v>3652</v>
      </c>
      <c r="E3631" s="6" t="str">
        <f>HYPERLINK("https://twitter.com/sergio_fajardo/status/1462914119607144449","1462914119607144449")</f>
        <v>1462914119607144449</v>
      </c>
      <c r="F3631" s="7" t="s">
        <v>20</v>
      </c>
      <c r="G3631" s="7">
        <v>1600011</v>
      </c>
      <c r="H3631" s="7">
        <v>605</v>
      </c>
      <c r="I3631" s="7">
        <v>2</v>
      </c>
      <c r="J3631" s="7">
        <v>0</v>
      </c>
      <c r="K3631" s="7" t="s">
        <v>18</v>
      </c>
      <c r="L3631" s="8">
        <v>39891.213356481479</v>
      </c>
      <c r="M3631" s="9" t="s">
        <v>19</v>
      </c>
      <c r="N3631" s="9" t="s">
        <v>22</v>
      </c>
      <c r="O3631" s="6" t="str">
        <f>HYPERLINK("https://pbs.twimg.com/profile_images/1433591977631748099/wuGDIimB_normal.jpg","View")</f>
        <v>View</v>
      </c>
      <c r="P3631" s="7"/>
    </row>
    <row r="3632" spans="1:16">
      <c r="A3632" s="3">
        <v>44523.175439814819</v>
      </c>
      <c r="B3632" s="4" t="str">
        <f>HYPERLINK("https://twitter.com/sergio_fajardo","@sergio_fajardo")</f>
        <v>@sergio_fajardo</v>
      </c>
      <c r="C3632" s="5" t="s">
        <v>16</v>
      </c>
      <c r="D3632" s="5" t="s">
        <v>3653</v>
      </c>
      <c r="E3632" s="6" t="str">
        <f>HYPERLINK("https://twitter.com/sergio_fajardo/status/1462914445580152848","1462914445580152848")</f>
        <v>1462914445580152848</v>
      </c>
      <c r="F3632" s="7" t="s">
        <v>17</v>
      </c>
      <c r="G3632" s="7">
        <v>1600011</v>
      </c>
      <c r="H3632" s="7">
        <v>605</v>
      </c>
      <c r="I3632" s="7">
        <v>1</v>
      </c>
      <c r="J3632" s="7">
        <v>14</v>
      </c>
      <c r="K3632" s="7" t="s">
        <v>18</v>
      </c>
      <c r="L3632" s="8">
        <v>39891.213356481479</v>
      </c>
      <c r="M3632" s="9" t="s">
        <v>19</v>
      </c>
      <c r="N3632" s="9" t="s">
        <v>22</v>
      </c>
      <c r="O3632" s="6" t="str">
        <f>HYPERLINK("https://pbs.twimg.com/profile_images/1433591977631748099/wuGDIimB_normal.jpg","View")</f>
        <v>View</v>
      </c>
      <c r="P3632" s="7"/>
    </row>
    <row r="3633" spans="1:16">
      <c r="A3633" s="3">
        <v>44523.176134259258</v>
      </c>
      <c r="B3633" s="4" t="str">
        <f>HYPERLINK("https://twitter.com/sergio_fajardo","@sergio_fajardo")</f>
        <v>@sergio_fajardo</v>
      </c>
      <c r="C3633" s="5" t="s">
        <v>16</v>
      </c>
      <c r="D3633" s="5" t="s">
        <v>3654</v>
      </c>
      <c r="E3633" s="6" t="str">
        <f>HYPERLINK("https://twitter.com/sergio_fajardo/status/1462914697695485952","1462914697695485952")</f>
        <v>1462914697695485952</v>
      </c>
      <c r="F3633" s="7" t="s">
        <v>17</v>
      </c>
      <c r="G3633" s="7">
        <v>1600011</v>
      </c>
      <c r="H3633" s="7">
        <v>605</v>
      </c>
      <c r="I3633" s="7">
        <v>4</v>
      </c>
      <c r="J3633" s="7">
        <v>0</v>
      </c>
      <c r="K3633" s="7" t="s">
        <v>18</v>
      </c>
      <c r="L3633" s="8">
        <v>39891.213356481479</v>
      </c>
      <c r="M3633" s="9" t="s">
        <v>19</v>
      </c>
      <c r="N3633" s="9" t="s">
        <v>22</v>
      </c>
      <c r="O3633" s="6" t="str">
        <f>HYPERLINK("https://pbs.twimg.com/profile_images/1433591977631748099/wuGDIimB_normal.jpg","View")</f>
        <v>View</v>
      </c>
      <c r="P3633" s="7"/>
    </row>
    <row r="3634" spans="1:16">
      <c r="A3634" s="3">
        <v>44523.187083333338</v>
      </c>
      <c r="B3634" s="4" t="str">
        <f>HYPERLINK("https://twitter.com/sergio_fajardo","@sergio_fajardo")</f>
        <v>@sergio_fajardo</v>
      </c>
      <c r="C3634" s="5" t="s">
        <v>16</v>
      </c>
      <c r="D3634" s="5" t="s">
        <v>3655</v>
      </c>
      <c r="E3634" s="6" t="str">
        <f>HYPERLINK("https://twitter.com/sergio_fajardo/status/1462918667637829637","1462918667637829637")</f>
        <v>1462918667637829637</v>
      </c>
      <c r="F3634" s="7" t="s">
        <v>20</v>
      </c>
      <c r="G3634" s="7">
        <v>1600011</v>
      </c>
      <c r="H3634" s="7">
        <v>605</v>
      </c>
      <c r="I3634" s="7">
        <v>2</v>
      </c>
      <c r="J3634" s="7">
        <v>0</v>
      </c>
      <c r="K3634" s="7" t="s">
        <v>18</v>
      </c>
      <c r="L3634" s="8">
        <v>39891.213356481479</v>
      </c>
      <c r="M3634" s="9" t="s">
        <v>19</v>
      </c>
      <c r="N3634" s="9" t="s">
        <v>22</v>
      </c>
      <c r="O3634" s="6" t="str">
        <f>HYPERLINK("https://pbs.twimg.com/profile_images/1433591977631748099/wuGDIimB_normal.jpg","View")</f>
        <v>View</v>
      </c>
      <c r="P3634" s="7"/>
    </row>
    <row r="3635" spans="1:16">
      <c r="A3635" s="3">
        <v>44523.204363425924</v>
      </c>
      <c r="B3635" s="4" t="str">
        <f>HYPERLINK("https://twitter.com/sergio_fajardo","@sergio_fajardo")</f>
        <v>@sergio_fajardo</v>
      </c>
      <c r="C3635" s="5" t="s">
        <v>16</v>
      </c>
      <c r="D3635" s="5" t="s">
        <v>3656</v>
      </c>
      <c r="E3635" s="6" t="str">
        <f>HYPERLINK("https://twitter.com/sergio_fajardo/status/1462924929045782530","1462924929045782530")</f>
        <v>1462924929045782530</v>
      </c>
      <c r="F3635" s="7" t="s">
        <v>17</v>
      </c>
      <c r="G3635" s="7">
        <v>1600011</v>
      </c>
      <c r="H3635" s="7">
        <v>605</v>
      </c>
      <c r="I3635" s="7">
        <v>1</v>
      </c>
      <c r="J3635" s="7">
        <v>3</v>
      </c>
      <c r="K3635" s="7" t="s">
        <v>18</v>
      </c>
      <c r="L3635" s="8">
        <v>39891.213356481479</v>
      </c>
      <c r="M3635" s="9" t="s">
        <v>19</v>
      </c>
      <c r="N3635" s="9" t="s">
        <v>22</v>
      </c>
      <c r="O3635" s="6" t="str">
        <f>HYPERLINK("https://pbs.twimg.com/profile_images/1433591977631748099/wuGDIimB_normal.jpg","View")</f>
        <v>View</v>
      </c>
      <c r="P3635" s="7"/>
    </row>
    <row r="3636" spans="1:16">
      <c r="A3636" s="3">
        <v>44523.257303240738</v>
      </c>
      <c r="B3636" s="4" t="str">
        <f>HYPERLINK("https://twitter.com/sergio_fajardo","@sergio_fajardo")</f>
        <v>@sergio_fajardo</v>
      </c>
      <c r="C3636" s="5" t="s">
        <v>16</v>
      </c>
      <c r="D3636" s="5" t="s">
        <v>3657</v>
      </c>
      <c r="E3636" s="6" t="str">
        <f>HYPERLINK("https://twitter.com/sergio_fajardo/status/1462944115482636296","1462944115482636296")</f>
        <v>1462944115482636296</v>
      </c>
      <c r="F3636" s="7" t="s">
        <v>17</v>
      </c>
      <c r="G3636" s="7">
        <v>1600026</v>
      </c>
      <c r="H3636" s="7">
        <v>605</v>
      </c>
      <c r="I3636" s="7">
        <v>6</v>
      </c>
      <c r="J3636" s="7">
        <v>0</v>
      </c>
      <c r="K3636" s="7" t="s">
        <v>18</v>
      </c>
      <c r="L3636" s="8">
        <v>39891.213356481479</v>
      </c>
      <c r="M3636" s="9" t="s">
        <v>19</v>
      </c>
      <c r="N3636" s="9" t="s">
        <v>22</v>
      </c>
      <c r="O3636" s="6" t="str">
        <f>HYPERLINK("https://pbs.twimg.com/profile_images/1433591977631748099/wuGDIimB_normal.jpg","View")</f>
        <v>View</v>
      </c>
      <c r="P3636" s="7"/>
    </row>
    <row r="3637" spans="1:16">
      <c r="A3637" s="3">
        <v>44523.357673611114</v>
      </c>
      <c r="B3637" s="4" t="str">
        <f>HYPERLINK("https://twitter.com/sergio_fajardo","@sergio_fajardo")</f>
        <v>@sergio_fajardo</v>
      </c>
      <c r="C3637" s="5" t="s">
        <v>16</v>
      </c>
      <c r="D3637" s="5" t="s">
        <v>3658</v>
      </c>
      <c r="E3637" s="6" t="str">
        <f>HYPERLINK("https://twitter.com/sergio_fajardo/status/1462980486440132614","1462980486440132614")</f>
        <v>1462980486440132614</v>
      </c>
      <c r="F3637" s="7" t="s">
        <v>17</v>
      </c>
      <c r="G3637" s="7">
        <v>1600045</v>
      </c>
      <c r="H3637" s="7">
        <v>606</v>
      </c>
      <c r="I3637" s="7">
        <v>17</v>
      </c>
      <c r="J3637" s="7">
        <v>129</v>
      </c>
      <c r="K3637" s="7" t="s">
        <v>18</v>
      </c>
      <c r="L3637" s="8">
        <v>39891.213356481479</v>
      </c>
      <c r="M3637" s="9" t="s">
        <v>19</v>
      </c>
      <c r="N3637" s="9" t="s">
        <v>22</v>
      </c>
      <c r="O3637" s="6" t="str">
        <f>HYPERLINK("https://pbs.twimg.com/profile_images/1433591977631748099/wuGDIimB_normal.jpg","View")</f>
        <v>View</v>
      </c>
      <c r="P3637" s="7"/>
    </row>
    <row r="3638" spans="1:16">
      <c r="A3638" s="3">
        <v>44523.703252314815</v>
      </c>
      <c r="B3638" s="4" t="str">
        <f>HYPERLINK("https://twitter.com/sergio_fajardo","@sergio_fajardo")</f>
        <v>@sergio_fajardo</v>
      </c>
      <c r="C3638" s="5" t="s">
        <v>16</v>
      </c>
      <c r="D3638" s="5" t="s">
        <v>3659</v>
      </c>
      <c r="E3638" s="6" t="str">
        <f>HYPERLINK("https://twitter.com/sergio_fajardo/status/1463105720065445894","1463105720065445894")</f>
        <v>1463105720065445894</v>
      </c>
      <c r="F3638" s="7" t="s">
        <v>20</v>
      </c>
      <c r="G3638" s="7">
        <v>1600045</v>
      </c>
      <c r="H3638" s="7">
        <v>606</v>
      </c>
      <c r="I3638" s="7">
        <v>24</v>
      </c>
      <c r="J3638" s="7">
        <v>93</v>
      </c>
      <c r="K3638" s="7" t="s">
        <v>18</v>
      </c>
      <c r="L3638" s="8">
        <v>39891.213356481479</v>
      </c>
      <c r="M3638" s="9" t="s">
        <v>19</v>
      </c>
      <c r="N3638" s="9" t="s">
        <v>22</v>
      </c>
      <c r="O3638" s="6" t="str">
        <f>HYPERLINK("https://pbs.twimg.com/profile_images/1433591977631748099/wuGDIimB_normal.jpg","View")</f>
        <v>View</v>
      </c>
      <c r="P3638" s="7"/>
    </row>
    <row r="3639" spans="1:16">
      <c r="A3639" s="3">
        <v>44523.737800925926</v>
      </c>
      <c r="B3639" s="4" t="str">
        <f>HYPERLINK("https://twitter.com/sergio_fajardo","@sergio_fajardo")</f>
        <v>@sergio_fajardo</v>
      </c>
      <c r="C3639" s="5" t="s">
        <v>16</v>
      </c>
      <c r="D3639" s="5" t="s">
        <v>3660</v>
      </c>
      <c r="E3639" s="6" t="str">
        <f>HYPERLINK("https://twitter.com/sergio_fajardo/status/1463118241077809153","1463118241077809153")</f>
        <v>1463118241077809153</v>
      </c>
      <c r="F3639" s="7" t="s">
        <v>2329</v>
      </c>
      <c r="G3639" s="7">
        <v>1600053</v>
      </c>
      <c r="H3639" s="7">
        <v>606</v>
      </c>
      <c r="I3639" s="7">
        <v>18</v>
      </c>
      <c r="J3639" s="7">
        <v>61</v>
      </c>
      <c r="K3639" s="7" t="s">
        <v>18</v>
      </c>
      <c r="L3639" s="8">
        <v>39891.213356481479</v>
      </c>
      <c r="M3639" s="9" t="s">
        <v>19</v>
      </c>
      <c r="N3639" s="9" t="s">
        <v>22</v>
      </c>
      <c r="O3639" s="6" t="str">
        <f>HYPERLINK("https://pbs.twimg.com/profile_images/1433591977631748099/wuGDIimB_normal.jpg","View")</f>
        <v>View</v>
      </c>
      <c r="P3639" s="7"/>
    </row>
    <row r="3640" spans="1:16">
      <c r="A3640" s="3">
        <v>44523.772835648153</v>
      </c>
      <c r="B3640" s="4" t="str">
        <f>HYPERLINK("https://twitter.com/sergio_fajardo","@sergio_fajardo")</f>
        <v>@sergio_fajardo</v>
      </c>
      <c r="C3640" s="5" t="s">
        <v>16</v>
      </c>
      <c r="D3640" s="5" t="s">
        <v>3661</v>
      </c>
      <c r="E3640" s="6" t="str">
        <f>HYPERLINK("https://twitter.com/sergio_fajardo/status/1463130934992060421","1463130934992060421")</f>
        <v>1463130934992060421</v>
      </c>
      <c r="F3640" s="7" t="s">
        <v>2329</v>
      </c>
      <c r="G3640" s="7">
        <v>1600058</v>
      </c>
      <c r="H3640" s="7">
        <v>606</v>
      </c>
      <c r="I3640" s="7">
        <v>14</v>
      </c>
      <c r="J3640" s="7">
        <v>56</v>
      </c>
      <c r="K3640" s="7" t="s">
        <v>18</v>
      </c>
      <c r="L3640" s="8">
        <v>39891.213356481479</v>
      </c>
      <c r="M3640" s="9" t="s">
        <v>19</v>
      </c>
      <c r="N3640" s="9" t="s">
        <v>22</v>
      </c>
      <c r="O3640" s="6" t="str">
        <f>HYPERLINK("https://pbs.twimg.com/profile_images/1433591977631748099/wuGDIimB_normal.jpg","View")</f>
        <v>View</v>
      </c>
      <c r="P3640" s="7"/>
    </row>
    <row r="3641" spans="1:16">
      <c r="A3641" s="3">
        <v>44523.818819444445</v>
      </c>
      <c r="B3641" s="4" t="str">
        <f>HYPERLINK("https://twitter.com/sergio_fajardo","@sergio_fajardo")</f>
        <v>@sergio_fajardo</v>
      </c>
      <c r="C3641" s="5" t="s">
        <v>16</v>
      </c>
      <c r="D3641" s="5" t="s">
        <v>3662</v>
      </c>
      <c r="E3641" s="6" t="str">
        <f>HYPERLINK("https://twitter.com/sergio_fajardo/status/1463147598383136768","1463147598383136768")</f>
        <v>1463147598383136768</v>
      </c>
      <c r="F3641" s="7" t="s">
        <v>20</v>
      </c>
      <c r="G3641" s="7">
        <v>1600069</v>
      </c>
      <c r="H3641" s="7">
        <v>606</v>
      </c>
      <c r="I3641" s="7">
        <v>17</v>
      </c>
      <c r="J3641" s="7">
        <v>54</v>
      </c>
      <c r="K3641" s="7" t="s">
        <v>18</v>
      </c>
      <c r="L3641" s="8">
        <v>39891.213356481479</v>
      </c>
      <c r="M3641" s="9" t="s">
        <v>19</v>
      </c>
      <c r="N3641" s="9" t="s">
        <v>22</v>
      </c>
      <c r="O3641" s="6" t="str">
        <f>HYPERLINK("https://pbs.twimg.com/profile_images/1433591977631748099/wuGDIimB_normal.jpg","View")</f>
        <v>View</v>
      </c>
      <c r="P3641" s="7"/>
    </row>
    <row r="3642" spans="1:16">
      <c r="A3642" s="3">
        <v>44523.864490740743</v>
      </c>
      <c r="B3642" s="4" t="str">
        <f>HYPERLINK("https://twitter.com/sergio_fajardo","@sergio_fajardo")</f>
        <v>@sergio_fajardo</v>
      </c>
      <c r="C3642" s="5" t="s">
        <v>16</v>
      </c>
      <c r="D3642" s="5" t="s">
        <v>3663</v>
      </c>
      <c r="E3642" s="6" t="str">
        <f>HYPERLINK("https://twitter.com/sergio_fajardo/status/1463164152122331149","1463164152122331149")</f>
        <v>1463164152122331149</v>
      </c>
      <c r="F3642" s="7" t="s">
        <v>2329</v>
      </c>
      <c r="G3642" s="7">
        <v>1600070</v>
      </c>
      <c r="H3642" s="7">
        <v>606</v>
      </c>
      <c r="I3642" s="7">
        <v>6</v>
      </c>
      <c r="J3642" s="7">
        <v>21</v>
      </c>
      <c r="K3642" s="7" t="s">
        <v>18</v>
      </c>
      <c r="L3642" s="8">
        <v>39891.213356481479</v>
      </c>
      <c r="M3642" s="9" t="s">
        <v>19</v>
      </c>
      <c r="N3642" s="9" t="s">
        <v>22</v>
      </c>
      <c r="O3642" s="6" t="str">
        <f>HYPERLINK("https://pbs.twimg.com/profile_images/1433591977631748099/wuGDIimB_normal.jpg","View")</f>
        <v>View</v>
      </c>
      <c r="P3642" s="7"/>
    </row>
    <row r="3643" spans="1:16">
      <c r="A3643" s="3">
        <v>44523.926550925928</v>
      </c>
      <c r="B3643" s="4" t="str">
        <f>HYPERLINK("https://twitter.com/sergio_fajardo","@sergio_fajardo")</f>
        <v>@sergio_fajardo</v>
      </c>
      <c r="C3643" s="5" t="s">
        <v>16</v>
      </c>
      <c r="D3643" s="5" t="s">
        <v>3664</v>
      </c>
      <c r="E3643" s="6" t="str">
        <f>HYPERLINK("https://twitter.com/sergio_fajardo/status/1463186642701848582","1463186642701848582")</f>
        <v>1463186642701848582</v>
      </c>
      <c r="F3643" s="7" t="s">
        <v>2329</v>
      </c>
      <c r="G3643" s="7">
        <v>1600076</v>
      </c>
      <c r="H3643" s="7">
        <v>606</v>
      </c>
      <c r="I3643" s="7">
        <v>30</v>
      </c>
      <c r="J3643" s="7">
        <v>92</v>
      </c>
      <c r="K3643" s="7" t="s">
        <v>18</v>
      </c>
      <c r="L3643" s="8">
        <v>39891.213356481479</v>
      </c>
      <c r="M3643" s="9" t="s">
        <v>19</v>
      </c>
      <c r="N3643" s="9" t="s">
        <v>22</v>
      </c>
      <c r="O3643" s="6" t="str">
        <f>HYPERLINK("https://pbs.twimg.com/profile_images/1433591977631748099/wuGDIimB_normal.jpg","View")</f>
        <v>View</v>
      </c>
      <c r="P3643" s="7"/>
    </row>
    <row r="3644" spans="1:16">
      <c r="A3644" s="3">
        <v>44524.033194444448</v>
      </c>
      <c r="B3644" s="4" t="str">
        <f>HYPERLINK("https://twitter.com/sergio_fajardo","@sergio_fajardo")</f>
        <v>@sergio_fajardo</v>
      </c>
      <c r="C3644" s="5" t="s">
        <v>16</v>
      </c>
      <c r="D3644" s="5" t="s">
        <v>3665</v>
      </c>
      <c r="E3644" s="6" t="str">
        <f>HYPERLINK("https://twitter.com/sergio_fajardo/status/1463225286670049285","1463225286670049285")</f>
        <v>1463225286670049285</v>
      </c>
      <c r="F3644" s="7" t="s">
        <v>2329</v>
      </c>
      <c r="G3644" s="7">
        <v>1600075</v>
      </c>
      <c r="H3644" s="7">
        <v>606</v>
      </c>
      <c r="I3644" s="7">
        <v>5</v>
      </c>
      <c r="J3644" s="7">
        <v>23</v>
      </c>
      <c r="K3644" s="7" t="s">
        <v>18</v>
      </c>
      <c r="L3644" s="8">
        <v>39891.213356481479</v>
      </c>
      <c r="M3644" s="9" t="s">
        <v>19</v>
      </c>
      <c r="N3644" s="9" t="s">
        <v>22</v>
      </c>
      <c r="O3644" s="6" t="str">
        <f>HYPERLINK("https://pbs.twimg.com/profile_images/1433591977631748099/wuGDIimB_normal.jpg","View")</f>
        <v>View</v>
      </c>
      <c r="P3644" s="7"/>
    </row>
    <row r="3645" spans="1:16">
      <c r="A3645" s="3">
        <v>44524.062604166669</v>
      </c>
      <c r="B3645" s="4" t="str">
        <f>HYPERLINK("https://twitter.com/sergio_fajardo","@sergio_fajardo")</f>
        <v>@sergio_fajardo</v>
      </c>
      <c r="C3645" s="5" t="s">
        <v>16</v>
      </c>
      <c r="D3645" s="5" t="s">
        <v>3666</v>
      </c>
      <c r="E3645" s="6" t="str">
        <f>HYPERLINK("https://twitter.com/sergio_fajardo/status/1463235944337842176","1463235944337842176")</f>
        <v>1463235944337842176</v>
      </c>
      <c r="F3645" s="7" t="s">
        <v>2329</v>
      </c>
      <c r="G3645" s="7">
        <v>1600080</v>
      </c>
      <c r="H3645" s="7">
        <v>606</v>
      </c>
      <c r="I3645" s="7">
        <v>2</v>
      </c>
      <c r="J3645" s="7">
        <v>13</v>
      </c>
      <c r="K3645" s="7" t="s">
        <v>18</v>
      </c>
      <c r="L3645" s="8">
        <v>39891.213356481479</v>
      </c>
      <c r="M3645" s="9" t="s">
        <v>19</v>
      </c>
      <c r="N3645" s="9" t="s">
        <v>22</v>
      </c>
      <c r="O3645" s="6" t="str">
        <f>HYPERLINK("https://pbs.twimg.com/profile_images/1433591977631748099/wuGDIimB_normal.jpg","View")</f>
        <v>View</v>
      </c>
      <c r="P3645" s="7"/>
    </row>
    <row r="3646" spans="1:16">
      <c r="A3646" s="3">
        <v>44524.090277777781</v>
      </c>
      <c r="B3646" s="4" t="str">
        <f>HYPERLINK("https://twitter.com/sergio_fajardo","@sergio_fajardo")</f>
        <v>@sergio_fajardo</v>
      </c>
      <c r="C3646" s="5" t="s">
        <v>16</v>
      </c>
      <c r="D3646" s="5" t="s">
        <v>3667</v>
      </c>
      <c r="E3646" s="6" t="str">
        <f>HYPERLINK("https://twitter.com/sergio_fajardo/status/1463245972092461061","1463245972092461061")</f>
        <v>1463245972092461061</v>
      </c>
      <c r="F3646" s="7" t="s">
        <v>2329</v>
      </c>
      <c r="G3646" s="7">
        <v>1600086</v>
      </c>
      <c r="H3646" s="7">
        <v>606</v>
      </c>
      <c r="I3646" s="7">
        <v>7</v>
      </c>
      <c r="J3646" s="7">
        <v>33</v>
      </c>
      <c r="K3646" s="7" t="s">
        <v>18</v>
      </c>
      <c r="L3646" s="8">
        <v>39891.213356481479</v>
      </c>
      <c r="M3646" s="9" t="s">
        <v>19</v>
      </c>
      <c r="N3646" s="9" t="s">
        <v>22</v>
      </c>
      <c r="O3646" s="6" t="str">
        <f>HYPERLINK("https://pbs.twimg.com/profile_images/1433591977631748099/wuGDIimB_normal.jpg","View")</f>
        <v>View</v>
      </c>
      <c r="P3646" s="7"/>
    </row>
    <row r="3647" spans="1:16">
      <c r="A3647" s="3">
        <v>44524.12091435185</v>
      </c>
      <c r="B3647" s="4" t="str">
        <f>HYPERLINK("https://twitter.com/sergio_fajardo","@sergio_fajardo")</f>
        <v>@sergio_fajardo</v>
      </c>
      <c r="C3647" s="5" t="s">
        <v>16</v>
      </c>
      <c r="D3647" s="5" t="s">
        <v>3668</v>
      </c>
      <c r="E3647" s="6" t="str">
        <f>HYPERLINK("https://twitter.com/sergio_fajardo/status/1463257077284061187","1463257077284061187")</f>
        <v>1463257077284061187</v>
      </c>
      <c r="F3647" s="7" t="s">
        <v>17</v>
      </c>
      <c r="G3647" s="7">
        <v>1600091</v>
      </c>
      <c r="H3647" s="7">
        <v>606</v>
      </c>
      <c r="I3647" s="7">
        <v>6</v>
      </c>
      <c r="J3647" s="7">
        <v>18</v>
      </c>
      <c r="K3647" s="7" t="s">
        <v>18</v>
      </c>
      <c r="L3647" s="8">
        <v>39891.213356481479</v>
      </c>
      <c r="M3647" s="9" t="s">
        <v>19</v>
      </c>
      <c r="N3647" s="9" t="s">
        <v>22</v>
      </c>
      <c r="O3647" s="6" t="str">
        <f>HYPERLINK("https://pbs.twimg.com/profile_images/1433591977631748099/wuGDIimB_normal.jpg","View")</f>
        <v>View</v>
      </c>
      <c r="P3647" s="7"/>
    </row>
    <row r="3648" spans="1:16">
      <c r="A3648" s="3">
        <v>44524.149328703701</v>
      </c>
      <c r="B3648" s="4" t="str">
        <f>HYPERLINK("https://twitter.com/sergio_fajardo","@sergio_fajardo")</f>
        <v>@sergio_fajardo</v>
      </c>
      <c r="C3648" s="5" t="s">
        <v>16</v>
      </c>
      <c r="D3648" s="5" t="s">
        <v>3669</v>
      </c>
      <c r="E3648" s="6" t="str">
        <f>HYPERLINK("https://twitter.com/sergio_fajardo/status/1463267373968990209","1463267373968990209")</f>
        <v>1463267373968990209</v>
      </c>
      <c r="F3648" s="7" t="s">
        <v>2329</v>
      </c>
      <c r="G3648" s="7">
        <v>1600101</v>
      </c>
      <c r="H3648" s="7">
        <v>606</v>
      </c>
      <c r="I3648" s="7">
        <v>14</v>
      </c>
      <c r="J3648" s="7">
        <v>31</v>
      </c>
      <c r="K3648" s="7" t="s">
        <v>18</v>
      </c>
      <c r="L3648" s="8">
        <v>39891.213356481479</v>
      </c>
      <c r="M3648" s="9" t="s">
        <v>19</v>
      </c>
      <c r="N3648" s="9" t="s">
        <v>22</v>
      </c>
      <c r="O3648" s="6" t="str">
        <f>HYPERLINK("https://pbs.twimg.com/profile_images/1433591977631748099/wuGDIimB_normal.jpg","View")</f>
        <v>View</v>
      </c>
      <c r="P3648" s="7"/>
    </row>
    <row r="3649" spans="1:16">
      <c r="A3649" s="3">
        <v>44524.149571759262</v>
      </c>
      <c r="B3649" s="4" t="str">
        <f>HYPERLINK("https://twitter.com/sergio_fajardo","@sergio_fajardo")</f>
        <v>@sergio_fajardo</v>
      </c>
      <c r="C3649" s="5" t="s">
        <v>16</v>
      </c>
      <c r="D3649" s="5" t="s">
        <v>3670</v>
      </c>
      <c r="E3649" s="6" t="str">
        <f>HYPERLINK("https://twitter.com/sergio_fajardo/status/1463267462162571271","1463267462162571271")</f>
        <v>1463267462162571271</v>
      </c>
      <c r="F3649" s="7" t="s">
        <v>23</v>
      </c>
      <c r="G3649" s="7">
        <v>1600101</v>
      </c>
      <c r="H3649" s="7">
        <v>606</v>
      </c>
      <c r="I3649" s="7">
        <v>4</v>
      </c>
      <c r="J3649" s="7">
        <v>13</v>
      </c>
      <c r="K3649" s="7" t="s">
        <v>18</v>
      </c>
      <c r="L3649" s="8">
        <v>39891.213356481479</v>
      </c>
      <c r="M3649" s="9" t="s">
        <v>19</v>
      </c>
      <c r="N3649" s="9" t="s">
        <v>22</v>
      </c>
      <c r="O3649" s="6" t="str">
        <f>HYPERLINK("https://pbs.twimg.com/profile_images/1433591977631748099/wuGDIimB_normal.jpg","View")</f>
        <v>View</v>
      </c>
      <c r="P3649" s="7"/>
    </row>
    <row r="3650" spans="1:16">
      <c r="A3650" s="3">
        <v>44524.174409722225</v>
      </c>
      <c r="B3650" s="4" t="str">
        <f>HYPERLINK("https://twitter.com/sergio_fajardo","@sergio_fajardo")</f>
        <v>@sergio_fajardo</v>
      </c>
      <c r="C3650" s="5" t="s">
        <v>16</v>
      </c>
      <c r="D3650" s="5" t="s">
        <v>3671</v>
      </c>
      <c r="E3650" s="6" t="str">
        <f>HYPERLINK("https://twitter.com/sergio_fajardo/status/1463276460563705862","1463276460563705862")</f>
        <v>1463276460563705862</v>
      </c>
      <c r="F3650" s="7" t="s">
        <v>23</v>
      </c>
      <c r="G3650" s="7">
        <v>1600099</v>
      </c>
      <c r="H3650" s="7">
        <v>608</v>
      </c>
      <c r="I3650" s="7">
        <v>6</v>
      </c>
      <c r="J3650" s="7">
        <v>0</v>
      </c>
      <c r="K3650" s="7" t="s">
        <v>18</v>
      </c>
      <c r="L3650" s="8">
        <v>39891.213356481479</v>
      </c>
      <c r="M3650" s="9" t="s">
        <v>19</v>
      </c>
      <c r="N3650" s="9" t="s">
        <v>22</v>
      </c>
      <c r="O3650" s="6" t="str">
        <f>HYPERLINK("https://pbs.twimg.com/profile_images/1433591977631748099/wuGDIimB_normal.jpg","View")</f>
        <v>View</v>
      </c>
      <c r="P3650" s="7"/>
    </row>
    <row r="3651" spans="1:16">
      <c r="A3651" s="3">
        <v>44524.178391203706</v>
      </c>
      <c r="B3651" s="4" t="str">
        <f>HYPERLINK("https://twitter.com/sergio_fajardo","@sergio_fajardo")</f>
        <v>@sergio_fajardo</v>
      </c>
      <c r="C3651" s="5" t="s">
        <v>16</v>
      </c>
      <c r="D3651" s="5" t="s">
        <v>3672</v>
      </c>
      <c r="E3651" s="6" t="str">
        <f>HYPERLINK("https://twitter.com/sergio_fajardo/status/1463277902498353154","1463277902498353154")</f>
        <v>1463277902498353154</v>
      </c>
      <c r="F3651" s="7" t="s">
        <v>23</v>
      </c>
      <c r="G3651" s="7">
        <v>1600099</v>
      </c>
      <c r="H3651" s="7">
        <v>608</v>
      </c>
      <c r="I3651" s="7">
        <v>8</v>
      </c>
      <c r="J3651" s="7">
        <v>0</v>
      </c>
      <c r="K3651" s="7" t="s">
        <v>18</v>
      </c>
      <c r="L3651" s="8">
        <v>39891.213356481479</v>
      </c>
      <c r="M3651" s="9" t="s">
        <v>19</v>
      </c>
      <c r="N3651" s="9" t="s">
        <v>22</v>
      </c>
      <c r="O3651" s="6" t="str">
        <f>HYPERLINK("https://pbs.twimg.com/profile_images/1433591977631748099/wuGDIimB_normal.jpg","View")</f>
        <v>View</v>
      </c>
      <c r="P3651" s="7"/>
    </row>
    <row r="3652" spans="1:16">
      <c r="A3652" s="3">
        <v>44524.239386574074</v>
      </c>
      <c r="B3652" s="4" t="str">
        <f>HYPERLINK("https://twitter.com/sergio_fajardo","@sergio_fajardo")</f>
        <v>@sergio_fajardo</v>
      </c>
      <c r="C3652" s="5" t="s">
        <v>16</v>
      </c>
      <c r="D3652" s="5" t="s">
        <v>3673</v>
      </c>
      <c r="E3652" s="6" t="str">
        <f>HYPERLINK("https://twitter.com/sergio_fajardo/status/1463300009638731780","1463300009638731780")</f>
        <v>1463300009638731780</v>
      </c>
      <c r="F3652" s="7" t="s">
        <v>17</v>
      </c>
      <c r="G3652" s="7">
        <v>1600111</v>
      </c>
      <c r="H3652" s="7">
        <v>608</v>
      </c>
      <c r="I3652" s="7">
        <v>7</v>
      </c>
      <c r="J3652" s="7">
        <v>25</v>
      </c>
      <c r="K3652" s="7" t="s">
        <v>18</v>
      </c>
      <c r="L3652" s="8">
        <v>39891.213356481479</v>
      </c>
      <c r="M3652" s="9" t="s">
        <v>19</v>
      </c>
      <c r="N3652" s="9" t="s">
        <v>22</v>
      </c>
      <c r="O3652" s="6" t="str">
        <f>HYPERLINK("https://pbs.twimg.com/profile_images/1433591977631748099/wuGDIimB_normal.jpg","View")</f>
        <v>View</v>
      </c>
      <c r="P3652" s="7"/>
    </row>
    <row r="3653" spans="1:16">
      <c r="A3653" s="3">
        <v>44524.247141203705</v>
      </c>
      <c r="B3653" s="4" t="str">
        <f>HYPERLINK("https://twitter.com/sergio_fajardo","@sergio_fajardo")</f>
        <v>@sergio_fajardo</v>
      </c>
      <c r="C3653" s="5" t="s">
        <v>16</v>
      </c>
      <c r="D3653" s="5" t="s">
        <v>3674</v>
      </c>
      <c r="E3653" s="6" t="str">
        <f>HYPERLINK("https://twitter.com/sergio_fajardo/status/1463302820568907776","1463302820568907776")</f>
        <v>1463302820568907776</v>
      </c>
      <c r="F3653" s="7" t="s">
        <v>17</v>
      </c>
      <c r="G3653" s="7">
        <v>1600111</v>
      </c>
      <c r="H3653" s="7">
        <v>608</v>
      </c>
      <c r="I3653" s="7">
        <v>4</v>
      </c>
      <c r="J3653" s="7">
        <v>0</v>
      </c>
      <c r="K3653" s="7" t="s">
        <v>18</v>
      </c>
      <c r="L3653" s="8">
        <v>39891.213356481479</v>
      </c>
      <c r="M3653" s="9" t="s">
        <v>19</v>
      </c>
      <c r="N3653" s="9" t="s">
        <v>22</v>
      </c>
      <c r="O3653" s="6" t="str">
        <f>HYPERLINK("https://pbs.twimg.com/profile_images/1433591977631748099/wuGDIimB_normal.jpg","View")</f>
        <v>View</v>
      </c>
      <c r="P3653" s="7"/>
    </row>
    <row r="3654" spans="1:16">
      <c r="A3654" s="3">
        <v>44524.247175925921</v>
      </c>
      <c r="B3654" s="4" t="str">
        <f>HYPERLINK("https://twitter.com/sergio_fajardo","@sergio_fajardo")</f>
        <v>@sergio_fajardo</v>
      </c>
      <c r="C3654" s="5" t="s">
        <v>16</v>
      </c>
      <c r="D3654" s="5" t="s">
        <v>3675</v>
      </c>
      <c r="E3654" s="6" t="str">
        <f>HYPERLINK("https://twitter.com/sergio_fajardo/status/1463302832866709508","1463302832866709508")</f>
        <v>1463302832866709508</v>
      </c>
      <c r="F3654" s="7" t="s">
        <v>17</v>
      </c>
      <c r="G3654" s="7">
        <v>1600111</v>
      </c>
      <c r="H3654" s="7">
        <v>608</v>
      </c>
      <c r="I3654" s="7">
        <v>2</v>
      </c>
      <c r="J3654" s="7">
        <v>0</v>
      </c>
      <c r="K3654" s="7" t="s">
        <v>18</v>
      </c>
      <c r="L3654" s="8">
        <v>39891.213356481479</v>
      </c>
      <c r="M3654" s="9" t="s">
        <v>19</v>
      </c>
      <c r="N3654" s="9" t="s">
        <v>22</v>
      </c>
      <c r="O3654" s="6" t="str">
        <f>HYPERLINK("https://pbs.twimg.com/profile_images/1433591977631748099/wuGDIimB_normal.jpg","View")</f>
        <v>View</v>
      </c>
      <c r="P3654" s="7"/>
    </row>
    <row r="3655" spans="1:16">
      <c r="A3655" s="3">
        <v>44524.24827546296</v>
      </c>
      <c r="B3655" s="4" t="str">
        <f>HYPERLINK("https://twitter.com/sergio_fajardo","@sergio_fajardo")</f>
        <v>@sergio_fajardo</v>
      </c>
      <c r="C3655" s="5" t="s">
        <v>16</v>
      </c>
      <c r="D3655" s="5" t="s">
        <v>3676</v>
      </c>
      <c r="E3655" s="6" t="str">
        <f>HYPERLINK("https://twitter.com/sergio_fajardo/status/1463303231455612930","1463303231455612930")</f>
        <v>1463303231455612930</v>
      </c>
      <c r="F3655" s="7" t="s">
        <v>17</v>
      </c>
      <c r="G3655" s="7">
        <v>1600111</v>
      </c>
      <c r="H3655" s="7">
        <v>608</v>
      </c>
      <c r="I3655" s="7">
        <v>10</v>
      </c>
      <c r="J3655" s="7">
        <v>0</v>
      </c>
      <c r="K3655" s="7" t="s">
        <v>18</v>
      </c>
      <c r="L3655" s="8">
        <v>39891.213356481479</v>
      </c>
      <c r="M3655" s="9" t="s">
        <v>19</v>
      </c>
      <c r="N3655" s="9" t="s">
        <v>22</v>
      </c>
      <c r="O3655" s="6" t="str">
        <f>HYPERLINK("https://pbs.twimg.com/profile_images/1433591977631748099/wuGDIimB_normal.jpg","View")</f>
        <v>View</v>
      </c>
      <c r="P3655" s="7"/>
    </row>
    <row r="3656" spans="1:16">
      <c r="A3656" s="3">
        <v>44524.27479166667</v>
      </c>
      <c r="B3656" s="4" t="str">
        <f>HYPERLINK("https://twitter.com/sergio_fajardo","@sergio_fajardo")</f>
        <v>@sergio_fajardo</v>
      </c>
      <c r="C3656" s="5" t="s">
        <v>16</v>
      </c>
      <c r="D3656" s="5" t="s">
        <v>3677</v>
      </c>
      <c r="E3656" s="6" t="str">
        <f>HYPERLINK("https://twitter.com/sergio_fajardo/status/1463312837607137287","1463312837607137287")</f>
        <v>1463312837607137287</v>
      </c>
      <c r="F3656" s="7" t="s">
        <v>17</v>
      </c>
      <c r="G3656" s="7">
        <v>1600120</v>
      </c>
      <c r="H3656" s="7">
        <v>608</v>
      </c>
      <c r="I3656" s="7">
        <v>11</v>
      </c>
      <c r="J3656" s="7">
        <v>65</v>
      </c>
      <c r="K3656" s="7" t="s">
        <v>18</v>
      </c>
      <c r="L3656" s="8">
        <v>39891.213356481479</v>
      </c>
      <c r="M3656" s="9" t="s">
        <v>19</v>
      </c>
      <c r="N3656" s="9" t="s">
        <v>22</v>
      </c>
      <c r="O3656" s="6" t="str">
        <f>HYPERLINK("https://pbs.twimg.com/profile_images/1433591977631748099/wuGDIimB_normal.jpg","View")</f>
        <v>View</v>
      </c>
      <c r="P3656" s="7"/>
    </row>
    <row r="3657" spans="1:16">
      <c r="A3657" s="3">
        <v>44524.738703703704</v>
      </c>
      <c r="B3657" s="4" t="str">
        <f>HYPERLINK("https://twitter.com/sergio_fajardo","@sergio_fajardo")</f>
        <v>@sergio_fajardo</v>
      </c>
      <c r="C3657" s="5" t="s">
        <v>16</v>
      </c>
      <c r="D3657" s="5" t="s">
        <v>3678</v>
      </c>
      <c r="E3657" s="6" t="str">
        <f>HYPERLINK("https://twitter.com/sergio_fajardo/status/1463480954119409666","1463480954119409666")</f>
        <v>1463480954119409666</v>
      </c>
      <c r="F3657" s="7" t="s">
        <v>2329</v>
      </c>
      <c r="G3657" s="7">
        <v>1600191</v>
      </c>
      <c r="H3657" s="7">
        <v>608</v>
      </c>
      <c r="I3657" s="7">
        <v>2</v>
      </c>
      <c r="J3657" s="7">
        <v>22</v>
      </c>
      <c r="K3657" s="7" t="s">
        <v>18</v>
      </c>
      <c r="L3657" s="8">
        <v>39891.213356481479</v>
      </c>
      <c r="M3657" s="9" t="s">
        <v>19</v>
      </c>
      <c r="N3657" s="9" t="s">
        <v>22</v>
      </c>
      <c r="O3657" s="6" t="str">
        <f>HYPERLINK("https://pbs.twimg.com/profile_images/1433591977631748099/wuGDIimB_normal.jpg","View")</f>
        <v>View</v>
      </c>
      <c r="P3657" s="7"/>
    </row>
    <row r="3658" spans="1:16">
      <c r="A3658" s="3">
        <v>44524.773217592592</v>
      </c>
      <c r="B3658" s="4" t="str">
        <f>HYPERLINK("https://twitter.com/sergio_fajardo","@sergio_fajardo")</f>
        <v>@sergio_fajardo</v>
      </c>
      <c r="C3658" s="5" t="s">
        <v>16</v>
      </c>
      <c r="D3658" s="5" t="s">
        <v>3679</v>
      </c>
      <c r="E3658" s="6" t="str">
        <f>HYPERLINK("https://twitter.com/sergio_fajardo/status/1463493463186550789","1463493463186550789")</f>
        <v>1463493463186550789</v>
      </c>
      <c r="F3658" s="7" t="s">
        <v>17</v>
      </c>
      <c r="G3658" s="7">
        <v>1600200</v>
      </c>
      <c r="H3658" s="7">
        <v>608</v>
      </c>
      <c r="I3658" s="7">
        <v>5</v>
      </c>
      <c r="J3658" s="7">
        <v>0</v>
      </c>
      <c r="K3658" s="7" t="s">
        <v>18</v>
      </c>
      <c r="L3658" s="8">
        <v>39891.213356481479</v>
      </c>
      <c r="M3658" s="9" t="s">
        <v>19</v>
      </c>
      <c r="N3658" s="9" t="s">
        <v>22</v>
      </c>
      <c r="O3658" s="6" t="str">
        <f>HYPERLINK("https://pbs.twimg.com/profile_images/1433591977631748099/wuGDIimB_normal.jpg","View")</f>
        <v>View</v>
      </c>
      <c r="P3658" s="7"/>
    </row>
    <row r="3659" spans="1:16">
      <c r="A3659" s="3">
        <v>44524.783831018518</v>
      </c>
      <c r="B3659" s="4" t="str">
        <f>HYPERLINK("https://twitter.com/sergio_fajardo","@sergio_fajardo")</f>
        <v>@sergio_fajardo</v>
      </c>
      <c r="C3659" s="5" t="s">
        <v>16</v>
      </c>
      <c r="D3659" s="5" t="s">
        <v>3680</v>
      </c>
      <c r="E3659" s="6" t="str">
        <f>HYPERLINK("https://twitter.com/sergio_fajardo/status/1463497309405208581","1463497309405208581")</f>
        <v>1463497309405208581</v>
      </c>
      <c r="F3659" s="7" t="s">
        <v>23</v>
      </c>
      <c r="G3659" s="7">
        <v>1600200</v>
      </c>
      <c r="H3659" s="7">
        <v>608</v>
      </c>
      <c r="I3659" s="7">
        <v>4</v>
      </c>
      <c r="J3659" s="7">
        <v>0</v>
      </c>
      <c r="K3659" s="7" t="s">
        <v>18</v>
      </c>
      <c r="L3659" s="8">
        <v>39891.213356481479</v>
      </c>
      <c r="M3659" s="9" t="s">
        <v>19</v>
      </c>
      <c r="N3659" s="9" t="s">
        <v>22</v>
      </c>
      <c r="O3659" s="6" t="str">
        <f>HYPERLINK("https://pbs.twimg.com/profile_images/1433591977631748099/wuGDIimB_normal.jpg","View")</f>
        <v>View</v>
      </c>
      <c r="P3659" s="7"/>
    </row>
    <row r="3660" spans="1:16">
      <c r="A3660" s="3">
        <v>44524.885636574079</v>
      </c>
      <c r="B3660" s="4" t="str">
        <f>HYPERLINK("https://twitter.com/sergio_fajardo","@sergio_fajardo")</f>
        <v>@sergio_fajardo</v>
      </c>
      <c r="C3660" s="5" t="s">
        <v>16</v>
      </c>
      <c r="D3660" s="5" t="s">
        <v>3681</v>
      </c>
      <c r="E3660" s="6" t="str">
        <f>HYPERLINK("https://twitter.com/sergio_fajardo/status/1463534200666140680","1463534200666140680")</f>
        <v>1463534200666140680</v>
      </c>
      <c r="F3660" s="7" t="s">
        <v>17</v>
      </c>
      <c r="G3660" s="7">
        <v>1600195</v>
      </c>
      <c r="H3660" s="7">
        <v>608</v>
      </c>
      <c r="I3660" s="7">
        <v>8</v>
      </c>
      <c r="J3660" s="7">
        <v>38</v>
      </c>
      <c r="K3660" s="7" t="s">
        <v>18</v>
      </c>
      <c r="L3660" s="8">
        <v>39891.213356481479</v>
      </c>
      <c r="M3660" s="9" t="s">
        <v>19</v>
      </c>
      <c r="N3660" s="9" t="s">
        <v>22</v>
      </c>
      <c r="O3660" s="6" t="str">
        <f>HYPERLINK("https://pbs.twimg.com/profile_images/1433591977631748099/wuGDIimB_normal.jpg","View")</f>
        <v>View</v>
      </c>
      <c r="P3660" s="7"/>
    </row>
    <row r="3661" spans="1:16">
      <c r="A3661" s="3">
        <v>44524.889502314814</v>
      </c>
      <c r="B3661" s="4" t="str">
        <f>HYPERLINK("https://twitter.com/sergio_fajardo","@sergio_fajardo")</f>
        <v>@sergio_fajardo</v>
      </c>
      <c r="C3661" s="5" t="s">
        <v>16</v>
      </c>
      <c r="D3661" s="5" t="s">
        <v>3682</v>
      </c>
      <c r="E3661" s="6" t="str">
        <f>HYPERLINK("https://twitter.com/sergio_fajardo/status/1463535601433649153","1463535601433649153")</f>
        <v>1463535601433649153</v>
      </c>
      <c r="F3661" s="7" t="s">
        <v>17</v>
      </c>
      <c r="G3661" s="7">
        <v>1600195</v>
      </c>
      <c r="H3661" s="7">
        <v>608</v>
      </c>
      <c r="I3661" s="7">
        <v>6</v>
      </c>
      <c r="J3661" s="7">
        <v>0</v>
      </c>
      <c r="K3661" s="7" t="s">
        <v>18</v>
      </c>
      <c r="L3661" s="8">
        <v>39891.213356481479</v>
      </c>
      <c r="M3661" s="9" t="s">
        <v>19</v>
      </c>
      <c r="N3661" s="9" t="s">
        <v>22</v>
      </c>
      <c r="O3661" s="6" t="str">
        <f>HYPERLINK("https://pbs.twimg.com/profile_images/1433591977631748099/wuGDIimB_normal.jpg","View")</f>
        <v>View</v>
      </c>
      <c r="P3661" s="7"/>
    </row>
    <row r="3662" spans="1:16">
      <c r="A3662" s="3">
        <v>44524.985694444447</v>
      </c>
      <c r="B3662" s="4" t="str">
        <f>HYPERLINK("https://twitter.com/sergio_fajardo","@sergio_fajardo")</f>
        <v>@sergio_fajardo</v>
      </c>
      <c r="C3662" s="5" t="s">
        <v>16</v>
      </c>
      <c r="D3662" s="5" t="s">
        <v>3683</v>
      </c>
      <c r="E3662" s="6" t="str">
        <f>HYPERLINK("https://twitter.com/sergio_fajardo/status/1463570462076772356","1463570462076772356")</f>
        <v>1463570462076772356</v>
      </c>
      <c r="F3662" s="7" t="s">
        <v>17</v>
      </c>
      <c r="G3662" s="7">
        <v>1600204</v>
      </c>
      <c r="H3662" s="7">
        <v>608</v>
      </c>
      <c r="I3662" s="7">
        <v>21</v>
      </c>
      <c r="J3662" s="7">
        <v>55</v>
      </c>
      <c r="K3662" s="7" t="s">
        <v>18</v>
      </c>
      <c r="L3662" s="8">
        <v>39891.213356481479</v>
      </c>
      <c r="M3662" s="9" t="s">
        <v>19</v>
      </c>
      <c r="N3662" s="9" t="s">
        <v>22</v>
      </c>
      <c r="O3662" s="6" t="str">
        <f>HYPERLINK("https://pbs.twimg.com/profile_images/1433591977631748099/wuGDIimB_normal.jpg","View")</f>
        <v>View</v>
      </c>
      <c r="P3662" s="7"/>
    </row>
    <row r="3663" spans="1:16">
      <c r="A3663" s="3">
        <v>44525.036608796298</v>
      </c>
      <c r="B3663" s="4" t="str">
        <f>HYPERLINK("https://twitter.com/sergio_fajardo","@sergio_fajardo")</f>
        <v>@sergio_fajardo</v>
      </c>
      <c r="C3663" s="5" t="s">
        <v>16</v>
      </c>
      <c r="D3663" s="5" t="s">
        <v>3684</v>
      </c>
      <c r="E3663" s="6" t="str">
        <f>HYPERLINK("https://twitter.com/sergio_fajardo/status/1463588911846985734","1463588911846985734")</f>
        <v>1463588911846985734</v>
      </c>
      <c r="F3663" s="7" t="s">
        <v>17</v>
      </c>
      <c r="G3663" s="7">
        <v>1600212</v>
      </c>
      <c r="H3663" s="7">
        <v>608</v>
      </c>
      <c r="I3663" s="7">
        <v>3</v>
      </c>
      <c r="J3663" s="7">
        <v>28</v>
      </c>
      <c r="K3663" s="7" t="s">
        <v>18</v>
      </c>
      <c r="L3663" s="8">
        <v>39891.213356481479</v>
      </c>
      <c r="M3663" s="9" t="s">
        <v>19</v>
      </c>
      <c r="N3663" s="9" t="s">
        <v>22</v>
      </c>
      <c r="O3663" s="6" t="str">
        <f>HYPERLINK("https://pbs.twimg.com/profile_images/1433591977631748099/wuGDIimB_normal.jpg","View")</f>
        <v>View</v>
      </c>
      <c r="P3663" s="7"/>
    </row>
    <row r="3664" spans="1:16">
      <c r="A3664" s="3">
        <v>44525.082870370374</v>
      </c>
      <c r="B3664" s="4" t="str">
        <f>HYPERLINK("https://twitter.com/sergio_fajardo","@sergio_fajardo")</f>
        <v>@sergio_fajardo</v>
      </c>
      <c r="C3664" s="5" t="s">
        <v>16</v>
      </c>
      <c r="D3664" s="5" t="s">
        <v>3685</v>
      </c>
      <c r="E3664" s="6" t="str">
        <f>HYPERLINK("https://twitter.com/sergio_fajardo/status/1463605678614978561","1463605678614978561")</f>
        <v>1463605678614978561</v>
      </c>
      <c r="F3664" s="7" t="s">
        <v>17</v>
      </c>
      <c r="G3664" s="7">
        <v>1600225</v>
      </c>
      <c r="H3664" s="7">
        <v>608</v>
      </c>
      <c r="I3664" s="7">
        <v>1</v>
      </c>
      <c r="J3664" s="7">
        <v>5</v>
      </c>
      <c r="K3664" s="7" t="s">
        <v>18</v>
      </c>
      <c r="L3664" s="8">
        <v>39891.213356481479</v>
      </c>
      <c r="M3664" s="9" t="s">
        <v>19</v>
      </c>
      <c r="N3664" s="9" t="s">
        <v>22</v>
      </c>
      <c r="O3664" s="6" t="str">
        <f>HYPERLINK("https://pbs.twimg.com/profile_images/1433591977631748099/wuGDIimB_normal.jpg","View")</f>
        <v>View</v>
      </c>
      <c r="P3664" s="7"/>
    </row>
    <row r="3665" spans="1:16">
      <c r="A3665" s="3">
        <v>44525.193668981483</v>
      </c>
      <c r="B3665" s="4" t="str">
        <f>HYPERLINK("https://twitter.com/sergio_fajardo","@sergio_fajardo")</f>
        <v>@sergio_fajardo</v>
      </c>
      <c r="C3665" s="5" t="s">
        <v>16</v>
      </c>
      <c r="D3665" s="5" t="s">
        <v>3686</v>
      </c>
      <c r="E3665" s="6" t="str">
        <f>HYPERLINK("https://twitter.com/sergio_fajardo/status/1463645830695604224","1463645830695604224")</f>
        <v>1463645830695604224</v>
      </c>
      <c r="F3665" s="7" t="s">
        <v>17</v>
      </c>
      <c r="G3665" s="7">
        <v>1600254</v>
      </c>
      <c r="H3665" s="7">
        <v>608</v>
      </c>
      <c r="I3665" s="7">
        <v>7</v>
      </c>
      <c r="J3665" s="7">
        <v>0</v>
      </c>
      <c r="K3665" s="7" t="s">
        <v>18</v>
      </c>
      <c r="L3665" s="8">
        <v>39891.213356481479</v>
      </c>
      <c r="M3665" s="9" t="s">
        <v>19</v>
      </c>
      <c r="N3665" s="9" t="s">
        <v>22</v>
      </c>
      <c r="O3665" s="6" t="str">
        <f>HYPERLINK("https://pbs.twimg.com/profile_images/1433591977631748099/wuGDIimB_normal.jpg","View")</f>
        <v>View</v>
      </c>
      <c r="P3665" s="7"/>
    </row>
    <row r="3666" spans="1:16">
      <c r="A3666" s="3">
        <v>44525.198530092588</v>
      </c>
      <c r="B3666" s="4" t="str">
        <f>HYPERLINK("https://twitter.com/sergio_fajardo","@sergio_fajardo")</f>
        <v>@sergio_fajardo</v>
      </c>
      <c r="C3666" s="5" t="s">
        <v>16</v>
      </c>
      <c r="D3666" s="5" t="s">
        <v>3687</v>
      </c>
      <c r="E3666" s="6" t="str">
        <f>HYPERLINK("https://twitter.com/sergio_fajardo/status/1463647591464321029","1463647591464321029")</f>
        <v>1463647591464321029</v>
      </c>
      <c r="F3666" s="7" t="s">
        <v>17</v>
      </c>
      <c r="G3666" s="7">
        <v>1600254</v>
      </c>
      <c r="H3666" s="7">
        <v>608</v>
      </c>
      <c r="I3666" s="7">
        <v>1</v>
      </c>
      <c r="J3666" s="7">
        <v>0</v>
      </c>
      <c r="K3666" s="7" t="s">
        <v>18</v>
      </c>
      <c r="L3666" s="8">
        <v>39891.213356481479</v>
      </c>
      <c r="M3666" s="9" t="s">
        <v>19</v>
      </c>
      <c r="N3666" s="9" t="s">
        <v>22</v>
      </c>
      <c r="O3666" s="6" t="str">
        <f>HYPERLINK("https://pbs.twimg.com/profile_images/1433591977631748099/wuGDIimB_normal.jpg","View")</f>
        <v>View</v>
      </c>
      <c r="P3666" s="7"/>
    </row>
    <row r="3667" spans="1:16">
      <c r="A3667" s="3">
        <v>44525.262025462958</v>
      </c>
      <c r="B3667" s="4" t="str">
        <f>HYPERLINK("https://twitter.com/sergio_fajardo","@sergio_fajardo")</f>
        <v>@sergio_fajardo</v>
      </c>
      <c r="C3667" s="5" t="s">
        <v>16</v>
      </c>
      <c r="D3667" s="5" t="s">
        <v>3688</v>
      </c>
      <c r="E3667" s="6" t="str">
        <f>HYPERLINK("https://twitter.com/sergio_fajardo/status/1463670601256742914","1463670601256742914")</f>
        <v>1463670601256742914</v>
      </c>
      <c r="F3667" s="7" t="s">
        <v>17</v>
      </c>
      <c r="G3667" s="7">
        <v>1600265</v>
      </c>
      <c r="H3667" s="7">
        <v>608</v>
      </c>
      <c r="I3667" s="7">
        <v>14</v>
      </c>
      <c r="J3667" s="7">
        <v>111</v>
      </c>
      <c r="K3667" s="7" t="s">
        <v>18</v>
      </c>
      <c r="L3667" s="8">
        <v>39891.213356481479</v>
      </c>
      <c r="M3667" s="9" t="s">
        <v>19</v>
      </c>
      <c r="N3667" s="9" t="s">
        <v>22</v>
      </c>
      <c r="O3667" s="6" t="str">
        <f>HYPERLINK("https://pbs.twimg.com/profile_images/1433591977631748099/wuGDIimB_normal.jpg","View")</f>
        <v>View</v>
      </c>
      <c r="P3667" s="7"/>
    </row>
    <row r="3668" spans="1:16">
      <c r="A3668" s="3">
        <v>44525.326805555553</v>
      </c>
      <c r="B3668" s="4" t="str">
        <f>HYPERLINK("https://twitter.com/sergio_fajardo","@sergio_fajardo")</f>
        <v>@sergio_fajardo</v>
      </c>
      <c r="C3668" s="5" t="s">
        <v>16</v>
      </c>
      <c r="D3668" s="5" t="s">
        <v>3689</v>
      </c>
      <c r="E3668" s="6" t="str">
        <f>HYPERLINK("https://twitter.com/sergio_fajardo/status/1463694077736767489","1463694077736767489")</f>
        <v>1463694077736767489</v>
      </c>
      <c r="F3668" s="7" t="s">
        <v>17</v>
      </c>
      <c r="G3668" s="7">
        <v>1600278</v>
      </c>
      <c r="H3668" s="7">
        <v>608</v>
      </c>
      <c r="I3668" s="7">
        <v>11</v>
      </c>
      <c r="J3668" s="7">
        <v>0</v>
      </c>
      <c r="K3668" s="7" t="s">
        <v>18</v>
      </c>
      <c r="L3668" s="8">
        <v>39891.213356481479</v>
      </c>
      <c r="M3668" s="9" t="s">
        <v>19</v>
      </c>
      <c r="N3668" s="9" t="s">
        <v>22</v>
      </c>
      <c r="O3668" s="6" t="str">
        <f>HYPERLINK("https://pbs.twimg.com/profile_images/1433591977631748099/wuGDIimB_normal.jpg","View")</f>
        <v>View</v>
      </c>
      <c r="P3668" s="7"/>
    </row>
    <row r="3669" spans="1:16">
      <c r="A3669" s="3">
        <v>44525.729201388887</v>
      </c>
      <c r="B3669" s="4" t="str">
        <f>HYPERLINK("https://twitter.com/sergio_fajardo","@sergio_fajardo")</f>
        <v>@sergio_fajardo</v>
      </c>
      <c r="C3669" s="5" t="s">
        <v>16</v>
      </c>
      <c r="D3669" s="5" t="s">
        <v>3690</v>
      </c>
      <c r="E3669" s="6" t="str">
        <f>HYPERLINK("https://twitter.com/sergio_fajardo/status/1463839898667044872","1463839898667044872")</f>
        <v>1463839898667044872</v>
      </c>
      <c r="F3669" s="7" t="s">
        <v>17</v>
      </c>
      <c r="G3669" s="7">
        <v>1600302</v>
      </c>
      <c r="H3669" s="7">
        <v>608</v>
      </c>
      <c r="I3669" s="7">
        <v>0</v>
      </c>
      <c r="J3669" s="7">
        <v>2</v>
      </c>
      <c r="K3669" s="7" t="s">
        <v>18</v>
      </c>
      <c r="L3669" s="8">
        <v>39891.213356481479</v>
      </c>
      <c r="M3669" s="9" t="s">
        <v>19</v>
      </c>
      <c r="N3669" s="9" t="s">
        <v>22</v>
      </c>
      <c r="O3669" s="6" t="str">
        <f>HYPERLINK("https://pbs.twimg.com/profile_images/1433591977631748099/wuGDIimB_normal.jpg","View")</f>
        <v>View</v>
      </c>
      <c r="P3669" s="7"/>
    </row>
    <row r="3670" spans="1:16">
      <c r="A3670" s="3">
        <v>44525.746921296297</v>
      </c>
      <c r="B3670" s="4" t="str">
        <f>HYPERLINK("https://twitter.com/sergio_fajardo","@sergio_fajardo")</f>
        <v>@sergio_fajardo</v>
      </c>
      <c r="C3670" s="5" t="s">
        <v>16</v>
      </c>
      <c r="D3670" s="5" t="s">
        <v>3691</v>
      </c>
      <c r="E3670" s="6" t="str">
        <f>HYPERLINK("https://twitter.com/sergio_fajardo/status/1463846322558181381","1463846322558181381")</f>
        <v>1463846322558181381</v>
      </c>
      <c r="F3670" s="7" t="s">
        <v>23</v>
      </c>
      <c r="G3670" s="7">
        <v>1600308</v>
      </c>
      <c r="H3670" s="7">
        <v>608</v>
      </c>
      <c r="I3670" s="7">
        <v>4</v>
      </c>
      <c r="J3670" s="7">
        <v>0</v>
      </c>
      <c r="K3670" s="7" t="s">
        <v>18</v>
      </c>
      <c r="L3670" s="8">
        <v>39891.213356481479</v>
      </c>
      <c r="M3670" s="9" t="s">
        <v>19</v>
      </c>
      <c r="N3670" s="9" t="s">
        <v>22</v>
      </c>
      <c r="O3670" s="6" t="str">
        <f>HYPERLINK("https://pbs.twimg.com/profile_images/1433591977631748099/wuGDIimB_normal.jpg","View")</f>
        <v>View</v>
      </c>
      <c r="P3670" s="7"/>
    </row>
    <row r="3671" spans="1:16">
      <c r="A3671" s="3">
        <v>44525.772557870368</v>
      </c>
      <c r="B3671" s="4" t="str">
        <f>HYPERLINK("https://twitter.com/sergio_fajardo","@sergio_fajardo")</f>
        <v>@sergio_fajardo</v>
      </c>
      <c r="C3671" s="5" t="s">
        <v>16</v>
      </c>
      <c r="D3671" s="5" t="s">
        <v>3692</v>
      </c>
      <c r="E3671" s="6" t="str">
        <f>HYPERLINK("https://twitter.com/sergio_fajardo/status/1463855613281292288","1463855613281292288")</f>
        <v>1463855613281292288</v>
      </c>
      <c r="F3671" s="7" t="s">
        <v>17</v>
      </c>
      <c r="G3671" s="7">
        <v>1600312</v>
      </c>
      <c r="H3671" s="7">
        <v>609</v>
      </c>
      <c r="I3671" s="7">
        <v>2</v>
      </c>
      <c r="J3671" s="7">
        <v>2</v>
      </c>
      <c r="K3671" s="7" t="s">
        <v>18</v>
      </c>
      <c r="L3671" s="8">
        <v>39891.213356481479</v>
      </c>
      <c r="M3671" s="9" t="s">
        <v>19</v>
      </c>
      <c r="N3671" s="9" t="s">
        <v>22</v>
      </c>
      <c r="O3671" s="6" t="str">
        <f>HYPERLINK("https://pbs.twimg.com/profile_images/1433591977631748099/wuGDIimB_normal.jpg","View")</f>
        <v>View</v>
      </c>
      <c r="P3671" s="7"/>
    </row>
    <row r="3672" spans="1:16">
      <c r="A3672" s="3">
        <v>44525.790763888886</v>
      </c>
      <c r="B3672" s="4" t="str">
        <f>HYPERLINK("https://twitter.com/sergio_fajardo","@sergio_fajardo")</f>
        <v>@sergio_fajardo</v>
      </c>
      <c r="C3672" s="5" t="s">
        <v>16</v>
      </c>
      <c r="D3672" s="5" t="s">
        <v>3693</v>
      </c>
      <c r="E3672" s="6" t="str">
        <f>HYPERLINK("https://twitter.com/sergio_fajardo/status/1463862208325206018","1463862208325206018")</f>
        <v>1463862208325206018</v>
      </c>
      <c r="F3672" s="7" t="s">
        <v>17</v>
      </c>
      <c r="G3672" s="7">
        <v>1600313</v>
      </c>
      <c r="H3672" s="7">
        <v>609</v>
      </c>
      <c r="I3672" s="7">
        <v>2</v>
      </c>
      <c r="J3672" s="7">
        <v>19</v>
      </c>
      <c r="K3672" s="7" t="s">
        <v>18</v>
      </c>
      <c r="L3672" s="8">
        <v>39891.213356481479</v>
      </c>
      <c r="M3672" s="9" t="s">
        <v>19</v>
      </c>
      <c r="N3672" s="9" t="s">
        <v>22</v>
      </c>
      <c r="O3672" s="6" t="str">
        <f>HYPERLINK("https://pbs.twimg.com/profile_images/1433591977631748099/wuGDIimB_normal.jpg","View")</f>
        <v>View</v>
      </c>
      <c r="P3672" s="7"/>
    </row>
    <row r="3673" spans="1:16">
      <c r="A3673" s="3">
        <v>44525.857881944445</v>
      </c>
      <c r="B3673" s="4" t="str">
        <f>HYPERLINK("https://twitter.com/sergio_fajardo","@sergio_fajardo")</f>
        <v>@sergio_fajardo</v>
      </c>
      <c r="C3673" s="5" t="s">
        <v>16</v>
      </c>
      <c r="D3673" s="5" t="s">
        <v>3694</v>
      </c>
      <c r="E3673" s="6" t="str">
        <f>HYPERLINK("https://twitter.com/sergio_fajardo/status/1463886531765092357","1463886531765092357")</f>
        <v>1463886531765092357</v>
      </c>
      <c r="F3673" s="7" t="s">
        <v>17</v>
      </c>
      <c r="G3673" s="7">
        <v>1600333</v>
      </c>
      <c r="H3673" s="7">
        <v>609</v>
      </c>
      <c r="I3673" s="7">
        <v>13</v>
      </c>
      <c r="J3673" s="7">
        <v>114</v>
      </c>
      <c r="K3673" s="7" t="s">
        <v>18</v>
      </c>
      <c r="L3673" s="8">
        <v>39891.213356481479</v>
      </c>
      <c r="M3673" s="9" t="s">
        <v>19</v>
      </c>
      <c r="N3673" s="9" t="s">
        <v>22</v>
      </c>
      <c r="O3673" s="6" t="str">
        <f>HYPERLINK("https://pbs.twimg.com/profile_images/1433591977631748099/wuGDIimB_normal.jpg","View")</f>
        <v>View</v>
      </c>
      <c r="P3673" s="7"/>
    </row>
    <row r="3674" spans="1:16">
      <c r="A3674" s="3">
        <v>44525.870682870373</v>
      </c>
      <c r="B3674" s="4" t="str">
        <f>HYPERLINK("https://twitter.com/sergio_fajardo","@sergio_fajardo")</f>
        <v>@sergio_fajardo</v>
      </c>
      <c r="C3674" s="5" t="s">
        <v>16</v>
      </c>
      <c r="D3674" s="5" t="s">
        <v>3695</v>
      </c>
      <c r="E3674" s="6" t="str">
        <f>HYPERLINK("https://twitter.com/sergio_fajardo/status/1463891168681414674","1463891168681414674")</f>
        <v>1463891168681414674</v>
      </c>
      <c r="F3674" s="7" t="s">
        <v>17</v>
      </c>
      <c r="G3674" s="7">
        <v>1600333</v>
      </c>
      <c r="H3674" s="7">
        <v>609</v>
      </c>
      <c r="I3674" s="7">
        <v>4</v>
      </c>
      <c r="J3674" s="7">
        <v>16</v>
      </c>
      <c r="K3674" s="7" t="s">
        <v>18</v>
      </c>
      <c r="L3674" s="8">
        <v>39891.213356481479</v>
      </c>
      <c r="M3674" s="9" t="s">
        <v>19</v>
      </c>
      <c r="N3674" s="9" t="s">
        <v>22</v>
      </c>
      <c r="O3674" s="6" t="str">
        <f>HYPERLINK("https://pbs.twimg.com/profile_images/1433591977631748099/wuGDIimB_normal.jpg","View")</f>
        <v>View</v>
      </c>
      <c r="P3674" s="7"/>
    </row>
    <row r="3675" spans="1:16">
      <c r="A3675" s="3">
        <v>44525.870682870373</v>
      </c>
      <c r="B3675" s="4" t="str">
        <f>HYPERLINK("https://twitter.com/sergio_fajardo","@sergio_fajardo")</f>
        <v>@sergio_fajardo</v>
      </c>
      <c r="C3675" s="5" t="s">
        <v>16</v>
      </c>
      <c r="D3675" s="5" t="s">
        <v>3696</v>
      </c>
      <c r="E3675" s="6" t="str">
        <f>HYPERLINK("https://twitter.com/sergio_fajardo/status/1463891171302944776","1463891171302944776")</f>
        <v>1463891171302944776</v>
      </c>
      <c r="F3675" s="7" t="s">
        <v>17</v>
      </c>
      <c r="G3675" s="7">
        <v>1600333</v>
      </c>
      <c r="H3675" s="7">
        <v>609</v>
      </c>
      <c r="I3675" s="7">
        <v>2</v>
      </c>
      <c r="J3675" s="7">
        <v>8</v>
      </c>
      <c r="K3675" s="7" t="s">
        <v>18</v>
      </c>
      <c r="L3675" s="8">
        <v>39891.213356481479</v>
      </c>
      <c r="M3675" s="9" t="s">
        <v>19</v>
      </c>
      <c r="N3675" s="9" t="s">
        <v>22</v>
      </c>
      <c r="O3675" s="6" t="str">
        <f>HYPERLINK("https://pbs.twimg.com/profile_images/1433591977631748099/wuGDIimB_normal.jpg","View")</f>
        <v>View</v>
      </c>
      <c r="P3675" s="7"/>
    </row>
    <row r="3676" spans="1:16">
      <c r="A3676" s="3">
        <v>44525.876087962963</v>
      </c>
      <c r="B3676" s="4" t="str">
        <f>HYPERLINK("https://twitter.com/sergio_fajardo","@sergio_fajardo")</f>
        <v>@sergio_fajardo</v>
      </c>
      <c r="C3676" s="5" t="s">
        <v>16</v>
      </c>
      <c r="D3676" s="5" t="s">
        <v>3697</v>
      </c>
      <c r="E3676" s="6" t="str">
        <f>HYPERLINK("https://twitter.com/sergio_fajardo/status/1463893129292140549","1463893129292140549")</f>
        <v>1463893129292140549</v>
      </c>
      <c r="F3676" s="7" t="s">
        <v>17</v>
      </c>
      <c r="G3676" s="7">
        <v>1600333</v>
      </c>
      <c r="H3676" s="7">
        <v>609</v>
      </c>
      <c r="I3676" s="7">
        <v>13</v>
      </c>
      <c r="J3676" s="7">
        <v>0</v>
      </c>
      <c r="K3676" s="7" t="s">
        <v>18</v>
      </c>
      <c r="L3676" s="8">
        <v>39891.213356481479</v>
      </c>
      <c r="M3676" s="9" t="s">
        <v>19</v>
      </c>
      <c r="N3676" s="9" t="s">
        <v>22</v>
      </c>
      <c r="O3676" s="6" t="str">
        <f>HYPERLINK("https://pbs.twimg.com/profile_images/1433591977631748099/wuGDIimB_normal.jpg","View")</f>
        <v>View</v>
      </c>
      <c r="P3676" s="7"/>
    </row>
    <row r="3677" spans="1:16">
      <c r="A3677" s="3">
        <v>44525.920567129629</v>
      </c>
      <c r="B3677" s="4" t="str">
        <f>HYPERLINK("https://twitter.com/sergio_fajardo","@sergio_fajardo")</f>
        <v>@sergio_fajardo</v>
      </c>
      <c r="C3677" s="5" t="s">
        <v>16</v>
      </c>
      <c r="D3677" s="5" t="s">
        <v>3698</v>
      </c>
      <c r="E3677" s="6" t="str">
        <f>HYPERLINK("https://twitter.com/sergio_fajardo/status/1463909249419984900","1463909249419984900")</f>
        <v>1463909249419984900</v>
      </c>
      <c r="F3677" s="7" t="s">
        <v>2329</v>
      </c>
      <c r="G3677" s="7">
        <v>1600340</v>
      </c>
      <c r="H3677" s="7">
        <v>609</v>
      </c>
      <c r="I3677" s="7">
        <v>9</v>
      </c>
      <c r="J3677" s="7">
        <v>42</v>
      </c>
      <c r="K3677" s="7" t="s">
        <v>18</v>
      </c>
      <c r="L3677" s="8">
        <v>39891.213356481479</v>
      </c>
      <c r="M3677" s="9" t="s">
        <v>19</v>
      </c>
      <c r="N3677" s="9" t="s">
        <v>22</v>
      </c>
      <c r="O3677" s="6" t="str">
        <f>HYPERLINK("https://pbs.twimg.com/profile_images/1433591977631748099/wuGDIimB_normal.jpg","View")</f>
        <v>View</v>
      </c>
      <c r="P3677" s="7"/>
    </row>
    <row r="3678" spans="1:16">
      <c r="A3678" s="3">
        <v>44525.969699074078</v>
      </c>
      <c r="B3678" s="4" t="str">
        <f>HYPERLINK("https://twitter.com/sergio_fajardo","@sergio_fajardo")</f>
        <v>@sergio_fajardo</v>
      </c>
      <c r="C3678" s="5" t="s">
        <v>16</v>
      </c>
      <c r="D3678" s="5" t="s">
        <v>3699</v>
      </c>
      <c r="E3678" s="6" t="str">
        <f>HYPERLINK("https://twitter.com/sergio_fajardo/status/1463927051753345029","1463927051753345029")</f>
        <v>1463927051753345029</v>
      </c>
      <c r="F3678" s="7" t="s">
        <v>17</v>
      </c>
      <c r="G3678" s="7">
        <v>1600348</v>
      </c>
      <c r="H3678" s="7">
        <v>609</v>
      </c>
      <c r="I3678" s="7">
        <v>4</v>
      </c>
      <c r="J3678" s="7">
        <v>37</v>
      </c>
      <c r="K3678" s="7" t="s">
        <v>18</v>
      </c>
      <c r="L3678" s="8">
        <v>39891.213356481479</v>
      </c>
      <c r="M3678" s="9" t="s">
        <v>19</v>
      </c>
      <c r="N3678" s="9" t="s">
        <v>22</v>
      </c>
      <c r="O3678" s="6" t="str">
        <f>HYPERLINK("https://pbs.twimg.com/profile_images/1433591977631748099/wuGDIimB_normal.jpg","View")</f>
        <v>View</v>
      </c>
      <c r="P3678" s="7"/>
    </row>
    <row r="3679" spans="1:16">
      <c r="A3679" s="3">
        <v>44525.984513888892</v>
      </c>
      <c r="B3679" s="4" t="str">
        <f>HYPERLINK("https://twitter.com/sergio_fajardo","@sergio_fajardo")</f>
        <v>@sergio_fajardo</v>
      </c>
      <c r="C3679" s="5" t="s">
        <v>16</v>
      </c>
      <c r="D3679" s="5" t="s">
        <v>3700</v>
      </c>
      <c r="E3679" s="6" t="str">
        <f>HYPERLINK("https://twitter.com/sergio_fajardo/status/1463932422710513666","1463932422710513666")</f>
        <v>1463932422710513666</v>
      </c>
      <c r="F3679" s="7" t="s">
        <v>17</v>
      </c>
      <c r="G3679" s="7">
        <v>1600353</v>
      </c>
      <c r="H3679" s="7">
        <v>609</v>
      </c>
      <c r="I3679" s="7">
        <v>6</v>
      </c>
      <c r="J3679" s="7">
        <v>25</v>
      </c>
      <c r="K3679" s="7" t="s">
        <v>18</v>
      </c>
      <c r="L3679" s="8">
        <v>39891.213356481479</v>
      </c>
      <c r="M3679" s="9" t="s">
        <v>19</v>
      </c>
      <c r="N3679" s="9" t="s">
        <v>22</v>
      </c>
      <c r="O3679" s="6" t="str">
        <f>HYPERLINK("https://pbs.twimg.com/profile_images/1433591977631748099/wuGDIimB_normal.jpg","View")</f>
        <v>View</v>
      </c>
      <c r="P3679" s="7"/>
    </row>
    <row r="3680" spans="1:16">
      <c r="A3680" s="3">
        <v>44526.208807870367</v>
      </c>
      <c r="B3680" s="4" t="str">
        <f>HYPERLINK("https://twitter.com/sergio_fajardo","@sergio_fajardo")</f>
        <v>@sergio_fajardo</v>
      </c>
      <c r="C3680" s="5" t="s">
        <v>16</v>
      </c>
      <c r="D3680" s="5" t="s">
        <v>3701</v>
      </c>
      <c r="E3680" s="6" t="str">
        <f>HYPERLINK("https://twitter.com/sergio_fajardo/status/1464013702135529477","1464013702135529477")</f>
        <v>1464013702135529477</v>
      </c>
      <c r="F3680" s="7" t="s">
        <v>2329</v>
      </c>
      <c r="G3680" s="7">
        <v>1600371</v>
      </c>
      <c r="H3680" s="7">
        <v>609</v>
      </c>
      <c r="I3680" s="7">
        <v>6</v>
      </c>
      <c r="J3680" s="7">
        <v>12</v>
      </c>
      <c r="K3680" s="7" t="s">
        <v>18</v>
      </c>
      <c r="L3680" s="8">
        <v>39891.213356481479</v>
      </c>
      <c r="M3680" s="9" t="s">
        <v>19</v>
      </c>
      <c r="N3680" s="9" t="s">
        <v>22</v>
      </c>
      <c r="O3680" s="6" t="str">
        <f>HYPERLINK("https://pbs.twimg.com/profile_images/1433591977631748099/wuGDIimB_normal.jpg","View")</f>
        <v>View</v>
      </c>
      <c r="P3680" s="7"/>
    </row>
    <row r="3681" spans="1:16">
      <c r="A3681" s="3">
        <v>44526.231840277775</v>
      </c>
      <c r="B3681" s="4" t="str">
        <f>HYPERLINK("https://twitter.com/sergio_fajardo","@sergio_fajardo")</f>
        <v>@sergio_fajardo</v>
      </c>
      <c r="C3681" s="5" t="s">
        <v>16</v>
      </c>
      <c r="D3681" s="5" t="s">
        <v>3702</v>
      </c>
      <c r="E3681" s="6" t="str">
        <f>HYPERLINK("https://twitter.com/sergio_fajardo/status/1464022048544636933","1464022048544636933")</f>
        <v>1464022048544636933</v>
      </c>
      <c r="F3681" s="7" t="s">
        <v>23</v>
      </c>
      <c r="G3681" s="7">
        <v>1600372</v>
      </c>
      <c r="H3681" s="7">
        <v>609</v>
      </c>
      <c r="I3681" s="7">
        <v>5</v>
      </c>
      <c r="J3681" s="7">
        <v>0</v>
      </c>
      <c r="K3681" s="7" t="s">
        <v>18</v>
      </c>
      <c r="L3681" s="8">
        <v>39891.213356481479</v>
      </c>
      <c r="M3681" s="9" t="s">
        <v>19</v>
      </c>
      <c r="N3681" s="9" t="s">
        <v>22</v>
      </c>
      <c r="O3681" s="6" t="str">
        <f>HYPERLINK("https://pbs.twimg.com/profile_images/1433591977631748099/wuGDIimB_normal.jpg","View")</f>
        <v>View</v>
      </c>
      <c r="P3681" s="7"/>
    </row>
    <row r="3682" spans="1:16">
      <c r="A3682" s="3">
        <v>44526.240324074075</v>
      </c>
      <c r="B3682" s="4" t="str">
        <f>HYPERLINK("https://twitter.com/sergio_fajardo","@sergio_fajardo")</f>
        <v>@sergio_fajardo</v>
      </c>
      <c r="C3682" s="5" t="s">
        <v>16</v>
      </c>
      <c r="D3682" s="5" t="s">
        <v>3703</v>
      </c>
      <c r="E3682" s="6" t="str">
        <f>HYPERLINK("https://twitter.com/sergio_fajardo/status/1464025123661524993","1464025123661524993")</f>
        <v>1464025123661524993</v>
      </c>
      <c r="F3682" s="7" t="s">
        <v>17</v>
      </c>
      <c r="G3682" s="7">
        <v>1600372</v>
      </c>
      <c r="H3682" s="7">
        <v>609</v>
      </c>
      <c r="I3682" s="7">
        <v>5</v>
      </c>
      <c r="J3682" s="7">
        <v>0</v>
      </c>
      <c r="K3682" s="7" t="s">
        <v>18</v>
      </c>
      <c r="L3682" s="8">
        <v>39891.213356481479</v>
      </c>
      <c r="M3682" s="9" t="s">
        <v>19</v>
      </c>
      <c r="N3682" s="9" t="s">
        <v>22</v>
      </c>
      <c r="O3682" s="6" t="str">
        <f>HYPERLINK("https://pbs.twimg.com/profile_images/1433591977631748099/wuGDIimB_normal.jpg","View")</f>
        <v>View</v>
      </c>
      <c r="P3682" s="7"/>
    </row>
    <row r="3683" spans="1:16">
      <c r="A3683" s="3">
        <v>44526.278263888889</v>
      </c>
      <c r="B3683" s="4" t="str">
        <f>HYPERLINK("https://twitter.com/sergio_fajardo","@sergio_fajardo")</f>
        <v>@sergio_fajardo</v>
      </c>
      <c r="C3683" s="5" t="s">
        <v>16</v>
      </c>
      <c r="D3683" s="5" t="s">
        <v>3704</v>
      </c>
      <c r="E3683" s="6" t="str">
        <f>HYPERLINK("https://twitter.com/sergio_fajardo/status/1464038873693106182","1464038873693106182")</f>
        <v>1464038873693106182</v>
      </c>
      <c r="F3683" s="7" t="s">
        <v>23</v>
      </c>
      <c r="G3683" s="7">
        <v>1600383</v>
      </c>
      <c r="H3683" s="7">
        <v>609</v>
      </c>
      <c r="I3683" s="7">
        <v>7</v>
      </c>
      <c r="J3683" s="7">
        <v>0</v>
      </c>
      <c r="K3683" s="7" t="s">
        <v>18</v>
      </c>
      <c r="L3683" s="8">
        <v>39891.213356481479</v>
      </c>
      <c r="M3683" s="9" t="s">
        <v>19</v>
      </c>
      <c r="N3683" s="9" t="s">
        <v>22</v>
      </c>
      <c r="O3683" s="6" t="str">
        <f>HYPERLINK("https://pbs.twimg.com/profile_images/1433591977631748099/wuGDIimB_normal.jpg","View")</f>
        <v>View</v>
      </c>
      <c r="P3683" s="7"/>
    </row>
    <row r="3684" spans="1:16">
      <c r="A3684" s="3">
        <v>44526.278333333335</v>
      </c>
      <c r="B3684" s="4" t="str">
        <f>HYPERLINK("https://twitter.com/sergio_fajardo","@sergio_fajardo")</f>
        <v>@sergio_fajardo</v>
      </c>
      <c r="C3684" s="5" t="s">
        <v>16</v>
      </c>
      <c r="D3684" s="5" t="s">
        <v>3705</v>
      </c>
      <c r="E3684" s="6" t="str">
        <f>HYPERLINK("https://twitter.com/sergio_fajardo/status/1464038899643265025","1464038899643265025")</f>
        <v>1464038899643265025</v>
      </c>
      <c r="F3684" s="7" t="s">
        <v>23</v>
      </c>
      <c r="G3684" s="7">
        <v>1600383</v>
      </c>
      <c r="H3684" s="7">
        <v>609</v>
      </c>
      <c r="I3684" s="7">
        <v>5</v>
      </c>
      <c r="J3684" s="7">
        <v>0</v>
      </c>
      <c r="K3684" s="7" t="s">
        <v>18</v>
      </c>
      <c r="L3684" s="8">
        <v>39891.213356481479</v>
      </c>
      <c r="M3684" s="9" t="s">
        <v>19</v>
      </c>
      <c r="N3684" s="9" t="s">
        <v>22</v>
      </c>
      <c r="O3684" s="6" t="str">
        <f>HYPERLINK("https://pbs.twimg.com/profile_images/1433591977631748099/wuGDIimB_normal.jpg","View")</f>
        <v>View</v>
      </c>
      <c r="P3684" s="7"/>
    </row>
    <row r="3685" spans="1:16">
      <c r="A3685" s="3">
        <v>44526.743263888886</v>
      </c>
      <c r="B3685" s="4" t="str">
        <f>HYPERLINK("https://twitter.com/sergio_fajardo","@sergio_fajardo")</f>
        <v>@sergio_fajardo</v>
      </c>
      <c r="C3685" s="5" t="s">
        <v>16</v>
      </c>
      <c r="D3685" s="5" t="s">
        <v>3706</v>
      </c>
      <c r="E3685" s="6" t="str">
        <f>HYPERLINK("https://twitter.com/sergio_fajardo/status/1464207383002066944","1464207383002066944")</f>
        <v>1464207383002066944</v>
      </c>
      <c r="F3685" s="7" t="s">
        <v>2329</v>
      </c>
      <c r="G3685" s="7">
        <v>1600417</v>
      </c>
      <c r="H3685" s="7">
        <v>609</v>
      </c>
      <c r="I3685" s="7">
        <v>4</v>
      </c>
      <c r="J3685" s="7">
        <v>18</v>
      </c>
      <c r="K3685" s="7" t="s">
        <v>18</v>
      </c>
      <c r="L3685" s="8">
        <v>39891.213356481479</v>
      </c>
      <c r="M3685" s="9" t="s">
        <v>19</v>
      </c>
      <c r="N3685" s="9" t="s">
        <v>22</v>
      </c>
      <c r="O3685" s="6" t="str">
        <f>HYPERLINK("https://pbs.twimg.com/profile_images/1433591977631748099/wuGDIimB_normal.jpg","View")</f>
        <v>View</v>
      </c>
      <c r="P3685" s="7"/>
    </row>
    <row r="3686" spans="1:16">
      <c r="A3686" s="3">
        <v>44526.94809027778</v>
      </c>
      <c r="B3686" s="4" t="str">
        <f>HYPERLINK("https://twitter.com/sergio_fajardo","@sergio_fajardo")</f>
        <v>@sergio_fajardo</v>
      </c>
      <c r="C3686" s="5" t="s">
        <v>16</v>
      </c>
      <c r="D3686" s="5" t="s">
        <v>3707</v>
      </c>
      <c r="E3686" s="6" t="str">
        <f>HYPERLINK("https://twitter.com/sergio_fajardo/status/1464281610317140003","1464281610317140003")</f>
        <v>1464281610317140003</v>
      </c>
      <c r="F3686" s="7" t="s">
        <v>17</v>
      </c>
      <c r="G3686" s="7">
        <v>1600469</v>
      </c>
      <c r="H3686" s="7">
        <v>611</v>
      </c>
      <c r="I3686" s="7">
        <v>55</v>
      </c>
      <c r="J3686" s="7">
        <v>157</v>
      </c>
      <c r="K3686" s="7" t="s">
        <v>18</v>
      </c>
      <c r="L3686" s="8">
        <v>39891.213356481479</v>
      </c>
      <c r="M3686" s="9" t="s">
        <v>19</v>
      </c>
      <c r="N3686" s="9" t="s">
        <v>22</v>
      </c>
      <c r="O3686" s="6" t="str">
        <f>HYPERLINK("https://pbs.twimg.com/profile_images/1433591977631748099/wuGDIimB_normal.jpg","View")</f>
        <v>View</v>
      </c>
      <c r="P3686" s="7"/>
    </row>
    <row r="3687" spans="1:16">
      <c r="A3687" s="3">
        <v>44527.069513888884</v>
      </c>
      <c r="B3687" s="4" t="str">
        <f>HYPERLINK("https://twitter.com/sergio_fajardo","@sergio_fajardo")</f>
        <v>@sergio_fajardo</v>
      </c>
      <c r="C3687" s="5" t="s">
        <v>16</v>
      </c>
      <c r="D3687" s="5" t="s">
        <v>3708</v>
      </c>
      <c r="E3687" s="6" t="str">
        <f>HYPERLINK("https://twitter.com/sergio_fajardo/status/1464325613368586245","1464325613368586245")</f>
        <v>1464325613368586245</v>
      </c>
      <c r="F3687" s="7" t="s">
        <v>17</v>
      </c>
      <c r="G3687" s="7">
        <v>1600502</v>
      </c>
      <c r="H3687" s="7">
        <v>611</v>
      </c>
      <c r="I3687" s="7">
        <v>67</v>
      </c>
      <c r="J3687" s="7">
        <v>0</v>
      </c>
      <c r="K3687" s="7" t="s">
        <v>18</v>
      </c>
      <c r="L3687" s="8">
        <v>39891.213356481479</v>
      </c>
      <c r="M3687" s="9" t="s">
        <v>19</v>
      </c>
      <c r="N3687" s="9" t="s">
        <v>22</v>
      </c>
      <c r="O3687" s="6" t="str">
        <f>HYPERLINK("https://pbs.twimg.com/profile_images/1433591977631748099/wuGDIimB_normal.jpg","View")</f>
        <v>View</v>
      </c>
      <c r="P3687" s="7"/>
    </row>
    <row r="3688" spans="1:16">
      <c r="A3688" s="3">
        <v>44527.116655092592</v>
      </c>
      <c r="B3688" s="4" t="str">
        <f>HYPERLINK("https://twitter.com/sergio_fajardo","@sergio_fajardo")</f>
        <v>@sergio_fajardo</v>
      </c>
      <c r="C3688" s="5" t="s">
        <v>16</v>
      </c>
      <c r="D3688" s="5" t="s">
        <v>3709</v>
      </c>
      <c r="E3688" s="6" t="str">
        <f>HYPERLINK("https://twitter.com/sergio_fajardo/status/1464342693971206145","1464342693971206145")</f>
        <v>1464342693971206145</v>
      </c>
      <c r="F3688" s="7" t="s">
        <v>17</v>
      </c>
      <c r="G3688" s="7">
        <v>1600506</v>
      </c>
      <c r="H3688" s="7">
        <v>611</v>
      </c>
      <c r="I3688" s="7">
        <v>157</v>
      </c>
      <c r="J3688" s="7">
        <v>0</v>
      </c>
      <c r="K3688" s="7" t="s">
        <v>18</v>
      </c>
      <c r="L3688" s="8">
        <v>39891.213356481479</v>
      </c>
      <c r="M3688" s="9" t="s">
        <v>19</v>
      </c>
      <c r="N3688" s="9" t="s">
        <v>22</v>
      </c>
      <c r="O3688" s="6" t="str">
        <f>HYPERLINK("https://pbs.twimg.com/profile_images/1433591977631748099/wuGDIimB_normal.jpg","View")</f>
        <v>View</v>
      </c>
      <c r="P3688" s="7"/>
    </row>
    <row r="3689" spans="1:16">
      <c r="A3689" s="3">
        <v>44527.772685185184</v>
      </c>
      <c r="B3689" s="4" t="str">
        <f>HYPERLINK("https://twitter.com/sergio_fajardo","@sergio_fajardo")</f>
        <v>@sergio_fajardo</v>
      </c>
      <c r="C3689" s="5" t="s">
        <v>16</v>
      </c>
      <c r="D3689" s="5" t="s">
        <v>3710</v>
      </c>
      <c r="E3689" s="6" t="str">
        <f>HYPERLINK("https://twitter.com/sergio_fajardo/status/1464580434898169860","1464580434898169860")</f>
        <v>1464580434898169860</v>
      </c>
      <c r="F3689" s="7" t="s">
        <v>17</v>
      </c>
      <c r="G3689" s="7">
        <v>1600589</v>
      </c>
      <c r="H3689" s="7">
        <v>611</v>
      </c>
      <c r="I3689" s="7">
        <v>242</v>
      </c>
      <c r="J3689" s="7">
        <v>0</v>
      </c>
      <c r="K3689" s="7" t="s">
        <v>18</v>
      </c>
      <c r="L3689" s="8">
        <v>39891.213356481479</v>
      </c>
      <c r="M3689" s="9" t="s">
        <v>19</v>
      </c>
      <c r="N3689" s="9" t="s">
        <v>22</v>
      </c>
      <c r="O3689" s="6" t="str">
        <f>HYPERLINK("https://pbs.twimg.com/profile_images/1433591977631748099/wuGDIimB_normal.jpg","View")</f>
        <v>View</v>
      </c>
      <c r="P3689" s="7"/>
    </row>
    <row r="3690" spans="1:16">
      <c r="A3690" s="3">
        <v>44529.218796296293</v>
      </c>
      <c r="B3690" s="4" t="str">
        <f>HYPERLINK("https://twitter.com/sergio_fajardo","@sergio_fajardo")</f>
        <v>@sergio_fajardo</v>
      </c>
      <c r="C3690" s="5" t="s">
        <v>16</v>
      </c>
      <c r="D3690" s="5" t="s">
        <v>3711</v>
      </c>
      <c r="E3690" s="6" t="str">
        <f>HYPERLINK("https://twitter.com/sergio_fajardo/status/1465104486637182986","1465104486637182986")</f>
        <v>1465104486637182986</v>
      </c>
      <c r="F3690" s="7" t="s">
        <v>17</v>
      </c>
      <c r="G3690" s="7">
        <v>1600717</v>
      </c>
      <c r="H3690" s="7">
        <v>615</v>
      </c>
      <c r="I3690" s="7">
        <v>109</v>
      </c>
      <c r="J3690" s="7">
        <v>469</v>
      </c>
      <c r="K3690" s="7" t="s">
        <v>18</v>
      </c>
      <c r="L3690" s="8">
        <v>39891.213356481479</v>
      </c>
      <c r="M3690" s="9" t="s">
        <v>19</v>
      </c>
      <c r="N3690" s="9" t="s">
        <v>22</v>
      </c>
      <c r="O3690" s="6" t="str">
        <f>HYPERLINK("https://pbs.twimg.com/profile_images/1433591977631748099/wuGDIimB_normal.jpg","View")</f>
        <v>View</v>
      </c>
      <c r="P3690" s="7"/>
    </row>
    <row r="3691" spans="1:16">
      <c r="A3691" s="3">
        <v>44529.246030092589</v>
      </c>
      <c r="B3691" s="4" t="str">
        <f>HYPERLINK("https://twitter.com/sergio_fajardo","@sergio_fajardo")</f>
        <v>@sergio_fajardo</v>
      </c>
      <c r="C3691" s="5" t="s">
        <v>16</v>
      </c>
      <c r="D3691" s="5" t="s">
        <v>3712</v>
      </c>
      <c r="E3691" s="6" t="str">
        <f>HYPERLINK("https://twitter.com/sergio_fajardo/status/1465114353485631495","1465114353485631495")</f>
        <v>1465114353485631495</v>
      </c>
      <c r="F3691" s="7" t="s">
        <v>17</v>
      </c>
      <c r="G3691" s="7">
        <v>1600727</v>
      </c>
      <c r="H3691" s="7">
        <v>615</v>
      </c>
      <c r="I3691" s="7">
        <v>31</v>
      </c>
      <c r="J3691" s="7">
        <v>92</v>
      </c>
      <c r="K3691" s="7" t="s">
        <v>18</v>
      </c>
      <c r="L3691" s="8">
        <v>39891.213356481479</v>
      </c>
      <c r="M3691" s="9" t="s">
        <v>19</v>
      </c>
      <c r="N3691" s="9" t="s">
        <v>22</v>
      </c>
      <c r="O3691" s="6" t="str">
        <f>HYPERLINK("https://pbs.twimg.com/profile_images/1433591977631748099/wuGDIimB_normal.jpg","View")</f>
        <v>View</v>
      </c>
      <c r="P3691" s="7"/>
    </row>
    <row r="3692" spans="1:16">
      <c r="A3692" s="3">
        <v>44529.76525462963</v>
      </c>
      <c r="B3692" s="4" t="str">
        <f>HYPERLINK("https://twitter.com/sergio_fajardo","@sergio_fajardo")</f>
        <v>@sergio_fajardo</v>
      </c>
      <c r="C3692" s="5" t="s">
        <v>16</v>
      </c>
      <c r="D3692" s="5" t="s">
        <v>3713</v>
      </c>
      <c r="E3692" s="6" t="str">
        <f>HYPERLINK("https://twitter.com/sergio_fajardo/status/1465302515092652037","1465302515092652037")</f>
        <v>1465302515092652037</v>
      </c>
      <c r="F3692" s="7" t="s">
        <v>17</v>
      </c>
      <c r="G3692" s="7">
        <v>1600785</v>
      </c>
      <c r="H3692" s="7">
        <v>615</v>
      </c>
      <c r="I3692" s="7">
        <v>25</v>
      </c>
      <c r="J3692" s="7">
        <v>0</v>
      </c>
      <c r="K3692" s="7" t="s">
        <v>18</v>
      </c>
      <c r="L3692" s="8">
        <v>39891.213356481479</v>
      </c>
      <c r="M3692" s="9" t="s">
        <v>19</v>
      </c>
      <c r="N3692" s="9" t="s">
        <v>22</v>
      </c>
      <c r="O3692" s="6" t="str">
        <f>HYPERLINK("https://pbs.twimg.com/profile_images/1433591977631748099/wuGDIimB_normal.jpg","View")</f>
        <v>View</v>
      </c>
      <c r="P3692" s="7"/>
    </row>
    <row r="3693" spans="1:16">
      <c r="A3693" s="3">
        <v>44529.934999999998</v>
      </c>
      <c r="B3693" s="4" t="str">
        <f>HYPERLINK("https://twitter.com/sergio_fajardo","@sergio_fajardo")</f>
        <v>@sergio_fajardo</v>
      </c>
      <c r="C3693" s="5" t="s">
        <v>16</v>
      </c>
      <c r="D3693" s="5" t="s">
        <v>3714</v>
      </c>
      <c r="E3693" s="6" t="str">
        <f>HYPERLINK("https://twitter.com/sergio_fajardo/status/1465364029971517441","1465364029971517441")</f>
        <v>1465364029971517441</v>
      </c>
      <c r="F3693" s="7" t="s">
        <v>17</v>
      </c>
      <c r="G3693" s="7">
        <v>1600812</v>
      </c>
      <c r="H3693" s="7">
        <v>615</v>
      </c>
      <c r="I3693" s="7">
        <v>13</v>
      </c>
      <c r="J3693" s="7">
        <v>37</v>
      </c>
      <c r="K3693" s="7" t="s">
        <v>18</v>
      </c>
      <c r="L3693" s="8">
        <v>39891.213356481479</v>
      </c>
      <c r="M3693" s="9" t="s">
        <v>19</v>
      </c>
      <c r="N3693" s="9" t="s">
        <v>22</v>
      </c>
      <c r="O3693" s="6" t="str">
        <f>HYPERLINK("https://pbs.twimg.com/profile_images/1433591977631748099/wuGDIimB_normal.jpg","View")</f>
        <v>View</v>
      </c>
      <c r="P3693" s="7"/>
    </row>
    <row r="3694" spans="1:16">
      <c r="A3694" s="3">
        <v>44529.945925925931</v>
      </c>
      <c r="B3694" s="4" t="str">
        <f>HYPERLINK("https://twitter.com/sergio_fajardo","@sergio_fajardo")</f>
        <v>@sergio_fajardo</v>
      </c>
      <c r="C3694" s="5" t="s">
        <v>16</v>
      </c>
      <c r="D3694" s="5" t="s">
        <v>3715</v>
      </c>
      <c r="E3694" s="6" t="str">
        <f>HYPERLINK("https://twitter.com/sergio_fajardo/status/1465367987788161031","1465367987788161031")</f>
        <v>1465367987788161031</v>
      </c>
      <c r="F3694" s="7" t="s">
        <v>17</v>
      </c>
      <c r="G3694" s="7">
        <v>1600809</v>
      </c>
      <c r="H3694" s="7">
        <v>615</v>
      </c>
      <c r="I3694" s="7">
        <v>2</v>
      </c>
      <c r="J3694" s="7">
        <v>8</v>
      </c>
      <c r="K3694" s="7" t="s">
        <v>18</v>
      </c>
      <c r="L3694" s="8">
        <v>39891.213356481479</v>
      </c>
      <c r="M3694" s="9" t="s">
        <v>19</v>
      </c>
      <c r="N3694" s="9" t="s">
        <v>22</v>
      </c>
      <c r="O3694" s="6" t="str">
        <f>HYPERLINK("https://pbs.twimg.com/profile_images/1433591977631748099/wuGDIimB_normal.jpg","View")</f>
        <v>View</v>
      </c>
      <c r="P3694" s="7"/>
    </row>
    <row r="3695" spans="1:16">
      <c r="A3695" s="3">
        <v>44529.952789351853</v>
      </c>
      <c r="B3695" s="4" t="str">
        <f>HYPERLINK("https://twitter.com/sergio_fajardo","@sergio_fajardo")</f>
        <v>@sergio_fajardo</v>
      </c>
      <c r="C3695" s="5" t="s">
        <v>16</v>
      </c>
      <c r="D3695" s="5" t="s">
        <v>3716</v>
      </c>
      <c r="E3695" s="6" t="str">
        <f>HYPERLINK("https://twitter.com/sergio_fajardo/status/1465370477556379652","1465370477556379652")</f>
        <v>1465370477556379652</v>
      </c>
      <c r="F3695" s="7" t="s">
        <v>17</v>
      </c>
      <c r="G3695" s="7">
        <v>1600809</v>
      </c>
      <c r="H3695" s="7">
        <v>615</v>
      </c>
      <c r="I3695" s="7">
        <v>5</v>
      </c>
      <c r="J3695" s="7">
        <v>28</v>
      </c>
      <c r="K3695" s="7" t="s">
        <v>18</v>
      </c>
      <c r="L3695" s="8">
        <v>39891.213356481479</v>
      </c>
      <c r="M3695" s="9" t="s">
        <v>19</v>
      </c>
      <c r="N3695" s="9" t="s">
        <v>22</v>
      </c>
      <c r="O3695" s="6" t="str">
        <f>HYPERLINK("https://pbs.twimg.com/profile_images/1433591977631748099/wuGDIimB_normal.jpg","View")</f>
        <v>View</v>
      </c>
      <c r="P3695" s="7"/>
    </row>
    <row r="3696" spans="1:16">
      <c r="A3696" s="3">
        <v>44530.002812499995</v>
      </c>
      <c r="B3696" s="4" t="str">
        <f>HYPERLINK("https://twitter.com/sergio_fajardo","@sergio_fajardo")</f>
        <v>@sergio_fajardo</v>
      </c>
      <c r="C3696" s="5" t="s">
        <v>16</v>
      </c>
      <c r="D3696" s="5" t="s">
        <v>3717</v>
      </c>
      <c r="E3696" s="6" t="str">
        <f>HYPERLINK("https://twitter.com/sergio_fajardo/status/1465388605048856577","1465388605048856577")</f>
        <v>1465388605048856577</v>
      </c>
      <c r="F3696" s="7" t="s">
        <v>17</v>
      </c>
      <c r="G3696" s="7">
        <v>1600818</v>
      </c>
      <c r="H3696" s="7">
        <v>615</v>
      </c>
      <c r="I3696" s="7">
        <v>6</v>
      </c>
      <c r="J3696" s="7">
        <v>0</v>
      </c>
      <c r="K3696" s="7" t="s">
        <v>18</v>
      </c>
      <c r="L3696" s="8">
        <v>39891.213356481479</v>
      </c>
      <c r="M3696" s="9" t="s">
        <v>19</v>
      </c>
      <c r="N3696" s="9" t="s">
        <v>22</v>
      </c>
      <c r="O3696" s="6" t="str">
        <f>HYPERLINK("https://pbs.twimg.com/profile_images/1433591977631748099/wuGDIimB_normal.jpg","View")</f>
        <v>View</v>
      </c>
      <c r="P3696" s="7"/>
    </row>
    <row r="3697" spans="1:16">
      <c r="A3697" s="3">
        <v>44530.154942129629</v>
      </c>
      <c r="B3697" s="4" t="str">
        <f>HYPERLINK("https://twitter.com/sergio_fajardo","@sergio_fajardo")</f>
        <v>@sergio_fajardo</v>
      </c>
      <c r="C3697" s="5" t="s">
        <v>16</v>
      </c>
      <c r="D3697" s="5" t="s">
        <v>3718</v>
      </c>
      <c r="E3697" s="6" t="str">
        <f>HYPERLINK("https://twitter.com/sergio_fajardo/status/1465443733143527433","1465443733143527433")</f>
        <v>1465443733143527433</v>
      </c>
      <c r="F3697" s="7" t="s">
        <v>23</v>
      </c>
      <c r="G3697" s="7">
        <v>1600853</v>
      </c>
      <c r="H3697" s="7">
        <v>615</v>
      </c>
      <c r="I3697" s="7">
        <v>46</v>
      </c>
      <c r="J3697" s="7">
        <v>146</v>
      </c>
      <c r="K3697" s="7" t="s">
        <v>18</v>
      </c>
      <c r="L3697" s="8">
        <v>39891.213356481479</v>
      </c>
      <c r="M3697" s="9" t="s">
        <v>19</v>
      </c>
      <c r="N3697" s="9" t="s">
        <v>22</v>
      </c>
      <c r="O3697" s="6" t="str">
        <f>HYPERLINK("https://pbs.twimg.com/profile_images/1433591977631748099/wuGDIimB_normal.jpg","View")</f>
        <v>View</v>
      </c>
      <c r="P3697" s="7"/>
    </row>
    <row r="3698" spans="1:16">
      <c r="A3698" s="3">
        <v>44530.181168981479</v>
      </c>
      <c r="B3698" s="4" t="str">
        <f>HYPERLINK("https://twitter.com/sergio_fajardo","@sergio_fajardo")</f>
        <v>@sergio_fajardo</v>
      </c>
      <c r="C3698" s="5" t="s">
        <v>16</v>
      </c>
      <c r="D3698" s="5" t="s">
        <v>3719</v>
      </c>
      <c r="E3698" s="6" t="str">
        <f>HYPERLINK("https://twitter.com/sergio_fajardo/status/1465453240137486346","1465453240137486346")</f>
        <v>1465453240137486346</v>
      </c>
      <c r="F3698" s="7" t="s">
        <v>17</v>
      </c>
      <c r="G3698" s="7">
        <v>1600852</v>
      </c>
      <c r="H3698" s="7">
        <v>615</v>
      </c>
      <c r="I3698" s="7">
        <v>121</v>
      </c>
      <c r="J3698" s="7">
        <v>409</v>
      </c>
      <c r="K3698" s="7" t="s">
        <v>18</v>
      </c>
      <c r="L3698" s="8">
        <v>39891.213356481479</v>
      </c>
      <c r="M3698" s="9" t="s">
        <v>19</v>
      </c>
      <c r="N3698" s="9" t="s">
        <v>22</v>
      </c>
      <c r="O3698" s="6" t="str">
        <f>HYPERLINK("https://pbs.twimg.com/profile_images/1433591977631748099/wuGDIimB_normal.jpg","View")</f>
        <v>View</v>
      </c>
      <c r="P3698" s="7"/>
    </row>
    <row r="3699" spans="1:16">
      <c r="A3699" s="3">
        <v>44530.294895833329</v>
      </c>
      <c r="B3699" s="4" t="str">
        <f>HYPERLINK("https://twitter.com/sergio_fajardo","@sergio_fajardo")</f>
        <v>@sergio_fajardo</v>
      </c>
      <c r="C3699" s="5" t="s">
        <v>16</v>
      </c>
      <c r="D3699" s="5" t="s">
        <v>3720</v>
      </c>
      <c r="E3699" s="6" t="str">
        <f>HYPERLINK("https://twitter.com/sergio_fajardo/status/1465494452374495234","1465494452374495234")</f>
        <v>1465494452374495234</v>
      </c>
      <c r="F3699" s="7" t="s">
        <v>17</v>
      </c>
      <c r="G3699" s="7">
        <v>1600889</v>
      </c>
      <c r="H3699" s="7">
        <v>614</v>
      </c>
      <c r="I3699" s="7">
        <v>203</v>
      </c>
      <c r="J3699" s="7">
        <v>994</v>
      </c>
      <c r="K3699" s="7" t="s">
        <v>18</v>
      </c>
      <c r="L3699" s="8">
        <v>39891.213356481479</v>
      </c>
      <c r="M3699" s="9" t="s">
        <v>19</v>
      </c>
      <c r="N3699" s="9" t="s">
        <v>22</v>
      </c>
      <c r="O3699" s="6" t="str">
        <f>HYPERLINK("https://pbs.twimg.com/profile_images/1433591977631748099/wuGDIimB_normal.jpg","View")</f>
        <v>View</v>
      </c>
      <c r="P3699" s="7"/>
    </row>
    <row r="3700" spans="1:16">
      <c r="A3700" s="3">
        <v>44530.753807870366</v>
      </c>
      <c r="B3700" s="4" t="str">
        <f>HYPERLINK("https://twitter.com/sergio_fajardo","@sergio_fajardo")</f>
        <v>@sergio_fajardo</v>
      </c>
      <c r="C3700" s="5" t="s">
        <v>16</v>
      </c>
      <c r="D3700" s="5" t="s">
        <v>3721</v>
      </c>
      <c r="E3700" s="6" t="str">
        <f>HYPERLINK("https://twitter.com/sergio_fajardo/status/1465660756448399376","1465660756448399376")</f>
        <v>1465660756448399376</v>
      </c>
      <c r="F3700" s="7" t="s">
        <v>23</v>
      </c>
      <c r="G3700" s="7">
        <v>1600961</v>
      </c>
      <c r="H3700" s="7">
        <v>614</v>
      </c>
      <c r="I3700" s="7">
        <v>18</v>
      </c>
      <c r="J3700" s="7">
        <v>62</v>
      </c>
      <c r="K3700" s="7" t="s">
        <v>18</v>
      </c>
      <c r="L3700" s="8">
        <v>39891.213356481479</v>
      </c>
      <c r="M3700" s="9" t="s">
        <v>19</v>
      </c>
      <c r="N3700" s="9" t="s">
        <v>22</v>
      </c>
      <c r="O3700" s="6" t="str">
        <f>HYPERLINK("https://pbs.twimg.com/profile_images/1433591977631748099/wuGDIimB_normal.jpg","View")</f>
        <v>View</v>
      </c>
      <c r="P3700" s="7"/>
    </row>
    <row r="3701" spans="1:16">
      <c r="A3701" s="3">
        <v>44530.765324074076</v>
      </c>
      <c r="B3701" s="4" t="str">
        <f>HYPERLINK("https://twitter.com/sergio_fajardo","@sergio_fajardo")</f>
        <v>@sergio_fajardo</v>
      </c>
      <c r="C3701" s="5" t="s">
        <v>16</v>
      </c>
      <c r="D3701" s="5" t="s">
        <v>3722</v>
      </c>
      <c r="E3701" s="6" t="str">
        <f>HYPERLINK("https://twitter.com/sergio_fajardo/status/1465664931185967105","1465664931185967105")</f>
        <v>1465664931185967105</v>
      </c>
      <c r="F3701" s="7" t="s">
        <v>23</v>
      </c>
      <c r="G3701" s="7">
        <v>1600961</v>
      </c>
      <c r="H3701" s="7">
        <v>614</v>
      </c>
      <c r="I3701" s="7">
        <v>9</v>
      </c>
      <c r="J3701" s="7">
        <v>38</v>
      </c>
      <c r="K3701" s="7" t="s">
        <v>18</v>
      </c>
      <c r="L3701" s="8">
        <v>39891.213356481479</v>
      </c>
      <c r="M3701" s="9" t="s">
        <v>19</v>
      </c>
      <c r="N3701" s="9" t="s">
        <v>22</v>
      </c>
      <c r="O3701" s="6" t="str">
        <f>HYPERLINK("https://pbs.twimg.com/profile_images/1433591977631748099/wuGDIimB_normal.jpg","View")</f>
        <v>View</v>
      </c>
      <c r="P3701" s="7"/>
    </row>
    <row r="3702" spans="1:16">
      <c r="A3702" s="3">
        <v>44530.778680555552</v>
      </c>
      <c r="B3702" s="4" t="str">
        <f>HYPERLINK("https://twitter.com/sergio_fajardo","@sergio_fajardo")</f>
        <v>@sergio_fajardo</v>
      </c>
      <c r="C3702" s="5" t="s">
        <v>16</v>
      </c>
      <c r="D3702" s="5" t="s">
        <v>3723</v>
      </c>
      <c r="E3702" s="6" t="str">
        <f>HYPERLINK("https://twitter.com/sergio_fajardo/status/1465669769949032460","1465669769949032460")</f>
        <v>1465669769949032460</v>
      </c>
      <c r="F3702" s="7" t="s">
        <v>23</v>
      </c>
      <c r="G3702" s="7">
        <v>1600961</v>
      </c>
      <c r="H3702" s="7">
        <v>614</v>
      </c>
      <c r="I3702" s="7">
        <v>29</v>
      </c>
      <c r="J3702" s="7">
        <v>0</v>
      </c>
      <c r="K3702" s="7" t="s">
        <v>18</v>
      </c>
      <c r="L3702" s="8">
        <v>39891.213356481479</v>
      </c>
      <c r="M3702" s="9" t="s">
        <v>19</v>
      </c>
      <c r="N3702" s="9" t="s">
        <v>22</v>
      </c>
      <c r="O3702" s="6" t="str">
        <f>HYPERLINK("https://pbs.twimg.com/profile_images/1433591977631748099/wuGDIimB_normal.jpg","View")</f>
        <v>View</v>
      </c>
      <c r="P3702" s="7"/>
    </row>
    <row r="3703" spans="1:16">
      <c r="A3703" s="3">
        <v>44530.778773148151</v>
      </c>
      <c r="B3703" s="4" t="str">
        <f>HYPERLINK("https://twitter.com/sergio_fajardo","@sergio_fajardo")</f>
        <v>@sergio_fajardo</v>
      </c>
      <c r="C3703" s="5" t="s">
        <v>16</v>
      </c>
      <c r="D3703" s="5" t="s">
        <v>3724</v>
      </c>
      <c r="E3703" s="6" t="str">
        <f>HYPERLINK("https://twitter.com/sergio_fajardo/status/1465669802622689288","1465669802622689288")</f>
        <v>1465669802622689288</v>
      </c>
      <c r="F3703" s="7" t="s">
        <v>23</v>
      </c>
      <c r="G3703" s="7">
        <v>1600961</v>
      </c>
      <c r="H3703" s="7">
        <v>614</v>
      </c>
      <c r="I3703" s="7">
        <v>7</v>
      </c>
      <c r="J3703" s="7">
        <v>0</v>
      </c>
      <c r="K3703" s="7" t="s">
        <v>18</v>
      </c>
      <c r="L3703" s="8">
        <v>39891.213356481479</v>
      </c>
      <c r="M3703" s="9" t="s">
        <v>19</v>
      </c>
      <c r="N3703" s="9" t="s">
        <v>22</v>
      </c>
      <c r="O3703" s="6" t="str">
        <f>HYPERLINK("https://pbs.twimg.com/profile_images/1433591977631748099/wuGDIimB_normal.jpg","View")</f>
        <v>View</v>
      </c>
      <c r="P3703" s="7"/>
    </row>
    <row r="3704" spans="1:16">
      <c r="A3704" s="3">
        <v>44530.778854166667</v>
      </c>
      <c r="B3704" s="4" t="str">
        <f>HYPERLINK("https://twitter.com/sergio_fajardo","@sergio_fajardo")</f>
        <v>@sergio_fajardo</v>
      </c>
      <c r="C3704" s="5" t="s">
        <v>16</v>
      </c>
      <c r="D3704" s="5" t="s">
        <v>3725</v>
      </c>
      <c r="E3704" s="6" t="str">
        <f>HYPERLINK("https://twitter.com/sergio_fajardo/status/1465669830875430914","1465669830875430914")</f>
        <v>1465669830875430914</v>
      </c>
      <c r="F3704" s="7" t="s">
        <v>23</v>
      </c>
      <c r="G3704" s="7">
        <v>1600961</v>
      </c>
      <c r="H3704" s="7">
        <v>614</v>
      </c>
      <c r="I3704" s="7">
        <v>10</v>
      </c>
      <c r="J3704" s="7">
        <v>0</v>
      </c>
      <c r="K3704" s="7" t="s">
        <v>18</v>
      </c>
      <c r="L3704" s="8">
        <v>39891.213356481479</v>
      </c>
      <c r="M3704" s="9" t="s">
        <v>19</v>
      </c>
      <c r="N3704" s="9" t="s">
        <v>22</v>
      </c>
      <c r="O3704" s="6" t="str">
        <f>HYPERLINK("https://pbs.twimg.com/profile_images/1433591977631748099/wuGDIimB_normal.jpg","View")</f>
        <v>View</v>
      </c>
      <c r="P3704" s="7"/>
    </row>
    <row r="3705" spans="1:16">
      <c r="A3705" s="3">
        <v>44530.778900462959</v>
      </c>
      <c r="B3705" s="4" t="str">
        <f>HYPERLINK("https://twitter.com/sergio_fajardo","@sergio_fajardo")</f>
        <v>@sergio_fajardo</v>
      </c>
      <c r="C3705" s="5" t="s">
        <v>16</v>
      </c>
      <c r="D3705" s="5" t="s">
        <v>3726</v>
      </c>
      <c r="E3705" s="6" t="str">
        <f>HYPERLINK("https://twitter.com/sergio_fajardo/status/1465669850370617349","1465669850370617349")</f>
        <v>1465669850370617349</v>
      </c>
      <c r="F3705" s="7" t="s">
        <v>23</v>
      </c>
      <c r="G3705" s="7">
        <v>1600961</v>
      </c>
      <c r="H3705" s="7">
        <v>614</v>
      </c>
      <c r="I3705" s="7">
        <v>5</v>
      </c>
      <c r="J3705" s="7">
        <v>0</v>
      </c>
      <c r="K3705" s="7" t="s">
        <v>18</v>
      </c>
      <c r="L3705" s="8">
        <v>39891.213356481479</v>
      </c>
      <c r="M3705" s="9" t="s">
        <v>19</v>
      </c>
      <c r="N3705" s="9" t="s">
        <v>22</v>
      </c>
      <c r="O3705" s="6" t="str">
        <f>HYPERLINK("https://pbs.twimg.com/profile_images/1433591977631748099/wuGDIimB_normal.jpg","View")</f>
        <v>View</v>
      </c>
      <c r="P3705" s="7"/>
    </row>
    <row r="3706" spans="1:16">
      <c r="A3706" s="3">
        <v>44530.778935185182</v>
      </c>
      <c r="B3706" s="4" t="str">
        <f>HYPERLINK("https://twitter.com/sergio_fajardo","@sergio_fajardo")</f>
        <v>@sergio_fajardo</v>
      </c>
      <c r="C3706" s="5" t="s">
        <v>16</v>
      </c>
      <c r="D3706" s="5" t="s">
        <v>3727</v>
      </c>
      <c r="E3706" s="6" t="str">
        <f>HYPERLINK("https://twitter.com/sergio_fajardo/status/1465669862391435265","1465669862391435265")</f>
        <v>1465669862391435265</v>
      </c>
      <c r="F3706" s="7" t="s">
        <v>23</v>
      </c>
      <c r="G3706" s="7">
        <v>1600961</v>
      </c>
      <c r="H3706" s="7">
        <v>614</v>
      </c>
      <c r="I3706" s="7">
        <v>9</v>
      </c>
      <c r="J3706" s="7">
        <v>0</v>
      </c>
      <c r="K3706" s="7" t="s">
        <v>18</v>
      </c>
      <c r="L3706" s="8">
        <v>39891.213356481479</v>
      </c>
      <c r="M3706" s="9" t="s">
        <v>19</v>
      </c>
      <c r="N3706" s="9" t="s">
        <v>22</v>
      </c>
      <c r="O3706" s="6" t="str">
        <f>HYPERLINK("https://pbs.twimg.com/profile_images/1433591977631748099/wuGDIimB_normal.jpg","View")</f>
        <v>View</v>
      </c>
      <c r="P3706" s="7"/>
    </row>
    <row r="3707" spans="1:16">
      <c r="A3707" s="3">
        <v>44530.778958333336</v>
      </c>
      <c r="B3707" s="4" t="str">
        <f>HYPERLINK("https://twitter.com/sergio_fajardo","@sergio_fajardo")</f>
        <v>@sergio_fajardo</v>
      </c>
      <c r="C3707" s="5" t="s">
        <v>16</v>
      </c>
      <c r="D3707" s="5" t="s">
        <v>3728</v>
      </c>
      <c r="E3707" s="6" t="str">
        <f>HYPERLINK("https://twitter.com/sergio_fajardo/status/1465669871522430980","1465669871522430980")</f>
        <v>1465669871522430980</v>
      </c>
      <c r="F3707" s="7" t="s">
        <v>23</v>
      </c>
      <c r="G3707" s="7">
        <v>1600961</v>
      </c>
      <c r="H3707" s="7">
        <v>614</v>
      </c>
      <c r="I3707" s="7">
        <v>24</v>
      </c>
      <c r="J3707" s="7">
        <v>0</v>
      </c>
      <c r="K3707" s="7" t="s">
        <v>18</v>
      </c>
      <c r="L3707" s="8">
        <v>39891.213356481479</v>
      </c>
      <c r="M3707" s="9" t="s">
        <v>19</v>
      </c>
      <c r="N3707" s="9" t="s">
        <v>22</v>
      </c>
      <c r="O3707" s="6" t="str">
        <f>HYPERLINK("https://pbs.twimg.com/profile_images/1433591977631748099/wuGDIimB_normal.jpg","View")</f>
        <v>View</v>
      </c>
      <c r="P3707" s="7"/>
    </row>
    <row r="3708" spans="1:16">
      <c r="A3708" s="3">
        <v>44530.779016203705</v>
      </c>
      <c r="B3708" s="4" t="str">
        <f>HYPERLINK("https://twitter.com/sergio_fajardo","@sergio_fajardo")</f>
        <v>@sergio_fajardo</v>
      </c>
      <c r="C3708" s="5" t="s">
        <v>16</v>
      </c>
      <c r="D3708" s="5" t="s">
        <v>3729</v>
      </c>
      <c r="E3708" s="6" t="str">
        <f>HYPERLINK("https://twitter.com/sergio_fajardo/status/1465669892129140738","1465669892129140738")</f>
        <v>1465669892129140738</v>
      </c>
      <c r="F3708" s="7" t="s">
        <v>23</v>
      </c>
      <c r="G3708" s="7">
        <v>1600961</v>
      </c>
      <c r="H3708" s="7">
        <v>614</v>
      </c>
      <c r="I3708" s="7">
        <v>17</v>
      </c>
      <c r="J3708" s="7">
        <v>0</v>
      </c>
      <c r="K3708" s="7" t="s">
        <v>18</v>
      </c>
      <c r="L3708" s="8">
        <v>39891.213356481479</v>
      </c>
      <c r="M3708" s="9" t="s">
        <v>19</v>
      </c>
      <c r="N3708" s="9" t="s">
        <v>22</v>
      </c>
      <c r="O3708" s="6" t="str">
        <f>HYPERLINK("https://pbs.twimg.com/profile_images/1433591977631748099/wuGDIimB_normal.jpg","View")</f>
        <v>View</v>
      </c>
      <c r="P3708" s="7"/>
    </row>
    <row r="3709" spans="1:16">
      <c r="A3709" s="3">
        <v>44530.77924768519</v>
      </c>
      <c r="B3709" s="4" t="str">
        <f>HYPERLINK("https://twitter.com/sergio_fajardo","@sergio_fajardo")</f>
        <v>@sergio_fajardo</v>
      </c>
      <c r="C3709" s="5" t="s">
        <v>16</v>
      </c>
      <c r="D3709" s="5" t="s">
        <v>3730</v>
      </c>
      <c r="E3709" s="6" t="str">
        <f>HYPERLINK("https://twitter.com/sergio_fajardo/status/1465669974438162440","1465669974438162440")</f>
        <v>1465669974438162440</v>
      </c>
      <c r="F3709" s="7" t="s">
        <v>23</v>
      </c>
      <c r="G3709" s="7">
        <v>1600961</v>
      </c>
      <c r="H3709" s="7">
        <v>614</v>
      </c>
      <c r="I3709" s="7">
        <v>6</v>
      </c>
      <c r="J3709" s="7">
        <v>0</v>
      </c>
      <c r="K3709" s="7" t="s">
        <v>18</v>
      </c>
      <c r="L3709" s="8">
        <v>39891.213356481479</v>
      </c>
      <c r="M3709" s="9" t="s">
        <v>19</v>
      </c>
      <c r="N3709" s="9" t="s">
        <v>22</v>
      </c>
      <c r="O3709" s="6" t="str">
        <f>HYPERLINK("https://pbs.twimg.com/profile_images/1433591977631748099/wuGDIimB_normal.jpg","View")</f>
        <v>View</v>
      </c>
      <c r="P3709" s="7"/>
    </row>
    <row r="3710" spans="1:16">
      <c r="A3710" s="3">
        <v>44530.779293981483</v>
      </c>
      <c r="B3710" s="4" t="str">
        <f>HYPERLINK("https://twitter.com/sergio_fajardo","@sergio_fajardo")</f>
        <v>@sergio_fajardo</v>
      </c>
      <c r="C3710" s="5" t="s">
        <v>16</v>
      </c>
      <c r="D3710" s="5" t="s">
        <v>3731</v>
      </c>
      <c r="E3710" s="6" t="str">
        <f>HYPERLINK("https://twitter.com/sergio_fajardo/status/1465669992595304451","1465669992595304451")</f>
        <v>1465669992595304451</v>
      </c>
      <c r="F3710" s="7" t="s">
        <v>23</v>
      </c>
      <c r="G3710" s="7">
        <v>1600961</v>
      </c>
      <c r="H3710" s="7">
        <v>614</v>
      </c>
      <c r="I3710" s="7">
        <v>5</v>
      </c>
      <c r="J3710" s="7">
        <v>0</v>
      </c>
      <c r="K3710" s="7" t="s">
        <v>18</v>
      </c>
      <c r="L3710" s="8">
        <v>39891.213356481479</v>
      </c>
      <c r="M3710" s="9" t="s">
        <v>19</v>
      </c>
      <c r="N3710" s="9" t="s">
        <v>22</v>
      </c>
      <c r="O3710" s="6" t="str">
        <f>HYPERLINK("https://pbs.twimg.com/profile_images/1433591977631748099/wuGDIimB_normal.jpg","View")</f>
        <v>View</v>
      </c>
      <c r="P3710" s="7"/>
    </row>
    <row r="3711" spans="1:16">
      <c r="A3711" s="3">
        <v>44530.781134259261</v>
      </c>
      <c r="B3711" s="4" t="str">
        <f>HYPERLINK("https://twitter.com/sergio_fajardo","@sergio_fajardo")</f>
        <v>@sergio_fajardo</v>
      </c>
      <c r="C3711" s="5" t="s">
        <v>16</v>
      </c>
      <c r="D3711" s="5" t="s">
        <v>3732</v>
      </c>
      <c r="E3711" s="6" t="str">
        <f>HYPERLINK("https://twitter.com/sergio_fajardo/status/1465670657673412610","1465670657673412610")</f>
        <v>1465670657673412610</v>
      </c>
      <c r="F3711" s="7" t="s">
        <v>23</v>
      </c>
      <c r="G3711" s="7">
        <v>1600961</v>
      </c>
      <c r="H3711" s="7">
        <v>614</v>
      </c>
      <c r="I3711" s="7">
        <v>4</v>
      </c>
      <c r="J3711" s="7">
        <v>0</v>
      </c>
      <c r="K3711" s="7" t="s">
        <v>18</v>
      </c>
      <c r="L3711" s="8">
        <v>39891.213356481479</v>
      </c>
      <c r="M3711" s="9" t="s">
        <v>19</v>
      </c>
      <c r="N3711" s="9" t="s">
        <v>22</v>
      </c>
      <c r="O3711" s="6" t="str">
        <f>HYPERLINK("https://pbs.twimg.com/profile_images/1433591977631748099/wuGDIimB_normal.jpg","View")</f>
        <v>View</v>
      </c>
      <c r="P3711" s="7"/>
    </row>
    <row r="3712" spans="1:16">
      <c r="A3712" s="3">
        <v>44530.7815625</v>
      </c>
      <c r="B3712" s="4" t="str">
        <f>HYPERLINK("https://twitter.com/sergio_fajardo","@sergio_fajardo")</f>
        <v>@sergio_fajardo</v>
      </c>
      <c r="C3712" s="5" t="s">
        <v>16</v>
      </c>
      <c r="D3712" s="5" t="s">
        <v>3733</v>
      </c>
      <c r="E3712" s="6" t="str">
        <f>HYPERLINK("https://twitter.com/sergio_fajardo/status/1465670811793170432","1465670811793170432")</f>
        <v>1465670811793170432</v>
      </c>
      <c r="F3712" s="7" t="s">
        <v>23</v>
      </c>
      <c r="G3712" s="7">
        <v>1600961</v>
      </c>
      <c r="H3712" s="7">
        <v>614</v>
      </c>
      <c r="I3712" s="7">
        <v>12</v>
      </c>
      <c r="J3712" s="7">
        <v>0</v>
      </c>
      <c r="K3712" s="7" t="s">
        <v>18</v>
      </c>
      <c r="L3712" s="8">
        <v>39891.213356481479</v>
      </c>
      <c r="M3712" s="9" t="s">
        <v>19</v>
      </c>
      <c r="N3712" s="9" t="s">
        <v>22</v>
      </c>
      <c r="O3712" s="6" t="str">
        <f>HYPERLINK("https://pbs.twimg.com/profile_images/1433591977631748099/wuGDIimB_normal.jpg","View")</f>
        <v>View</v>
      </c>
      <c r="P3712" s="7"/>
    </row>
    <row r="3713" spans="1:16">
      <c r="A3713" s="3">
        <v>44530.78162037037</v>
      </c>
      <c r="B3713" s="4" t="str">
        <f>HYPERLINK("https://twitter.com/sergio_fajardo","@sergio_fajardo")</f>
        <v>@sergio_fajardo</v>
      </c>
      <c r="C3713" s="5" t="s">
        <v>16</v>
      </c>
      <c r="D3713" s="5" t="s">
        <v>3734</v>
      </c>
      <c r="E3713" s="6" t="str">
        <f>HYPERLINK("https://twitter.com/sergio_fajardo/status/1465670833439977472","1465670833439977472")</f>
        <v>1465670833439977472</v>
      </c>
      <c r="F3713" s="7" t="s">
        <v>23</v>
      </c>
      <c r="G3713" s="7">
        <v>1600961</v>
      </c>
      <c r="H3713" s="7">
        <v>614</v>
      </c>
      <c r="I3713" s="7">
        <v>5</v>
      </c>
      <c r="J3713" s="7">
        <v>0</v>
      </c>
      <c r="K3713" s="7" t="s">
        <v>18</v>
      </c>
      <c r="L3713" s="8">
        <v>39891.213356481479</v>
      </c>
      <c r="M3713" s="9" t="s">
        <v>19</v>
      </c>
      <c r="N3713" s="9" t="s">
        <v>22</v>
      </c>
      <c r="O3713" s="6" t="str">
        <f>HYPERLINK("https://pbs.twimg.com/profile_images/1433591977631748099/wuGDIimB_normal.jpg","View")</f>
        <v>View</v>
      </c>
      <c r="P3713" s="7"/>
    </row>
    <row r="3714" spans="1:16">
      <c r="A3714" s="3">
        <v>44530.781655092593</v>
      </c>
      <c r="B3714" s="4" t="str">
        <f>HYPERLINK("https://twitter.com/sergio_fajardo","@sergio_fajardo")</f>
        <v>@sergio_fajardo</v>
      </c>
      <c r="C3714" s="5" t="s">
        <v>16</v>
      </c>
      <c r="D3714" s="5" t="s">
        <v>3735</v>
      </c>
      <c r="E3714" s="6" t="str">
        <f>HYPERLINK("https://twitter.com/sergio_fajardo/status/1465670847855747075","1465670847855747075")</f>
        <v>1465670847855747075</v>
      </c>
      <c r="F3714" s="7" t="s">
        <v>23</v>
      </c>
      <c r="G3714" s="7">
        <v>1600961</v>
      </c>
      <c r="H3714" s="7">
        <v>614</v>
      </c>
      <c r="I3714" s="7">
        <v>4</v>
      </c>
      <c r="J3714" s="7">
        <v>0</v>
      </c>
      <c r="K3714" s="7" t="s">
        <v>18</v>
      </c>
      <c r="L3714" s="8">
        <v>39891.213356481479</v>
      </c>
      <c r="M3714" s="9" t="s">
        <v>19</v>
      </c>
      <c r="N3714" s="9" t="s">
        <v>22</v>
      </c>
      <c r="O3714" s="6" t="str">
        <f>HYPERLINK("https://pbs.twimg.com/profile_images/1433591977631748099/wuGDIimB_normal.jpg","View")</f>
        <v>View</v>
      </c>
      <c r="P3714" s="7"/>
    </row>
    <row r="3715" spans="1:16">
      <c r="A3715" s="3">
        <v>44530.782013888893</v>
      </c>
      <c r="B3715" s="4" t="str">
        <f>HYPERLINK("https://twitter.com/sergio_fajardo","@sergio_fajardo")</f>
        <v>@sergio_fajardo</v>
      </c>
      <c r="C3715" s="5" t="s">
        <v>16</v>
      </c>
      <c r="D3715" s="5" t="s">
        <v>3736</v>
      </c>
      <c r="E3715" s="6" t="str">
        <f>HYPERLINK("https://twitter.com/sergio_fajardo/status/1465670975408816136","1465670975408816136")</f>
        <v>1465670975408816136</v>
      </c>
      <c r="F3715" s="7" t="s">
        <v>23</v>
      </c>
      <c r="G3715" s="7">
        <v>1600961</v>
      </c>
      <c r="H3715" s="7">
        <v>614</v>
      </c>
      <c r="I3715" s="7">
        <v>16</v>
      </c>
      <c r="J3715" s="7">
        <v>0</v>
      </c>
      <c r="K3715" s="7" t="s">
        <v>18</v>
      </c>
      <c r="L3715" s="8">
        <v>39891.213356481479</v>
      </c>
      <c r="M3715" s="9" t="s">
        <v>19</v>
      </c>
      <c r="N3715" s="9" t="s">
        <v>22</v>
      </c>
      <c r="O3715" s="6" t="str">
        <f>HYPERLINK("https://pbs.twimg.com/profile_images/1433591977631748099/wuGDIimB_normal.jpg","View")</f>
        <v>View</v>
      </c>
      <c r="P3715" s="7"/>
    </row>
    <row r="3716" spans="1:16">
      <c r="A3716" s="3">
        <v>44530.782152777778</v>
      </c>
      <c r="B3716" s="4" t="str">
        <f>HYPERLINK("https://twitter.com/sergio_fajardo","@sergio_fajardo")</f>
        <v>@sergio_fajardo</v>
      </c>
      <c r="C3716" s="5" t="s">
        <v>16</v>
      </c>
      <c r="D3716" s="5" t="s">
        <v>3737</v>
      </c>
      <c r="E3716" s="6" t="str">
        <f>HYPERLINK("https://twitter.com/sergio_fajardo/status/1465671028735107074","1465671028735107074")</f>
        <v>1465671028735107074</v>
      </c>
      <c r="F3716" s="7" t="s">
        <v>23</v>
      </c>
      <c r="G3716" s="7">
        <v>1600961</v>
      </c>
      <c r="H3716" s="7">
        <v>614</v>
      </c>
      <c r="I3716" s="7">
        <v>6</v>
      </c>
      <c r="J3716" s="7">
        <v>0</v>
      </c>
      <c r="K3716" s="7" t="s">
        <v>18</v>
      </c>
      <c r="L3716" s="8">
        <v>39891.213356481479</v>
      </c>
      <c r="M3716" s="9" t="s">
        <v>19</v>
      </c>
      <c r="N3716" s="9" t="s">
        <v>22</v>
      </c>
      <c r="O3716" s="6" t="str">
        <f>HYPERLINK("https://pbs.twimg.com/profile_images/1433591977631748099/wuGDIimB_normal.jpg","View")</f>
        <v>View</v>
      </c>
      <c r="P3716" s="7"/>
    </row>
    <row r="3717" spans="1:16">
      <c r="A3717" s="3">
        <v>44530.784456018519</v>
      </c>
      <c r="B3717" s="4" t="str">
        <f>HYPERLINK("https://twitter.com/sergio_fajardo","@sergio_fajardo")</f>
        <v>@sergio_fajardo</v>
      </c>
      <c r="C3717" s="5" t="s">
        <v>16</v>
      </c>
      <c r="D3717" s="5" t="s">
        <v>3738</v>
      </c>
      <c r="E3717" s="6" t="str">
        <f>HYPERLINK("https://twitter.com/sergio_fajardo/status/1465671861149351938","1465671861149351938")</f>
        <v>1465671861149351938</v>
      </c>
      <c r="F3717" s="7" t="s">
        <v>23</v>
      </c>
      <c r="G3717" s="7">
        <v>1600961</v>
      </c>
      <c r="H3717" s="7">
        <v>614</v>
      </c>
      <c r="I3717" s="7">
        <v>20</v>
      </c>
      <c r="J3717" s="7">
        <v>0</v>
      </c>
      <c r="K3717" s="7" t="s">
        <v>18</v>
      </c>
      <c r="L3717" s="8">
        <v>39891.213356481479</v>
      </c>
      <c r="M3717" s="9" t="s">
        <v>19</v>
      </c>
      <c r="N3717" s="9" t="s">
        <v>22</v>
      </c>
      <c r="O3717" s="6" t="str">
        <f>HYPERLINK("https://pbs.twimg.com/profile_images/1433591977631748099/wuGDIimB_normal.jpg","View")</f>
        <v>View</v>
      </c>
      <c r="P3717" s="7"/>
    </row>
    <row r="3718" spans="1:16">
      <c r="A3718" s="3">
        <v>44530.784699074073</v>
      </c>
      <c r="B3718" s="4" t="str">
        <f>HYPERLINK("https://twitter.com/sergio_fajardo","@sergio_fajardo")</f>
        <v>@sergio_fajardo</v>
      </c>
      <c r="C3718" s="5" t="s">
        <v>16</v>
      </c>
      <c r="D3718" s="5" t="s">
        <v>3739</v>
      </c>
      <c r="E3718" s="6" t="str">
        <f>HYPERLINK("https://twitter.com/sergio_fajardo/status/1465671950848741382","1465671950848741382")</f>
        <v>1465671950848741382</v>
      </c>
      <c r="F3718" s="7" t="s">
        <v>23</v>
      </c>
      <c r="G3718" s="7">
        <v>1600961</v>
      </c>
      <c r="H3718" s="7">
        <v>614</v>
      </c>
      <c r="I3718" s="7">
        <v>5</v>
      </c>
      <c r="J3718" s="7">
        <v>0</v>
      </c>
      <c r="K3718" s="7" t="s">
        <v>18</v>
      </c>
      <c r="L3718" s="8">
        <v>39891.213356481479</v>
      </c>
      <c r="M3718" s="9" t="s">
        <v>19</v>
      </c>
      <c r="N3718" s="9" t="s">
        <v>22</v>
      </c>
      <c r="O3718" s="6" t="str">
        <f>HYPERLINK("https://pbs.twimg.com/profile_images/1433591977631748099/wuGDIimB_normal.jpg","View")</f>
        <v>View</v>
      </c>
      <c r="P3718" s="7"/>
    </row>
    <row r="3719" spans="1:16">
      <c r="A3719" s="3">
        <v>44530.784895833334</v>
      </c>
      <c r="B3719" s="4" t="str">
        <f>HYPERLINK("https://twitter.com/sergio_fajardo","@sergio_fajardo")</f>
        <v>@sergio_fajardo</v>
      </c>
      <c r="C3719" s="5" t="s">
        <v>16</v>
      </c>
      <c r="D3719" s="5" t="s">
        <v>3740</v>
      </c>
      <c r="E3719" s="6" t="str">
        <f>HYPERLINK("https://twitter.com/sergio_fajardo/status/1465672022177026054","1465672022177026054")</f>
        <v>1465672022177026054</v>
      </c>
      <c r="F3719" s="7" t="s">
        <v>23</v>
      </c>
      <c r="G3719" s="7">
        <v>1600961</v>
      </c>
      <c r="H3719" s="7">
        <v>614</v>
      </c>
      <c r="I3719" s="7">
        <v>4</v>
      </c>
      <c r="J3719" s="7">
        <v>0</v>
      </c>
      <c r="K3719" s="7" t="s">
        <v>18</v>
      </c>
      <c r="L3719" s="8">
        <v>39891.213356481479</v>
      </c>
      <c r="M3719" s="9" t="s">
        <v>19</v>
      </c>
      <c r="N3719" s="9" t="s">
        <v>22</v>
      </c>
      <c r="O3719" s="6" t="str">
        <f>HYPERLINK("https://pbs.twimg.com/profile_images/1433591977631748099/wuGDIimB_normal.jpg","View")</f>
        <v>View</v>
      </c>
      <c r="P3719" s="7"/>
    </row>
    <row r="3720" spans="1:16">
      <c r="A3720" s="3">
        <v>44530.785104166665</v>
      </c>
      <c r="B3720" s="4" t="str">
        <f>HYPERLINK("https://twitter.com/sergio_fajardo","@sergio_fajardo")</f>
        <v>@sergio_fajardo</v>
      </c>
      <c r="C3720" s="5" t="s">
        <v>16</v>
      </c>
      <c r="D3720" s="5" t="s">
        <v>3741</v>
      </c>
      <c r="E3720" s="6" t="str">
        <f>HYPERLINK("https://twitter.com/sergio_fajardo/status/1465672097364164616","1465672097364164616")</f>
        <v>1465672097364164616</v>
      </c>
      <c r="F3720" s="7" t="s">
        <v>23</v>
      </c>
      <c r="G3720" s="7">
        <v>1600961</v>
      </c>
      <c r="H3720" s="7">
        <v>614</v>
      </c>
      <c r="I3720" s="7">
        <v>5</v>
      </c>
      <c r="J3720" s="7">
        <v>0</v>
      </c>
      <c r="K3720" s="7" t="s">
        <v>18</v>
      </c>
      <c r="L3720" s="8">
        <v>39891.213356481479</v>
      </c>
      <c r="M3720" s="9" t="s">
        <v>19</v>
      </c>
      <c r="N3720" s="9" t="s">
        <v>22</v>
      </c>
      <c r="O3720" s="6" t="str">
        <f>HYPERLINK("https://pbs.twimg.com/profile_images/1433591977631748099/wuGDIimB_normal.jpg","View")</f>
        <v>View</v>
      </c>
      <c r="P3720" s="7"/>
    </row>
    <row r="3721" spans="1:16">
      <c r="A3721" s="3">
        <v>44530.785219907411</v>
      </c>
      <c r="B3721" s="4" t="str">
        <f>HYPERLINK("https://twitter.com/sergio_fajardo","@sergio_fajardo")</f>
        <v>@sergio_fajardo</v>
      </c>
      <c r="C3721" s="5" t="s">
        <v>16</v>
      </c>
      <c r="D3721" s="5" t="s">
        <v>3742</v>
      </c>
      <c r="E3721" s="6" t="str">
        <f>HYPERLINK("https://twitter.com/sergio_fajardo/status/1465672137537212424","1465672137537212424")</f>
        <v>1465672137537212424</v>
      </c>
      <c r="F3721" s="7" t="s">
        <v>23</v>
      </c>
      <c r="G3721" s="7">
        <v>1600961</v>
      </c>
      <c r="H3721" s="7">
        <v>614</v>
      </c>
      <c r="I3721" s="7">
        <v>4</v>
      </c>
      <c r="J3721" s="7">
        <v>0</v>
      </c>
      <c r="K3721" s="7" t="s">
        <v>18</v>
      </c>
      <c r="L3721" s="8">
        <v>39891.213356481479</v>
      </c>
      <c r="M3721" s="9" t="s">
        <v>19</v>
      </c>
      <c r="N3721" s="9" t="s">
        <v>22</v>
      </c>
      <c r="O3721" s="6" t="str">
        <f>HYPERLINK("https://pbs.twimg.com/profile_images/1433591977631748099/wuGDIimB_normal.jpg","View")</f>
        <v>View</v>
      </c>
      <c r="P3721" s="7"/>
    </row>
    <row r="3722" spans="1:16">
      <c r="A3722" s="3">
        <v>44530.785590277781</v>
      </c>
      <c r="B3722" s="4" t="str">
        <f>HYPERLINK("https://twitter.com/sergio_fajardo","@sergio_fajardo")</f>
        <v>@sergio_fajardo</v>
      </c>
      <c r="C3722" s="5" t="s">
        <v>16</v>
      </c>
      <c r="D3722" s="5" t="s">
        <v>3743</v>
      </c>
      <c r="E3722" s="6" t="str">
        <f>HYPERLINK("https://twitter.com/sergio_fajardo/status/1465672272920854534","1465672272920854534")</f>
        <v>1465672272920854534</v>
      </c>
      <c r="F3722" s="7" t="s">
        <v>23</v>
      </c>
      <c r="G3722" s="7">
        <v>1600961</v>
      </c>
      <c r="H3722" s="7">
        <v>614</v>
      </c>
      <c r="I3722" s="7">
        <v>4</v>
      </c>
      <c r="J3722" s="7">
        <v>0</v>
      </c>
      <c r="K3722" s="7" t="s">
        <v>18</v>
      </c>
      <c r="L3722" s="8">
        <v>39891.213356481479</v>
      </c>
      <c r="M3722" s="9" t="s">
        <v>19</v>
      </c>
      <c r="N3722" s="9" t="s">
        <v>22</v>
      </c>
      <c r="O3722" s="6" t="str">
        <f>HYPERLINK("https://pbs.twimg.com/profile_images/1433591977631748099/wuGDIimB_normal.jpg","View")</f>
        <v>View</v>
      </c>
      <c r="P3722" s="7"/>
    </row>
    <row r="3723" spans="1:16">
      <c r="A3723" s="3">
        <v>44530.785729166666</v>
      </c>
      <c r="B3723" s="4" t="str">
        <f>HYPERLINK("https://twitter.com/sergio_fajardo","@sergio_fajardo")</f>
        <v>@sergio_fajardo</v>
      </c>
      <c r="C3723" s="5" t="s">
        <v>16</v>
      </c>
      <c r="D3723" s="5" t="s">
        <v>3744</v>
      </c>
      <c r="E3723" s="6" t="str">
        <f>HYPERLINK("https://twitter.com/sergio_fajardo/status/1465672322627653638","1465672322627653638")</f>
        <v>1465672322627653638</v>
      </c>
      <c r="F3723" s="7" t="s">
        <v>23</v>
      </c>
      <c r="G3723" s="7">
        <v>1600961</v>
      </c>
      <c r="H3723" s="7">
        <v>614</v>
      </c>
      <c r="I3723" s="7">
        <v>6</v>
      </c>
      <c r="J3723" s="7">
        <v>0</v>
      </c>
      <c r="K3723" s="7" t="s">
        <v>18</v>
      </c>
      <c r="L3723" s="8">
        <v>39891.213356481479</v>
      </c>
      <c r="M3723" s="9" t="s">
        <v>19</v>
      </c>
      <c r="N3723" s="9" t="s">
        <v>22</v>
      </c>
      <c r="O3723" s="6" t="str">
        <f>HYPERLINK("https://pbs.twimg.com/profile_images/1433591977631748099/wuGDIimB_normal.jpg","View")</f>
        <v>View</v>
      </c>
      <c r="P3723" s="7"/>
    </row>
    <row r="3724" spans="1:16">
      <c r="A3724" s="3">
        <v>44530.785798611112</v>
      </c>
      <c r="B3724" s="4" t="str">
        <f>HYPERLINK("https://twitter.com/sergio_fajardo","@sergio_fajardo")</f>
        <v>@sergio_fajardo</v>
      </c>
      <c r="C3724" s="5" t="s">
        <v>16</v>
      </c>
      <c r="D3724" s="5" t="s">
        <v>3745</v>
      </c>
      <c r="E3724" s="6" t="str">
        <f>HYPERLINK("https://twitter.com/sergio_fajardo/status/1465672346841358349","1465672346841358349")</f>
        <v>1465672346841358349</v>
      </c>
      <c r="F3724" s="7" t="s">
        <v>23</v>
      </c>
      <c r="G3724" s="7">
        <v>1600961</v>
      </c>
      <c r="H3724" s="7">
        <v>614</v>
      </c>
      <c r="I3724" s="7">
        <v>5</v>
      </c>
      <c r="J3724" s="7">
        <v>0</v>
      </c>
      <c r="K3724" s="7" t="s">
        <v>18</v>
      </c>
      <c r="L3724" s="8">
        <v>39891.213356481479</v>
      </c>
      <c r="M3724" s="9" t="s">
        <v>19</v>
      </c>
      <c r="N3724" s="9" t="s">
        <v>22</v>
      </c>
      <c r="O3724" s="6" t="str">
        <f>HYPERLINK("https://pbs.twimg.com/profile_images/1433591977631748099/wuGDIimB_normal.jpg","View")</f>
        <v>View</v>
      </c>
      <c r="P3724" s="7"/>
    </row>
    <row r="3725" spans="1:16">
      <c r="A3725" s="3">
        <v>44530.787442129629</v>
      </c>
      <c r="B3725" s="4" t="str">
        <f>HYPERLINK("https://twitter.com/sergio_fajardo","@sergio_fajardo")</f>
        <v>@sergio_fajardo</v>
      </c>
      <c r="C3725" s="5" t="s">
        <v>16</v>
      </c>
      <c r="D3725" s="5" t="s">
        <v>3746</v>
      </c>
      <c r="E3725" s="6" t="str">
        <f>HYPERLINK("https://twitter.com/sergio_fajardo/status/1465672942747066375","1465672942747066375")</f>
        <v>1465672942747066375</v>
      </c>
      <c r="F3725" s="7" t="s">
        <v>23</v>
      </c>
      <c r="G3725" s="7">
        <v>1600961</v>
      </c>
      <c r="H3725" s="7">
        <v>614</v>
      </c>
      <c r="I3725" s="7">
        <v>4</v>
      </c>
      <c r="J3725" s="7">
        <v>0</v>
      </c>
      <c r="K3725" s="7" t="s">
        <v>18</v>
      </c>
      <c r="L3725" s="8">
        <v>39891.213356481479</v>
      </c>
      <c r="M3725" s="9" t="s">
        <v>19</v>
      </c>
      <c r="N3725" s="9" t="s">
        <v>22</v>
      </c>
      <c r="O3725" s="6" t="str">
        <f>HYPERLINK("https://pbs.twimg.com/profile_images/1433591977631748099/wuGDIimB_normal.jpg","View")</f>
        <v>View</v>
      </c>
      <c r="P3725" s="7"/>
    </row>
    <row r="3726" spans="1:16">
      <c r="A3726" s="3">
        <v>44530.788483796292</v>
      </c>
      <c r="B3726" s="4" t="str">
        <f>HYPERLINK("https://twitter.com/sergio_fajardo","@sergio_fajardo")</f>
        <v>@sergio_fajardo</v>
      </c>
      <c r="C3726" s="5" t="s">
        <v>16</v>
      </c>
      <c r="D3726" s="5" t="s">
        <v>3747</v>
      </c>
      <c r="E3726" s="6" t="str">
        <f>HYPERLINK("https://twitter.com/sergio_fajardo/status/1465673322176385029","1465673322176385029")</f>
        <v>1465673322176385029</v>
      </c>
      <c r="F3726" s="7" t="s">
        <v>23</v>
      </c>
      <c r="G3726" s="7">
        <v>1600961</v>
      </c>
      <c r="H3726" s="7">
        <v>614</v>
      </c>
      <c r="I3726" s="7">
        <v>2</v>
      </c>
      <c r="J3726" s="7">
        <v>0</v>
      </c>
      <c r="K3726" s="7" t="s">
        <v>18</v>
      </c>
      <c r="L3726" s="8">
        <v>39891.213356481479</v>
      </c>
      <c r="M3726" s="9" t="s">
        <v>19</v>
      </c>
      <c r="N3726" s="9" t="s">
        <v>22</v>
      </c>
      <c r="O3726" s="6" t="str">
        <f>HYPERLINK("https://pbs.twimg.com/profile_images/1433591977631748099/wuGDIimB_normal.jpg","View")</f>
        <v>View</v>
      </c>
      <c r="P3726" s="7"/>
    </row>
    <row r="3727" spans="1:16">
      <c r="A3727" s="3">
        <v>44530.790995370371</v>
      </c>
      <c r="B3727" s="4" t="str">
        <f>HYPERLINK("https://twitter.com/sergio_fajardo","@sergio_fajardo")</f>
        <v>@sergio_fajardo</v>
      </c>
      <c r="C3727" s="5" t="s">
        <v>16</v>
      </c>
      <c r="D3727" s="5" t="s">
        <v>3748</v>
      </c>
      <c r="E3727" s="6" t="str">
        <f>HYPERLINK("https://twitter.com/sergio_fajardo/status/1465674232818552843","1465674232818552843")</f>
        <v>1465674232818552843</v>
      </c>
      <c r="F3727" s="7" t="s">
        <v>23</v>
      </c>
      <c r="G3727" s="7">
        <v>1600961</v>
      </c>
      <c r="H3727" s="7">
        <v>614</v>
      </c>
      <c r="I3727" s="7">
        <v>5</v>
      </c>
      <c r="J3727" s="7">
        <v>0</v>
      </c>
      <c r="K3727" s="7" t="s">
        <v>18</v>
      </c>
      <c r="L3727" s="8">
        <v>39891.213356481479</v>
      </c>
      <c r="M3727" s="9" t="s">
        <v>19</v>
      </c>
      <c r="N3727" s="9" t="s">
        <v>22</v>
      </c>
      <c r="O3727" s="6" t="str">
        <f>HYPERLINK("https://pbs.twimg.com/profile_images/1433591977631748099/wuGDIimB_normal.jpg","View")</f>
        <v>View</v>
      </c>
      <c r="P3727" s="7"/>
    </row>
    <row r="3728" spans="1:16">
      <c r="A3728" s="3">
        <v>44530.791516203702</v>
      </c>
      <c r="B3728" s="4" t="str">
        <f>HYPERLINK("https://twitter.com/sergio_fajardo","@sergio_fajardo")</f>
        <v>@sergio_fajardo</v>
      </c>
      <c r="C3728" s="5" t="s">
        <v>16</v>
      </c>
      <c r="D3728" s="5" t="s">
        <v>3749</v>
      </c>
      <c r="E3728" s="6" t="str">
        <f>HYPERLINK("https://twitter.com/sergio_fajardo/status/1465674421579001858","1465674421579001858")</f>
        <v>1465674421579001858</v>
      </c>
      <c r="F3728" s="7" t="s">
        <v>23</v>
      </c>
      <c r="G3728" s="7">
        <v>1600961</v>
      </c>
      <c r="H3728" s="7">
        <v>614</v>
      </c>
      <c r="I3728" s="7">
        <v>18</v>
      </c>
      <c r="J3728" s="7">
        <v>0</v>
      </c>
      <c r="K3728" s="7" t="s">
        <v>18</v>
      </c>
      <c r="L3728" s="8">
        <v>39891.213356481479</v>
      </c>
      <c r="M3728" s="9" t="s">
        <v>19</v>
      </c>
      <c r="N3728" s="9" t="s">
        <v>22</v>
      </c>
      <c r="O3728" s="6" t="str">
        <f>HYPERLINK("https://pbs.twimg.com/profile_images/1433591977631748099/wuGDIimB_normal.jpg","View")</f>
        <v>View</v>
      </c>
      <c r="P3728" s="7"/>
    </row>
    <row r="3729" spans="1:16">
      <c r="A3729" s="3">
        <v>44530.791724537034</v>
      </c>
      <c r="B3729" s="4" t="str">
        <f>HYPERLINK("https://twitter.com/sergio_fajardo","@sergio_fajardo")</f>
        <v>@sergio_fajardo</v>
      </c>
      <c r="C3729" s="5" t="s">
        <v>16</v>
      </c>
      <c r="D3729" s="5" t="s">
        <v>3750</v>
      </c>
      <c r="E3729" s="6" t="str">
        <f>HYPERLINK("https://twitter.com/sergio_fajardo/status/1465674496363446273","1465674496363446273")</f>
        <v>1465674496363446273</v>
      </c>
      <c r="F3729" s="7" t="s">
        <v>23</v>
      </c>
      <c r="G3729" s="7">
        <v>1600961</v>
      </c>
      <c r="H3729" s="7">
        <v>614</v>
      </c>
      <c r="I3729" s="7">
        <v>2</v>
      </c>
      <c r="J3729" s="7">
        <v>0</v>
      </c>
      <c r="K3729" s="7" t="s">
        <v>18</v>
      </c>
      <c r="L3729" s="8">
        <v>39891.213356481479</v>
      </c>
      <c r="M3729" s="9" t="s">
        <v>19</v>
      </c>
      <c r="N3729" s="9" t="s">
        <v>22</v>
      </c>
      <c r="O3729" s="6" t="str">
        <f>HYPERLINK("https://pbs.twimg.com/profile_images/1433591977631748099/wuGDIimB_normal.jpg","View")</f>
        <v>View</v>
      </c>
      <c r="P3729" s="7"/>
    </row>
    <row r="3730" spans="1:16">
      <c r="A3730" s="3">
        <v>44530.791770833333</v>
      </c>
      <c r="B3730" s="4" t="str">
        <f>HYPERLINK("https://twitter.com/sergio_fajardo","@sergio_fajardo")</f>
        <v>@sergio_fajardo</v>
      </c>
      <c r="C3730" s="5" t="s">
        <v>16</v>
      </c>
      <c r="D3730" s="5" t="s">
        <v>3751</v>
      </c>
      <c r="E3730" s="6" t="str">
        <f>HYPERLINK("https://twitter.com/sergio_fajardo/status/1465674514558238726","1465674514558238726")</f>
        <v>1465674514558238726</v>
      </c>
      <c r="F3730" s="7" t="s">
        <v>23</v>
      </c>
      <c r="G3730" s="7">
        <v>1600961</v>
      </c>
      <c r="H3730" s="7">
        <v>614</v>
      </c>
      <c r="I3730" s="7">
        <v>3</v>
      </c>
      <c r="J3730" s="7">
        <v>0</v>
      </c>
      <c r="K3730" s="7" t="s">
        <v>18</v>
      </c>
      <c r="L3730" s="8">
        <v>39891.213356481479</v>
      </c>
      <c r="M3730" s="9" t="s">
        <v>19</v>
      </c>
      <c r="N3730" s="9" t="s">
        <v>22</v>
      </c>
      <c r="O3730" s="6" t="str">
        <f>HYPERLINK("https://pbs.twimg.com/profile_images/1433591977631748099/wuGDIimB_normal.jpg","View")</f>
        <v>View</v>
      </c>
      <c r="P3730" s="7"/>
    </row>
    <row r="3731" spans="1:16">
      <c r="A3731" s="3">
        <v>44530.792430555557</v>
      </c>
      <c r="B3731" s="4" t="str">
        <f>HYPERLINK("https://twitter.com/sergio_fajardo","@sergio_fajardo")</f>
        <v>@sergio_fajardo</v>
      </c>
      <c r="C3731" s="5" t="s">
        <v>16</v>
      </c>
      <c r="D3731" s="5" t="s">
        <v>3752</v>
      </c>
      <c r="E3731" s="6" t="str">
        <f>HYPERLINK("https://twitter.com/sergio_fajardo/status/1465674753268752394","1465674753268752394")</f>
        <v>1465674753268752394</v>
      </c>
      <c r="F3731" s="7" t="s">
        <v>23</v>
      </c>
      <c r="G3731" s="7">
        <v>1600961</v>
      </c>
      <c r="H3731" s="7">
        <v>614</v>
      </c>
      <c r="I3731" s="7">
        <v>3</v>
      </c>
      <c r="J3731" s="7">
        <v>0</v>
      </c>
      <c r="K3731" s="7" t="s">
        <v>18</v>
      </c>
      <c r="L3731" s="8">
        <v>39891.213356481479</v>
      </c>
      <c r="M3731" s="9" t="s">
        <v>19</v>
      </c>
      <c r="N3731" s="9" t="s">
        <v>22</v>
      </c>
      <c r="O3731" s="6" t="str">
        <f>HYPERLINK("https://pbs.twimg.com/profile_images/1433591977631748099/wuGDIimB_normal.jpg","View")</f>
        <v>View</v>
      </c>
      <c r="P3731" s="7"/>
    </row>
    <row r="3732" spans="1:16">
      <c r="A3732" s="3">
        <v>44530.792569444442</v>
      </c>
      <c r="B3732" s="4" t="str">
        <f>HYPERLINK("https://twitter.com/sergio_fajardo","@sergio_fajardo")</f>
        <v>@sergio_fajardo</v>
      </c>
      <c r="C3732" s="5" t="s">
        <v>16</v>
      </c>
      <c r="D3732" s="5" t="s">
        <v>3753</v>
      </c>
      <c r="E3732" s="6" t="str">
        <f>HYPERLINK("https://twitter.com/sergio_fajardo/status/1465674802065252357","1465674802065252357")</f>
        <v>1465674802065252357</v>
      </c>
      <c r="F3732" s="7" t="s">
        <v>23</v>
      </c>
      <c r="G3732" s="7">
        <v>1600961</v>
      </c>
      <c r="H3732" s="7">
        <v>614</v>
      </c>
      <c r="I3732" s="7">
        <v>2</v>
      </c>
      <c r="J3732" s="7">
        <v>0</v>
      </c>
      <c r="K3732" s="7" t="s">
        <v>18</v>
      </c>
      <c r="L3732" s="8">
        <v>39891.213356481479</v>
      </c>
      <c r="M3732" s="9" t="s">
        <v>19</v>
      </c>
      <c r="N3732" s="9" t="s">
        <v>22</v>
      </c>
      <c r="O3732" s="6" t="str">
        <f>HYPERLINK("https://pbs.twimg.com/profile_images/1433591977631748099/wuGDIimB_normal.jpg","View")</f>
        <v>View</v>
      </c>
      <c r="P3732" s="7"/>
    </row>
    <row r="3733" spans="1:16">
      <c r="A3733" s="3">
        <v>44530.792962962965</v>
      </c>
      <c r="B3733" s="4" t="str">
        <f>HYPERLINK("https://twitter.com/sergio_fajardo","@sergio_fajardo")</f>
        <v>@sergio_fajardo</v>
      </c>
      <c r="C3733" s="5" t="s">
        <v>16</v>
      </c>
      <c r="D3733" s="5" t="s">
        <v>3754</v>
      </c>
      <c r="E3733" s="6" t="str">
        <f>HYPERLINK("https://twitter.com/sergio_fajardo/status/1465674945711726597","1465674945711726597")</f>
        <v>1465674945711726597</v>
      </c>
      <c r="F3733" s="7" t="s">
        <v>23</v>
      </c>
      <c r="G3733" s="7">
        <v>1600961</v>
      </c>
      <c r="H3733" s="7">
        <v>614</v>
      </c>
      <c r="I3733" s="7">
        <v>1</v>
      </c>
      <c r="J3733" s="7">
        <v>0</v>
      </c>
      <c r="K3733" s="7" t="s">
        <v>18</v>
      </c>
      <c r="L3733" s="8">
        <v>39891.213356481479</v>
      </c>
      <c r="M3733" s="9" t="s">
        <v>19</v>
      </c>
      <c r="N3733" s="9" t="s">
        <v>22</v>
      </c>
      <c r="O3733" s="6" t="str">
        <f>HYPERLINK("https://pbs.twimg.com/profile_images/1433591977631748099/wuGDIimB_normal.jpg","View")</f>
        <v>View</v>
      </c>
      <c r="P3733" s="7"/>
    </row>
    <row r="3734" spans="1:16">
      <c r="A3734" s="3">
        <v>44530.793090277773</v>
      </c>
      <c r="B3734" s="4" t="str">
        <f>HYPERLINK("https://twitter.com/sergio_fajardo","@sergio_fajardo")</f>
        <v>@sergio_fajardo</v>
      </c>
      <c r="C3734" s="5" t="s">
        <v>16</v>
      </c>
      <c r="D3734" s="5" t="s">
        <v>3755</v>
      </c>
      <c r="E3734" s="6" t="str">
        <f>HYPERLINK("https://twitter.com/sergio_fajardo/status/1465674990435643395","1465674990435643395")</f>
        <v>1465674990435643395</v>
      </c>
      <c r="F3734" s="7" t="s">
        <v>23</v>
      </c>
      <c r="G3734" s="7">
        <v>1600961</v>
      </c>
      <c r="H3734" s="7">
        <v>614</v>
      </c>
      <c r="I3734" s="7">
        <v>2</v>
      </c>
      <c r="J3734" s="7">
        <v>0</v>
      </c>
      <c r="K3734" s="7" t="s">
        <v>18</v>
      </c>
      <c r="L3734" s="8">
        <v>39891.213356481479</v>
      </c>
      <c r="M3734" s="9" t="s">
        <v>19</v>
      </c>
      <c r="N3734" s="9" t="s">
        <v>22</v>
      </c>
      <c r="O3734" s="6" t="str">
        <f>HYPERLINK("https://pbs.twimg.com/profile_images/1433591977631748099/wuGDIimB_normal.jpg","View")</f>
        <v>View</v>
      </c>
      <c r="P3734" s="7"/>
    </row>
    <row r="3735" spans="1:16">
      <c r="A3735" s="3">
        <v>44530.793217592596</v>
      </c>
      <c r="B3735" s="4" t="str">
        <f>HYPERLINK("https://twitter.com/sergio_fajardo","@sergio_fajardo")</f>
        <v>@sergio_fajardo</v>
      </c>
      <c r="C3735" s="5" t="s">
        <v>16</v>
      </c>
      <c r="D3735" s="5" t="s">
        <v>3756</v>
      </c>
      <c r="E3735" s="6" t="str">
        <f>HYPERLINK("https://twitter.com/sergio_fajardo/status/1465675039307710470","1465675039307710470")</f>
        <v>1465675039307710470</v>
      </c>
      <c r="F3735" s="7" t="s">
        <v>23</v>
      </c>
      <c r="G3735" s="7">
        <v>1600961</v>
      </c>
      <c r="H3735" s="7">
        <v>614</v>
      </c>
      <c r="I3735" s="7">
        <v>3</v>
      </c>
      <c r="J3735" s="7">
        <v>0</v>
      </c>
      <c r="K3735" s="7" t="s">
        <v>18</v>
      </c>
      <c r="L3735" s="8">
        <v>39891.213356481479</v>
      </c>
      <c r="M3735" s="9" t="s">
        <v>19</v>
      </c>
      <c r="N3735" s="9" t="s">
        <v>22</v>
      </c>
      <c r="O3735" s="6" t="str">
        <f>HYPERLINK("https://pbs.twimg.com/profile_images/1433591977631748099/wuGDIimB_normal.jpg","View")</f>
        <v>View</v>
      </c>
      <c r="P3735" s="7"/>
    </row>
    <row r="3736" spans="1:16">
      <c r="A3736" s="3">
        <v>44530.793287037042</v>
      </c>
      <c r="B3736" s="4" t="str">
        <f>HYPERLINK("https://twitter.com/sergio_fajardo","@sergio_fajardo")</f>
        <v>@sergio_fajardo</v>
      </c>
      <c r="C3736" s="5" t="s">
        <v>16</v>
      </c>
      <c r="D3736" s="5" t="s">
        <v>3757</v>
      </c>
      <c r="E3736" s="6" t="str">
        <f>HYPERLINK("https://twitter.com/sergio_fajardo/status/1465675061457833985","1465675061457833985")</f>
        <v>1465675061457833985</v>
      </c>
      <c r="F3736" s="7" t="s">
        <v>23</v>
      </c>
      <c r="G3736" s="7">
        <v>1600961</v>
      </c>
      <c r="H3736" s="7">
        <v>614</v>
      </c>
      <c r="I3736" s="7">
        <v>1</v>
      </c>
      <c r="J3736" s="7">
        <v>0</v>
      </c>
      <c r="K3736" s="7" t="s">
        <v>18</v>
      </c>
      <c r="L3736" s="8">
        <v>39891.213356481479</v>
      </c>
      <c r="M3736" s="9" t="s">
        <v>19</v>
      </c>
      <c r="N3736" s="9" t="s">
        <v>22</v>
      </c>
      <c r="O3736" s="6" t="str">
        <f>HYPERLINK("https://pbs.twimg.com/profile_images/1433591977631748099/wuGDIimB_normal.jpg","View")</f>
        <v>View</v>
      </c>
      <c r="P3736" s="7"/>
    </row>
    <row r="3737" spans="1:16">
      <c r="A3737" s="3">
        <v>44530.796898148154</v>
      </c>
      <c r="B3737" s="4" t="str">
        <f>HYPERLINK("https://twitter.com/sergio_fajardo","@sergio_fajardo")</f>
        <v>@sergio_fajardo</v>
      </c>
      <c r="C3737" s="5" t="s">
        <v>16</v>
      </c>
      <c r="D3737" s="5" t="s">
        <v>3758</v>
      </c>
      <c r="E3737" s="6" t="str">
        <f>HYPERLINK("https://twitter.com/sergio_fajardo/status/1465676371976466439","1465676371976466439")</f>
        <v>1465676371976466439</v>
      </c>
      <c r="F3737" s="7" t="s">
        <v>23</v>
      </c>
      <c r="G3737" s="7">
        <v>1600959</v>
      </c>
      <c r="H3737" s="7">
        <v>614</v>
      </c>
      <c r="I3737" s="7">
        <v>33</v>
      </c>
      <c r="J3737" s="7">
        <v>101</v>
      </c>
      <c r="K3737" s="7" t="s">
        <v>18</v>
      </c>
      <c r="L3737" s="8">
        <v>39891.213356481479</v>
      </c>
      <c r="M3737" s="9" t="s">
        <v>19</v>
      </c>
      <c r="N3737" s="9" t="s">
        <v>22</v>
      </c>
      <c r="O3737" s="6" t="str">
        <f>HYPERLINK("https://pbs.twimg.com/profile_images/1433591977631748099/wuGDIimB_normal.jpg","View")</f>
        <v>View</v>
      </c>
      <c r="P3737" s="7"/>
    </row>
    <row r="3738" spans="1:16">
      <c r="A3738" s="3">
        <v>44530.798842592594</v>
      </c>
      <c r="B3738" s="4" t="str">
        <f>HYPERLINK("https://twitter.com/sergio_fajardo","@sergio_fajardo")</f>
        <v>@sergio_fajardo</v>
      </c>
      <c r="C3738" s="5" t="s">
        <v>16</v>
      </c>
      <c r="D3738" s="5" t="s">
        <v>3759</v>
      </c>
      <c r="E3738" s="6" t="str">
        <f>HYPERLINK("https://twitter.com/sergio_fajardo/status/1465677073893277698","1465677073893277698")</f>
        <v>1465677073893277698</v>
      </c>
      <c r="F3738" s="7" t="s">
        <v>23</v>
      </c>
      <c r="G3738" s="7">
        <v>1600959</v>
      </c>
      <c r="H3738" s="7">
        <v>614</v>
      </c>
      <c r="I3738" s="7">
        <v>7</v>
      </c>
      <c r="J3738" s="7">
        <v>0</v>
      </c>
      <c r="K3738" s="7" t="s">
        <v>18</v>
      </c>
      <c r="L3738" s="8">
        <v>39891.213356481479</v>
      </c>
      <c r="M3738" s="9" t="s">
        <v>19</v>
      </c>
      <c r="N3738" s="9" t="s">
        <v>22</v>
      </c>
      <c r="O3738" s="6" t="str">
        <f>HYPERLINK("https://pbs.twimg.com/profile_images/1433591977631748099/wuGDIimB_normal.jpg","View")</f>
        <v>View</v>
      </c>
      <c r="P3738" s="7"/>
    </row>
    <row r="3739" spans="1:16">
      <c r="A3739" s="3">
        <v>44530.799340277779</v>
      </c>
      <c r="B3739" s="4" t="str">
        <f>HYPERLINK("https://twitter.com/sergio_fajardo","@sergio_fajardo")</f>
        <v>@sergio_fajardo</v>
      </c>
      <c r="C3739" s="5" t="s">
        <v>16</v>
      </c>
      <c r="D3739" s="5" t="s">
        <v>3760</v>
      </c>
      <c r="E3739" s="6" t="str">
        <f>HYPERLINK("https://twitter.com/sergio_fajardo/status/1465677256760737801","1465677256760737801")</f>
        <v>1465677256760737801</v>
      </c>
      <c r="F3739" s="7" t="s">
        <v>23</v>
      </c>
      <c r="G3739" s="7">
        <v>1600959</v>
      </c>
      <c r="H3739" s="7">
        <v>614</v>
      </c>
      <c r="I3739" s="7">
        <v>5</v>
      </c>
      <c r="J3739" s="7">
        <v>0</v>
      </c>
      <c r="K3739" s="7" t="s">
        <v>18</v>
      </c>
      <c r="L3739" s="8">
        <v>39891.213356481479</v>
      </c>
      <c r="M3739" s="9" t="s">
        <v>19</v>
      </c>
      <c r="N3739" s="9" t="s">
        <v>22</v>
      </c>
      <c r="O3739" s="6" t="str">
        <f>HYPERLINK("https://pbs.twimg.com/profile_images/1433591977631748099/wuGDIimB_normal.jpg","View")</f>
        <v>View</v>
      </c>
      <c r="P3739" s="7"/>
    </row>
    <row r="3740" spans="1:16">
      <c r="A3740" s="3">
        <v>44530.800555555557</v>
      </c>
      <c r="B3740" s="4" t="str">
        <f>HYPERLINK("https://twitter.com/sergio_fajardo","@sergio_fajardo")</f>
        <v>@sergio_fajardo</v>
      </c>
      <c r="C3740" s="5" t="s">
        <v>16</v>
      </c>
      <c r="D3740" s="5" t="s">
        <v>3761</v>
      </c>
      <c r="E3740" s="6" t="str">
        <f>HYPERLINK("https://twitter.com/sergio_fajardo/status/1465677696520830987","1465677696520830987")</f>
        <v>1465677696520830987</v>
      </c>
      <c r="F3740" s="7" t="s">
        <v>23</v>
      </c>
      <c r="G3740" s="7">
        <v>1600959</v>
      </c>
      <c r="H3740" s="7">
        <v>614</v>
      </c>
      <c r="I3740" s="7">
        <v>5</v>
      </c>
      <c r="J3740" s="7">
        <v>0</v>
      </c>
      <c r="K3740" s="7" t="s">
        <v>18</v>
      </c>
      <c r="L3740" s="8">
        <v>39891.213356481479</v>
      </c>
      <c r="M3740" s="9" t="s">
        <v>19</v>
      </c>
      <c r="N3740" s="9" t="s">
        <v>22</v>
      </c>
      <c r="O3740" s="6" t="str">
        <f>HYPERLINK("https://pbs.twimg.com/profile_images/1433591977631748099/wuGDIimB_normal.jpg","View")</f>
        <v>View</v>
      </c>
      <c r="P3740" s="7"/>
    </row>
    <row r="3741" spans="1:16">
      <c r="A3741" s="3">
        <v>44530.800717592589</v>
      </c>
      <c r="B3741" s="4" t="str">
        <f>HYPERLINK("https://twitter.com/sergio_fajardo","@sergio_fajardo")</f>
        <v>@sergio_fajardo</v>
      </c>
      <c r="C3741" s="5" t="s">
        <v>16</v>
      </c>
      <c r="D3741" s="5" t="s">
        <v>3762</v>
      </c>
      <c r="E3741" s="6" t="str">
        <f>HYPERLINK("https://twitter.com/sergio_fajardo/status/1465677753739620353","1465677753739620353")</f>
        <v>1465677753739620353</v>
      </c>
      <c r="F3741" s="7" t="s">
        <v>23</v>
      </c>
      <c r="G3741" s="7">
        <v>1600959</v>
      </c>
      <c r="H3741" s="7">
        <v>614</v>
      </c>
      <c r="I3741" s="7">
        <v>5</v>
      </c>
      <c r="J3741" s="7">
        <v>0</v>
      </c>
      <c r="K3741" s="7" t="s">
        <v>18</v>
      </c>
      <c r="L3741" s="8">
        <v>39891.213356481479</v>
      </c>
      <c r="M3741" s="9" t="s">
        <v>19</v>
      </c>
      <c r="N3741" s="9" t="s">
        <v>22</v>
      </c>
      <c r="O3741" s="6" t="str">
        <f>HYPERLINK("https://pbs.twimg.com/profile_images/1433591977631748099/wuGDIimB_normal.jpg","View")</f>
        <v>View</v>
      </c>
      <c r="P3741" s="7"/>
    </row>
    <row r="3742" spans="1:16">
      <c r="A3742" s="3">
        <v>44530.801666666666</v>
      </c>
      <c r="B3742" s="4" t="str">
        <f>HYPERLINK("https://twitter.com/sergio_fajardo","@sergio_fajardo")</f>
        <v>@sergio_fajardo</v>
      </c>
      <c r="C3742" s="5" t="s">
        <v>16</v>
      </c>
      <c r="D3742" s="5" t="s">
        <v>3763</v>
      </c>
      <c r="E3742" s="6" t="str">
        <f>HYPERLINK("https://twitter.com/sergio_fajardo/status/1465678098352029697","1465678098352029697")</f>
        <v>1465678098352029697</v>
      </c>
      <c r="F3742" s="7" t="s">
        <v>23</v>
      </c>
      <c r="G3742" s="7">
        <v>1600959</v>
      </c>
      <c r="H3742" s="7">
        <v>614</v>
      </c>
      <c r="I3742" s="7">
        <v>19</v>
      </c>
      <c r="J3742" s="7">
        <v>0</v>
      </c>
      <c r="K3742" s="7" t="s">
        <v>18</v>
      </c>
      <c r="L3742" s="8">
        <v>39891.213356481479</v>
      </c>
      <c r="M3742" s="9" t="s">
        <v>19</v>
      </c>
      <c r="N3742" s="9" t="s">
        <v>22</v>
      </c>
      <c r="O3742" s="6" t="str">
        <f>HYPERLINK("https://pbs.twimg.com/profile_images/1433591977631748099/wuGDIimB_normal.jpg","View")</f>
        <v>View</v>
      </c>
      <c r="P3742" s="7"/>
    </row>
    <row r="3743" spans="1:16">
      <c r="A3743" s="3">
        <v>44530.803761574076</v>
      </c>
      <c r="B3743" s="4" t="str">
        <f>HYPERLINK("https://twitter.com/sergio_fajardo","@sergio_fajardo")</f>
        <v>@sergio_fajardo</v>
      </c>
      <c r="C3743" s="5" t="s">
        <v>16</v>
      </c>
      <c r="D3743" s="5" t="s">
        <v>3764</v>
      </c>
      <c r="E3743" s="6" t="str">
        <f>HYPERLINK("https://twitter.com/sergio_fajardo/status/1465678860431896581","1465678860431896581")</f>
        <v>1465678860431896581</v>
      </c>
      <c r="F3743" s="7" t="s">
        <v>23</v>
      </c>
      <c r="G3743" s="7">
        <v>1600959</v>
      </c>
      <c r="H3743" s="7">
        <v>614</v>
      </c>
      <c r="I3743" s="7">
        <v>6</v>
      </c>
      <c r="J3743" s="7">
        <v>0</v>
      </c>
      <c r="K3743" s="7" t="s">
        <v>18</v>
      </c>
      <c r="L3743" s="8">
        <v>39891.213356481479</v>
      </c>
      <c r="M3743" s="9" t="s">
        <v>19</v>
      </c>
      <c r="N3743" s="9" t="s">
        <v>22</v>
      </c>
      <c r="O3743" s="6" t="str">
        <f>HYPERLINK("https://pbs.twimg.com/profile_images/1433591977631748099/wuGDIimB_normal.jpg","View")</f>
        <v>View</v>
      </c>
      <c r="P3743" s="7"/>
    </row>
    <row r="3744" spans="1:16">
      <c r="A3744" s="3">
        <v>44530.806932870371</v>
      </c>
      <c r="B3744" s="4" t="str">
        <f>HYPERLINK("https://twitter.com/sergio_fajardo","@sergio_fajardo")</f>
        <v>@sergio_fajardo</v>
      </c>
      <c r="C3744" s="5" t="s">
        <v>16</v>
      </c>
      <c r="D3744" s="5" t="s">
        <v>3765</v>
      </c>
      <c r="E3744" s="6" t="str">
        <f>HYPERLINK("https://twitter.com/sergio_fajardo/status/1465680007066435588","1465680007066435588")</f>
        <v>1465680007066435588</v>
      </c>
      <c r="F3744" s="7" t="s">
        <v>17</v>
      </c>
      <c r="G3744" s="7">
        <v>1600959</v>
      </c>
      <c r="H3744" s="7">
        <v>614</v>
      </c>
      <c r="I3744" s="7">
        <v>29</v>
      </c>
      <c r="J3744" s="7">
        <v>93</v>
      </c>
      <c r="K3744" s="7" t="s">
        <v>18</v>
      </c>
      <c r="L3744" s="8">
        <v>39891.213356481479</v>
      </c>
      <c r="M3744" s="9" t="s">
        <v>19</v>
      </c>
      <c r="N3744" s="9" t="s">
        <v>22</v>
      </c>
      <c r="O3744" s="6" t="str">
        <f>HYPERLINK("https://pbs.twimg.com/profile_images/1433591977631748099/wuGDIimB_normal.jpg","View")</f>
        <v>View</v>
      </c>
      <c r="P3744" s="7"/>
    </row>
    <row r="3745" spans="1:16">
      <c r="A3745" s="3">
        <v>44530.812025462961</v>
      </c>
      <c r="B3745" s="4" t="str">
        <f>HYPERLINK("https://twitter.com/sergio_fajardo","@sergio_fajardo")</f>
        <v>@sergio_fajardo</v>
      </c>
      <c r="C3745" s="5" t="s">
        <v>16</v>
      </c>
      <c r="D3745" s="5" t="s">
        <v>3766</v>
      </c>
      <c r="E3745" s="6" t="str">
        <f>HYPERLINK("https://twitter.com/sergio_fajardo/status/1465681853373947909","1465681853373947909")</f>
        <v>1465681853373947909</v>
      </c>
      <c r="F3745" s="7" t="s">
        <v>23</v>
      </c>
      <c r="G3745" s="7">
        <v>1600959</v>
      </c>
      <c r="H3745" s="7">
        <v>614</v>
      </c>
      <c r="I3745" s="7">
        <v>2</v>
      </c>
      <c r="J3745" s="7">
        <v>0</v>
      </c>
      <c r="K3745" s="7" t="s">
        <v>18</v>
      </c>
      <c r="L3745" s="8">
        <v>39891.213356481479</v>
      </c>
      <c r="M3745" s="9" t="s">
        <v>19</v>
      </c>
      <c r="N3745" s="9" t="s">
        <v>22</v>
      </c>
      <c r="O3745" s="6" t="str">
        <f>HYPERLINK("https://pbs.twimg.com/profile_images/1433591977631748099/wuGDIimB_normal.jpg","View")</f>
        <v>View</v>
      </c>
      <c r="P3745" s="7"/>
    </row>
    <row r="3746" spans="1:16">
      <c r="A3746" s="3">
        <v>44530.813599537039</v>
      </c>
      <c r="B3746" s="4" t="str">
        <f>HYPERLINK("https://twitter.com/sergio_fajardo","@sergio_fajardo")</f>
        <v>@sergio_fajardo</v>
      </c>
      <c r="C3746" s="5" t="s">
        <v>16</v>
      </c>
      <c r="D3746" s="5" t="s">
        <v>3767</v>
      </c>
      <c r="E3746" s="6" t="str">
        <f>HYPERLINK("https://twitter.com/sergio_fajardo/status/1465682425548357635","1465682425548357635")</f>
        <v>1465682425548357635</v>
      </c>
      <c r="F3746" s="7" t="s">
        <v>23</v>
      </c>
      <c r="G3746" s="7">
        <v>1600959</v>
      </c>
      <c r="H3746" s="7">
        <v>614</v>
      </c>
      <c r="I3746" s="7">
        <v>2</v>
      </c>
      <c r="J3746" s="7">
        <v>0</v>
      </c>
      <c r="K3746" s="7" t="s">
        <v>18</v>
      </c>
      <c r="L3746" s="8">
        <v>39891.213356481479</v>
      </c>
      <c r="M3746" s="9" t="s">
        <v>19</v>
      </c>
      <c r="N3746" s="9" t="s">
        <v>22</v>
      </c>
      <c r="O3746" s="6" t="str">
        <f>HYPERLINK("https://pbs.twimg.com/profile_images/1433591977631748099/wuGDIimB_normal.jpg","View")</f>
        <v>View</v>
      </c>
      <c r="P3746" s="7"/>
    </row>
    <row r="3747" spans="1:16">
      <c r="A3747" s="3">
        <v>44530.816631944443</v>
      </c>
      <c r="B3747" s="4" t="str">
        <f>HYPERLINK("https://twitter.com/sergio_fajardo","@sergio_fajardo")</f>
        <v>@sergio_fajardo</v>
      </c>
      <c r="C3747" s="5" t="s">
        <v>16</v>
      </c>
      <c r="D3747" s="5" t="s">
        <v>3768</v>
      </c>
      <c r="E3747" s="6" t="str">
        <f>HYPERLINK("https://twitter.com/sergio_fajardo/status/1465683520987271168","1465683520987271168")</f>
        <v>1465683520987271168</v>
      </c>
      <c r="F3747" s="7" t="s">
        <v>2329</v>
      </c>
      <c r="G3747" s="7">
        <v>1600959</v>
      </c>
      <c r="H3747" s="7">
        <v>615</v>
      </c>
      <c r="I3747" s="7">
        <v>43</v>
      </c>
      <c r="J3747" s="7">
        <v>129</v>
      </c>
      <c r="K3747" s="7" t="s">
        <v>18</v>
      </c>
      <c r="L3747" s="8">
        <v>39891.213356481479</v>
      </c>
      <c r="M3747" s="9" t="s">
        <v>19</v>
      </c>
      <c r="N3747" s="9" t="s">
        <v>22</v>
      </c>
      <c r="O3747" s="6" t="str">
        <f>HYPERLINK("https://pbs.twimg.com/profile_images/1433591977631748099/wuGDIimB_normal.jpg","View")</f>
        <v>View</v>
      </c>
      <c r="P3747" s="7"/>
    </row>
    <row r="3748" spans="1:16">
      <c r="A3748" s="3">
        <v>44530.823622685188</v>
      </c>
      <c r="B3748" s="4" t="str">
        <f>HYPERLINK("https://twitter.com/sergio_fajardo","@sergio_fajardo")</f>
        <v>@sergio_fajardo</v>
      </c>
      <c r="C3748" s="5" t="s">
        <v>16</v>
      </c>
      <c r="D3748" s="5" t="s">
        <v>3769</v>
      </c>
      <c r="E3748" s="6" t="str">
        <f>HYPERLINK("https://twitter.com/sergio_fajardo/status/1465686053860294665","1465686053860294665")</f>
        <v>1465686053860294665</v>
      </c>
      <c r="F3748" s="7" t="s">
        <v>2329</v>
      </c>
      <c r="G3748" s="7">
        <v>1600959</v>
      </c>
      <c r="H3748" s="7">
        <v>615</v>
      </c>
      <c r="I3748" s="7">
        <v>6</v>
      </c>
      <c r="J3748" s="7">
        <v>28</v>
      </c>
      <c r="K3748" s="7" t="s">
        <v>18</v>
      </c>
      <c r="L3748" s="8">
        <v>39891.213356481479</v>
      </c>
      <c r="M3748" s="9" t="s">
        <v>19</v>
      </c>
      <c r="N3748" s="9" t="s">
        <v>22</v>
      </c>
      <c r="O3748" s="6" t="str">
        <f>HYPERLINK("https://pbs.twimg.com/profile_images/1433591977631748099/wuGDIimB_normal.jpg","View")</f>
        <v>View</v>
      </c>
      <c r="P3748" s="7"/>
    </row>
    <row r="3749" spans="1:16">
      <c r="A3749" s="3">
        <v>44530.830833333333</v>
      </c>
      <c r="B3749" s="4" t="str">
        <f>HYPERLINK("https://twitter.com/sergio_fajardo","@sergio_fajardo")</f>
        <v>@sergio_fajardo</v>
      </c>
      <c r="C3749" s="5" t="s">
        <v>16</v>
      </c>
      <c r="D3749" s="5" t="s">
        <v>3770</v>
      </c>
      <c r="E3749" s="6" t="str">
        <f>HYPERLINK("https://twitter.com/sergio_fajardo/status/1465688667473825793","1465688667473825793")</f>
        <v>1465688667473825793</v>
      </c>
      <c r="F3749" s="7" t="s">
        <v>2329</v>
      </c>
      <c r="G3749" s="7">
        <v>1600959</v>
      </c>
      <c r="H3749" s="7">
        <v>615</v>
      </c>
      <c r="I3749" s="7">
        <v>11</v>
      </c>
      <c r="J3749" s="7">
        <v>29</v>
      </c>
      <c r="K3749" s="7" t="s">
        <v>18</v>
      </c>
      <c r="L3749" s="8">
        <v>39891.213356481479</v>
      </c>
      <c r="M3749" s="9" t="s">
        <v>19</v>
      </c>
      <c r="N3749" s="9" t="s">
        <v>22</v>
      </c>
      <c r="O3749" s="6" t="str">
        <f>HYPERLINK("https://pbs.twimg.com/profile_images/1433591977631748099/wuGDIimB_normal.jpg","View")</f>
        <v>View</v>
      </c>
      <c r="P3749" s="7"/>
    </row>
    <row r="3750" spans="1:16">
      <c r="A3750" s="3">
        <v>44530.837905092594</v>
      </c>
      <c r="B3750" s="4" t="str">
        <f>HYPERLINK("https://twitter.com/sergio_fajardo","@sergio_fajardo")</f>
        <v>@sergio_fajardo</v>
      </c>
      <c r="C3750" s="5" t="s">
        <v>16</v>
      </c>
      <c r="D3750" s="5" t="s">
        <v>3771</v>
      </c>
      <c r="E3750" s="6" t="str">
        <f>HYPERLINK("https://twitter.com/sergio_fajardo/status/1465691232370311169","1465691232370311169")</f>
        <v>1465691232370311169</v>
      </c>
      <c r="F3750" s="7" t="s">
        <v>2329</v>
      </c>
      <c r="G3750" s="7">
        <v>1600881</v>
      </c>
      <c r="H3750" s="7">
        <v>623</v>
      </c>
      <c r="I3750" s="7">
        <v>18</v>
      </c>
      <c r="J3750" s="7">
        <v>48</v>
      </c>
      <c r="K3750" s="7" t="s">
        <v>18</v>
      </c>
      <c r="L3750" s="8">
        <v>39891.213356481479</v>
      </c>
      <c r="M3750" s="9" t="s">
        <v>19</v>
      </c>
      <c r="N3750" s="9" t="s">
        <v>22</v>
      </c>
      <c r="O3750" s="6" t="str">
        <f>HYPERLINK("https://pbs.twimg.com/profile_images/1433591977631748099/wuGDIimB_normal.jpg","View")</f>
        <v>View</v>
      </c>
      <c r="P3750" s="7"/>
    </row>
    <row r="3751" spans="1:16">
      <c r="A3751" s="3">
        <v>44530.842986111107</v>
      </c>
      <c r="B3751" s="4" t="str">
        <f>HYPERLINK("https://twitter.com/sergio_fajardo","@sergio_fajardo")</f>
        <v>@sergio_fajardo</v>
      </c>
      <c r="C3751" s="5" t="s">
        <v>16</v>
      </c>
      <c r="D3751" s="5" t="s">
        <v>3772</v>
      </c>
      <c r="E3751" s="6" t="str">
        <f>HYPERLINK("https://twitter.com/sergio_fajardo/status/1465693072327651330","1465693072327651330")</f>
        <v>1465693072327651330</v>
      </c>
      <c r="F3751" s="7" t="s">
        <v>17</v>
      </c>
      <c r="G3751" s="7">
        <v>1600881</v>
      </c>
      <c r="H3751" s="7">
        <v>623</v>
      </c>
      <c r="I3751" s="7">
        <v>1</v>
      </c>
      <c r="J3751" s="7">
        <v>0</v>
      </c>
      <c r="K3751" s="7" t="s">
        <v>18</v>
      </c>
      <c r="L3751" s="8">
        <v>39891.213356481479</v>
      </c>
      <c r="M3751" s="9" t="s">
        <v>19</v>
      </c>
      <c r="N3751" s="9" t="s">
        <v>22</v>
      </c>
      <c r="O3751" s="6" t="str">
        <f>HYPERLINK("https://pbs.twimg.com/profile_images/1433591977631748099/wuGDIimB_normal.jpg","View")</f>
        <v>View</v>
      </c>
      <c r="P3751" s="7"/>
    </row>
    <row r="3752" spans="1:16">
      <c r="A3752" s="3">
        <v>44530.846354166672</v>
      </c>
      <c r="B3752" s="4" t="str">
        <f>HYPERLINK("https://twitter.com/sergio_fajardo","@sergio_fajardo")</f>
        <v>@sergio_fajardo</v>
      </c>
      <c r="C3752" s="5" t="s">
        <v>16</v>
      </c>
      <c r="D3752" s="5" t="s">
        <v>3773</v>
      </c>
      <c r="E3752" s="6" t="str">
        <f>HYPERLINK("https://twitter.com/sergio_fajardo/status/1465694295508144137","1465694295508144137")</f>
        <v>1465694295508144137</v>
      </c>
      <c r="F3752" s="7" t="s">
        <v>2329</v>
      </c>
      <c r="G3752" s="7">
        <v>1600881</v>
      </c>
      <c r="H3752" s="7">
        <v>623</v>
      </c>
      <c r="I3752" s="7">
        <v>13</v>
      </c>
      <c r="J3752" s="7">
        <v>35</v>
      </c>
      <c r="K3752" s="7" t="s">
        <v>18</v>
      </c>
      <c r="L3752" s="8">
        <v>39891.213356481479</v>
      </c>
      <c r="M3752" s="9" t="s">
        <v>19</v>
      </c>
      <c r="N3752" s="9" t="s">
        <v>22</v>
      </c>
      <c r="O3752" s="6" t="str">
        <f>HYPERLINK("https://pbs.twimg.com/profile_images/1433591977631748099/wuGDIimB_normal.jpg","View")</f>
        <v>View</v>
      </c>
      <c r="P3752" s="7"/>
    </row>
    <row r="3753" spans="1:16">
      <c r="A3753" s="3">
        <v>44530.854270833333</v>
      </c>
      <c r="B3753" s="4" t="str">
        <f>HYPERLINK("https://twitter.com/sergio_fajardo","@sergio_fajardo")</f>
        <v>@sergio_fajardo</v>
      </c>
      <c r="C3753" s="5" t="s">
        <v>16</v>
      </c>
      <c r="D3753" s="5" t="s">
        <v>3774</v>
      </c>
      <c r="E3753" s="6" t="str">
        <f>HYPERLINK("https://twitter.com/sergio_fajardo/status/1465697162428252168","1465697162428252168")</f>
        <v>1465697162428252168</v>
      </c>
      <c r="F3753" s="7" t="s">
        <v>2329</v>
      </c>
      <c r="G3753" s="7">
        <v>1600881</v>
      </c>
      <c r="H3753" s="7">
        <v>623</v>
      </c>
      <c r="I3753" s="7">
        <v>0</v>
      </c>
      <c r="J3753" s="7">
        <v>4</v>
      </c>
      <c r="K3753" s="7" t="s">
        <v>18</v>
      </c>
      <c r="L3753" s="8">
        <v>39891.213356481479</v>
      </c>
      <c r="M3753" s="9" t="s">
        <v>19</v>
      </c>
      <c r="N3753" s="9" t="s">
        <v>22</v>
      </c>
      <c r="O3753" s="6" t="str">
        <f>HYPERLINK("https://pbs.twimg.com/profile_images/1433591977631748099/wuGDIimB_normal.jpg","View")</f>
        <v>View</v>
      </c>
      <c r="P3753" s="7"/>
    </row>
    <row r="3754" spans="1:16">
      <c r="A3754" s="3">
        <v>44530.861215277779</v>
      </c>
      <c r="B3754" s="4" t="str">
        <f>HYPERLINK("https://twitter.com/sergio_fajardo","@sergio_fajardo")</f>
        <v>@sergio_fajardo</v>
      </c>
      <c r="C3754" s="5" t="s">
        <v>16</v>
      </c>
      <c r="D3754" s="5" t="s">
        <v>3775</v>
      </c>
      <c r="E3754" s="6" t="str">
        <f>HYPERLINK("https://twitter.com/sergio_fajardo/status/1465699679010656272","1465699679010656272")</f>
        <v>1465699679010656272</v>
      </c>
      <c r="F3754" s="7" t="s">
        <v>2329</v>
      </c>
      <c r="G3754" s="7">
        <v>1600876</v>
      </c>
      <c r="H3754" s="7">
        <v>623</v>
      </c>
      <c r="I3754" s="7">
        <v>19</v>
      </c>
      <c r="J3754" s="7">
        <v>60</v>
      </c>
      <c r="K3754" s="7" t="s">
        <v>18</v>
      </c>
      <c r="L3754" s="8">
        <v>39891.213356481479</v>
      </c>
      <c r="M3754" s="9" t="s">
        <v>19</v>
      </c>
      <c r="N3754" s="9" t="s">
        <v>22</v>
      </c>
      <c r="O3754" s="6" t="str">
        <f>HYPERLINK("https://pbs.twimg.com/profile_images/1433591977631748099/wuGDIimB_normal.jpg","View")</f>
        <v>View</v>
      </c>
      <c r="P3754" s="7"/>
    </row>
    <row r="3755" spans="1:16">
      <c r="A3755" s="3">
        <v>44530.868634259255</v>
      </c>
      <c r="B3755" s="4" t="str">
        <f>HYPERLINK("https://twitter.com/sergio_fajardo","@sergio_fajardo")</f>
        <v>@sergio_fajardo</v>
      </c>
      <c r="C3755" s="5" t="s">
        <v>16</v>
      </c>
      <c r="D3755" s="5" t="s">
        <v>3776</v>
      </c>
      <c r="E3755" s="6" t="str">
        <f>HYPERLINK("https://twitter.com/sergio_fajardo/status/1465702368016621573","1465702368016621573")</f>
        <v>1465702368016621573</v>
      </c>
      <c r="F3755" s="7" t="s">
        <v>2329</v>
      </c>
      <c r="G3755" s="7">
        <v>1600876</v>
      </c>
      <c r="H3755" s="7">
        <v>623</v>
      </c>
      <c r="I3755" s="7">
        <v>14</v>
      </c>
      <c r="J3755" s="7">
        <v>60</v>
      </c>
      <c r="K3755" s="7" t="s">
        <v>18</v>
      </c>
      <c r="L3755" s="8">
        <v>39891.213356481479</v>
      </c>
      <c r="M3755" s="9" t="s">
        <v>19</v>
      </c>
      <c r="N3755" s="9" t="s">
        <v>22</v>
      </c>
      <c r="O3755" s="6" t="str">
        <f>HYPERLINK("https://pbs.twimg.com/profile_images/1433591977631748099/wuGDIimB_normal.jpg","View")</f>
        <v>View</v>
      </c>
      <c r="P3755" s="7"/>
    </row>
    <row r="3756" spans="1:16">
      <c r="A3756" s="3">
        <v>44530.870381944449</v>
      </c>
      <c r="B3756" s="4" t="str">
        <f>HYPERLINK("https://twitter.com/sergio_fajardo","@sergio_fajardo")</f>
        <v>@sergio_fajardo</v>
      </c>
      <c r="C3756" s="5" t="s">
        <v>16</v>
      </c>
      <c r="D3756" s="5" t="s">
        <v>3777</v>
      </c>
      <c r="E3756" s="6" t="str">
        <f>HYPERLINK("https://twitter.com/sergio_fajardo/status/1465702999322349580","1465702999322349580")</f>
        <v>1465702999322349580</v>
      </c>
      <c r="F3756" s="7" t="s">
        <v>23</v>
      </c>
      <c r="G3756" s="7">
        <v>1600876</v>
      </c>
      <c r="H3756" s="7">
        <v>623</v>
      </c>
      <c r="I3756" s="7">
        <v>28</v>
      </c>
      <c r="J3756" s="7">
        <v>0</v>
      </c>
      <c r="K3756" s="7" t="s">
        <v>18</v>
      </c>
      <c r="L3756" s="8">
        <v>39891.213356481479</v>
      </c>
      <c r="M3756" s="9" t="s">
        <v>19</v>
      </c>
      <c r="N3756" s="9" t="s">
        <v>22</v>
      </c>
      <c r="O3756" s="6" t="str">
        <f>HYPERLINK("https://pbs.twimg.com/profile_images/1433591977631748099/wuGDIimB_normal.jpg","View")</f>
        <v>View</v>
      </c>
      <c r="P3756" s="7"/>
    </row>
    <row r="3757" spans="1:16">
      <c r="A3757" s="3">
        <v>44530.870439814811</v>
      </c>
      <c r="B3757" s="4" t="str">
        <f>HYPERLINK("https://twitter.com/sergio_fajardo","@sergio_fajardo")</f>
        <v>@sergio_fajardo</v>
      </c>
      <c r="C3757" s="5" t="s">
        <v>16</v>
      </c>
      <c r="D3757" s="5" t="s">
        <v>3778</v>
      </c>
      <c r="E3757" s="6" t="str">
        <f>HYPERLINK("https://twitter.com/sergio_fajardo/status/1465703020486803460","1465703020486803460")</f>
        <v>1465703020486803460</v>
      </c>
      <c r="F3757" s="7" t="s">
        <v>23</v>
      </c>
      <c r="G3757" s="7">
        <v>1600876</v>
      </c>
      <c r="H3757" s="7">
        <v>623</v>
      </c>
      <c r="I3757" s="7">
        <v>13</v>
      </c>
      <c r="J3757" s="7">
        <v>0</v>
      </c>
      <c r="K3757" s="7" t="s">
        <v>18</v>
      </c>
      <c r="L3757" s="8">
        <v>39891.213356481479</v>
      </c>
      <c r="M3757" s="9" t="s">
        <v>19</v>
      </c>
      <c r="N3757" s="9" t="s">
        <v>22</v>
      </c>
      <c r="O3757" s="6" t="str">
        <f>HYPERLINK("https://pbs.twimg.com/profile_images/1433591977631748099/wuGDIimB_normal.jpg","View")</f>
        <v>View</v>
      </c>
      <c r="P3757" s="7"/>
    </row>
    <row r="3758" spans="1:16">
      <c r="A3758" s="3">
        <v>44530.870532407411</v>
      </c>
      <c r="B3758" s="4" t="str">
        <f>HYPERLINK("https://twitter.com/sergio_fajardo","@sergio_fajardo")</f>
        <v>@sergio_fajardo</v>
      </c>
      <c r="C3758" s="5" t="s">
        <v>16</v>
      </c>
      <c r="D3758" s="5" t="s">
        <v>3779</v>
      </c>
      <c r="E3758" s="6" t="str">
        <f>HYPERLINK("https://twitter.com/sergio_fajardo/status/1465703053697314829","1465703053697314829")</f>
        <v>1465703053697314829</v>
      </c>
      <c r="F3758" s="7" t="s">
        <v>23</v>
      </c>
      <c r="G3758" s="7">
        <v>1600876</v>
      </c>
      <c r="H3758" s="7">
        <v>623</v>
      </c>
      <c r="I3758" s="7">
        <v>11</v>
      </c>
      <c r="J3758" s="7">
        <v>0</v>
      </c>
      <c r="K3758" s="7" t="s">
        <v>18</v>
      </c>
      <c r="L3758" s="8">
        <v>39891.213356481479</v>
      </c>
      <c r="M3758" s="9" t="s">
        <v>19</v>
      </c>
      <c r="N3758" s="9" t="s">
        <v>22</v>
      </c>
      <c r="O3758" s="6" t="str">
        <f>HYPERLINK("https://pbs.twimg.com/profile_images/1433591977631748099/wuGDIimB_normal.jpg","View")</f>
        <v>View</v>
      </c>
      <c r="P3758" s="7"/>
    </row>
    <row r="3759" spans="1:16">
      <c r="A3759" s="3">
        <v>44530.870578703703</v>
      </c>
      <c r="B3759" s="4" t="str">
        <f>HYPERLINK("https://twitter.com/sergio_fajardo","@sergio_fajardo")</f>
        <v>@sergio_fajardo</v>
      </c>
      <c r="C3759" s="5" t="s">
        <v>16</v>
      </c>
      <c r="D3759" s="5" t="s">
        <v>3780</v>
      </c>
      <c r="E3759" s="6" t="str">
        <f>HYPERLINK("https://twitter.com/sergio_fajardo/status/1465703071292428291","1465703071292428291")</f>
        <v>1465703071292428291</v>
      </c>
      <c r="F3759" s="7" t="s">
        <v>23</v>
      </c>
      <c r="G3759" s="7">
        <v>1600876</v>
      </c>
      <c r="H3759" s="7">
        <v>623</v>
      </c>
      <c r="I3759" s="7">
        <v>11</v>
      </c>
      <c r="J3759" s="7">
        <v>0</v>
      </c>
      <c r="K3759" s="7" t="s">
        <v>18</v>
      </c>
      <c r="L3759" s="8">
        <v>39891.213356481479</v>
      </c>
      <c r="M3759" s="9" t="s">
        <v>19</v>
      </c>
      <c r="N3759" s="9" t="s">
        <v>22</v>
      </c>
      <c r="O3759" s="6" t="str">
        <f>HYPERLINK("https://pbs.twimg.com/profile_images/1433591977631748099/wuGDIimB_normal.jpg","View")</f>
        <v>View</v>
      </c>
      <c r="P3759" s="7"/>
    </row>
    <row r="3760" spans="1:16">
      <c r="A3760" s="3">
        <v>44530.870648148149</v>
      </c>
      <c r="B3760" s="4" t="str">
        <f>HYPERLINK("https://twitter.com/sergio_fajardo","@sergio_fajardo")</f>
        <v>@sergio_fajardo</v>
      </c>
      <c r="C3760" s="5" t="s">
        <v>16</v>
      </c>
      <c r="D3760" s="5" t="s">
        <v>3781</v>
      </c>
      <c r="E3760" s="6" t="str">
        <f>HYPERLINK("https://twitter.com/sergio_fajardo/status/1465703098232369165","1465703098232369165")</f>
        <v>1465703098232369165</v>
      </c>
      <c r="F3760" s="7" t="s">
        <v>23</v>
      </c>
      <c r="G3760" s="7">
        <v>1600876</v>
      </c>
      <c r="H3760" s="7">
        <v>623</v>
      </c>
      <c r="I3760" s="7">
        <v>11</v>
      </c>
      <c r="J3760" s="7">
        <v>0</v>
      </c>
      <c r="K3760" s="7" t="s">
        <v>18</v>
      </c>
      <c r="L3760" s="8">
        <v>39891.213356481479</v>
      </c>
      <c r="M3760" s="9" t="s">
        <v>19</v>
      </c>
      <c r="N3760" s="9" t="s">
        <v>22</v>
      </c>
      <c r="O3760" s="6" t="str">
        <f>HYPERLINK("https://pbs.twimg.com/profile_images/1433591977631748099/wuGDIimB_normal.jpg","View")</f>
        <v>View</v>
      </c>
      <c r="P3760" s="7"/>
    </row>
    <row r="3761" spans="1:16">
      <c r="A3761" s="3">
        <v>44530.871053240742</v>
      </c>
      <c r="B3761" s="4" t="str">
        <f>HYPERLINK("https://twitter.com/sergio_fajardo","@sergio_fajardo")</f>
        <v>@sergio_fajardo</v>
      </c>
      <c r="C3761" s="5" t="s">
        <v>16</v>
      </c>
      <c r="D3761" s="5" t="s">
        <v>3782</v>
      </c>
      <c r="E3761" s="6" t="str">
        <f>HYPERLINK("https://twitter.com/sergio_fajardo/status/1465703242965258254","1465703242965258254")</f>
        <v>1465703242965258254</v>
      </c>
      <c r="F3761" s="7" t="s">
        <v>23</v>
      </c>
      <c r="G3761" s="7">
        <v>1600876</v>
      </c>
      <c r="H3761" s="7">
        <v>623</v>
      </c>
      <c r="I3761" s="7">
        <v>7</v>
      </c>
      <c r="J3761" s="7">
        <v>0</v>
      </c>
      <c r="K3761" s="7" t="s">
        <v>18</v>
      </c>
      <c r="L3761" s="8">
        <v>39891.213356481479</v>
      </c>
      <c r="M3761" s="9" t="s">
        <v>19</v>
      </c>
      <c r="N3761" s="9" t="s">
        <v>22</v>
      </c>
      <c r="O3761" s="6" t="str">
        <f>HYPERLINK("https://pbs.twimg.com/profile_images/1433591977631748099/wuGDIimB_normal.jpg","View")</f>
        <v>View</v>
      </c>
      <c r="P3761" s="7"/>
    </row>
    <row r="3762" spans="1:16">
      <c r="A3762" s="3">
        <v>44530.871782407412</v>
      </c>
      <c r="B3762" s="4" t="str">
        <f>HYPERLINK("https://twitter.com/sergio_fajardo","@sergio_fajardo")</f>
        <v>@sergio_fajardo</v>
      </c>
      <c r="C3762" s="5" t="s">
        <v>16</v>
      </c>
      <c r="D3762" s="5" t="s">
        <v>3783</v>
      </c>
      <c r="E3762" s="6" t="str">
        <f>HYPERLINK("https://twitter.com/sergio_fajardo/status/1465703507743240197","1465703507743240197")</f>
        <v>1465703507743240197</v>
      </c>
      <c r="F3762" s="7" t="s">
        <v>23</v>
      </c>
      <c r="G3762" s="7">
        <v>1600876</v>
      </c>
      <c r="H3762" s="7">
        <v>623</v>
      </c>
      <c r="I3762" s="7">
        <v>2</v>
      </c>
      <c r="J3762" s="7">
        <v>0</v>
      </c>
      <c r="K3762" s="7" t="s">
        <v>18</v>
      </c>
      <c r="L3762" s="8">
        <v>39891.213356481479</v>
      </c>
      <c r="M3762" s="9" t="s">
        <v>19</v>
      </c>
      <c r="N3762" s="9" t="s">
        <v>22</v>
      </c>
      <c r="O3762" s="6" t="str">
        <f>HYPERLINK("https://pbs.twimg.com/profile_images/1433591977631748099/wuGDIimB_normal.jpg","View")</f>
        <v>View</v>
      </c>
      <c r="P3762" s="7"/>
    </row>
    <row r="3763" spans="1:16">
      <c r="A3763" s="3">
        <v>44530.886759259258</v>
      </c>
      <c r="B3763" s="4" t="str">
        <f>HYPERLINK("https://twitter.com/sergio_fajardo","@sergio_fajardo")</f>
        <v>@sergio_fajardo</v>
      </c>
      <c r="C3763" s="5" t="s">
        <v>16</v>
      </c>
      <c r="D3763" s="5" t="s">
        <v>3784</v>
      </c>
      <c r="E3763" s="6" t="str">
        <f>HYPERLINK("https://twitter.com/sergio_fajardo/status/1465708936569319430","1465708936569319430")</f>
        <v>1465708936569319430</v>
      </c>
      <c r="F3763" s="7" t="s">
        <v>17</v>
      </c>
      <c r="G3763" s="7">
        <v>1600939</v>
      </c>
      <c r="H3763" s="7">
        <v>623</v>
      </c>
      <c r="I3763" s="7">
        <v>27</v>
      </c>
      <c r="J3763" s="7">
        <v>0</v>
      </c>
      <c r="K3763" s="7" t="s">
        <v>18</v>
      </c>
      <c r="L3763" s="8">
        <v>39891.213356481479</v>
      </c>
      <c r="M3763" s="9" t="s">
        <v>19</v>
      </c>
      <c r="N3763" s="9" t="s">
        <v>22</v>
      </c>
      <c r="O3763" s="6" t="str">
        <f>HYPERLINK("https://pbs.twimg.com/profile_images/1433591977631748099/wuGDIimB_normal.jpg","View")</f>
        <v>View</v>
      </c>
      <c r="P3763" s="7"/>
    </row>
    <row r="3764" spans="1:16">
      <c r="A3764" s="3">
        <v>44530.887106481481</v>
      </c>
      <c r="B3764" s="4" t="str">
        <f>HYPERLINK("https://twitter.com/sergio_fajardo","@sergio_fajardo")</f>
        <v>@sergio_fajardo</v>
      </c>
      <c r="C3764" s="5" t="s">
        <v>16</v>
      </c>
      <c r="D3764" s="5" t="s">
        <v>3785</v>
      </c>
      <c r="E3764" s="6" t="str">
        <f>HYPERLINK("https://twitter.com/sergio_fajardo/status/1465709060196503558","1465709060196503558")</f>
        <v>1465709060196503558</v>
      </c>
      <c r="F3764" s="7" t="s">
        <v>17</v>
      </c>
      <c r="G3764" s="7">
        <v>1600939</v>
      </c>
      <c r="H3764" s="7">
        <v>623</v>
      </c>
      <c r="I3764" s="7">
        <v>3</v>
      </c>
      <c r="J3764" s="7">
        <v>0</v>
      </c>
      <c r="K3764" s="7" t="s">
        <v>18</v>
      </c>
      <c r="L3764" s="8">
        <v>39891.213356481479</v>
      </c>
      <c r="M3764" s="9" t="s">
        <v>19</v>
      </c>
      <c r="N3764" s="9" t="s">
        <v>22</v>
      </c>
      <c r="O3764" s="6" t="str">
        <f>HYPERLINK("https://pbs.twimg.com/profile_images/1433591977631748099/wuGDIimB_normal.jpg","View")</f>
        <v>View</v>
      </c>
      <c r="P3764" s="7"/>
    </row>
    <row r="3765" spans="1:16">
      <c r="A3765" s="3">
        <v>44530.887152777781</v>
      </c>
      <c r="B3765" s="4" t="str">
        <f>HYPERLINK("https://twitter.com/sergio_fajardo","@sergio_fajardo")</f>
        <v>@sergio_fajardo</v>
      </c>
      <c r="C3765" s="5" t="s">
        <v>16</v>
      </c>
      <c r="D3765" s="5" t="s">
        <v>3785</v>
      </c>
      <c r="E3765" s="6" t="str">
        <f>HYPERLINK("https://twitter.com/sergio_fajardo/status/1465709076629704722","1465709076629704722")</f>
        <v>1465709076629704722</v>
      </c>
      <c r="F3765" s="7" t="s">
        <v>17</v>
      </c>
      <c r="G3765" s="7">
        <v>1600939</v>
      </c>
      <c r="H3765" s="7">
        <v>623</v>
      </c>
      <c r="I3765" s="7">
        <v>6</v>
      </c>
      <c r="J3765" s="7">
        <v>0</v>
      </c>
      <c r="K3765" s="7" t="s">
        <v>18</v>
      </c>
      <c r="L3765" s="8">
        <v>39891.213356481479</v>
      </c>
      <c r="M3765" s="9" t="s">
        <v>19</v>
      </c>
      <c r="N3765" s="9" t="s">
        <v>22</v>
      </c>
      <c r="O3765" s="6" t="str">
        <f>HYPERLINK("https://pbs.twimg.com/profile_images/1433591977631748099/wuGDIimB_normal.jpg","View")</f>
        <v>View</v>
      </c>
      <c r="P3765" s="7"/>
    </row>
    <row r="3766" spans="1:16">
      <c r="A3766" s="3">
        <v>44530.887175925927</v>
      </c>
      <c r="B3766" s="4" t="str">
        <f>HYPERLINK("https://twitter.com/sergio_fajardo","@sergio_fajardo")</f>
        <v>@sergio_fajardo</v>
      </c>
      <c r="C3766" s="5" t="s">
        <v>16</v>
      </c>
      <c r="D3766" s="5" t="s">
        <v>3785</v>
      </c>
      <c r="E3766" s="6" t="str">
        <f>HYPERLINK("https://twitter.com/sergio_fajardo/status/1465709088545722378","1465709088545722378")</f>
        <v>1465709088545722378</v>
      </c>
      <c r="F3766" s="7" t="s">
        <v>17</v>
      </c>
      <c r="G3766" s="7">
        <v>1600939</v>
      </c>
      <c r="H3766" s="7">
        <v>623</v>
      </c>
      <c r="I3766" s="7">
        <v>6</v>
      </c>
      <c r="J3766" s="7">
        <v>0</v>
      </c>
      <c r="K3766" s="7" t="s">
        <v>18</v>
      </c>
      <c r="L3766" s="8">
        <v>39891.213356481479</v>
      </c>
      <c r="M3766" s="9" t="s">
        <v>19</v>
      </c>
      <c r="N3766" s="9" t="s">
        <v>22</v>
      </c>
      <c r="O3766" s="6" t="str">
        <f>HYPERLINK("https://pbs.twimg.com/profile_images/1433591977631748099/wuGDIimB_normal.jpg","View")</f>
        <v>View</v>
      </c>
      <c r="P3766" s="7"/>
    </row>
    <row r="3767" spans="1:16">
      <c r="A3767" s="3">
        <v>44530.899398148147</v>
      </c>
      <c r="B3767" s="4" t="str">
        <f>HYPERLINK("https://twitter.com/sergio_fajardo","@sergio_fajardo")</f>
        <v>@sergio_fajardo</v>
      </c>
      <c r="C3767" s="5" t="s">
        <v>16</v>
      </c>
      <c r="D3767" s="5" t="s">
        <v>3786</v>
      </c>
      <c r="E3767" s="6" t="str">
        <f>HYPERLINK("https://twitter.com/sergio_fajardo/status/1465713517366071297","1465713517366071297")</f>
        <v>1465713517366071297</v>
      </c>
      <c r="F3767" s="7" t="s">
        <v>17</v>
      </c>
      <c r="G3767" s="7">
        <v>1600945</v>
      </c>
      <c r="H3767" s="7">
        <v>623</v>
      </c>
      <c r="I3767" s="7">
        <v>4</v>
      </c>
      <c r="J3767" s="7">
        <v>0</v>
      </c>
      <c r="K3767" s="7" t="s">
        <v>18</v>
      </c>
      <c r="L3767" s="8">
        <v>39891.213356481479</v>
      </c>
      <c r="M3767" s="9" t="s">
        <v>19</v>
      </c>
      <c r="N3767" s="9" t="s">
        <v>22</v>
      </c>
      <c r="O3767" s="6" t="str">
        <f>HYPERLINK("https://pbs.twimg.com/profile_images/1433591977631748099/wuGDIimB_normal.jpg","View")</f>
        <v>View</v>
      </c>
      <c r="P3767" s="7"/>
    </row>
    <row r="3768" spans="1:16">
      <c r="A3768" s="3">
        <v>44530.899548611109</v>
      </c>
      <c r="B3768" s="4" t="str">
        <f>HYPERLINK("https://twitter.com/sergio_fajardo","@sergio_fajardo")</f>
        <v>@sergio_fajardo</v>
      </c>
      <c r="C3768" s="5" t="s">
        <v>16</v>
      </c>
      <c r="D3768" s="5" t="s">
        <v>3787</v>
      </c>
      <c r="E3768" s="6" t="str">
        <f>HYPERLINK("https://twitter.com/sergio_fajardo/status/1465713570298138625","1465713570298138625")</f>
        <v>1465713570298138625</v>
      </c>
      <c r="F3768" s="7" t="s">
        <v>17</v>
      </c>
      <c r="G3768" s="7">
        <v>1600945</v>
      </c>
      <c r="H3768" s="7">
        <v>623</v>
      </c>
      <c r="I3768" s="7">
        <v>4</v>
      </c>
      <c r="J3768" s="7">
        <v>0</v>
      </c>
      <c r="K3768" s="7" t="s">
        <v>18</v>
      </c>
      <c r="L3768" s="8">
        <v>39891.213356481479</v>
      </c>
      <c r="M3768" s="9" t="s">
        <v>19</v>
      </c>
      <c r="N3768" s="9" t="s">
        <v>22</v>
      </c>
      <c r="O3768" s="6" t="str">
        <f>HYPERLINK("https://pbs.twimg.com/profile_images/1433591977631748099/wuGDIimB_normal.jpg","View")</f>
        <v>View</v>
      </c>
      <c r="P3768" s="7"/>
    </row>
    <row r="3769" spans="1:16">
      <c r="A3769" s="3">
        <v>44530.899652777778</v>
      </c>
      <c r="B3769" s="4" t="str">
        <f>HYPERLINK("https://twitter.com/sergio_fajardo","@sergio_fajardo")</f>
        <v>@sergio_fajardo</v>
      </c>
      <c r="C3769" s="5" t="s">
        <v>16</v>
      </c>
      <c r="D3769" s="5" t="s">
        <v>3788</v>
      </c>
      <c r="E3769" s="6" t="str">
        <f>HYPERLINK("https://twitter.com/sergio_fajardo/status/1465713610152370176","1465713610152370176")</f>
        <v>1465713610152370176</v>
      </c>
      <c r="F3769" s="7" t="s">
        <v>17</v>
      </c>
      <c r="G3769" s="7">
        <v>1600945</v>
      </c>
      <c r="H3769" s="7">
        <v>623</v>
      </c>
      <c r="I3769" s="7">
        <v>4</v>
      </c>
      <c r="J3769" s="7">
        <v>0</v>
      </c>
      <c r="K3769" s="7" t="s">
        <v>18</v>
      </c>
      <c r="L3769" s="8">
        <v>39891.213356481479</v>
      </c>
      <c r="M3769" s="9" t="s">
        <v>19</v>
      </c>
      <c r="N3769" s="9" t="s">
        <v>22</v>
      </c>
      <c r="O3769" s="6" t="str">
        <f>HYPERLINK("https://pbs.twimg.com/profile_images/1433591977631748099/wuGDIimB_normal.jpg","View")</f>
        <v>View</v>
      </c>
      <c r="P3769" s="7"/>
    </row>
    <row r="3770" spans="1:16">
      <c r="A3770" s="3">
        <v>44530.918275462958</v>
      </c>
      <c r="B3770" s="4" t="str">
        <f>HYPERLINK("https://twitter.com/sergio_fajardo","@sergio_fajardo")</f>
        <v>@sergio_fajardo</v>
      </c>
      <c r="C3770" s="5" t="s">
        <v>16</v>
      </c>
      <c r="D3770" s="5" t="s">
        <v>3789</v>
      </c>
      <c r="E3770" s="6" t="str">
        <f>HYPERLINK("https://twitter.com/sergio_fajardo/status/1465720355532726276","1465720355532726276")</f>
        <v>1465720355532726276</v>
      </c>
      <c r="F3770" s="7" t="s">
        <v>2329</v>
      </c>
      <c r="G3770" s="7">
        <v>1600954</v>
      </c>
      <c r="H3770" s="7">
        <v>623</v>
      </c>
      <c r="I3770" s="7">
        <v>32</v>
      </c>
      <c r="J3770" s="7">
        <v>81</v>
      </c>
      <c r="K3770" s="7" t="s">
        <v>18</v>
      </c>
      <c r="L3770" s="8">
        <v>39891.213356481479</v>
      </c>
      <c r="M3770" s="9" t="s">
        <v>19</v>
      </c>
      <c r="N3770" s="9" t="s">
        <v>22</v>
      </c>
      <c r="O3770" s="6" t="str">
        <f>HYPERLINK("https://pbs.twimg.com/profile_images/1433591977631748099/wuGDIimB_normal.jpg","View")</f>
        <v>View</v>
      </c>
      <c r="P3770" s="7"/>
    </row>
    <row r="3771" spans="1:16">
      <c r="A3771" s="3">
        <v>44530.957048611112</v>
      </c>
      <c r="B3771" s="4" t="str">
        <f>HYPERLINK("https://twitter.com/sergio_fajardo","@sergio_fajardo")</f>
        <v>@sergio_fajardo</v>
      </c>
      <c r="C3771" s="5" t="s">
        <v>16</v>
      </c>
      <c r="D3771" s="5" t="s">
        <v>3790</v>
      </c>
      <c r="E3771" s="6" t="str">
        <f>HYPERLINK("https://twitter.com/sergio_fajardo/status/1465734409487794179","1465734409487794179")</f>
        <v>1465734409487794179</v>
      </c>
      <c r="F3771" s="7" t="s">
        <v>17</v>
      </c>
      <c r="G3771" s="7">
        <v>1600959</v>
      </c>
      <c r="H3771" s="7">
        <v>623</v>
      </c>
      <c r="I3771" s="7">
        <v>2</v>
      </c>
      <c r="J3771" s="7">
        <v>0</v>
      </c>
      <c r="K3771" s="7" t="s">
        <v>18</v>
      </c>
      <c r="L3771" s="8">
        <v>39891.213356481479</v>
      </c>
      <c r="M3771" s="9" t="s">
        <v>19</v>
      </c>
      <c r="N3771" s="9" t="s">
        <v>22</v>
      </c>
      <c r="O3771" s="6" t="str">
        <f>HYPERLINK("https://pbs.twimg.com/profile_images/1433591977631748099/wuGDIimB_normal.jpg","View")</f>
        <v>View</v>
      </c>
      <c r="P3771" s="7"/>
    </row>
    <row r="3772" spans="1:16">
      <c r="A3772" s="3">
        <v>44530.993738425925</v>
      </c>
      <c r="B3772" s="4" t="str">
        <f>HYPERLINK("https://twitter.com/sergio_fajardo","@sergio_fajardo")</f>
        <v>@sergio_fajardo</v>
      </c>
      <c r="C3772" s="5" t="s">
        <v>16</v>
      </c>
      <c r="D3772" s="5" t="s">
        <v>3791</v>
      </c>
      <c r="E3772" s="6" t="str">
        <f>HYPERLINK("https://twitter.com/sergio_fajardo/status/1465747705788084229","1465747705788084229")</f>
        <v>1465747705788084229</v>
      </c>
      <c r="F3772" s="7" t="s">
        <v>17</v>
      </c>
      <c r="G3772" s="7">
        <v>1600965</v>
      </c>
      <c r="H3772" s="7">
        <v>623</v>
      </c>
      <c r="I3772" s="7">
        <v>14</v>
      </c>
      <c r="J3772" s="7">
        <v>57</v>
      </c>
      <c r="K3772" s="7" t="s">
        <v>18</v>
      </c>
      <c r="L3772" s="8">
        <v>39891.213356481479</v>
      </c>
      <c r="M3772" s="9" t="s">
        <v>19</v>
      </c>
      <c r="N3772" s="9" t="s">
        <v>22</v>
      </c>
      <c r="O3772" s="6" t="str">
        <f>HYPERLINK("https://pbs.twimg.com/profile_images/1433591977631748099/wuGDIimB_normal.jpg","View")</f>
        <v>View</v>
      </c>
      <c r="P3772" s="7"/>
    </row>
    <row r="3773" spans="1:16">
      <c r="A3773" s="3">
        <v>44530.994953703703</v>
      </c>
      <c r="B3773" s="4" t="str">
        <f>HYPERLINK("https://twitter.com/sergio_fajardo","@sergio_fajardo")</f>
        <v>@sergio_fajardo</v>
      </c>
      <c r="C3773" s="5" t="s">
        <v>16</v>
      </c>
      <c r="D3773" s="5" t="s">
        <v>3792</v>
      </c>
      <c r="E3773" s="6" t="str">
        <f>HYPERLINK("https://twitter.com/sergio_fajardo/status/1465748145997033478","1465748145997033478")</f>
        <v>1465748145997033478</v>
      </c>
      <c r="F3773" s="7" t="s">
        <v>17</v>
      </c>
      <c r="G3773" s="7">
        <v>1600965</v>
      </c>
      <c r="H3773" s="7">
        <v>623</v>
      </c>
      <c r="I3773" s="7">
        <v>14</v>
      </c>
      <c r="J3773" s="7">
        <v>0</v>
      </c>
      <c r="K3773" s="7" t="s">
        <v>18</v>
      </c>
      <c r="L3773" s="8">
        <v>39891.213356481479</v>
      </c>
      <c r="M3773" s="9" t="s">
        <v>19</v>
      </c>
      <c r="N3773" s="9" t="s">
        <v>22</v>
      </c>
      <c r="O3773" s="6" t="str">
        <f>HYPERLINK("https://pbs.twimg.com/profile_images/1433591977631748099/wuGDIimB_normal.jpg","View")</f>
        <v>View</v>
      </c>
      <c r="P3773" s="7"/>
    </row>
    <row r="3774" spans="1:16">
      <c r="A3774" s="3">
        <v>44531.100578703699</v>
      </c>
      <c r="B3774" s="4" t="str">
        <f>HYPERLINK("https://twitter.com/sergio_fajardo","@sergio_fajardo")</f>
        <v>@sergio_fajardo</v>
      </c>
      <c r="C3774" s="5" t="s">
        <v>16</v>
      </c>
      <c r="D3774" s="5" t="s">
        <v>3793</v>
      </c>
      <c r="E3774" s="6" t="str">
        <f>HYPERLINK("https://twitter.com/sergio_fajardo/status/1465786420677816328","1465786420677816328")</f>
        <v>1465786420677816328</v>
      </c>
      <c r="F3774" s="7" t="s">
        <v>17</v>
      </c>
      <c r="G3774" s="7">
        <v>1600979</v>
      </c>
      <c r="H3774" s="7">
        <v>624</v>
      </c>
      <c r="I3774" s="7">
        <v>15</v>
      </c>
      <c r="J3774" s="7">
        <v>50</v>
      </c>
      <c r="K3774" s="7" t="s">
        <v>18</v>
      </c>
      <c r="L3774" s="8">
        <v>39891.213356481479</v>
      </c>
      <c r="M3774" s="9" t="s">
        <v>19</v>
      </c>
      <c r="N3774" s="9" t="s">
        <v>22</v>
      </c>
      <c r="O3774" s="6" t="str">
        <f>HYPERLINK("https://pbs.twimg.com/profile_images/1433591977631748099/wuGDIimB_normal.jpg","View")</f>
        <v>View</v>
      </c>
      <c r="P3774" s="7"/>
    </row>
    <row r="3775" spans="1:16">
      <c r="A3775" s="3">
        <v>44531.125173611115</v>
      </c>
      <c r="B3775" s="4" t="str">
        <f>HYPERLINK("https://twitter.com/sergio_fajardo","@sergio_fajardo")</f>
        <v>@sergio_fajardo</v>
      </c>
      <c r="C3775" s="5" t="s">
        <v>16</v>
      </c>
      <c r="D3775" s="5" t="s">
        <v>3794</v>
      </c>
      <c r="E3775" s="6" t="str">
        <f>HYPERLINK("https://twitter.com/sergio_fajardo/status/1465795332378406916","1465795332378406916")</f>
        <v>1465795332378406916</v>
      </c>
      <c r="F3775" s="7" t="s">
        <v>17</v>
      </c>
      <c r="G3775" s="7">
        <v>1600983</v>
      </c>
      <c r="H3775" s="7">
        <v>624</v>
      </c>
      <c r="I3775" s="7">
        <v>17</v>
      </c>
      <c r="J3775" s="7">
        <v>0</v>
      </c>
      <c r="K3775" s="7" t="s">
        <v>18</v>
      </c>
      <c r="L3775" s="8">
        <v>39891.213356481479</v>
      </c>
      <c r="M3775" s="9" t="s">
        <v>19</v>
      </c>
      <c r="N3775" s="9" t="s">
        <v>22</v>
      </c>
      <c r="O3775" s="6" t="str">
        <f>HYPERLINK("https://pbs.twimg.com/profile_images/1433591977631748099/wuGDIimB_normal.jpg","View")</f>
        <v>View</v>
      </c>
      <c r="P3775" s="7"/>
    </row>
    <row r="3776" spans="1:16">
      <c r="A3776" s="3">
        <v>44531.149849537032</v>
      </c>
      <c r="B3776" s="4" t="str">
        <f>HYPERLINK("https://twitter.com/sergio_fajardo","@sergio_fajardo")</f>
        <v>@sergio_fajardo</v>
      </c>
      <c r="C3776" s="5" t="s">
        <v>16</v>
      </c>
      <c r="D3776" s="5" t="s">
        <v>3795</v>
      </c>
      <c r="E3776" s="6" t="str">
        <f>HYPERLINK("https://twitter.com/sergio_fajardo/status/1465804276979097602","1465804276979097602")</f>
        <v>1465804276979097602</v>
      </c>
      <c r="F3776" s="7" t="s">
        <v>2329</v>
      </c>
      <c r="G3776" s="7">
        <v>1600991</v>
      </c>
      <c r="H3776" s="7">
        <v>625</v>
      </c>
      <c r="I3776" s="7">
        <v>14</v>
      </c>
      <c r="J3776" s="7">
        <v>51</v>
      </c>
      <c r="K3776" s="7" t="s">
        <v>18</v>
      </c>
      <c r="L3776" s="8">
        <v>39891.213356481479</v>
      </c>
      <c r="M3776" s="9" t="s">
        <v>19</v>
      </c>
      <c r="N3776" s="9" t="s">
        <v>22</v>
      </c>
      <c r="O3776" s="6" t="str">
        <f>HYPERLINK("https://pbs.twimg.com/profile_images/1433591977631748099/wuGDIimB_normal.jpg","View")</f>
        <v>View</v>
      </c>
      <c r="P3776" s="7"/>
    </row>
    <row r="3777" spans="1:16">
      <c r="A3777" s="3">
        <v>44531.170138888891</v>
      </c>
      <c r="B3777" s="4" t="str">
        <f>HYPERLINK("https://twitter.com/sergio_fajardo","@sergio_fajardo")</f>
        <v>@sergio_fajardo</v>
      </c>
      <c r="C3777" s="5" t="s">
        <v>16</v>
      </c>
      <c r="D3777" s="5" t="s">
        <v>3796</v>
      </c>
      <c r="E3777" s="6" t="str">
        <f>HYPERLINK("https://twitter.com/sergio_fajardo/status/1465811628268654594","1465811628268654594")</f>
        <v>1465811628268654594</v>
      </c>
      <c r="F3777" s="7" t="s">
        <v>2329</v>
      </c>
      <c r="G3777" s="7">
        <v>1600995</v>
      </c>
      <c r="H3777" s="7">
        <v>625</v>
      </c>
      <c r="I3777" s="7">
        <v>18</v>
      </c>
      <c r="J3777" s="7">
        <v>45</v>
      </c>
      <c r="K3777" s="7" t="s">
        <v>18</v>
      </c>
      <c r="L3777" s="8">
        <v>39891.213356481479</v>
      </c>
      <c r="M3777" s="9" t="s">
        <v>19</v>
      </c>
      <c r="N3777" s="9" t="s">
        <v>22</v>
      </c>
      <c r="O3777" s="6" t="str">
        <f>HYPERLINK("https://pbs.twimg.com/profile_images/1433591977631748099/wuGDIimB_normal.jpg","View")</f>
        <v>View</v>
      </c>
      <c r="P3777" s="7"/>
    </row>
    <row r="3778" spans="1:16">
      <c r="A3778" s="3">
        <v>44531.180555555555</v>
      </c>
      <c r="B3778" s="4" t="str">
        <f>HYPERLINK("https://twitter.com/sergio_fajardo","@sergio_fajardo")</f>
        <v>@sergio_fajardo</v>
      </c>
      <c r="C3778" s="5" t="s">
        <v>16</v>
      </c>
      <c r="D3778" s="5" t="s">
        <v>3797</v>
      </c>
      <c r="E3778" s="6" t="str">
        <f>HYPERLINK("https://twitter.com/sergio_fajardo/status/1465815403016376326","1465815403016376326")</f>
        <v>1465815403016376326</v>
      </c>
      <c r="F3778" s="7" t="s">
        <v>2329</v>
      </c>
      <c r="G3778" s="7">
        <v>1600995</v>
      </c>
      <c r="H3778" s="7">
        <v>625</v>
      </c>
      <c r="I3778" s="7">
        <v>7</v>
      </c>
      <c r="J3778" s="7">
        <v>22</v>
      </c>
      <c r="K3778" s="7" t="s">
        <v>18</v>
      </c>
      <c r="L3778" s="8">
        <v>39891.213356481479</v>
      </c>
      <c r="M3778" s="9" t="s">
        <v>19</v>
      </c>
      <c r="N3778" s="9" t="s">
        <v>22</v>
      </c>
      <c r="O3778" s="6" t="str">
        <f>HYPERLINK("https://pbs.twimg.com/profile_images/1433591977631748099/wuGDIimB_normal.jpg","View")</f>
        <v>View</v>
      </c>
      <c r="P3778" s="7"/>
    </row>
    <row r="3779" spans="1:16">
      <c r="A3779" s="3">
        <v>44531.198761574073</v>
      </c>
      <c r="B3779" s="4" t="str">
        <f>HYPERLINK("https://twitter.com/sergio_fajardo","@sergio_fajardo")</f>
        <v>@sergio_fajardo</v>
      </c>
      <c r="C3779" s="5" t="s">
        <v>16</v>
      </c>
      <c r="D3779" s="5" t="s">
        <v>3798</v>
      </c>
      <c r="E3779" s="6" t="str">
        <f>HYPERLINK("https://twitter.com/sergio_fajardo/status/1465821999549329417","1465821999549329417")</f>
        <v>1465821999549329417</v>
      </c>
      <c r="F3779" s="7" t="s">
        <v>17</v>
      </c>
      <c r="G3779" s="7">
        <v>1601006</v>
      </c>
      <c r="H3779" s="7">
        <v>625</v>
      </c>
      <c r="I3779" s="7">
        <v>5</v>
      </c>
      <c r="J3779" s="7">
        <v>20</v>
      </c>
      <c r="K3779" s="7" t="s">
        <v>18</v>
      </c>
      <c r="L3779" s="8">
        <v>39891.213356481479</v>
      </c>
      <c r="M3779" s="9" t="s">
        <v>19</v>
      </c>
      <c r="N3779" s="9" t="s">
        <v>22</v>
      </c>
      <c r="O3779" s="6" t="str">
        <f>HYPERLINK("https://pbs.twimg.com/profile_images/1433591977631748099/wuGDIimB_normal.jpg","View")</f>
        <v>View</v>
      </c>
      <c r="P3779" s="7"/>
    </row>
    <row r="3780" spans="1:16">
      <c r="A3780" s="3">
        <v>44531.210787037038</v>
      </c>
      <c r="B3780" s="4" t="str">
        <f>HYPERLINK("https://twitter.com/sergio_fajardo","@sergio_fajardo")</f>
        <v>@sergio_fajardo</v>
      </c>
      <c r="C3780" s="5" t="s">
        <v>16</v>
      </c>
      <c r="D3780" s="5" t="s">
        <v>3799</v>
      </c>
      <c r="E3780" s="6" t="str">
        <f>HYPERLINK("https://twitter.com/sergio_fajardo/status/1465826360832798721","1465826360832798721")</f>
        <v>1465826360832798721</v>
      </c>
      <c r="F3780" s="7" t="s">
        <v>17</v>
      </c>
      <c r="G3780" s="7">
        <v>1601007</v>
      </c>
      <c r="H3780" s="7">
        <v>625</v>
      </c>
      <c r="I3780" s="7">
        <v>7</v>
      </c>
      <c r="J3780" s="7">
        <v>18</v>
      </c>
      <c r="K3780" s="7" t="s">
        <v>18</v>
      </c>
      <c r="L3780" s="8">
        <v>39891.213356481479</v>
      </c>
      <c r="M3780" s="9" t="s">
        <v>19</v>
      </c>
      <c r="N3780" s="9" t="s">
        <v>22</v>
      </c>
      <c r="O3780" s="6" t="str">
        <f>HYPERLINK("https://pbs.twimg.com/profile_images/1433591977631748099/wuGDIimB_normal.jpg","View")</f>
        <v>View</v>
      </c>
      <c r="P3780" s="7"/>
    </row>
    <row r="3781" spans="1:16">
      <c r="A3781" s="3">
        <v>44531.212280092594</v>
      </c>
      <c r="B3781" s="4" t="str">
        <f>HYPERLINK("https://twitter.com/sergio_fajardo","@sergio_fajardo")</f>
        <v>@sergio_fajardo</v>
      </c>
      <c r="C3781" s="5" t="s">
        <v>16</v>
      </c>
      <c r="D3781" s="5" t="s">
        <v>3800</v>
      </c>
      <c r="E3781" s="6" t="str">
        <f>HYPERLINK("https://twitter.com/sergio_fajardo/status/1465826898655784965","1465826898655784965")</f>
        <v>1465826898655784965</v>
      </c>
      <c r="F3781" s="7" t="s">
        <v>17</v>
      </c>
      <c r="G3781" s="7">
        <v>1601007</v>
      </c>
      <c r="H3781" s="7">
        <v>625</v>
      </c>
      <c r="I3781" s="7">
        <v>7</v>
      </c>
      <c r="J3781" s="7">
        <v>0</v>
      </c>
      <c r="K3781" s="7" t="s">
        <v>18</v>
      </c>
      <c r="L3781" s="8">
        <v>39891.213356481479</v>
      </c>
      <c r="M3781" s="9" t="s">
        <v>19</v>
      </c>
      <c r="N3781" s="9" t="s">
        <v>22</v>
      </c>
      <c r="O3781" s="6" t="str">
        <f>HYPERLINK("https://pbs.twimg.com/profile_images/1433591977631748099/wuGDIimB_normal.jpg","View")</f>
        <v>View</v>
      </c>
      <c r="P3781" s="7"/>
    </row>
    <row r="3782" spans="1:16">
      <c r="A3782" s="3">
        <v>44531.230046296296</v>
      </c>
      <c r="B3782" s="4" t="str">
        <f>HYPERLINK("https://twitter.com/sergio_fajardo","@sergio_fajardo")</f>
        <v>@sergio_fajardo</v>
      </c>
      <c r="C3782" s="5" t="s">
        <v>16</v>
      </c>
      <c r="D3782" s="5" t="s">
        <v>3801</v>
      </c>
      <c r="E3782" s="6" t="str">
        <f>HYPERLINK("https://twitter.com/sergio_fajardo/status/1465833336841150469","1465833336841150469")</f>
        <v>1465833336841150469</v>
      </c>
      <c r="F3782" s="7" t="s">
        <v>17</v>
      </c>
      <c r="G3782" s="7">
        <v>1601007</v>
      </c>
      <c r="H3782" s="7">
        <v>625</v>
      </c>
      <c r="I3782" s="7">
        <v>1</v>
      </c>
      <c r="J3782" s="7">
        <v>6</v>
      </c>
      <c r="K3782" s="7" t="s">
        <v>18</v>
      </c>
      <c r="L3782" s="8">
        <v>39891.213356481479</v>
      </c>
      <c r="M3782" s="9" t="s">
        <v>19</v>
      </c>
      <c r="N3782" s="9" t="s">
        <v>22</v>
      </c>
      <c r="O3782" s="6" t="str">
        <f>HYPERLINK("https://pbs.twimg.com/profile_images/1433591977631748099/wuGDIimB_normal.jpg","View")</f>
        <v>View</v>
      </c>
      <c r="P3782" s="7"/>
    </row>
    <row r="3783" spans="1:16">
      <c r="A3783" s="3">
        <v>44531.230636574073</v>
      </c>
      <c r="B3783" s="4" t="str">
        <f>HYPERLINK("https://twitter.com/sergio_fajardo","@sergio_fajardo")</f>
        <v>@sergio_fajardo</v>
      </c>
      <c r="C3783" s="5" t="s">
        <v>16</v>
      </c>
      <c r="D3783" s="5" t="s">
        <v>3802</v>
      </c>
      <c r="E3783" s="6" t="str">
        <f>HYPERLINK("https://twitter.com/sergio_fajardo/status/1465833554684919817","1465833554684919817")</f>
        <v>1465833554684919817</v>
      </c>
      <c r="F3783" s="7" t="s">
        <v>17</v>
      </c>
      <c r="G3783" s="7">
        <v>1601007</v>
      </c>
      <c r="H3783" s="7">
        <v>625</v>
      </c>
      <c r="I3783" s="7">
        <v>14</v>
      </c>
      <c r="J3783" s="7">
        <v>0</v>
      </c>
      <c r="K3783" s="7" t="s">
        <v>18</v>
      </c>
      <c r="L3783" s="8">
        <v>39891.213356481479</v>
      </c>
      <c r="M3783" s="9" t="s">
        <v>19</v>
      </c>
      <c r="N3783" s="9" t="s">
        <v>22</v>
      </c>
      <c r="O3783" s="6" t="str">
        <f>HYPERLINK("https://pbs.twimg.com/profile_images/1433591977631748099/wuGDIimB_normal.jpg","View")</f>
        <v>View</v>
      </c>
      <c r="P3783" s="7"/>
    </row>
    <row r="3784" spans="1:16">
      <c r="A3784" s="3">
        <v>44531.247592592597</v>
      </c>
      <c r="B3784" s="4" t="str">
        <f>HYPERLINK("https://twitter.com/sergio_fajardo","@sergio_fajardo")</f>
        <v>@sergio_fajardo</v>
      </c>
      <c r="C3784" s="5" t="s">
        <v>16</v>
      </c>
      <c r="D3784" s="5" t="s">
        <v>3803</v>
      </c>
      <c r="E3784" s="6" t="str">
        <f>HYPERLINK("https://twitter.com/sergio_fajardo/status/1465839697805168648","1465839697805168648")</f>
        <v>1465839697805168648</v>
      </c>
      <c r="F3784" s="7" t="s">
        <v>17</v>
      </c>
      <c r="G3784" s="7">
        <v>1601010</v>
      </c>
      <c r="H3784" s="7">
        <v>625</v>
      </c>
      <c r="I3784" s="7">
        <v>1</v>
      </c>
      <c r="J3784" s="7">
        <v>16</v>
      </c>
      <c r="K3784" s="7" t="s">
        <v>18</v>
      </c>
      <c r="L3784" s="8">
        <v>39891.213356481479</v>
      </c>
      <c r="M3784" s="9" t="s">
        <v>19</v>
      </c>
      <c r="N3784" s="9" t="s">
        <v>22</v>
      </c>
      <c r="O3784" s="6" t="str">
        <f>HYPERLINK("https://pbs.twimg.com/profile_images/1433591977631748099/wuGDIimB_normal.jpg","View")</f>
        <v>View</v>
      </c>
      <c r="P3784" s="7"/>
    </row>
    <row r="3785" spans="1:16">
      <c r="A3785" s="3">
        <v>44531.248101851852</v>
      </c>
      <c r="B3785" s="4" t="str">
        <f>HYPERLINK("https://twitter.com/sergio_fajardo","@sergio_fajardo")</f>
        <v>@sergio_fajardo</v>
      </c>
      <c r="C3785" s="5" t="s">
        <v>16</v>
      </c>
      <c r="D3785" s="5" t="s">
        <v>3804</v>
      </c>
      <c r="E3785" s="6" t="str">
        <f>HYPERLINK("https://twitter.com/sergio_fajardo/status/1465839880378929156","1465839880378929156")</f>
        <v>1465839880378929156</v>
      </c>
      <c r="F3785" s="7" t="s">
        <v>17</v>
      </c>
      <c r="G3785" s="7">
        <v>1601010</v>
      </c>
      <c r="H3785" s="7">
        <v>625</v>
      </c>
      <c r="I3785" s="7">
        <v>2</v>
      </c>
      <c r="J3785" s="7">
        <v>0</v>
      </c>
      <c r="K3785" s="7" t="s">
        <v>18</v>
      </c>
      <c r="L3785" s="8">
        <v>39891.213356481479</v>
      </c>
      <c r="M3785" s="9" t="s">
        <v>19</v>
      </c>
      <c r="N3785" s="9" t="s">
        <v>22</v>
      </c>
      <c r="O3785" s="6" t="str">
        <f>HYPERLINK("https://pbs.twimg.com/profile_images/1433591977631748099/wuGDIimB_normal.jpg","View")</f>
        <v>View</v>
      </c>
      <c r="P3785" s="7"/>
    </row>
    <row r="3786" spans="1:16">
      <c r="A3786" s="3">
        <v>44531.273958333331</v>
      </c>
      <c r="B3786" s="4" t="str">
        <f>HYPERLINK("https://twitter.com/sergio_fajardo","@sergio_fajardo")</f>
        <v>@sergio_fajardo</v>
      </c>
      <c r="C3786" s="5" t="s">
        <v>16</v>
      </c>
      <c r="D3786" s="5" t="s">
        <v>3805</v>
      </c>
      <c r="E3786" s="6" t="str">
        <f>HYPERLINK("https://twitter.com/sergio_fajardo/status/1465849252496781322","1465849252496781322")</f>
        <v>1465849252496781322</v>
      </c>
      <c r="F3786" s="7" t="s">
        <v>17</v>
      </c>
      <c r="G3786" s="7">
        <v>1601020</v>
      </c>
      <c r="H3786" s="7">
        <v>625</v>
      </c>
      <c r="I3786" s="7">
        <v>2</v>
      </c>
      <c r="J3786" s="7">
        <v>18</v>
      </c>
      <c r="K3786" s="7" t="s">
        <v>18</v>
      </c>
      <c r="L3786" s="8">
        <v>39891.213356481479</v>
      </c>
      <c r="M3786" s="9" t="s">
        <v>19</v>
      </c>
      <c r="N3786" s="9" t="s">
        <v>22</v>
      </c>
      <c r="O3786" s="6" t="str">
        <f>HYPERLINK("https://pbs.twimg.com/profile_images/1433591977631748099/wuGDIimB_normal.jpg","View")</f>
        <v>View</v>
      </c>
      <c r="P3786" s="7"/>
    </row>
    <row r="3787" spans="1:16">
      <c r="A3787" s="3">
        <v>44531.276249999995</v>
      </c>
      <c r="B3787" s="4" t="str">
        <f>HYPERLINK("https://twitter.com/sergio_fajardo","@sergio_fajardo")</f>
        <v>@sergio_fajardo</v>
      </c>
      <c r="C3787" s="5" t="s">
        <v>16</v>
      </c>
      <c r="D3787" s="5" t="s">
        <v>3806</v>
      </c>
      <c r="E3787" s="6" t="str">
        <f>HYPERLINK("https://twitter.com/sergio_fajardo/status/1465850082570514435","1465850082570514435")</f>
        <v>1465850082570514435</v>
      </c>
      <c r="F3787" s="7" t="s">
        <v>23</v>
      </c>
      <c r="G3787" s="7">
        <v>1601020</v>
      </c>
      <c r="H3787" s="7">
        <v>625</v>
      </c>
      <c r="I3787" s="7">
        <v>6</v>
      </c>
      <c r="J3787" s="7">
        <v>0</v>
      </c>
      <c r="K3787" s="7" t="s">
        <v>18</v>
      </c>
      <c r="L3787" s="8">
        <v>39891.213356481479</v>
      </c>
      <c r="M3787" s="9" t="s">
        <v>19</v>
      </c>
      <c r="N3787" s="9" t="s">
        <v>22</v>
      </c>
      <c r="O3787" s="6" t="str">
        <f>HYPERLINK("https://pbs.twimg.com/profile_images/1433591977631748099/wuGDIimB_normal.jpg","View")</f>
        <v>View</v>
      </c>
      <c r="P3787" s="7"/>
    </row>
    <row r="3788" spans="1:16">
      <c r="A3788" s="3">
        <v>44531.292962962965</v>
      </c>
      <c r="B3788" s="4" t="str">
        <f>HYPERLINK("https://twitter.com/sergio_fajardo","@sergio_fajardo")</f>
        <v>@sergio_fajardo</v>
      </c>
      <c r="C3788" s="5" t="s">
        <v>16</v>
      </c>
      <c r="D3788" s="5" t="s">
        <v>3807</v>
      </c>
      <c r="E3788" s="6" t="str">
        <f>HYPERLINK("https://twitter.com/sergio_fajardo/status/1465856140152029185","1465856140152029185")</f>
        <v>1465856140152029185</v>
      </c>
      <c r="F3788" s="7" t="s">
        <v>17</v>
      </c>
      <c r="G3788" s="7">
        <v>1601020</v>
      </c>
      <c r="H3788" s="7">
        <v>625</v>
      </c>
      <c r="I3788" s="7">
        <v>1</v>
      </c>
      <c r="J3788" s="7">
        <v>0</v>
      </c>
      <c r="K3788" s="7" t="s">
        <v>18</v>
      </c>
      <c r="L3788" s="8">
        <v>39891.213356481479</v>
      </c>
      <c r="M3788" s="9" t="s">
        <v>19</v>
      </c>
      <c r="N3788" s="9" t="s">
        <v>22</v>
      </c>
      <c r="O3788" s="6" t="str">
        <f>HYPERLINK("https://pbs.twimg.com/profile_images/1433591977631748099/wuGDIimB_normal.jpg","View")</f>
        <v>View</v>
      </c>
      <c r="P3788" s="7"/>
    </row>
    <row r="3789" spans="1:16">
      <c r="A3789" s="3">
        <v>44531.73709490741</v>
      </c>
      <c r="B3789" s="4" t="str">
        <f>HYPERLINK("https://twitter.com/sergio_fajardo","@sergio_fajardo")</f>
        <v>@sergio_fajardo</v>
      </c>
      <c r="C3789" s="5" t="s">
        <v>16</v>
      </c>
      <c r="D3789" s="5" t="s">
        <v>3808</v>
      </c>
      <c r="E3789" s="6" t="str">
        <f>HYPERLINK("https://twitter.com/sergio_fajardo/status/1466017088141672451","1466017088141672451")</f>
        <v>1466017088141672451</v>
      </c>
      <c r="F3789" s="7" t="s">
        <v>17</v>
      </c>
      <c r="G3789" s="7">
        <v>1601062</v>
      </c>
      <c r="H3789" s="7">
        <v>625</v>
      </c>
      <c r="I3789" s="7">
        <v>3</v>
      </c>
      <c r="J3789" s="7">
        <v>15</v>
      </c>
      <c r="K3789" s="7" t="s">
        <v>18</v>
      </c>
      <c r="L3789" s="8">
        <v>39891.213356481479</v>
      </c>
      <c r="M3789" s="9" t="s">
        <v>19</v>
      </c>
      <c r="N3789" s="9" t="s">
        <v>22</v>
      </c>
      <c r="O3789" s="6" t="str">
        <f>HYPERLINK("https://pbs.twimg.com/profile_images/1433591977631748099/wuGDIimB_normal.jpg","View")</f>
        <v>View</v>
      </c>
      <c r="P3789" s="7"/>
    </row>
    <row r="3790" spans="1:16">
      <c r="A3790" s="3">
        <v>44531.750601851847</v>
      </c>
      <c r="B3790" s="4" t="str">
        <f>HYPERLINK("https://twitter.com/sergio_fajardo","@sergio_fajardo")</f>
        <v>@sergio_fajardo</v>
      </c>
      <c r="C3790" s="5" t="s">
        <v>16</v>
      </c>
      <c r="D3790" s="5" t="s">
        <v>3809</v>
      </c>
      <c r="E3790" s="6" t="str">
        <f>HYPERLINK("https://twitter.com/sergio_fajardo/status/1466021980302417921","1466021980302417921")</f>
        <v>1466021980302417921</v>
      </c>
      <c r="F3790" s="7" t="s">
        <v>17</v>
      </c>
      <c r="G3790" s="7">
        <v>1601062</v>
      </c>
      <c r="H3790" s="7">
        <v>625</v>
      </c>
      <c r="I3790" s="7">
        <v>2</v>
      </c>
      <c r="J3790" s="7">
        <v>0</v>
      </c>
      <c r="K3790" s="7" t="s">
        <v>18</v>
      </c>
      <c r="L3790" s="8">
        <v>39891.213356481479</v>
      </c>
      <c r="M3790" s="9" t="s">
        <v>19</v>
      </c>
      <c r="N3790" s="9" t="s">
        <v>22</v>
      </c>
      <c r="O3790" s="6" t="str">
        <f>HYPERLINK("https://pbs.twimg.com/profile_images/1433591977631748099/wuGDIimB_normal.jpg","View")</f>
        <v>View</v>
      </c>
      <c r="P3790" s="7"/>
    </row>
    <row r="3791" spans="1:16">
      <c r="A3791" s="3">
        <v>44531.750648148147</v>
      </c>
      <c r="B3791" s="4" t="str">
        <f>HYPERLINK("https://twitter.com/sergio_fajardo","@sergio_fajardo")</f>
        <v>@sergio_fajardo</v>
      </c>
      <c r="C3791" s="5" t="s">
        <v>16</v>
      </c>
      <c r="D3791" s="5" t="s">
        <v>3810</v>
      </c>
      <c r="E3791" s="6" t="str">
        <f>HYPERLINK("https://twitter.com/sergio_fajardo/status/1466022000422526983","1466022000422526983")</f>
        <v>1466022000422526983</v>
      </c>
      <c r="F3791" s="7" t="s">
        <v>17</v>
      </c>
      <c r="G3791" s="7">
        <v>1601062</v>
      </c>
      <c r="H3791" s="7">
        <v>625</v>
      </c>
      <c r="I3791" s="7">
        <v>2</v>
      </c>
      <c r="J3791" s="7">
        <v>0</v>
      </c>
      <c r="K3791" s="7" t="s">
        <v>18</v>
      </c>
      <c r="L3791" s="8">
        <v>39891.213356481479</v>
      </c>
      <c r="M3791" s="9" t="s">
        <v>19</v>
      </c>
      <c r="N3791" s="9" t="s">
        <v>22</v>
      </c>
      <c r="O3791" s="6" t="str">
        <f>HYPERLINK("https://pbs.twimg.com/profile_images/1433591977631748099/wuGDIimB_normal.jpg","View")</f>
        <v>View</v>
      </c>
      <c r="P3791" s="7"/>
    </row>
    <row r="3792" spans="1:16">
      <c r="A3792" s="3">
        <v>44531.790104166663</v>
      </c>
      <c r="B3792" s="4" t="str">
        <f>HYPERLINK("https://twitter.com/sergio_fajardo","@sergio_fajardo")</f>
        <v>@sergio_fajardo</v>
      </c>
      <c r="C3792" s="5" t="s">
        <v>16</v>
      </c>
      <c r="D3792" s="5" t="s">
        <v>3811</v>
      </c>
      <c r="E3792" s="6" t="str">
        <f>HYPERLINK("https://twitter.com/sergio_fajardo/status/1466036295516438530","1466036295516438530")</f>
        <v>1466036295516438530</v>
      </c>
      <c r="F3792" s="7" t="s">
        <v>17</v>
      </c>
      <c r="G3792" s="7">
        <v>1601070</v>
      </c>
      <c r="H3792" s="7">
        <v>625</v>
      </c>
      <c r="I3792" s="7">
        <v>1</v>
      </c>
      <c r="J3792" s="7">
        <v>18</v>
      </c>
      <c r="K3792" s="7" t="s">
        <v>18</v>
      </c>
      <c r="L3792" s="8">
        <v>39891.213356481479</v>
      </c>
      <c r="M3792" s="9" t="s">
        <v>19</v>
      </c>
      <c r="N3792" s="9" t="s">
        <v>22</v>
      </c>
      <c r="O3792" s="6" t="str">
        <f>HYPERLINK("https://pbs.twimg.com/profile_images/1433591977631748099/wuGDIimB_normal.jpg","View")</f>
        <v>View</v>
      </c>
      <c r="P3792" s="7"/>
    </row>
    <row r="3793" spans="1:16">
      <c r="A3793" s="3">
        <v>44531.877685185187</v>
      </c>
      <c r="B3793" s="4" t="str">
        <f>HYPERLINK("https://twitter.com/sergio_fajardo","@sergio_fajardo")</f>
        <v>@sergio_fajardo</v>
      </c>
      <c r="C3793" s="5" t="s">
        <v>16</v>
      </c>
      <c r="D3793" s="5" t="s">
        <v>3812</v>
      </c>
      <c r="E3793" s="6" t="str">
        <f>HYPERLINK("https://twitter.com/sergio_fajardo/status/1466068033504485383","1466068033504485383")</f>
        <v>1466068033504485383</v>
      </c>
      <c r="F3793" s="7" t="s">
        <v>17</v>
      </c>
      <c r="G3793" s="7">
        <v>1601081</v>
      </c>
      <c r="H3793" s="7">
        <v>625</v>
      </c>
      <c r="I3793" s="7">
        <v>5</v>
      </c>
      <c r="J3793" s="7">
        <v>0</v>
      </c>
      <c r="K3793" s="7" t="s">
        <v>18</v>
      </c>
      <c r="L3793" s="8">
        <v>39891.213356481479</v>
      </c>
      <c r="M3793" s="9" t="s">
        <v>19</v>
      </c>
      <c r="N3793" s="9" t="s">
        <v>22</v>
      </c>
      <c r="O3793" s="6" t="str">
        <f>HYPERLINK("https://pbs.twimg.com/profile_images/1433591977631748099/wuGDIimB_normal.jpg","View")</f>
        <v>View</v>
      </c>
      <c r="P3793" s="7"/>
    </row>
    <row r="3794" spans="1:16">
      <c r="A3794" s="3">
        <v>44531.910196759258</v>
      </c>
      <c r="B3794" s="4" t="str">
        <f>HYPERLINK("https://twitter.com/sergio_fajardo","@sergio_fajardo")</f>
        <v>@sergio_fajardo</v>
      </c>
      <c r="C3794" s="5" t="s">
        <v>16</v>
      </c>
      <c r="D3794" s="5" t="s">
        <v>3813</v>
      </c>
      <c r="E3794" s="6" t="str">
        <f>HYPERLINK("https://twitter.com/sergio_fajardo/status/1466079815451254787","1466079815451254787")</f>
        <v>1466079815451254787</v>
      </c>
      <c r="F3794" s="7" t="s">
        <v>17</v>
      </c>
      <c r="G3794" s="7">
        <v>1601082</v>
      </c>
      <c r="H3794" s="7">
        <v>625</v>
      </c>
      <c r="I3794" s="7">
        <v>19</v>
      </c>
      <c r="J3794" s="7">
        <v>85</v>
      </c>
      <c r="K3794" s="7" t="s">
        <v>18</v>
      </c>
      <c r="L3794" s="8">
        <v>39891.213356481479</v>
      </c>
      <c r="M3794" s="9" t="s">
        <v>19</v>
      </c>
      <c r="N3794" s="9" t="s">
        <v>22</v>
      </c>
      <c r="O3794" s="6" t="str">
        <f>HYPERLINK("https://pbs.twimg.com/profile_images/1433591977631748099/wuGDIimB_normal.jpg","View")</f>
        <v>View</v>
      </c>
      <c r="P3794" s="7"/>
    </row>
    <row r="3795" spans="1:16">
      <c r="A3795" s="3">
        <v>44531.938564814816</v>
      </c>
      <c r="B3795" s="4" t="str">
        <f>HYPERLINK("https://twitter.com/sergio_fajardo","@sergio_fajardo")</f>
        <v>@sergio_fajardo</v>
      </c>
      <c r="C3795" s="5" t="s">
        <v>16</v>
      </c>
      <c r="D3795" s="5" t="s">
        <v>3814</v>
      </c>
      <c r="E3795" s="6" t="str">
        <f>HYPERLINK("https://twitter.com/sergio_fajardo/status/1466090096613072902","1466090096613072902")</f>
        <v>1466090096613072902</v>
      </c>
      <c r="F3795" s="7" t="s">
        <v>17</v>
      </c>
      <c r="G3795" s="7">
        <v>1601083</v>
      </c>
      <c r="H3795" s="7">
        <v>625</v>
      </c>
      <c r="I3795" s="7">
        <v>4</v>
      </c>
      <c r="J3795" s="7">
        <v>0</v>
      </c>
      <c r="K3795" s="7" t="s">
        <v>18</v>
      </c>
      <c r="L3795" s="8">
        <v>39891.213356481479</v>
      </c>
      <c r="M3795" s="9" t="s">
        <v>19</v>
      </c>
      <c r="N3795" s="9" t="s">
        <v>22</v>
      </c>
      <c r="O3795" s="6" t="str">
        <f>HYPERLINK("https://pbs.twimg.com/profile_images/1433591977631748099/wuGDIimB_normal.jpg","View")</f>
        <v>View</v>
      </c>
      <c r="P3795" s="7"/>
    </row>
    <row r="3796" spans="1:16">
      <c r="A3796" s="3">
        <v>44532.187962962962</v>
      </c>
      <c r="B3796" s="4" t="str">
        <f>HYPERLINK("https://twitter.com/sergio_fajardo","@sergio_fajardo")</f>
        <v>@sergio_fajardo</v>
      </c>
      <c r="C3796" s="5" t="s">
        <v>16</v>
      </c>
      <c r="D3796" s="5" t="s">
        <v>3815</v>
      </c>
      <c r="E3796" s="6" t="str">
        <f>HYPERLINK("https://twitter.com/sergio_fajardo/status/1466180475492384770","1466180475492384770")</f>
        <v>1466180475492384770</v>
      </c>
      <c r="F3796" s="7" t="s">
        <v>17</v>
      </c>
      <c r="G3796" s="7">
        <v>1601115</v>
      </c>
      <c r="H3796" s="7">
        <v>625</v>
      </c>
      <c r="I3796" s="7">
        <v>1</v>
      </c>
      <c r="J3796" s="7">
        <v>5</v>
      </c>
      <c r="K3796" s="7" t="s">
        <v>18</v>
      </c>
      <c r="L3796" s="8">
        <v>39891.213356481479</v>
      </c>
      <c r="M3796" s="9" t="s">
        <v>19</v>
      </c>
      <c r="N3796" s="9" t="s">
        <v>22</v>
      </c>
      <c r="O3796" s="6" t="str">
        <f>HYPERLINK("https://pbs.twimg.com/profile_images/1433591977631748099/wuGDIimB_normal.jpg","View")</f>
        <v>View</v>
      </c>
      <c r="P3796" s="7"/>
    </row>
    <row r="3797" spans="1:16">
      <c r="A3797" s="3">
        <v>44532.863657407404</v>
      </c>
      <c r="B3797" s="4" t="str">
        <f>HYPERLINK("https://twitter.com/sergio_fajardo","@sergio_fajardo")</f>
        <v>@sergio_fajardo</v>
      </c>
      <c r="C3797" s="5" t="s">
        <v>16</v>
      </c>
      <c r="D3797" s="5" t="s">
        <v>3816</v>
      </c>
      <c r="E3797" s="6" t="str">
        <f>HYPERLINK("https://twitter.com/sergio_fajardo/status/1466425341111640074","1466425341111640074")</f>
        <v>1466425341111640074</v>
      </c>
      <c r="F3797" s="7" t="s">
        <v>2329</v>
      </c>
      <c r="G3797" s="7">
        <v>1601173</v>
      </c>
      <c r="H3797" s="7">
        <v>625</v>
      </c>
      <c r="I3797" s="7">
        <v>16</v>
      </c>
      <c r="J3797" s="7">
        <v>53</v>
      </c>
      <c r="K3797" s="7" t="s">
        <v>18</v>
      </c>
      <c r="L3797" s="8">
        <v>39891.213356481479</v>
      </c>
      <c r="M3797" s="9" t="s">
        <v>19</v>
      </c>
      <c r="N3797" s="9" t="s">
        <v>22</v>
      </c>
      <c r="O3797" s="6" t="str">
        <f>HYPERLINK("https://pbs.twimg.com/profile_images/1433591977631748099/wuGDIimB_normal.jpg","View")</f>
        <v>View</v>
      </c>
      <c r="P3797" s="7"/>
    </row>
    <row r="3798" spans="1:16">
      <c r="A3798" s="3">
        <v>44533.012129629627</v>
      </c>
      <c r="B3798" s="4" t="str">
        <f>HYPERLINK("https://twitter.com/sergio_fajardo","@sergio_fajardo")</f>
        <v>@sergio_fajardo</v>
      </c>
      <c r="C3798" s="5" t="s">
        <v>16</v>
      </c>
      <c r="D3798" s="5" t="s">
        <v>3817</v>
      </c>
      <c r="E3798" s="6" t="str">
        <f>HYPERLINK("https://twitter.com/sergio_fajardo/status/1466479145593016326","1466479145593016326")</f>
        <v>1466479145593016326</v>
      </c>
      <c r="F3798" s="7" t="s">
        <v>17</v>
      </c>
      <c r="G3798" s="7">
        <v>1601169</v>
      </c>
      <c r="H3798" s="7">
        <v>625</v>
      </c>
      <c r="I3798" s="7">
        <v>3</v>
      </c>
      <c r="J3798" s="7">
        <v>30</v>
      </c>
      <c r="K3798" s="7" t="s">
        <v>18</v>
      </c>
      <c r="L3798" s="8">
        <v>39891.213356481479</v>
      </c>
      <c r="M3798" s="9" t="s">
        <v>19</v>
      </c>
      <c r="N3798" s="9" t="s">
        <v>22</v>
      </c>
      <c r="O3798" s="6" t="str">
        <f>HYPERLINK("https://pbs.twimg.com/profile_images/1433591977631748099/wuGDIimB_normal.jpg","View")</f>
        <v>View</v>
      </c>
      <c r="P3798" s="7"/>
    </row>
    <row r="3799" spans="1:16">
      <c r="A3799" s="3">
        <v>44533.149340277778</v>
      </c>
      <c r="B3799" s="4" t="str">
        <f>HYPERLINK("https://twitter.com/sergio_fajardo","@sergio_fajardo")</f>
        <v>@sergio_fajardo</v>
      </c>
      <c r="C3799" s="5" t="s">
        <v>16</v>
      </c>
      <c r="D3799" s="5" t="s">
        <v>3818</v>
      </c>
      <c r="E3799" s="6" t="str">
        <f>HYPERLINK("https://twitter.com/sergio_fajardo/status/1466528867561009155","1466528867561009155")</f>
        <v>1466528867561009155</v>
      </c>
      <c r="F3799" s="7" t="s">
        <v>23</v>
      </c>
      <c r="G3799" s="7">
        <v>1601192</v>
      </c>
      <c r="H3799" s="7">
        <v>625</v>
      </c>
      <c r="I3799" s="7">
        <v>45</v>
      </c>
      <c r="J3799" s="7">
        <v>495</v>
      </c>
      <c r="K3799" s="7" t="s">
        <v>18</v>
      </c>
      <c r="L3799" s="8">
        <v>39891.213356481479</v>
      </c>
      <c r="M3799" s="9" t="s">
        <v>19</v>
      </c>
      <c r="N3799" s="9" t="s">
        <v>22</v>
      </c>
      <c r="O3799" s="6" t="str">
        <f>HYPERLINK("https://pbs.twimg.com/profile_images/1433591977631748099/wuGDIimB_normal.jpg","View")</f>
        <v>View</v>
      </c>
      <c r="P3799" s="7"/>
    </row>
    <row r="3800" spans="1:16">
      <c r="A3800" s="3">
        <v>44533.149664351848</v>
      </c>
      <c r="B3800" s="4" t="str">
        <f>HYPERLINK("https://twitter.com/sergio_fajardo","@sergio_fajardo")</f>
        <v>@sergio_fajardo</v>
      </c>
      <c r="C3800" s="5" t="s">
        <v>16</v>
      </c>
      <c r="D3800" s="5" t="s">
        <v>3819</v>
      </c>
      <c r="E3800" s="6" t="str">
        <f>HYPERLINK("https://twitter.com/sergio_fajardo/status/1466528985739759616","1466528985739759616")</f>
        <v>1466528985739759616</v>
      </c>
      <c r="F3800" s="7" t="s">
        <v>17</v>
      </c>
      <c r="G3800" s="7">
        <v>1601192</v>
      </c>
      <c r="H3800" s="7">
        <v>625</v>
      </c>
      <c r="I3800" s="7">
        <v>21</v>
      </c>
      <c r="J3800" s="7">
        <v>65</v>
      </c>
      <c r="K3800" s="7" t="s">
        <v>18</v>
      </c>
      <c r="L3800" s="8">
        <v>39891.213356481479</v>
      </c>
      <c r="M3800" s="9" t="s">
        <v>19</v>
      </c>
      <c r="N3800" s="9" t="s">
        <v>22</v>
      </c>
      <c r="O3800" s="6" t="str">
        <f>HYPERLINK("https://pbs.twimg.com/profile_images/1433591977631748099/wuGDIimB_normal.jpg","View")</f>
        <v>View</v>
      </c>
      <c r="P3800" s="7"/>
    </row>
    <row r="3801" spans="1:16">
      <c r="A3801" s="3">
        <v>44533.186365740738</v>
      </c>
      <c r="B3801" s="4" t="str">
        <f>HYPERLINK("https://twitter.com/sergio_fajardo","@sergio_fajardo")</f>
        <v>@sergio_fajardo</v>
      </c>
      <c r="C3801" s="5" t="s">
        <v>16</v>
      </c>
      <c r="D3801" s="5" t="s">
        <v>3820</v>
      </c>
      <c r="E3801" s="6" t="str">
        <f>HYPERLINK("https://twitter.com/sergio_fajardo/status/1466542285173112838","1466542285173112838")</f>
        <v>1466542285173112838</v>
      </c>
      <c r="F3801" s="7" t="s">
        <v>17</v>
      </c>
      <c r="G3801" s="7">
        <v>1601194</v>
      </c>
      <c r="H3801" s="7">
        <v>625</v>
      </c>
      <c r="I3801" s="7">
        <v>2</v>
      </c>
      <c r="J3801" s="7">
        <v>0</v>
      </c>
      <c r="K3801" s="7" t="s">
        <v>18</v>
      </c>
      <c r="L3801" s="8">
        <v>39891.213356481479</v>
      </c>
      <c r="M3801" s="9" t="s">
        <v>19</v>
      </c>
      <c r="N3801" s="9" t="s">
        <v>22</v>
      </c>
      <c r="O3801" s="6" t="str">
        <f>HYPERLINK("https://pbs.twimg.com/profile_images/1433591977631748099/wuGDIimB_normal.jpg","View")</f>
        <v>View</v>
      </c>
      <c r="P3801" s="7"/>
    </row>
    <row r="3802" spans="1:16">
      <c r="A3802" s="3">
        <v>44533.257349537038</v>
      </c>
      <c r="B3802" s="4" t="str">
        <f>HYPERLINK("https://twitter.com/sergio_fajardo","@sergio_fajardo")</f>
        <v>@sergio_fajardo</v>
      </c>
      <c r="C3802" s="5" t="s">
        <v>16</v>
      </c>
      <c r="D3802" s="5" t="s">
        <v>3821</v>
      </c>
      <c r="E3802" s="6" t="str">
        <f>HYPERLINK("https://twitter.com/sergio_fajardo/status/1466568010668380165","1466568010668380165")</f>
        <v>1466568010668380165</v>
      </c>
      <c r="F3802" s="7" t="s">
        <v>17</v>
      </c>
      <c r="G3802" s="7">
        <v>1601203</v>
      </c>
      <c r="H3802" s="7">
        <v>625</v>
      </c>
      <c r="I3802" s="7">
        <v>20</v>
      </c>
      <c r="J3802" s="7">
        <v>75</v>
      </c>
      <c r="K3802" s="7" t="s">
        <v>18</v>
      </c>
      <c r="L3802" s="8">
        <v>39891.213356481479</v>
      </c>
      <c r="M3802" s="9" t="s">
        <v>19</v>
      </c>
      <c r="N3802" s="9" t="s">
        <v>22</v>
      </c>
      <c r="O3802" s="6" t="str">
        <f>HYPERLINK("https://pbs.twimg.com/profile_images/1433591977631748099/wuGDIimB_normal.jpg","View")</f>
        <v>View</v>
      </c>
      <c r="P3802" s="7"/>
    </row>
    <row r="3803" spans="1:16">
      <c r="A3803" s="3">
        <v>44533.277858796297</v>
      </c>
      <c r="B3803" s="4" t="str">
        <f>HYPERLINK("https://twitter.com/sergio_fajardo","@sergio_fajardo")</f>
        <v>@sergio_fajardo</v>
      </c>
      <c r="C3803" s="5" t="s">
        <v>16</v>
      </c>
      <c r="D3803" s="5" t="s">
        <v>3822</v>
      </c>
      <c r="E3803" s="6" t="str">
        <f>HYPERLINK("https://twitter.com/sergio_fajardo/status/1466575440584216577","1466575440584216577")</f>
        <v>1466575440584216577</v>
      </c>
      <c r="F3803" s="7" t="s">
        <v>17</v>
      </c>
      <c r="G3803" s="7">
        <v>1601203</v>
      </c>
      <c r="H3803" s="7">
        <v>625</v>
      </c>
      <c r="I3803" s="7">
        <v>3</v>
      </c>
      <c r="J3803" s="7">
        <v>25</v>
      </c>
      <c r="K3803" s="7" t="s">
        <v>18</v>
      </c>
      <c r="L3803" s="8">
        <v>39891.213356481479</v>
      </c>
      <c r="M3803" s="9" t="s">
        <v>19</v>
      </c>
      <c r="N3803" s="9" t="s">
        <v>22</v>
      </c>
      <c r="O3803" s="6" t="str">
        <f>HYPERLINK("https://pbs.twimg.com/profile_images/1433591977631748099/wuGDIimB_normal.jpg","View")</f>
        <v>View</v>
      </c>
      <c r="P3803" s="7"/>
    </row>
    <row r="3804" spans="1:16">
      <c r="A3804" s="3">
        <v>44533.694571759261</v>
      </c>
      <c r="B3804" s="4" t="str">
        <f>HYPERLINK("https://twitter.com/sergio_fajardo","@sergio_fajardo")</f>
        <v>@sergio_fajardo</v>
      </c>
      <c r="C3804" s="5" t="s">
        <v>16</v>
      </c>
      <c r="D3804" s="5" t="s">
        <v>3823</v>
      </c>
      <c r="E3804" s="6" t="str">
        <f>HYPERLINK("https://twitter.com/sergio_fajardo/status/1466726451986771982","1466726451986771982")</f>
        <v>1466726451986771982</v>
      </c>
      <c r="F3804" s="7" t="s">
        <v>17</v>
      </c>
      <c r="G3804" s="7">
        <v>1601139</v>
      </c>
      <c r="H3804" s="7">
        <v>626</v>
      </c>
      <c r="I3804" s="7">
        <v>4</v>
      </c>
      <c r="J3804" s="7">
        <v>49</v>
      </c>
      <c r="K3804" s="7" t="s">
        <v>18</v>
      </c>
      <c r="L3804" s="8">
        <v>39891.213356481479</v>
      </c>
      <c r="M3804" s="9" t="s">
        <v>19</v>
      </c>
      <c r="N3804" s="9" t="s">
        <v>22</v>
      </c>
      <c r="O3804" s="6" t="str">
        <f>HYPERLINK("https://pbs.twimg.com/profile_images/1433591977631748099/wuGDIimB_normal.jpg","View")</f>
        <v>View</v>
      </c>
      <c r="P3804" s="7"/>
    </row>
    <row r="3805" spans="1:16">
      <c r="A3805" s="3">
        <v>44533.715405092589</v>
      </c>
      <c r="B3805" s="4" t="str">
        <f>HYPERLINK("https://twitter.com/sergio_fajardo","@sergio_fajardo")</f>
        <v>@sergio_fajardo</v>
      </c>
      <c r="C3805" s="5" t="s">
        <v>16</v>
      </c>
      <c r="D3805" s="5" t="s">
        <v>3824</v>
      </c>
      <c r="E3805" s="6" t="str">
        <f>HYPERLINK("https://twitter.com/sergio_fajardo/status/1466734002014932996","1466734002014932996")</f>
        <v>1466734002014932996</v>
      </c>
      <c r="F3805" s="7" t="s">
        <v>17</v>
      </c>
      <c r="G3805" s="7">
        <v>1601140</v>
      </c>
      <c r="H3805" s="7">
        <v>626</v>
      </c>
      <c r="I3805" s="7">
        <v>1</v>
      </c>
      <c r="J3805" s="7">
        <v>0</v>
      </c>
      <c r="K3805" s="7" t="s">
        <v>18</v>
      </c>
      <c r="L3805" s="8">
        <v>39891.213356481479</v>
      </c>
      <c r="M3805" s="9" t="s">
        <v>19</v>
      </c>
      <c r="N3805" s="9" t="s">
        <v>22</v>
      </c>
      <c r="O3805" s="6" t="str">
        <f>HYPERLINK("https://pbs.twimg.com/profile_images/1433591977631748099/wuGDIimB_normal.jpg","View")</f>
        <v>View</v>
      </c>
      <c r="P3805" s="7"/>
    </row>
    <row r="3806" spans="1:16">
      <c r="A3806" s="3">
        <v>44533.718935185185</v>
      </c>
      <c r="B3806" s="4" t="str">
        <f>HYPERLINK("https://twitter.com/sergio_fajardo","@sergio_fajardo")</f>
        <v>@sergio_fajardo</v>
      </c>
      <c r="C3806" s="5" t="s">
        <v>16</v>
      </c>
      <c r="D3806" s="5" t="s">
        <v>3825</v>
      </c>
      <c r="E3806" s="6" t="str">
        <f>HYPERLINK("https://twitter.com/sergio_fajardo/status/1466735283471269892","1466735283471269892")</f>
        <v>1466735283471269892</v>
      </c>
      <c r="F3806" s="7" t="s">
        <v>17</v>
      </c>
      <c r="G3806" s="7">
        <v>1601140</v>
      </c>
      <c r="H3806" s="7">
        <v>626</v>
      </c>
      <c r="I3806" s="7">
        <v>1</v>
      </c>
      <c r="J3806" s="7">
        <v>9</v>
      </c>
      <c r="K3806" s="7" t="s">
        <v>18</v>
      </c>
      <c r="L3806" s="8">
        <v>39891.213356481479</v>
      </c>
      <c r="M3806" s="9" t="s">
        <v>19</v>
      </c>
      <c r="N3806" s="9" t="s">
        <v>22</v>
      </c>
      <c r="O3806" s="6" t="str">
        <f>HYPERLINK("https://pbs.twimg.com/profile_images/1433591977631748099/wuGDIimB_normal.jpg","View")</f>
        <v>View</v>
      </c>
      <c r="P3806" s="7"/>
    </row>
    <row r="3807" spans="1:16">
      <c r="A3807" s="3">
        <v>44533.727337962962</v>
      </c>
      <c r="B3807" s="4" t="str">
        <f>HYPERLINK("https://twitter.com/sergio_fajardo","@sergio_fajardo")</f>
        <v>@sergio_fajardo</v>
      </c>
      <c r="C3807" s="5" t="s">
        <v>16</v>
      </c>
      <c r="D3807" s="5" t="s">
        <v>3826</v>
      </c>
      <c r="E3807" s="6" t="str">
        <f>HYPERLINK("https://twitter.com/sergio_fajardo/status/1466738328309571585","1466738328309571585")</f>
        <v>1466738328309571585</v>
      </c>
      <c r="F3807" s="7" t="s">
        <v>17</v>
      </c>
      <c r="G3807" s="7">
        <v>1601140</v>
      </c>
      <c r="H3807" s="7">
        <v>626</v>
      </c>
      <c r="I3807" s="7">
        <v>2</v>
      </c>
      <c r="J3807" s="7">
        <v>9</v>
      </c>
      <c r="K3807" s="7" t="s">
        <v>18</v>
      </c>
      <c r="L3807" s="8">
        <v>39891.213356481479</v>
      </c>
      <c r="M3807" s="9" t="s">
        <v>19</v>
      </c>
      <c r="N3807" s="9" t="s">
        <v>22</v>
      </c>
      <c r="O3807" s="6" t="str">
        <f>HYPERLINK("https://pbs.twimg.com/profile_images/1433591977631748099/wuGDIimB_normal.jpg","View")</f>
        <v>View</v>
      </c>
      <c r="P3807" s="7"/>
    </row>
    <row r="3808" spans="1:16">
      <c r="A3808" s="3">
        <v>44533.733553240745</v>
      </c>
      <c r="B3808" s="4" t="str">
        <f>HYPERLINK("https://twitter.com/sergio_fajardo","@sergio_fajardo")</f>
        <v>@sergio_fajardo</v>
      </c>
      <c r="C3808" s="5" t="s">
        <v>16</v>
      </c>
      <c r="D3808" s="5" t="s">
        <v>3827</v>
      </c>
      <c r="E3808" s="6" t="str">
        <f>HYPERLINK("https://twitter.com/sergio_fajardo/status/1466740580428484612","1466740580428484612")</f>
        <v>1466740580428484612</v>
      </c>
      <c r="F3808" s="7" t="s">
        <v>17</v>
      </c>
      <c r="G3808" s="7">
        <v>1601141</v>
      </c>
      <c r="H3808" s="7">
        <v>626</v>
      </c>
      <c r="I3808" s="7">
        <v>2</v>
      </c>
      <c r="J3808" s="7">
        <v>14</v>
      </c>
      <c r="K3808" s="7" t="s">
        <v>18</v>
      </c>
      <c r="L3808" s="8">
        <v>39891.213356481479</v>
      </c>
      <c r="M3808" s="9" t="s">
        <v>19</v>
      </c>
      <c r="N3808" s="9" t="s">
        <v>22</v>
      </c>
      <c r="O3808" s="6" t="str">
        <f>HYPERLINK("https://pbs.twimg.com/profile_images/1433591977631748099/wuGDIimB_normal.jpg","View")</f>
        <v>View</v>
      </c>
      <c r="P3808" s="7"/>
    </row>
    <row r="3809" spans="1:16">
      <c r="A3809" s="3">
        <v>44533.742361111115</v>
      </c>
      <c r="B3809" s="4" t="str">
        <f>HYPERLINK("https://twitter.com/sergio_fajardo","@sergio_fajardo")</f>
        <v>@sergio_fajardo</v>
      </c>
      <c r="C3809" s="5" t="s">
        <v>16</v>
      </c>
      <c r="D3809" s="5" t="s">
        <v>3828</v>
      </c>
      <c r="E3809" s="6" t="str">
        <f>HYPERLINK("https://twitter.com/sergio_fajardo/status/1466743769471107075","1466743769471107075")</f>
        <v>1466743769471107075</v>
      </c>
      <c r="F3809" s="7" t="s">
        <v>17</v>
      </c>
      <c r="G3809" s="7">
        <v>1601141</v>
      </c>
      <c r="H3809" s="7">
        <v>626</v>
      </c>
      <c r="I3809" s="7">
        <v>3</v>
      </c>
      <c r="J3809" s="7">
        <v>14</v>
      </c>
      <c r="K3809" s="7" t="s">
        <v>18</v>
      </c>
      <c r="L3809" s="8">
        <v>39891.213356481479</v>
      </c>
      <c r="M3809" s="9" t="s">
        <v>19</v>
      </c>
      <c r="N3809" s="9" t="s">
        <v>22</v>
      </c>
      <c r="O3809" s="6" t="str">
        <f>HYPERLINK("https://pbs.twimg.com/profile_images/1433591977631748099/wuGDIimB_normal.jpg","View")</f>
        <v>View</v>
      </c>
      <c r="P3809" s="7"/>
    </row>
    <row r="3810" spans="1:16">
      <c r="A3810" s="3">
        <v>44533.745995370366</v>
      </c>
      <c r="B3810" s="4" t="str">
        <f>HYPERLINK("https://twitter.com/sergio_fajardo","@sergio_fajardo")</f>
        <v>@sergio_fajardo</v>
      </c>
      <c r="C3810" s="5" t="s">
        <v>16</v>
      </c>
      <c r="D3810" s="5" t="s">
        <v>3829</v>
      </c>
      <c r="E3810" s="6" t="str">
        <f>HYPERLINK("https://twitter.com/sergio_fajardo/status/1466745088407658503","1466745088407658503")</f>
        <v>1466745088407658503</v>
      </c>
      <c r="F3810" s="7" t="s">
        <v>17</v>
      </c>
      <c r="G3810" s="7">
        <v>1601141</v>
      </c>
      <c r="H3810" s="7">
        <v>626</v>
      </c>
      <c r="I3810" s="7">
        <v>2</v>
      </c>
      <c r="J3810" s="7">
        <v>9</v>
      </c>
      <c r="K3810" s="7" t="s">
        <v>18</v>
      </c>
      <c r="L3810" s="8">
        <v>39891.213356481479</v>
      </c>
      <c r="M3810" s="9" t="s">
        <v>19</v>
      </c>
      <c r="N3810" s="9" t="s">
        <v>22</v>
      </c>
      <c r="O3810" s="6" t="str">
        <f>HYPERLINK("https://pbs.twimg.com/profile_images/1433591977631748099/wuGDIimB_normal.jpg","View")</f>
        <v>View</v>
      </c>
      <c r="P3810" s="7"/>
    </row>
    <row r="3811" spans="1:16">
      <c r="A3811" s="3">
        <v>44533.778773148151</v>
      </c>
      <c r="B3811" s="4" t="str">
        <f>HYPERLINK("https://twitter.com/sergio_fajardo","@sergio_fajardo")</f>
        <v>@sergio_fajardo</v>
      </c>
      <c r="C3811" s="5" t="s">
        <v>16</v>
      </c>
      <c r="D3811" s="5" t="s">
        <v>3830</v>
      </c>
      <c r="E3811" s="6" t="str">
        <f>HYPERLINK("https://twitter.com/sergio_fajardo/status/1466756965095387138","1466756965095387138")</f>
        <v>1466756965095387138</v>
      </c>
      <c r="F3811" s="7" t="s">
        <v>17</v>
      </c>
      <c r="G3811" s="7">
        <v>1601139</v>
      </c>
      <c r="H3811" s="7">
        <v>626</v>
      </c>
      <c r="I3811" s="7">
        <v>3</v>
      </c>
      <c r="J3811" s="7">
        <v>0</v>
      </c>
      <c r="K3811" s="7" t="s">
        <v>18</v>
      </c>
      <c r="L3811" s="8">
        <v>39891.213356481479</v>
      </c>
      <c r="M3811" s="9" t="s">
        <v>19</v>
      </c>
      <c r="N3811" s="9" t="s">
        <v>22</v>
      </c>
      <c r="O3811" s="6" t="str">
        <f>HYPERLINK("https://pbs.twimg.com/profile_images/1433591977631748099/wuGDIimB_normal.jpg","View")</f>
        <v>View</v>
      </c>
      <c r="P3811" s="7"/>
    </row>
    <row r="3812" spans="1:16">
      <c r="A3812" s="3">
        <v>44533.811111111107</v>
      </c>
      <c r="B3812" s="4" t="str">
        <f>HYPERLINK("https://twitter.com/sergio_fajardo","@sergio_fajardo")</f>
        <v>@sergio_fajardo</v>
      </c>
      <c r="C3812" s="5" t="s">
        <v>16</v>
      </c>
      <c r="D3812" s="5" t="s">
        <v>3831</v>
      </c>
      <c r="E3812" s="6" t="str">
        <f>HYPERLINK("https://twitter.com/sergio_fajardo/status/1466768683464855552","1466768683464855552")</f>
        <v>1466768683464855552</v>
      </c>
      <c r="F3812" s="7" t="s">
        <v>17</v>
      </c>
      <c r="G3812" s="7">
        <v>1601141</v>
      </c>
      <c r="H3812" s="7">
        <v>626</v>
      </c>
      <c r="I3812" s="7">
        <v>3</v>
      </c>
      <c r="J3812" s="7">
        <v>11</v>
      </c>
      <c r="K3812" s="7" t="s">
        <v>18</v>
      </c>
      <c r="L3812" s="8">
        <v>39891.213356481479</v>
      </c>
      <c r="M3812" s="9" t="s">
        <v>19</v>
      </c>
      <c r="N3812" s="9" t="s">
        <v>22</v>
      </c>
      <c r="O3812" s="6" t="str">
        <f>HYPERLINK("https://pbs.twimg.com/profile_images/1433591977631748099/wuGDIimB_normal.jpg","View")</f>
        <v>View</v>
      </c>
      <c r="P3812" s="7"/>
    </row>
    <row r="3813" spans="1:16">
      <c r="A3813" s="3">
        <v>44533.848240740743</v>
      </c>
      <c r="B3813" s="4" t="str">
        <f>HYPERLINK("https://twitter.com/sergio_fajardo","@sergio_fajardo")</f>
        <v>@sergio_fajardo</v>
      </c>
      <c r="C3813" s="5" t="s">
        <v>16</v>
      </c>
      <c r="D3813" s="5" t="s">
        <v>3832</v>
      </c>
      <c r="E3813" s="6" t="str">
        <f>HYPERLINK("https://twitter.com/sergio_fajardo/status/1466782141740683269","1466782141740683269")</f>
        <v>1466782141740683269</v>
      </c>
      <c r="F3813" s="7" t="s">
        <v>17</v>
      </c>
      <c r="G3813" s="7">
        <v>1601144</v>
      </c>
      <c r="H3813" s="7">
        <v>626</v>
      </c>
      <c r="I3813" s="7">
        <v>3</v>
      </c>
      <c r="J3813" s="7">
        <v>12</v>
      </c>
      <c r="K3813" s="7" t="s">
        <v>18</v>
      </c>
      <c r="L3813" s="8">
        <v>39891.213356481479</v>
      </c>
      <c r="M3813" s="9" t="s">
        <v>19</v>
      </c>
      <c r="N3813" s="9" t="s">
        <v>22</v>
      </c>
      <c r="O3813" s="6" t="str">
        <f>HYPERLINK("https://pbs.twimg.com/profile_images/1433591977631748099/wuGDIimB_normal.jpg","View")</f>
        <v>View</v>
      </c>
      <c r="P3813" s="7"/>
    </row>
    <row r="3814" spans="1:16">
      <c r="A3814" s="3">
        <v>44533.892465277779</v>
      </c>
      <c r="B3814" s="4" t="str">
        <f>HYPERLINK("https://twitter.com/sergio_fajardo","@sergio_fajardo")</f>
        <v>@sergio_fajardo</v>
      </c>
      <c r="C3814" s="5" t="s">
        <v>16</v>
      </c>
      <c r="D3814" s="5" t="s">
        <v>3833</v>
      </c>
      <c r="E3814" s="6" t="str">
        <f>HYPERLINK("https://twitter.com/sergio_fajardo/status/1466798168318828545","1466798168318828545")</f>
        <v>1466798168318828545</v>
      </c>
      <c r="F3814" s="7" t="s">
        <v>17</v>
      </c>
      <c r="G3814" s="7">
        <v>1601151</v>
      </c>
      <c r="H3814" s="7">
        <v>626</v>
      </c>
      <c r="I3814" s="7">
        <v>5</v>
      </c>
      <c r="J3814" s="7">
        <v>28</v>
      </c>
      <c r="K3814" s="7" t="s">
        <v>18</v>
      </c>
      <c r="L3814" s="8">
        <v>39891.213356481479</v>
      </c>
      <c r="M3814" s="9" t="s">
        <v>19</v>
      </c>
      <c r="N3814" s="9" t="s">
        <v>22</v>
      </c>
      <c r="O3814" s="6" t="str">
        <f>HYPERLINK("https://pbs.twimg.com/profile_images/1433591977631748099/wuGDIimB_normal.jpg","View")</f>
        <v>View</v>
      </c>
      <c r="P3814" s="7"/>
    </row>
    <row r="3815" spans="1:16">
      <c r="A3815" s="3">
        <v>44533.940289351856</v>
      </c>
      <c r="B3815" s="4" t="str">
        <f>HYPERLINK("https://twitter.com/sergio_fajardo","@sergio_fajardo")</f>
        <v>@sergio_fajardo</v>
      </c>
      <c r="C3815" s="5" t="s">
        <v>16</v>
      </c>
      <c r="D3815" s="5" t="s">
        <v>3834</v>
      </c>
      <c r="E3815" s="6" t="str">
        <f>HYPERLINK("https://twitter.com/sergio_fajardo/status/1466815497819799560","1466815497819799560")</f>
        <v>1466815497819799560</v>
      </c>
      <c r="F3815" s="7" t="s">
        <v>17</v>
      </c>
      <c r="G3815" s="7">
        <v>1601156</v>
      </c>
      <c r="H3815" s="7">
        <v>626</v>
      </c>
      <c r="I3815" s="7">
        <v>487</v>
      </c>
      <c r="J3815" s="7">
        <v>0</v>
      </c>
      <c r="K3815" s="7" t="s">
        <v>18</v>
      </c>
      <c r="L3815" s="8">
        <v>39891.213356481479</v>
      </c>
      <c r="M3815" s="9" t="s">
        <v>19</v>
      </c>
      <c r="N3815" s="9" t="s">
        <v>22</v>
      </c>
      <c r="O3815" s="6" t="str">
        <f>HYPERLINK("https://pbs.twimg.com/profile_images/1433591977631748099/wuGDIimB_normal.jpg","View")</f>
        <v>View</v>
      </c>
      <c r="P3815" s="7"/>
    </row>
    <row r="3816" spans="1:16">
      <c r="A3816" s="3">
        <v>44533.977604166663</v>
      </c>
      <c r="B3816" s="4" t="str">
        <f>HYPERLINK("https://twitter.com/sergio_fajardo","@sergio_fajardo")</f>
        <v>@sergio_fajardo</v>
      </c>
      <c r="C3816" s="5" t="s">
        <v>16</v>
      </c>
      <c r="D3816" s="5" t="s">
        <v>3835</v>
      </c>
      <c r="E3816" s="6" t="str">
        <f>HYPERLINK("https://twitter.com/sergio_fajardo/status/1466829020050382854","1466829020050382854")</f>
        <v>1466829020050382854</v>
      </c>
      <c r="F3816" s="7" t="s">
        <v>17</v>
      </c>
      <c r="G3816" s="7">
        <v>1601160</v>
      </c>
      <c r="H3816" s="7">
        <v>626</v>
      </c>
      <c r="I3816" s="7">
        <v>0</v>
      </c>
      <c r="J3816" s="7">
        <v>11</v>
      </c>
      <c r="K3816" s="7" t="s">
        <v>18</v>
      </c>
      <c r="L3816" s="8">
        <v>39891.213356481479</v>
      </c>
      <c r="M3816" s="9" t="s">
        <v>19</v>
      </c>
      <c r="N3816" s="9" t="s">
        <v>22</v>
      </c>
      <c r="O3816" s="6" t="str">
        <f>HYPERLINK("https://pbs.twimg.com/profile_images/1433591977631748099/wuGDIimB_normal.jpg","View")</f>
        <v>View</v>
      </c>
      <c r="P3816" s="7"/>
    </row>
    <row r="3817" spans="1:16">
      <c r="A3817" s="3">
        <v>44534.114895833336</v>
      </c>
      <c r="B3817" s="4" t="str">
        <f>HYPERLINK("https://twitter.com/sergio_fajardo","@sergio_fajardo")</f>
        <v>@sergio_fajardo</v>
      </c>
      <c r="C3817" s="5" t="s">
        <v>16</v>
      </c>
      <c r="D3817" s="5" t="s">
        <v>3836</v>
      </c>
      <c r="E3817" s="6" t="str">
        <f>HYPERLINK("https://twitter.com/sergio_fajardo/status/1466878772683190281","1466878772683190281")</f>
        <v>1466878772683190281</v>
      </c>
      <c r="F3817" s="7" t="s">
        <v>2329</v>
      </c>
      <c r="G3817" s="7">
        <v>1601189</v>
      </c>
      <c r="H3817" s="7">
        <v>626</v>
      </c>
      <c r="I3817" s="7">
        <v>6</v>
      </c>
      <c r="J3817" s="7">
        <v>27</v>
      </c>
      <c r="K3817" s="7" t="s">
        <v>18</v>
      </c>
      <c r="L3817" s="8">
        <v>39891.213356481479</v>
      </c>
      <c r="M3817" s="9" t="s">
        <v>19</v>
      </c>
      <c r="N3817" s="9" t="s">
        <v>22</v>
      </c>
      <c r="O3817" s="6" t="str">
        <f>HYPERLINK("https://pbs.twimg.com/profile_images/1433591977631748099/wuGDIimB_normal.jpg","View")</f>
        <v>View</v>
      </c>
      <c r="P3817" s="7"/>
    </row>
    <row r="3818" spans="1:16">
      <c r="A3818" s="3">
        <v>44534.889652777776</v>
      </c>
      <c r="B3818" s="4" t="str">
        <f>HYPERLINK("https://twitter.com/sergio_fajardo","@sergio_fajardo")</f>
        <v>@sergio_fajardo</v>
      </c>
      <c r="C3818" s="5" t="s">
        <v>16</v>
      </c>
      <c r="D3818" s="5" t="s">
        <v>3837</v>
      </c>
      <c r="E3818" s="6" t="str">
        <f>HYPERLINK("https://twitter.com/sergio_fajardo/status/1467159533722255365","1467159533722255365")</f>
        <v>1467159533722255365</v>
      </c>
      <c r="F3818" s="7" t="s">
        <v>17</v>
      </c>
      <c r="G3818" s="7">
        <v>1601251</v>
      </c>
      <c r="H3818" s="7">
        <v>626</v>
      </c>
      <c r="I3818" s="7">
        <v>3</v>
      </c>
      <c r="J3818" s="7">
        <v>18</v>
      </c>
      <c r="K3818" s="7" t="s">
        <v>18</v>
      </c>
      <c r="L3818" s="8">
        <v>39891.213356481479</v>
      </c>
      <c r="M3818" s="9" t="s">
        <v>19</v>
      </c>
      <c r="N3818" s="9" t="s">
        <v>22</v>
      </c>
      <c r="O3818" s="6" t="str">
        <f>HYPERLINK("https://pbs.twimg.com/profile_images/1433591977631748099/wuGDIimB_normal.jpg","View")</f>
        <v>View</v>
      </c>
      <c r="P3818" s="7"/>
    </row>
    <row r="3819" spans="1:16">
      <c r="A3819" s="3">
        <v>44535.00200231481</v>
      </c>
      <c r="B3819" s="4" t="str">
        <f>HYPERLINK("https://twitter.com/sergio_fajardo","@sergio_fajardo")</f>
        <v>@sergio_fajardo</v>
      </c>
      <c r="C3819" s="5" t="s">
        <v>16</v>
      </c>
      <c r="D3819" s="5" t="s">
        <v>3838</v>
      </c>
      <c r="E3819" s="6" t="str">
        <f>HYPERLINK("https://twitter.com/sergio_fajardo/status/1467200250880405510","1467200250880405510")</f>
        <v>1467200250880405510</v>
      </c>
      <c r="F3819" s="7" t="s">
        <v>17</v>
      </c>
      <c r="G3819" s="7">
        <v>1601257</v>
      </c>
      <c r="H3819" s="7">
        <v>626</v>
      </c>
      <c r="I3819" s="7">
        <v>30</v>
      </c>
      <c r="J3819" s="7">
        <v>0</v>
      </c>
      <c r="K3819" s="7" t="s">
        <v>18</v>
      </c>
      <c r="L3819" s="8">
        <v>39891.213356481479</v>
      </c>
      <c r="M3819" s="9" t="s">
        <v>19</v>
      </c>
      <c r="N3819" s="9" t="s">
        <v>22</v>
      </c>
      <c r="O3819" s="6" t="str">
        <f>HYPERLINK("https://pbs.twimg.com/profile_images/1433591977631748099/wuGDIimB_normal.jpg","View")</f>
        <v>View</v>
      </c>
      <c r="P3819" s="7"/>
    </row>
    <row r="3820" spans="1:16">
      <c r="A3820" s="3">
        <v>44535.035509259258</v>
      </c>
      <c r="B3820" s="4" t="str">
        <f>HYPERLINK("https://twitter.com/sergio_fajardo","@sergio_fajardo")</f>
        <v>@sergio_fajardo</v>
      </c>
      <c r="C3820" s="5" t="s">
        <v>16</v>
      </c>
      <c r="D3820" s="5" t="s">
        <v>3839</v>
      </c>
      <c r="E3820" s="6" t="str">
        <f>HYPERLINK("https://twitter.com/sergio_fajardo/status/1467212394170617858","1467212394170617858")</f>
        <v>1467212394170617858</v>
      </c>
      <c r="F3820" s="7" t="s">
        <v>17</v>
      </c>
      <c r="G3820" s="7">
        <v>1601265</v>
      </c>
      <c r="H3820" s="7">
        <v>626</v>
      </c>
      <c r="I3820" s="7">
        <v>6</v>
      </c>
      <c r="J3820" s="7">
        <v>0</v>
      </c>
      <c r="K3820" s="7" t="s">
        <v>18</v>
      </c>
      <c r="L3820" s="8">
        <v>39891.213356481479</v>
      </c>
      <c r="M3820" s="9" t="s">
        <v>19</v>
      </c>
      <c r="N3820" s="9" t="s">
        <v>22</v>
      </c>
      <c r="O3820" s="6" t="str">
        <f>HYPERLINK("https://pbs.twimg.com/profile_images/1433591977631748099/wuGDIimB_normal.jpg","View")</f>
        <v>View</v>
      </c>
      <c r="P3820" s="7"/>
    </row>
    <row r="3821" spans="1:16">
      <c r="A3821" s="3">
        <v>44535.817569444444</v>
      </c>
      <c r="B3821" s="4" t="str">
        <f>HYPERLINK("https://twitter.com/sergio_fajardo","@sergio_fajardo")</f>
        <v>@sergio_fajardo</v>
      </c>
      <c r="C3821" s="5" t="s">
        <v>16</v>
      </c>
      <c r="D3821" s="5" t="s">
        <v>3840</v>
      </c>
      <c r="E3821" s="6" t="str">
        <f>HYPERLINK("https://twitter.com/sergio_fajardo/status/1467495802406948864","1467495802406948864")</f>
        <v>1467495802406948864</v>
      </c>
      <c r="F3821" s="7" t="s">
        <v>17</v>
      </c>
      <c r="G3821" s="7">
        <v>1601318</v>
      </c>
      <c r="H3821" s="7">
        <v>626</v>
      </c>
      <c r="I3821" s="7">
        <v>7</v>
      </c>
      <c r="J3821" s="7">
        <v>0</v>
      </c>
      <c r="K3821" s="7" t="s">
        <v>18</v>
      </c>
      <c r="L3821" s="8">
        <v>39891.213356481479</v>
      </c>
      <c r="M3821" s="9" t="s">
        <v>19</v>
      </c>
      <c r="N3821" s="9" t="s">
        <v>22</v>
      </c>
      <c r="O3821" s="6" t="str">
        <f>HYPERLINK("https://pbs.twimg.com/profile_images/1433591977631748099/wuGDIimB_normal.jpg","View")</f>
        <v>View</v>
      </c>
      <c r="P3821" s="7"/>
    </row>
    <row r="3822" spans="1:16">
      <c r="A3822" s="3">
        <v>44535.83189814815</v>
      </c>
      <c r="B3822" s="4" t="str">
        <f>HYPERLINK("https://twitter.com/sergio_fajardo","@sergio_fajardo")</f>
        <v>@sergio_fajardo</v>
      </c>
      <c r="C3822" s="5" t="s">
        <v>16</v>
      </c>
      <c r="D3822" s="5" t="s">
        <v>3841</v>
      </c>
      <c r="E3822" s="6" t="str">
        <f>HYPERLINK("https://twitter.com/sergio_fajardo/status/1467500992811999241","1467500992811999241")</f>
        <v>1467500992811999241</v>
      </c>
      <c r="F3822" s="7" t="s">
        <v>17</v>
      </c>
      <c r="G3822" s="7">
        <v>1601318</v>
      </c>
      <c r="H3822" s="7">
        <v>626</v>
      </c>
      <c r="I3822" s="7">
        <v>3</v>
      </c>
      <c r="J3822" s="7">
        <v>7</v>
      </c>
      <c r="K3822" s="7" t="s">
        <v>18</v>
      </c>
      <c r="L3822" s="8">
        <v>39891.213356481479</v>
      </c>
      <c r="M3822" s="9" t="s">
        <v>19</v>
      </c>
      <c r="N3822" s="9" t="s">
        <v>22</v>
      </c>
      <c r="O3822" s="6" t="str">
        <f>HYPERLINK("https://pbs.twimg.com/profile_images/1433591977631748099/wuGDIimB_normal.jpg","View")</f>
        <v>View</v>
      </c>
      <c r="P3822" s="7"/>
    </row>
    <row r="3823" spans="1:16">
      <c r="A3823" s="3">
        <v>44535.834652777776</v>
      </c>
      <c r="B3823" s="4" t="str">
        <f>HYPERLINK("https://twitter.com/sergio_fajardo","@sergio_fajardo")</f>
        <v>@sergio_fajardo</v>
      </c>
      <c r="C3823" s="5" t="s">
        <v>16</v>
      </c>
      <c r="D3823" s="5" t="s">
        <v>3842</v>
      </c>
      <c r="E3823" s="6" t="str">
        <f>HYPERLINK("https://twitter.com/sergio_fajardo/status/1467501993405132802","1467501993405132802")</f>
        <v>1467501993405132802</v>
      </c>
      <c r="F3823" s="7" t="s">
        <v>17</v>
      </c>
      <c r="G3823" s="7">
        <v>1601318</v>
      </c>
      <c r="H3823" s="7">
        <v>626</v>
      </c>
      <c r="I3823" s="7">
        <v>3</v>
      </c>
      <c r="J3823" s="7">
        <v>0</v>
      </c>
      <c r="K3823" s="7" t="s">
        <v>18</v>
      </c>
      <c r="L3823" s="8">
        <v>39891.213356481479</v>
      </c>
      <c r="M3823" s="9" t="s">
        <v>19</v>
      </c>
      <c r="N3823" s="9" t="s">
        <v>22</v>
      </c>
      <c r="O3823" s="6" t="str">
        <f>HYPERLINK("https://pbs.twimg.com/profile_images/1433591977631748099/wuGDIimB_normal.jpg","View")</f>
        <v>View</v>
      </c>
      <c r="P3823" s="7"/>
    </row>
    <row r="3824" spans="1:16">
      <c r="A3824" s="3">
        <v>44535.834687499999</v>
      </c>
      <c r="B3824" s="4" t="str">
        <f>HYPERLINK("https://twitter.com/sergio_fajardo","@sergio_fajardo")</f>
        <v>@sergio_fajardo</v>
      </c>
      <c r="C3824" s="5" t="s">
        <v>16</v>
      </c>
      <c r="D3824" s="5" t="s">
        <v>3843</v>
      </c>
      <c r="E3824" s="6" t="str">
        <f>HYPERLINK("https://twitter.com/sergio_fajardo/status/1467502005254262786","1467502005254262786")</f>
        <v>1467502005254262786</v>
      </c>
      <c r="F3824" s="7" t="s">
        <v>17</v>
      </c>
      <c r="G3824" s="7">
        <v>1601318</v>
      </c>
      <c r="H3824" s="7">
        <v>626</v>
      </c>
      <c r="I3824" s="7">
        <v>4</v>
      </c>
      <c r="J3824" s="7">
        <v>0</v>
      </c>
      <c r="K3824" s="7" t="s">
        <v>18</v>
      </c>
      <c r="L3824" s="8">
        <v>39891.213356481479</v>
      </c>
      <c r="M3824" s="9" t="s">
        <v>19</v>
      </c>
      <c r="N3824" s="9" t="s">
        <v>22</v>
      </c>
      <c r="O3824" s="6" t="str">
        <f>HYPERLINK("https://pbs.twimg.com/profile_images/1433591977631748099/wuGDIimB_normal.jpg","View")</f>
        <v>View</v>
      </c>
      <c r="P3824" s="7"/>
    </row>
    <row r="3825" spans="1:16">
      <c r="A3825" s="3">
        <v>44535.834768518514</v>
      </c>
      <c r="B3825" s="4" t="str">
        <f>HYPERLINK("https://twitter.com/sergio_fajardo","@sergio_fajardo")</f>
        <v>@sergio_fajardo</v>
      </c>
      <c r="C3825" s="5" t="s">
        <v>16</v>
      </c>
      <c r="D3825" s="5" t="s">
        <v>3844</v>
      </c>
      <c r="E3825" s="6" t="str">
        <f>HYPERLINK("https://twitter.com/sergio_fajardo/status/1467502034140241921","1467502034140241921")</f>
        <v>1467502034140241921</v>
      </c>
      <c r="F3825" s="7" t="s">
        <v>17</v>
      </c>
      <c r="G3825" s="7">
        <v>1601318</v>
      </c>
      <c r="H3825" s="7">
        <v>626</v>
      </c>
      <c r="I3825" s="7">
        <v>6</v>
      </c>
      <c r="J3825" s="7">
        <v>0</v>
      </c>
      <c r="K3825" s="7" t="s">
        <v>18</v>
      </c>
      <c r="L3825" s="8">
        <v>39891.213356481479</v>
      </c>
      <c r="M3825" s="9" t="s">
        <v>19</v>
      </c>
      <c r="N3825" s="9" t="s">
        <v>22</v>
      </c>
      <c r="O3825" s="6" t="str">
        <f>HYPERLINK("https://pbs.twimg.com/profile_images/1433591977631748099/wuGDIimB_normal.jpg","View")</f>
        <v>View</v>
      </c>
      <c r="P3825" s="7"/>
    </row>
    <row r="3826" spans="1:16">
      <c r="A3826" s="3">
        <v>44535.838541666672</v>
      </c>
      <c r="B3826" s="4" t="str">
        <f>HYPERLINK("https://twitter.com/sergio_fajardo","@sergio_fajardo")</f>
        <v>@sergio_fajardo</v>
      </c>
      <c r="C3826" s="5" t="s">
        <v>16</v>
      </c>
      <c r="D3826" s="5" t="s">
        <v>3845</v>
      </c>
      <c r="E3826" s="6" t="str">
        <f>HYPERLINK("https://twitter.com/sergio_fajardo/status/1467503401240039430","1467503401240039430")</f>
        <v>1467503401240039430</v>
      </c>
      <c r="F3826" s="7" t="s">
        <v>17</v>
      </c>
      <c r="G3826" s="7">
        <v>1601315</v>
      </c>
      <c r="H3826" s="7">
        <v>626</v>
      </c>
      <c r="I3826" s="7">
        <v>4</v>
      </c>
      <c r="J3826" s="7">
        <v>0</v>
      </c>
      <c r="K3826" s="7" t="s">
        <v>18</v>
      </c>
      <c r="L3826" s="8">
        <v>39891.213356481479</v>
      </c>
      <c r="M3826" s="9" t="s">
        <v>19</v>
      </c>
      <c r="N3826" s="9" t="s">
        <v>22</v>
      </c>
      <c r="O3826" s="6" t="str">
        <f>HYPERLINK("https://pbs.twimg.com/profile_images/1433591977631748099/wuGDIimB_normal.jpg","View")</f>
        <v>View</v>
      </c>
      <c r="P3826" s="7"/>
    </row>
    <row r="3827" spans="1:16">
      <c r="A3827" s="3">
        <v>44535.83861111111</v>
      </c>
      <c r="B3827" s="4" t="str">
        <f>HYPERLINK("https://twitter.com/sergio_fajardo","@sergio_fajardo")</f>
        <v>@sergio_fajardo</v>
      </c>
      <c r="C3827" s="5" t="s">
        <v>16</v>
      </c>
      <c r="D3827" s="5" t="s">
        <v>3846</v>
      </c>
      <c r="E3827" s="6" t="str">
        <f>HYPERLINK("https://twitter.com/sergio_fajardo/status/1467503424778477572","1467503424778477572")</f>
        <v>1467503424778477572</v>
      </c>
      <c r="F3827" s="7" t="s">
        <v>17</v>
      </c>
      <c r="G3827" s="7">
        <v>1601315</v>
      </c>
      <c r="H3827" s="7">
        <v>626</v>
      </c>
      <c r="I3827" s="7">
        <v>3</v>
      </c>
      <c r="J3827" s="7">
        <v>0</v>
      </c>
      <c r="K3827" s="7" t="s">
        <v>18</v>
      </c>
      <c r="L3827" s="8">
        <v>39891.213356481479</v>
      </c>
      <c r="M3827" s="9" t="s">
        <v>19</v>
      </c>
      <c r="N3827" s="9" t="s">
        <v>22</v>
      </c>
      <c r="O3827" s="6" t="str">
        <f>HYPERLINK("https://pbs.twimg.com/profile_images/1433591977631748099/wuGDIimB_normal.jpg","View")</f>
        <v>View</v>
      </c>
      <c r="P3827" s="7"/>
    </row>
    <row r="3828" spans="1:16">
      <c r="A3828" s="3">
        <v>44536.281574074077</v>
      </c>
      <c r="B3828" s="4" t="str">
        <f>HYPERLINK("https://twitter.com/sergio_fajardo","@sergio_fajardo")</f>
        <v>@sergio_fajardo</v>
      </c>
      <c r="C3828" s="5" t="s">
        <v>16</v>
      </c>
      <c r="D3828" s="5" t="s">
        <v>3847</v>
      </c>
      <c r="E3828" s="6" t="str">
        <f>HYPERLINK("https://twitter.com/sergio_fajardo/status/1467663950510764044","1467663950510764044")</f>
        <v>1467663950510764044</v>
      </c>
      <c r="F3828" s="7" t="s">
        <v>17</v>
      </c>
      <c r="G3828" s="7">
        <v>1601386</v>
      </c>
      <c r="H3828" s="7">
        <v>626</v>
      </c>
      <c r="I3828" s="7">
        <v>7</v>
      </c>
      <c r="J3828" s="7">
        <v>0</v>
      </c>
      <c r="K3828" s="7" t="s">
        <v>18</v>
      </c>
      <c r="L3828" s="8">
        <v>39891.213356481479</v>
      </c>
      <c r="M3828" s="9" t="s">
        <v>19</v>
      </c>
      <c r="N3828" s="9" t="s">
        <v>22</v>
      </c>
      <c r="O3828" s="6" t="str">
        <f>HYPERLINK("https://pbs.twimg.com/profile_images/1433591977631748099/wuGDIimB_normal.jpg","View")</f>
        <v>View</v>
      </c>
      <c r="P3828" s="7"/>
    </row>
    <row r="3829" spans="1:16">
      <c r="A3829" s="3">
        <v>44536.330069444448</v>
      </c>
      <c r="B3829" s="4" t="str">
        <f>HYPERLINK("https://twitter.com/sergio_fajardo","@sergio_fajardo")</f>
        <v>@sergio_fajardo</v>
      </c>
      <c r="C3829" s="5" t="s">
        <v>16</v>
      </c>
      <c r="D3829" s="5" t="s">
        <v>3848</v>
      </c>
      <c r="E3829" s="6" t="str">
        <f>HYPERLINK("https://twitter.com/sergio_fajardo/status/1467681524598607873","1467681524598607873")</f>
        <v>1467681524598607873</v>
      </c>
      <c r="F3829" s="7" t="s">
        <v>17</v>
      </c>
      <c r="G3829" s="7">
        <v>1601397</v>
      </c>
      <c r="H3829" s="7">
        <v>626</v>
      </c>
      <c r="I3829" s="7">
        <v>14</v>
      </c>
      <c r="J3829" s="7">
        <v>63</v>
      </c>
      <c r="K3829" s="7" t="s">
        <v>18</v>
      </c>
      <c r="L3829" s="8">
        <v>39891.213356481479</v>
      </c>
      <c r="M3829" s="9" t="s">
        <v>19</v>
      </c>
      <c r="N3829" s="9" t="s">
        <v>22</v>
      </c>
      <c r="O3829" s="6" t="str">
        <f>HYPERLINK("https://pbs.twimg.com/profile_images/1433591977631748099/wuGDIimB_normal.jpg","View")</f>
        <v>View</v>
      </c>
      <c r="P3829" s="7"/>
    </row>
    <row r="3830" spans="1:16">
      <c r="A3830" s="3">
        <v>44536.748032407406</v>
      </c>
      <c r="B3830" s="4" t="str">
        <f>HYPERLINK("https://twitter.com/sergio_fajardo","@sergio_fajardo")</f>
        <v>@sergio_fajardo</v>
      </c>
      <c r="C3830" s="5" t="s">
        <v>16</v>
      </c>
      <c r="D3830" s="5" t="s">
        <v>3849</v>
      </c>
      <c r="E3830" s="6" t="str">
        <f>HYPERLINK("https://twitter.com/sergio_fajardo/status/1467832990764052480","1467832990764052480")</f>
        <v>1467832990764052480</v>
      </c>
      <c r="F3830" s="7" t="s">
        <v>17</v>
      </c>
      <c r="G3830" s="7">
        <v>1601421</v>
      </c>
      <c r="H3830" s="7">
        <v>626</v>
      </c>
      <c r="I3830" s="7">
        <v>12</v>
      </c>
      <c r="J3830" s="7">
        <v>77</v>
      </c>
      <c r="K3830" s="7" t="s">
        <v>18</v>
      </c>
      <c r="L3830" s="8">
        <v>39891.213356481479</v>
      </c>
      <c r="M3830" s="9" t="s">
        <v>19</v>
      </c>
      <c r="N3830" s="9" t="s">
        <v>22</v>
      </c>
      <c r="O3830" s="6" t="str">
        <f>HYPERLINK("https://pbs.twimg.com/profile_images/1433591977631748099/wuGDIimB_normal.jpg","View")</f>
        <v>View</v>
      </c>
      <c r="P3830" s="7"/>
    </row>
    <row r="3831" spans="1:16">
      <c r="A3831" s="3">
        <v>44536.789895833332</v>
      </c>
      <c r="B3831" s="4" t="str">
        <f>HYPERLINK("https://twitter.com/sergio_fajardo","@sergio_fajardo")</f>
        <v>@sergio_fajardo</v>
      </c>
      <c r="C3831" s="5" t="s">
        <v>16</v>
      </c>
      <c r="D3831" s="5" t="s">
        <v>3850</v>
      </c>
      <c r="E3831" s="6" t="str">
        <f>HYPERLINK("https://twitter.com/sergio_fajardo/status/1467848158747279363","1467848158747279363")</f>
        <v>1467848158747279363</v>
      </c>
      <c r="F3831" s="7" t="s">
        <v>17</v>
      </c>
      <c r="G3831" s="7">
        <v>1601429</v>
      </c>
      <c r="H3831" s="7">
        <v>626</v>
      </c>
      <c r="I3831" s="7">
        <v>3</v>
      </c>
      <c r="J3831" s="7">
        <v>16</v>
      </c>
      <c r="K3831" s="7" t="s">
        <v>18</v>
      </c>
      <c r="L3831" s="8">
        <v>39891.213356481479</v>
      </c>
      <c r="M3831" s="9" t="s">
        <v>19</v>
      </c>
      <c r="N3831" s="9" t="s">
        <v>22</v>
      </c>
      <c r="O3831" s="6" t="str">
        <f>HYPERLINK("https://pbs.twimg.com/profile_images/1433591977631748099/wuGDIimB_normal.jpg","View")</f>
        <v>View</v>
      </c>
      <c r="P3831" s="7"/>
    </row>
    <row r="3832" spans="1:16">
      <c r="A3832" s="3">
        <v>44536.977604166663</v>
      </c>
      <c r="B3832" s="4" t="str">
        <f>HYPERLINK("https://twitter.com/sergio_fajardo","@sergio_fajardo")</f>
        <v>@sergio_fajardo</v>
      </c>
      <c r="C3832" s="5" t="s">
        <v>16</v>
      </c>
      <c r="D3832" s="5" t="s">
        <v>3851</v>
      </c>
      <c r="E3832" s="6" t="str">
        <f>HYPERLINK("https://twitter.com/sergio_fajardo/status/1467916182732914688","1467916182732914688")</f>
        <v>1467916182732914688</v>
      </c>
      <c r="F3832" s="7" t="s">
        <v>17</v>
      </c>
      <c r="G3832" s="7">
        <v>1601442</v>
      </c>
      <c r="H3832" s="7">
        <v>626</v>
      </c>
      <c r="I3832" s="7">
        <v>4</v>
      </c>
      <c r="J3832" s="7">
        <v>0</v>
      </c>
      <c r="K3832" s="7" t="s">
        <v>18</v>
      </c>
      <c r="L3832" s="8">
        <v>39891.213356481479</v>
      </c>
      <c r="M3832" s="9" t="s">
        <v>19</v>
      </c>
      <c r="N3832" s="9" t="s">
        <v>22</v>
      </c>
      <c r="O3832" s="6" t="str">
        <f>HYPERLINK("https://pbs.twimg.com/profile_images/1433591977631748099/wuGDIimB_normal.jpg","View")</f>
        <v>View</v>
      </c>
      <c r="P3832" s="7"/>
    </row>
    <row r="3833" spans="1:16">
      <c r="A3833" s="3">
        <v>44537.020335648151</v>
      </c>
      <c r="B3833" s="4" t="str">
        <f>HYPERLINK("https://twitter.com/sergio_fajardo","@sergio_fajardo")</f>
        <v>@sergio_fajardo</v>
      </c>
      <c r="C3833" s="5" t="s">
        <v>16</v>
      </c>
      <c r="D3833" s="5" t="s">
        <v>3852</v>
      </c>
      <c r="E3833" s="6" t="str">
        <f>HYPERLINK("https://twitter.com/sergio_fajardo/status/1467931669420294151","1467931669420294151")</f>
        <v>1467931669420294151</v>
      </c>
      <c r="F3833" s="7" t="s">
        <v>23</v>
      </c>
      <c r="G3833" s="7">
        <v>1601443</v>
      </c>
      <c r="H3833" s="7">
        <v>626</v>
      </c>
      <c r="I3833" s="7">
        <v>4</v>
      </c>
      <c r="J3833" s="7">
        <v>7</v>
      </c>
      <c r="K3833" s="7" t="s">
        <v>18</v>
      </c>
      <c r="L3833" s="8">
        <v>39891.213356481479</v>
      </c>
      <c r="M3833" s="9" t="s">
        <v>19</v>
      </c>
      <c r="N3833" s="9" t="s">
        <v>22</v>
      </c>
      <c r="O3833" s="6" t="str">
        <f>HYPERLINK("https://pbs.twimg.com/profile_images/1433591977631748099/wuGDIimB_normal.jpg","View")</f>
        <v>View</v>
      </c>
      <c r="P3833" s="7"/>
    </row>
    <row r="3834" spans="1:16">
      <c r="A3834" s="3">
        <v>44537.020358796297</v>
      </c>
      <c r="B3834" s="4" t="str">
        <f>HYPERLINK("https://twitter.com/sergio_fajardo","@sergio_fajardo")</f>
        <v>@sergio_fajardo</v>
      </c>
      <c r="C3834" s="5" t="s">
        <v>16</v>
      </c>
      <c r="D3834" s="5" t="s">
        <v>3853</v>
      </c>
      <c r="E3834" s="6" t="str">
        <f>HYPERLINK("https://twitter.com/sergio_fajardo/status/1467931675879428098","1467931675879428098")</f>
        <v>1467931675879428098</v>
      </c>
      <c r="F3834" s="7" t="s">
        <v>23</v>
      </c>
      <c r="G3834" s="7">
        <v>1601443</v>
      </c>
      <c r="H3834" s="7">
        <v>626</v>
      </c>
      <c r="I3834" s="7">
        <v>0</v>
      </c>
      <c r="J3834" s="7">
        <v>4</v>
      </c>
      <c r="K3834" s="7" t="s">
        <v>18</v>
      </c>
      <c r="L3834" s="8">
        <v>39891.213356481479</v>
      </c>
      <c r="M3834" s="9" t="s">
        <v>19</v>
      </c>
      <c r="N3834" s="9" t="s">
        <v>22</v>
      </c>
      <c r="O3834" s="6" t="str">
        <f>HYPERLINK("https://pbs.twimg.com/profile_images/1433591977631748099/wuGDIimB_normal.jpg","View")</f>
        <v>View</v>
      </c>
      <c r="P3834" s="7"/>
    </row>
    <row r="3835" spans="1:16">
      <c r="A3835" s="3">
        <v>44537.020358796297</v>
      </c>
      <c r="B3835" s="4" t="str">
        <f>HYPERLINK("https://twitter.com/sergio_fajardo","@sergio_fajardo")</f>
        <v>@sergio_fajardo</v>
      </c>
      <c r="C3835" s="5" t="s">
        <v>16</v>
      </c>
      <c r="D3835" s="5" t="s">
        <v>3854</v>
      </c>
      <c r="E3835" s="6" t="str">
        <f>HYPERLINK("https://twitter.com/sergio_fajardo/status/1467931677200633861","1467931677200633861")</f>
        <v>1467931677200633861</v>
      </c>
      <c r="F3835" s="7" t="s">
        <v>23</v>
      </c>
      <c r="G3835" s="7">
        <v>1601443</v>
      </c>
      <c r="H3835" s="7">
        <v>626</v>
      </c>
      <c r="I3835" s="7">
        <v>1</v>
      </c>
      <c r="J3835" s="7">
        <v>9</v>
      </c>
      <c r="K3835" s="7" t="s">
        <v>18</v>
      </c>
      <c r="L3835" s="8">
        <v>39891.213356481479</v>
      </c>
      <c r="M3835" s="9" t="s">
        <v>19</v>
      </c>
      <c r="N3835" s="9" t="s">
        <v>22</v>
      </c>
      <c r="O3835" s="6" t="str">
        <f>HYPERLINK("https://pbs.twimg.com/profile_images/1433591977631748099/wuGDIimB_normal.jpg","View")</f>
        <v>View</v>
      </c>
      <c r="P3835" s="7"/>
    </row>
    <row r="3836" spans="1:16">
      <c r="A3836" s="3">
        <v>44537.020358796297</v>
      </c>
      <c r="B3836" s="4" t="str">
        <f>HYPERLINK("https://twitter.com/sergio_fajardo","@sergio_fajardo")</f>
        <v>@sergio_fajardo</v>
      </c>
      <c r="C3836" s="5" t="s">
        <v>16</v>
      </c>
      <c r="D3836" s="5" t="s">
        <v>3855</v>
      </c>
      <c r="E3836" s="6" t="str">
        <f>HYPERLINK("https://twitter.com/sergio_fajardo/status/1467931678282854408","1467931678282854408")</f>
        <v>1467931678282854408</v>
      </c>
      <c r="F3836" s="7" t="s">
        <v>23</v>
      </c>
      <c r="G3836" s="7">
        <v>1601443</v>
      </c>
      <c r="H3836" s="7">
        <v>626</v>
      </c>
      <c r="I3836" s="7">
        <v>0</v>
      </c>
      <c r="J3836" s="7">
        <v>2</v>
      </c>
      <c r="K3836" s="7" t="s">
        <v>18</v>
      </c>
      <c r="L3836" s="8">
        <v>39891.213356481479</v>
      </c>
      <c r="M3836" s="9" t="s">
        <v>19</v>
      </c>
      <c r="N3836" s="9" t="s">
        <v>22</v>
      </c>
      <c r="O3836" s="6" t="str">
        <f>HYPERLINK("https://pbs.twimg.com/profile_images/1433591977631748099/wuGDIimB_normal.jpg","View")</f>
        <v>View</v>
      </c>
      <c r="P3836" s="7"/>
    </row>
    <row r="3837" spans="1:16">
      <c r="A3837" s="3">
        <v>44537.020358796297</v>
      </c>
      <c r="B3837" s="4" t="str">
        <f>HYPERLINK("https://twitter.com/sergio_fajardo","@sergio_fajardo")</f>
        <v>@sergio_fajardo</v>
      </c>
      <c r="C3837" s="5" t="s">
        <v>16</v>
      </c>
      <c r="D3837" s="5" t="s">
        <v>3856</v>
      </c>
      <c r="E3837" s="6" t="str">
        <f>HYPERLINK("https://twitter.com/sergio_fajardo/status/1467931679817977857","1467931679817977857")</f>
        <v>1467931679817977857</v>
      </c>
      <c r="F3837" s="7" t="s">
        <v>23</v>
      </c>
      <c r="G3837" s="7">
        <v>1601443</v>
      </c>
      <c r="H3837" s="7">
        <v>626</v>
      </c>
      <c r="I3837" s="7">
        <v>0</v>
      </c>
      <c r="J3837" s="7">
        <v>2</v>
      </c>
      <c r="K3837" s="7" t="s">
        <v>18</v>
      </c>
      <c r="L3837" s="8">
        <v>39891.213356481479</v>
      </c>
      <c r="M3837" s="9" t="s">
        <v>19</v>
      </c>
      <c r="N3837" s="9" t="s">
        <v>22</v>
      </c>
      <c r="O3837" s="6" t="str">
        <f>HYPERLINK("https://pbs.twimg.com/profile_images/1433591977631748099/wuGDIimB_normal.jpg","View")</f>
        <v>View</v>
      </c>
      <c r="P3837" s="7"/>
    </row>
    <row r="3838" spans="1:16">
      <c r="A3838" s="3">
        <v>44537.020370370374</v>
      </c>
      <c r="B3838" s="4" t="str">
        <f>HYPERLINK("https://twitter.com/sergio_fajardo","@sergio_fajardo")</f>
        <v>@sergio_fajardo</v>
      </c>
      <c r="C3838" s="5" t="s">
        <v>16</v>
      </c>
      <c r="D3838" s="5" t="s">
        <v>3857</v>
      </c>
      <c r="E3838" s="6" t="str">
        <f>HYPERLINK("https://twitter.com/sergio_fajardo/status/1467931681025937411","1467931681025937411")</f>
        <v>1467931681025937411</v>
      </c>
      <c r="F3838" s="7" t="s">
        <v>23</v>
      </c>
      <c r="G3838" s="7">
        <v>1601443</v>
      </c>
      <c r="H3838" s="7">
        <v>626</v>
      </c>
      <c r="I3838" s="7">
        <v>0</v>
      </c>
      <c r="J3838" s="7">
        <v>4</v>
      </c>
      <c r="K3838" s="7" t="s">
        <v>18</v>
      </c>
      <c r="L3838" s="8">
        <v>39891.213356481479</v>
      </c>
      <c r="M3838" s="9" t="s">
        <v>19</v>
      </c>
      <c r="N3838" s="9" t="s">
        <v>22</v>
      </c>
      <c r="O3838" s="6" t="str">
        <f>HYPERLINK("https://pbs.twimg.com/profile_images/1433591977631748099/wuGDIimB_normal.jpg","View")</f>
        <v>View</v>
      </c>
      <c r="P3838" s="7"/>
    </row>
    <row r="3839" spans="1:16">
      <c r="A3839" s="3">
        <v>44537.020370370374</v>
      </c>
      <c r="B3839" s="4" t="str">
        <f>HYPERLINK("https://twitter.com/sergio_fajardo","@sergio_fajardo")</f>
        <v>@sergio_fajardo</v>
      </c>
      <c r="C3839" s="5" t="s">
        <v>16</v>
      </c>
      <c r="D3839" s="5" t="s">
        <v>3858</v>
      </c>
      <c r="E3839" s="6" t="str">
        <f>HYPERLINK("https://twitter.com/sergio_fajardo/status/1467931682997166089","1467931682997166089")</f>
        <v>1467931682997166089</v>
      </c>
      <c r="F3839" s="7" t="s">
        <v>23</v>
      </c>
      <c r="G3839" s="7">
        <v>1601443</v>
      </c>
      <c r="H3839" s="7">
        <v>626</v>
      </c>
      <c r="I3839" s="7">
        <v>0</v>
      </c>
      <c r="J3839" s="7">
        <v>6</v>
      </c>
      <c r="K3839" s="7" t="s">
        <v>18</v>
      </c>
      <c r="L3839" s="8">
        <v>39891.213356481479</v>
      </c>
      <c r="M3839" s="9" t="s">
        <v>19</v>
      </c>
      <c r="N3839" s="9" t="s">
        <v>22</v>
      </c>
      <c r="O3839" s="6" t="str">
        <f>HYPERLINK("https://pbs.twimg.com/profile_images/1433591977631748099/wuGDIimB_normal.jpg","View")</f>
        <v>View</v>
      </c>
      <c r="P3839" s="7"/>
    </row>
    <row r="3840" spans="1:16">
      <c r="A3840" s="3">
        <v>44537.249756944446</v>
      </c>
      <c r="B3840" s="4" t="str">
        <f>HYPERLINK("https://twitter.com/sergio_fajardo","@sergio_fajardo")</f>
        <v>@sergio_fajardo</v>
      </c>
      <c r="C3840" s="5" t="s">
        <v>16</v>
      </c>
      <c r="D3840" s="5" t="s">
        <v>3859</v>
      </c>
      <c r="E3840" s="6" t="str">
        <f>HYPERLINK("https://twitter.com/sergio_fajardo/status/1468014809526513668","1468014809526513668")</f>
        <v>1468014809526513668</v>
      </c>
      <c r="F3840" s="7" t="s">
        <v>17</v>
      </c>
      <c r="G3840" s="7">
        <v>1601454</v>
      </c>
      <c r="H3840" s="7">
        <v>626</v>
      </c>
      <c r="I3840" s="7">
        <v>8</v>
      </c>
      <c r="J3840" s="7">
        <v>36</v>
      </c>
      <c r="K3840" s="7" t="s">
        <v>18</v>
      </c>
      <c r="L3840" s="8">
        <v>39891.213356481479</v>
      </c>
      <c r="M3840" s="9" t="s">
        <v>19</v>
      </c>
      <c r="N3840" s="9" t="s">
        <v>22</v>
      </c>
      <c r="O3840" s="6" t="str">
        <f>HYPERLINK("https://pbs.twimg.com/profile_images/1433591977631748099/wuGDIimB_normal.jpg","View")</f>
        <v>View</v>
      </c>
      <c r="P3840" s="7"/>
    </row>
    <row r="3841" spans="1:16">
      <c r="A3841" s="3">
        <v>44537.7033912037</v>
      </c>
      <c r="B3841" s="4" t="str">
        <f>HYPERLINK("https://twitter.com/sergio_fajardo","@sergio_fajardo")</f>
        <v>@sergio_fajardo</v>
      </c>
      <c r="C3841" s="5" t="s">
        <v>16</v>
      </c>
      <c r="D3841" s="5" t="s">
        <v>3860</v>
      </c>
      <c r="E3841" s="6" t="str">
        <f>HYPERLINK("https://twitter.com/sergio_fajardo/status/1468179201631178756","1468179201631178756")</f>
        <v>1468179201631178756</v>
      </c>
      <c r="F3841" s="7" t="s">
        <v>17</v>
      </c>
      <c r="G3841" s="7">
        <v>1601482</v>
      </c>
      <c r="H3841" s="7">
        <v>626</v>
      </c>
      <c r="I3841" s="7">
        <v>4</v>
      </c>
      <c r="J3841" s="7">
        <v>6</v>
      </c>
      <c r="K3841" s="7" t="s">
        <v>18</v>
      </c>
      <c r="L3841" s="8">
        <v>39891.213356481479</v>
      </c>
      <c r="M3841" s="9" t="s">
        <v>19</v>
      </c>
      <c r="N3841" s="9" t="s">
        <v>22</v>
      </c>
      <c r="O3841" s="6" t="str">
        <f>HYPERLINK("https://pbs.twimg.com/profile_images/1433591977631748099/wuGDIimB_normal.jpg","View")</f>
        <v>View</v>
      </c>
      <c r="P3841" s="7"/>
    </row>
    <row r="3842" spans="1:16">
      <c r="A3842" s="3">
        <v>44537.703784722224</v>
      </c>
      <c r="B3842" s="4" t="str">
        <f>HYPERLINK("https://twitter.com/sergio_fajardo","@sergio_fajardo")</f>
        <v>@sergio_fajardo</v>
      </c>
      <c r="C3842" s="5" t="s">
        <v>16</v>
      </c>
      <c r="D3842" s="5" t="s">
        <v>3861</v>
      </c>
      <c r="E3842" s="6" t="str">
        <f>HYPERLINK("https://twitter.com/sergio_fajardo/status/1468179342513561602","1468179342513561602")</f>
        <v>1468179342513561602</v>
      </c>
      <c r="F3842" s="7" t="s">
        <v>23</v>
      </c>
      <c r="G3842" s="7">
        <v>1601482</v>
      </c>
      <c r="H3842" s="7">
        <v>626</v>
      </c>
      <c r="I3842" s="7">
        <v>3</v>
      </c>
      <c r="J3842" s="7">
        <v>20</v>
      </c>
      <c r="K3842" s="7" t="s">
        <v>18</v>
      </c>
      <c r="L3842" s="8">
        <v>39891.213356481479</v>
      </c>
      <c r="M3842" s="9" t="s">
        <v>19</v>
      </c>
      <c r="N3842" s="9" t="s">
        <v>22</v>
      </c>
      <c r="O3842" s="6" t="str">
        <f>HYPERLINK("https://pbs.twimg.com/profile_images/1433591977631748099/wuGDIimB_normal.jpg","View")</f>
        <v>View</v>
      </c>
      <c r="P3842" s="7"/>
    </row>
    <row r="3843" spans="1:16">
      <c r="A3843" s="3">
        <v>44537.712395833332</v>
      </c>
      <c r="B3843" s="4" t="str">
        <f>HYPERLINK("https://twitter.com/sergio_fajardo","@sergio_fajardo")</f>
        <v>@sergio_fajardo</v>
      </c>
      <c r="C3843" s="5" t="s">
        <v>16</v>
      </c>
      <c r="D3843" s="5" t="s">
        <v>3862</v>
      </c>
      <c r="E3843" s="6" t="str">
        <f>HYPERLINK("https://twitter.com/sergio_fajardo/status/1468182463482527746","1468182463482527746")</f>
        <v>1468182463482527746</v>
      </c>
      <c r="F3843" s="7" t="s">
        <v>17</v>
      </c>
      <c r="G3843" s="7">
        <v>1601488</v>
      </c>
      <c r="H3843" s="7">
        <v>626</v>
      </c>
      <c r="I3843" s="7">
        <v>15</v>
      </c>
      <c r="J3843" s="7">
        <v>59</v>
      </c>
      <c r="K3843" s="7" t="s">
        <v>18</v>
      </c>
      <c r="L3843" s="8">
        <v>39891.213356481479</v>
      </c>
      <c r="M3843" s="9" t="s">
        <v>19</v>
      </c>
      <c r="N3843" s="9" t="s">
        <v>22</v>
      </c>
      <c r="O3843" s="6" t="str">
        <f>HYPERLINK("https://pbs.twimg.com/profile_images/1433591977631748099/wuGDIimB_normal.jpg","View")</f>
        <v>View</v>
      </c>
      <c r="P3843" s="7"/>
    </row>
    <row r="3844" spans="1:16">
      <c r="A3844" s="3">
        <v>44537.719259259262</v>
      </c>
      <c r="B3844" s="4" t="str">
        <f>HYPERLINK("https://twitter.com/sergio_fajardo","@sergio_fajardo")</f>
        <v>@sergio_fajardo</v>
      </c>
      <c r="C3844" s="5" t="s">
        <v>16</v>
      </c>
      <c r="D3844" s="5" t="s">
        <v>3863</v>
      </c>
      <c r="E3844" s="6" t="str">
        <f>HYPERLINK("https://twitter.com/sergio_fajardo/status/1468184951053074434","1468184951053074434")</f>
        <v>1468184951053074434</v>
      </c>
      <c r="F3844" s="7" t="s">
        <v>17</v>
      </c>
      <c r="G3844" s="7">
        <v>1601488</v>
      </c>
      <c r="H3844" s="7">
        <v>626</v>
      </c>
      <c r="I3844" s="7">
        <v>21</v>
      </c>
      <c r="J3844" s="7">
        <v>174</v>
      </c>
      <c r="K3844" s="7" t="s">
        <v>18</v>
      </c>
      <c r="L3844" s="8">
        <v>39891.213356481479</v>
      </c>
      <c r="M3844" s="9" t="s">
        <v>19</v>
      </c>
      <c r="N3844" s="9" t="s">
        <v>22</v>
      </c>
      <c r="O3844" s="6" t="str">
        <f>HYPERLINK("https://pbs.twimg.com/profile_images/1433591977631748099/wuGDIimB_normal.jpg","View")</f>
        <v>View</v>
      </c>
      <c r="P3844" s="7"/>
    </row>
    <row r="3845" spans="1:16">
      <c r="A3845" s="3">
        <v>44537.732465277775</v>
      </c>
      <c r="B3845" s="4" t="str">
        <f>HYPERLINK("https://twitter.com/sergio_fajardo","@sergio_fajardo")</f>
        <v>@sergio_fajardo</v>
      </c>
      <c r="C3845" s="5" t="s">
        <v>16</v>
      </c>
      <c r="D3845" s="5" t="s">
        <v>3864</v>
      </c>
      <c r="E3845" s="6" t="str">
        <f>HYPERLINK("https://twitter.com/sergio_fajardo/status/1468189736942645250","1468189736942645250")</f>
        <v>1468189736942645250</v>
      </c>
      <c r="F3845" s="7" t="s">
        <v>17</v>
      </c>
      <c r="G3845" s="7">
        <v>1601492</v>
      </c>
      <c r="H3845" s="7">
        <v>626</v>
      </c>
      <c r="I3845" s="7">
        <v>1</v>
      </c>
      <c r="J3845" s="7">
        <v>4</v>
      </c>
      <c r="K3845" s="7" t="s">
        <v>18</v>
      </c>
      <c r="L3845" s="8">
        <v>39891.213356481479</v>
      </c>
      <c r="M3845" s="9" t="s">
        <v>19</v>
      </c>
      <c r="N3845" s="9" t="s">
        <v>22</v>
      </c>
      <c r="O3845" s="6" t="str">
        <f>HYPERLINK("https://pbs.twimg.com/profile_images/1433591977631748099/wuGDIimB_normal.jpg","View")</f>
        <v>View</v>
      </c>
      <c r="P3845" s="7"/>
    </row>
    <row r="3846" spans="1:16">
      <c r="A3846" s="3">
        <v>44537.740983796291</v>
      </c>
      <c r="B3846" s="4" t="str">
        <f>HYPERLINK("https://twitter.com/sergio_fajardo","@sergio_fajardo")</f>
        <v>@sergio_fajardo</v>
      </c>
      <c r="C3846" s="5" t="s">
        <v>16</v>
      </c>
      <c r="D3846" s="5" t="s">
        <v>3865</v>
      </c>
      <c r="E3846" s="6" t="str">
        <f>HYPERLINK("https://twitter.com/sergio_fajardo/status/1468192823656783873","1468192823656783873")</f>
        <v>1468192823656783873</v>
      </c>
      <c r="F3846" s="7" t="s">
        <v>17</v>
      </c>
      <c r="G3846" s="7">
        <v>1601492</v>
      </c>
      <c r="H3846" s="7">
        <v>626</v>
      </c>
      <c r="I3846" s="7">
        <v>11</v>
      </c>
      <c r="J3846" s="7">
        <v>41</v>
      </c>
      <c r="K3846" s="7" t="s">
        <v>18</v>
      </c>
      <c r="L3846" s="8">
        <v>39891.213356481479</v>
      </c>
      <c r="M3846" s="9" t="s">
        <v>19</v>
      </c>
      <c r="N3846" s="9" t="s">
        <v>22</v>
      </c>
      <c r="O3846" s="6" t="str">
        <f>HYPERLINK("https://pbs.twimg.com/profile_images/1433591977631748099/wuGDIimB_normal.jpg","View")</f>
        <v>View</v>
      </c>
      <c r="P3846" s="7"/>
    </row>
    <row r="3847" spans="1:16">
      <c r="A3847" s="3">
        <v>44537.741145833337</v>
      </c>
      <c r="B3847" s="4" t="str">
        <f>HYPERLINK("https://twitter.com/sergio_fajardo","@sergio_fajardo")</f>
        <v>@sergio_fajardo</v>
      </c>
      <c r="C3847" s="5" t="s">
        <v>16</v>
      </c>
      <c r="D3847" s="5" t="s">
        <v>3866</v>
      </c>
      <c r="E3847" s="6" t="str">
        <f>HYPERLINK("https://twitter.com/sergio_fajardo/status/1468192883803099137","1468192883803099137")</f>
        <v>1468192883803099137</v>
      </c>
      <c r="F3847" s="7" t="s">
        <v>17</v>
      </c>
      <c r="G3847" s="7">
        <v>1601492</v>
      </c>
      <c r="H3847" s="7">
        <v>626</v>
      </c>
      <c r="I3847" s="7">
        <v>6</v>
      </c>
      <c r="J3847" s="7">
        <v>0</v>
      </c>
      <c r="K3847" s="7" t="s">
        <v>18</v>
      </c>
      <c r="L3847" s="8">
        <v>39891.213356481479</v>
      </c>
      <c r="M3847" s="9" t="s">
        <v>19</v>
      </c>
      <c r="N3847" s="9" t="s">
        <v>22</v>
      </c>
      <c r="O3847" s="6" t="str">
        <f>HYPERLINK("https://pbs.twimg.com/profile_images/1433591977631748099/wuGDIimB_normal.jpg","View")</f>
        <v>View</v>
      </c>
      <c r="P3847" s="7"/>
    </row>
    <row r="3848" spans="1:16">
      <c r="A3848" s="3">
        <v>44537.741273148145</v>
      </c>
      <c r="B3848" s="4" t="str">
        <f>HYPERLINK("https://twitter.com/sergio_fajardo","@sergio_fajardo")</f>
        <v>@sergio_fajardo</v>
      </c>
      <c r="C3848" s="5" t="s">
        <v>16</v>
      </c>
      <c r="D3848" s="5" t="s">
        <v>3867</v>
      </c>
      <c r="E3848" s="6" t="str">
        <f>HYPERLINK("https://twitter.com/sergio_fajardo/status/1468192930355679237","1468192930355679237")</f>
        <v>1468192930355679237</v>
      </c>
      <c r="F3848" s="7" t="s">
        <v>17</v>
      </c>
      <c r="G3848" s="7">
        <v>1601492</v>
      </c>
      <c r="H3848" s="7">
        <v>626</v>
      </c>
      <c r="I3848" s="7">
        <v>3</v>
      </c>
      <c r="J3848" s="7">
        <v>0</v>
      </c>
      <c r="K3848" s="7" t="s">
        <v>18</v>
      </c>
      <c r="L3848" s="8">
        <v>39891.213356481479</v>
      </c>
      <c r="M3848" s="9" t="s">
        <v>19</v>
      </c>
      <c r="N3848" s="9" t="s">
        <v>22</v>
      </c>
      <c r="O3848" s="6" t="str">
        <f>HYPERLINK("https://pbs.twimg.com/profile_images/1433591977631748099/wuGDIimB_normal.jpg","View")</f>
        <v>View</v>
      </c>
      <c r="P3848" s="7"/>
    </row>
    <row r="3849" spans="1:16">
      <c r="A3849" s="3">
        <v>44537.741516203707</v>
      </c>
      <c r="B3849" s="4" t="str">
        <f>HYPERLINK("https://twitter.com/sergio_fajardo","@sergio_fajardo")</f>
        <v>@sergio_fajardo</v>
      </c>
      <c r="C3849" s="5" t="s">
        <v>16</v>
      </c>
      <c r="D3849" s="5" t="s">
        <v>3868</v>
      </c>
      <c r="E3849" s="6" t="str">
        <f>HYPERLINK("https://twitter.com/sergio_fajardo/status/1468193016099844097","1468193016099844097")</f>
        <v>1468193016099844097</v>
      </c>
      <c r="F3849" s="7" t="s">
        <v>17</v>
      </c>
      <c r="G3849" s="7">
        <v>1601492</v>
      </c>
      <c r="H3849" s="7">
        <v>626</v>
      </c>
      <c r="I3849" s="7">
        <v>5</v>
      </c>
      <c r="J3849" s="7">
        <v>0</v>
      </c>
      <c r="K3849" s="7" t="s">
        <v>18</v>
      </c>
      <c r="L3849" s="8">
        <v>39891.213356481479</v>
      </c>
      <c r="M3849" s="9" t="s">
        <v>19</v>
      </c>
      <c r="N3849" s="9" t="s">
        <v>22</v>
      </c>
      <c r="O3849" s="6" t="str">
        <f>HYPERLINK("https://pbs.twimg.com/profile_images/1433591977631748099/wuGDIimB_normal.jpg","View")</f>
        <v>View</v>
      </c>
      <c r="P3849" s="7"/>
    </row>
    <row r="3850" spans="1:16">
      <c r="A3850" s="3">
        <v>44537.752476851849</v>
      </c>
      <c r="B3850" s="4" t="str">
        <f>HYPERLINK("https://twitter.com/sergio_fajardo","@sergio_fajardo")</f>
        <v>@sergio_fajardo</v>
      </c>
      <c r="C3850" s="5" t="s">
        <v>16</v>
      </c>
      <c r="D3850" s="5" t="s">
        <v>3869</v>
      </c>
      <c r="E3850" s="6" t="str">
        <f>HYPERLINK("https://twitter.com/sergio_fajardo/status/1468196988663615489","1468196988663615489")</f>
        <v>1468196988663615489</v>
      </c>
      <c r="F3850" s="7" t="s">
        <v>17</v>
      </c>
      <c r="G3850" s="7">
        <v>1601497</v>
      </c>
      <c r="H3850" s="7">
        <v>626</v>
      </c>
      <c r="I3850" s="7">
        <v>4</v>
      </c>
      <c r="J3850" s="7">
        <v>8</v>
      </c>
      <c r="K3850" s="7" t="s">
        <v>18</v>
      </c>
      <c r="L3850" s="8">
        <v>39891.213356481479</v>
      </c>
      <c r="M3850" s="9" t="s">
        <v>19</v>
      </c>
      <c r="N3850" s="9" t="s">
        <v>22</v>
      </c>
      <c r="O3850" s="6" t="str">
        <f>HYPERLINK("https://pbs.twimg.com/profile_images/1433591977631748099/wuGDIimB_normal.jpg","View")</f>
        <v>View</v>
      </c>
      <c r="P3850" s="7"/>
    </row>
    <row r="3851" spans="1:16">
      <c r="A3851" s="3">
        <v>44537.759710648148</v>
      </c>
      <c r="B3851" s="4" t="str">
        <f>HYPERLINK("https://twitter.com/sergio_fajardo","@sergio_fajardo")</f>
        <v>@sergio_fajardo</v>
      </c>
      <c r="C3851" s="5" t="s">
        <v>16</v>
      </c>
      <c r="D3851" s="5" t="s">
        <v>3870</v>
      </c>
      <c r="E3851" s="6" t="str">
        <f>HYPERLINK("https://twitter.com/sergio_fajardo/status/1468199608442572812","1468199608442572812")</f>
        <v>1468199608442572812</v>
      </c>
      <c r="F3851" s="7" t="s">
        <v>17</v>
      </c>
      <c r="G3851" s="7">
        <v>1601497</v>
      </c>
      <c r="H3851" s="7">
        <v>626</v>
      </c>
      <c r="I3851" s="7">
        <v>4</v>
      </c>
      <c r="J3851" s="7">
        <v>0</v>
      </c>
      <c r="K3851" s="7" t="s">
        <v>18</v>
      </c>
      <c r="L3851" s="8">
        <v>39891.213356481479</v>
      </c>
      <c r="M3851" s="9" t="s">
        <v>19</v>
      </c>
      <c r="N3851" s="9" t="s">
        <v>22</v>
      </c>
      <c r="O3851" s="6" t="str">
        <f>HYPERLINK("https://pbs.twimg.com/profile_images/1433591977631748099/wuGDIimB_normal.jpg","View")</f>
        <v>View</v>
      </c>
      <c r="P3851" s="7"/>
    </row>
    <row r="3852" spans="1:16">
      <c r="A3852" s="3">
        <v>44537.75986111111</v>
      </c>
      <c r="B3852" s="4" t="str">
        <f>HYPERLINK("https://twitter.com/sergio_fajardo","@sergio_fajardo")</f>
        <v>@sergio_fajardo</v>
      </c>
      <c r="C3852" s="5" t="s">
        <v>16</v>
      </c>
      <c r="D3852" s="5" t="s">
        <v>3871</v>
      </c>
      <c r="E3852" s="6" t="str">
        <f>HYPERLINK("https://twitter.com/sergio_fajardo/status/1468199664822497288","1468199664822497288")</f>
        <v>1468199664822497288</v>
      </c>
      <c r="F3852" s="7" t="s">
        <v>17</v>
      </c>
      <c r="G3852" s="7">
        <v>1601497</v>
      </c>
      <c r="H3852" s="7">
        <v>626</v>
      </c>
      <c r="I3852" s="7">
        <v>4</v>
      </c>
      <c r="J3852" s="7">
        <v>0</v>
      </c>
      <c r="K3852" s="7" t="s">
        <v>18</v>
      </c>
      <c r="L3852" s="8">
        <v>39891.213356481479</v>
      </c>
      <c r="M3852" s="9" t="s">
        <v>19</v>
      </c>
      <c r="N3852" s="9" t="s">
        <v>22</v>
      </c>
      <c r="O3852" s="6" t="str">
        <f>HYPERLINK("https://pbs.twimg.com/profile_images/1433591977631748099/wuGDIimB_normal.jpg","View")</f>
        <v>View</v>
      </c>
      <c r="P3852" s="7"/>
    </row>
    <row r="3853" spans="1:16">
      <c r="A3853" s="3">
        <v>44537.803773148145</v>
      </c>
      <c r="B3853" s="4" t="str">
        <f>HYPERLINK("https://twitter.com/sergio_fajardo","@sergio_fajardo")</f>
        <v>@sergio_fajardo</v>
      </c>
      <c r="C3853" s="5" t="s">
        <v>16</v>
      </c>
      <c r="D3853" s="5" t="s">
        <v>3872</v>
      </c>
      <c r="E3853" s="6" t="str">
        <f>HYPERLINK("https://twitter.com/sergio_fajardo/status/1468215577776988160","1468215577776988160")</f>
        <v>1468215577776988160</v>
      </c>
      <c r="F3853" s="7" t="s">
        <v>17</v>
      </c>
      <c r="G3853" s="7">
        <v>1601500</v>
      </c>
      <c r="H3853" s="7">
        <v>626</v>
      </c>
      <c r="I3853" s="7">
        <v>12</v>
      </c>
      <c r="J3853" s="7">
        <v>63</v>
      </c>
      <c r="K3853" s="7" t="s">
        <v>18</v>
      </c>
      <c r="L3853" s="8">
        <v>39891.213356481479</v>
      </c>
      <c r="M3853" s="9" t="s">
        <v>19</v>
      </c>
      <c r="N3853" s="9" t="s">
        <v>22</v>
      </c>
      <c r="O3853" s="6" t="str">
        <f>HYPERLINK("https://pbs.twimg.com/profile_images/1433591977631748099/wuGDIimB_normal.jpg","View")</f>
        <v>View</v>
      </c>
      <c r="P3853" s="7"/>
    </row>
    <row r="3854" spans="1:16">
      <c r="A3854" s="3">
        <v>44537.940775462965</v>
      </c>
      <c r="B3854" s="4" t="str">
        <f>HYPERLINK("https://twitter.com/sergio_fajardo","@sergio_fajardo")</f>
        <v>@sergio_fajardo</v>
      </c>
      <c r="C3854" s="5" t="s">
        <v>16</v>
      </c>
      <c r="D3854" s="5" t="s">
        <v>3873</v>
      </c>
      <c r="E3854" s="6" t="str">
        <f>HYPERLINK("https://twitter.com/sergio_fajardo/status/1468265226571329547","1468265226571329547")</f>
        <v>1468265226571329547</v>
      </c>
      <c r="F3854" s="7" t="s">
        <v>17</v>
      </c>
      <c r="G3854" s="7">
        <v>1601505</v>
      </c>
      <c r="H3854" s="7">
        <v>626</v>
      </c>
      <c r="I3854" s="7">
        <v>6</v>
      </c>
      <c r="J3854" s="7">
        <v>79</v>
      </c>
      <c r="K3854" s="7" t="s">
        <v>18</v>
      </c>
      <c r="L3854" s="8">
        <v>39891.213356481479</v>
      </c>
      <c r="M3854" s="9" t="s">
        <v>19</v>
      </c>
      <c r="N3854" s="9" t="s">
        <v>22</v>
      </c>
      <c r="O3854" s="6" t="str">
        <f>HYPERLINK("https://pbs.twimg.com/profile_images/1433591977631748099/wuGDIimB_normal.jpg","View")</f>
        <v>View</v>
      </c>
      <c r="P3854" s="7"/>
    </row>
    <row r="3855" spans="1:16">
      <c r="A3855" s="3">
        <v>44538.057662037041</v>
      </c>
      <c r="B3855" s="4" t="str">
        <f>HYPERLINK("https://twitter.com/sergio_fajardo","@sergio_fajardo")</f>
        <v>@sergio_fajardo</v>
      </c>
      <c r="C3855" s="5" t="s">
        <v>16</v>
      </c>
      <c r="D3855" s="5" t="s">
        <v>3874</v>
      </c>
      <c r="E3855" s="6" t="str">
        <f>HYPERLINK("https://twitter.com/sergio_fajardo/status/1468307584964874247","1468307584964874247")</f>
        <v>1468307584964874247</v>
      </c>
      <c r="F3855" s="7" t="s">
        <v>17</v>
      </c>
      <c r="G3855" s="7">
        <v>1601521</v>
      </c>
      <c r="H3855" s="7">
        <v>627</v>
      </c>
      <c r="I3855" s="7">
        <v>84</v>
      </c>
      <c r="J3855" s="7">
        <v>482</v>
      </c>
      <c r="K3855" s="7" t="s">
        <v>18</v>
      </c>
      <c r="L3855" s="8">
        <v>39891.213356481479</v>
      </c>
      <c r="M3855" s="9" t="s">
        <v>19</v>
      </c>
      <c r="N3855" s="9" t="s">
        <v>22</v>
      </c>
      <c r="O3855" s="6" t="str">
        <f>HYPERLINK("https://pbs.twimg.com/profile_images/1433591977631748099/wuGDIimB_normal.jpg","View")</f>
        <v>View</v>
      </c>
      <c r="P3855" s="7"/>
    </row>
    <row r="3856" spans="1:16">
      <c r="A3856" s="3">
        <v>44538.1097337963</v>
      </c>
      <c r="B3856" s="4" t="str">
        <f>HYPERLINK("https://twitter.com/sergio_fajardo","@sergio_fajardo")</f>
        <v>@sergio_fajardo</v>
      </c>
      <c r="C3856" s="5" t="s">
        <v>16</v>
      </c>
      <c r="D3856" s="5" t="s">
        <v>3875</v>
      </c>
      <c r="E3856" s="6" t="str">
        <f>HYPERLINK("https://twitter.com/sergio_fajardo/status/1468326454954192896","1468326454954192896")</f>
        <v>1468326454954192896</v>
      </c>
      <c r="F3856" s="7" t="s">
        <v>2329</v>
      </c>
      <c r="G3856" s="7">
        <v>1601525</v>
      </c>
      <c r="H3856" s="7">
        <v>627</v>
      </c>
      <c r="I3856" s="7">
        <v>25</v>
      </c>
      <c r="J3856" s="7">
        <v>51</v>
      </c>
      <c r="K3856" s="7" t="s">
        <v>18</v>
      </c>
      <c r="L3856" s="8">
        <v>39891.213356481479</v>
      </c>
      <c r="M3856" s="9" t="s">
        <v>19</v>
      </c>
      <c r="N3856" s="9" t="s">
        <v>22</v>
      </c>
      <c r="O3856" s="6" t="str">
        <f>HYPERLINK("https://pbs.twimg.com/profile_images/1433591977631748099/wuGDIimB_normal.jpg","View")</f>
        <v>View</v>
      </c>
      <c r="P3856" s="7"/>
    </row>
    <row r="3857" spans="1:16">
      <c r="A3857" s="3">
        <v>44538.138252314813</v>
      </c>
      <c r="B3857" s="4" t="str">
        <f>HYPERLINK("https://twitter.com/sergio_fajardo","@sergio_fajardo")</f>
        <v>@sergio_fajardo</v>
      </c>
      <c r="C3857" s="5" t="s">
        <v>16</v>
      </c>
      <c r="D3857" s="5" t="s">
        <v>3876</v>
      </c>
      <c r="E3857" s="6" t="str">
        <f>HYPERLINK("https://twitter.com/sergio_fajardo/status/1468336789110902784","1468336789110902784")</f>
        <v>1468336789110902784</v>
      </c>
      <c r="F3857" s="7" t="s">
        <v>17</v>
      </c>
      <c r="G3857" s="7">
        <v>1601527</v>
      </c>
      <c r="H3857" s="7">
        <v>627</v>
      </c>
      <c r="I3857" s="7">
        <v>4</v>
      </c>
      <c r="J3857" s="7">
        <v>0</v>
      </c>
      <c r="K3857" s="7" t="s">
        <v>18</v>
      </c>
      <c r="L3857" s="8">
        <v>39891.213356481479</v>
      </c>
      <c r="M3857" s="9" t="s">
        <v>19</v>
      </c>
      <c r="N3857" s="9" t="s">
        <v>22</v>
      </c>
      <c r="O3857" s="6" t="str">
        <f>HYPERLINK("https://pbs.twimg.com/profile_images/1433591977631748099/wuGDIimB_normal.jpg","View")</f>
        <v>View</v>
      </c>
      <c r="P3857" s="7"/>
    </row>
    <row r="3858" spans="1:16">
      <c r="A3858" s="3">
        <v>44538.164548611108</v>
      </c>
      <c r="B3858" s="4" t="str">
        <f>HYPERLINK("https://twitter.com/sergio_fajardo","@sergio_fajardo")</f>
        <v>@sergio_fajardo</v>
      </c>
      <c r="C3858" s="5" t="s">
        <v>16</v>
      </c>
      <c r="D3858" s="5" t="s">
        <v>3877</v>
      </c>
      <c r="E3858" s="6" t="str">
        <f>HYPERLINK("https://twitter.com/sergio_fajardo/status/1468346320385683456","1468346320385683456")</f>
        <v>1468346320385683456</v>
      </c>
      <c r="F3858" s="7" t="s">
        <v>17</v>
      </c>
      <c r="G3858" s="7">
        <v>1601533</v>
      </c>
      <c r="H3858" s="7">
        <v>627</v>
      </c>
      <c r="I3858" s="7">
        <v>7</v>
      </c>
      <c r="J3858" s="7">
        <v>0</v>
      </c>
      <c r="K3858" s="7" t="s">
        <v>18</v>
      </c>
      <c r="L3858" s="8">
        <v>39891.213356481479</v>
      </c>
      <c r="M3858" s="9" t="s">
        <v>19</v>
      </c>
      <c r="N3858" s="9" t="s">
        <v>22</v>
      </c>
      <c r="O3858" s="6" t="str">
        <f>HYPERLINK("https://pbs.twimg.com/profile_images/1433591977631748099/wuGDIimB_normal.jpg","View")</f>
        <v>View</v>
      </c>
      <c r="P3858" s="7"/>
    </row>
    <row r="3859" spans="1:16">
      <c r="A3859" s="3">
        <v>44538.164641203708</v>
      </c>
      <c r="B3859" s="4" t="str">
        <f>HYPERLINK("https://twitter.com/sergio_fajardo","@sergio_fajardo")</f>
        <v>@sergio_fajardo</v>
      </c>
      <c r="C3859" s="5" t="s">
        <v>16</v>
      </c>
      <c r="D3859" s="5" t="s">
        <v>3878</v>
      </c>
      <c r="E3859" s="6" t="str">
        <f>HYPERLINK("https://twitter.com/sergio_fajardo/status/1468346352195276805","1468346352195276805")</f>
        <v>1468346352195276805</v>
      </c>
      <c r="F3859" s="7" t="s">
        <v>17</v>
      </c>
      <c r="G3859" s="7">
        <v>1601533</v>
      </c>
      <c r="H3859" s="7">
        <v>627</v>
      </c>
      <c r="I3859" s="7">
        <v>4</v>
      </c>
      <c r="J3859" s="7">
        <v>0</v>
      </c>
      <c r="K3859" s="7" t="s">
        <v>18</v>
      </c>
      <c r="L3859" s="8">
        <v>39891.213356481479</v>
      </c>
      <c r="M3859" s="9" t="s">
        <v>19</v>
      </c>
      <c r="N3859" s="9" t="s">
        <v>22</v>
      </c>
      <c r="O3859" s="6" t="str">
        <f>HYPERLINK("https://pbs.twimg.com/profile_images/1433591977631748099/wuGDIimB_normal.jpg","View")</f>
        <v>View</v>
      </c>
      <c r="P3859" s="7"/>
    </row>
    <row r="3860" spans="1:16">
      <c r="A3860" s="3">
        <v>44538.923541666663</v>
      </c>
      <c r="B3860" s="4" t="str">
        <f>HYPERLINK("https://twitter.com/sergio_fajardo","@sergio_fajardo")</f>
        <v>@sergio_fajardo</v>
      </c>
      <c r="C3860" s="5" t="s">
        <v>16</v>
      </c>
      <c r="D3860" s="5" t="s">
        <v>3879</v>
      </c>
      <c r="E3860" s="6" t="str">
        <f>HYPERLINK("https://twitter.com/sergio_fajardo/status/1468621368925245453","1468621368925245453")</f>
        <v>1468621368925245453</v>
      </c>
      <c r="F3860" s="7" t="s">
        <v>17</v>
      </c>
      <c r="G3860" s="7">
        <v>1601618</v>
      </c>
      <c r="H3860" s="7">
        <v>628</v>
      </c>
      <c r="I3860" s="7">
        <v>5</v>
      </c>
      <c r="J3860" s="7">
        <v>0</v>
      </c>
      <c r="K3860" s="7" t="s">
        <v>18</v>
      </c>
      <c r="L3860" s="8">
        <v>39891.213356481479</v>
      </c>
      <c r="M3860" s="9" t="s">
        <v>19</v>
      </c>
      <c r="N3860" s="9" t="s">
        <v>22</v>
      </c>
      <c r="O3860" s="6" t="str">
        <f>HYPERLINK("https://pbs.twimg.com/profile_images/1433591977631748099/wuGDIimB_normal.jpg","View")</f>
        <v>View</v>
      </c>
      <c r="P3860" s="7"/>
    </row>
    <row r="3861" spans="1:16">
      <c r="A3861" s="3">
        <v>44538.941388888888</v>
      </c>
      <c r="B3861" s="4" t="str">
        <f>HYPERLINK("https://twitter.com/sergio_fajardo","@sergio_fajardo")</f>
        <v>@sergio_fajardo</v>
      </c>
      <c r="C3861" s="5" t="s">
        <v>16</v>
      </c>
      <c r="D3861" s="5" t="s">
        <v>3880</v>
      </c>
      <c r="E3861" s="6" t="str">
        <f>HYPERLINK("https://twitter.com/sergio_fajardo/status/1468627835455631362","1468627835455631362")</f>
        <v>1468627835455631362</v>
      </c>
      <c r="F3861" s="7" t="s">
        <v>2329</v>
      </c>
      <c r="G3861" s="7">
        <v>1601617</v>
      </c>
      <c r="H3861" s="7">
        <v>628</v>
      </c>
      <c r="I3861" s="7">
        <v>21</v>
      </c>
      <c r="J3861" s="7">
        <v>54</v>
      </c>
      <c r="K3861" s="7" t="s">
        <v>18</v>
      </c>
      <c r="L3861" s="8">
        <v>39891.213356481479</v>
      </c>
      <c r="M3861" s="9" t="s">
        <v>19</v>
      </c>
      <c r="N3861" s="9" t="s">
        <v>22</v>
      </c>
      <c r="O3861" s="6" t="str">
        <f>HYPERLINK("https://pbs.twimg.com/profile_images/1433591977631748099/wuGDIimB_normal.jpg","View")</f>
        <v>View</v>
      </c>
      <c r="P3861" s="7"/>
    </row>
    <row r="3862" spans="1:16">
      <c r="A3862" s="3">
        <v>44539.06251157407</v>
      </c>
      <c r="B3862" s="4" t="str">
        <f>HYPERLINK("https://twitter.com/sergio_fajardo","@sergio_fajardo")</f>
        <v>@sergio_fajardo</v>
      </c>
      <c r="C3862" s="5" t="s">
        <v>16</v>
      </c>
      <c r="D3862" s="5" t="s">
        <v>3881</v>
      </c>
      <c r="E3862" s="6" t="str">
        <f>HYPERLINK("https://twitter.com/sergio_fajardo/status/1468671728951906305","1468671728951906305")</f>
        <v>1468671728951906305</v>
      </c>
      <c r="F3862" s="7" t="s">
        <v>2329</v>
      </c>
      <c r="G3862" s="7">
        <v>1601627</v>
      </c>
      <c r="H3862" s="7">
        <v>628</v>
      </c>
      <c r="I3862" s="7">
        <v>0</v>
      </c>
      <c r="J3862" s="7">
        <v>5</v>
      </c>
      <c r="K3862" s="7" t="s">
        <v>18</v>
      </c>
      <c r="L3862" s="8">
        <v>39891.213356481479</v>
      </c>
      <c r="M3862" s="9" t="s">
        <v>19</v>
      </c>
      <c r="N3862" s="9" t="s">
        <v>22</v>
      </c>
      <c r="O3862" s="6" t="str">
        <f>HYPERLINK("https://pbs.twimg.com/profile_images/1433591977631748099/wuGDIimB_normal.jpg","View")</f>
        <v>View</v>
      </c>
      <c r="P3862" s="7"/>
    </row>
    <row r="3863" spans="1:16">
      <c r="A3863" s="3">
        <v>44539.129189814819</v>
      </c>
      <c r="B3863" s="4" t="str">
        <f>HYPERLINK("https://twitter.com/sergio_fajardo","@sergio_fajardo")</f>
        <v>@sergio_fajardo</v>
      </c>
      <c r="C3863" s="5" t="s">
        <v>16</v>
      </c>
      <c r="D3863" s="5" t="s">
        <v>3882</v>
      </c>
      <c r="E3863" s="6" t="str">
        <f>HYPERLINK("https://twitter.com/sergio_fajardo/status/1468695891586469894","1468695891586469894")</f>
        <v>1468695891586469894</v>
      </c>
      <c r="F3863" s="7" t="s">
        <v>17</v>
      </c>
      <c r="G3863" s="7">
        <v>1601644</v>
      </c>
      <c r="H3863" s="7">
        <v>629</v>
      </c>
      <c r="I3863" s="7">
        <v>6</v>
      </c>
      <c r="J3863" s="7">
        <v>0</v>
      </c>
      <c r="K3863" s="7" t="s">
        <v>18</v>
      </c>
      <c r="L3863" s="8">
        <v>39891.213356481479</v>
      </c>
      <c r="M3863" s="9" t="s">
        <v>19</v>
      </c>
      <c r="N3863" s="9" t="s">
        <v>22</v>
      </c>
      <c r="O3863" s="6" t="str">
        <f>HYPERLINK("https://pbs.twimg.com/profile_images/1433591977631748099/wuGDIimB_normal.jpg","View")</f>
        <v>View</v>
      </c>
      <c r="P3863" s="7"/>
    </row>
    <row r="3864" spans="1:16">
      <c r="A3864" s="3">
        <v>44539.187974537039</v>
      </c>
      <c r="B3864" s="4" t="str">
        <f>HYPERLINK("https://twitter.com/sergio_fajardo","@sergio_fajardo")</f>
        <v>@sergio_fajardo</v>
      </c>
      <c r="C3864" s="5" t="s">
        <v>16</v>
      </c>
      <c r="D3864" s="5" t="s">
        <v>3883</v>
      </c>
      <c r="E3864" s="6" t="str">
        <f>HYPERLINK("https://twitter.com/sergio_fajardo/status/1468717196192976902","1468717196192976902")</f>
        <v>1468717196192976902</v>
      </c>
      <c r="F3864" s="7" t="s">
        <v>17</v>
      </c>
      <c r="G3864" s="7">
        <v>1601649</v>
      </c>
      <c r="H3864" s="7">
        <v>629</v>
      </c>
      <c r="I3864" s="7">
        <v>1</v>
      </c>
      <c r="J3864" s="7">
        <v>3</v>
      </c>
      <c r="K3864" s="7" t="s">
        <v>18</v>
      </c>
      <c r="L3864" s="8">
        <v>39891.213356481479</v>
      </c>
      <c r="M3864" s="9" t="s">
        <v>19</v>
      </c>
      <c r="N3864" s="9" t="s">
        <v>22</v>
      </c>
      <c r="O3864" s="6" t="str">
        <f>HYPERLINK("https://pbs.twimg.com/profile_images/1433591977631748099/wuGDIimB_normal.jpg","View")</f>
        <v>View</v>
      </c>
      <c r="P3864" s="7"/>
    </row>
    <row r="3865" spans="1:16">
      <c r="A3865" s="3">
        <v>44539.199780092589</v>
      </c>
      <c r="B3865" s="4" t="str">
        <f>HYPERLINK("https://twitter.com/sergio_fajardo","@sergio_fajardo")</f>
        <v>@sergio_fajardo</v>
      </c>
      <c r="C3865" s="5" t="s">
        <v>16</v>
      </c>
      <c r="D3865" s="5" t="s">
        <v>3884</v>
      </c>
      <c r="E3865" s="6" t="str">
        <f>HYPERLINK("https://twitter.com/sergio_fajardo/status/1468721472843751427","1468721472843751427")</f>
        <v>1468721472843751427</v>
      </c>
      <c r="F3865" s="7" t="s">
        <v>17</v>
      </c>
      <c r="G3865" s="7">
        <v>1601651</v>
      </c>
      <c r="H3865" s="7">
        <v>629</v>
      </c>
      <c r="I3865" s="7">
        <v>2</v>
      </c>
      <c r="J3865" s="7">
        <v>0</v>
      </c>
      <c r="K3865" s="7" t="s">
        <v>18</v>
      </c>
      <c r="L3865" s="8">
        <v>39891.213356481479</v>
      </c>
      <c r="M3865" s="9" t="s">
        <v>19</v>
      </c>
      <c r="N3865" s="9" t="s">
        <v>22</v>
      </c>
      <c r="O3865" s="6" t="str">
        <f>HYPERLINK("https://pbs.twimg.com/profile_images/1433591977631748099/wuGDIimB_normal.jpg","View")</f>
        <v>View</v>
      </c>
      <c r="P3865" s="7"/>
    </row>
    <row r="3866" spans="1:16">
      <c r="A3866" s="3">
        <v>44539.199930555551</v>
      </c>
      <c r="B3866" s="4" t="str">
        <f>HYPERLINK("https://twitter.com/sergio_fajardo","@sergio_fajardo")</f>
        <v>@sergio_fajardo</v>
      </c>
      <c r="C3866" s="5" t="s">
        <v>16</v>
      </c>
      <c r="D3866" s="5" t="s">
        <v>3885</v>
      </c>
      <c r="E3866" s="6" t="str">
        <f>HYPERLINK("https://twitter.com/sergio_fajardo/status/1468721527294251014","1468721527294251014")</f>
        <v>1468721527294251014</v>
      </c>
      <c r="F3866" s="7" t="s">
        <v>17</v>
      </c>
      <c r="G3866" s="7">
        <v>1601651</v>
      </c>
      <c r="H3866" s="7">
        <v>629</v>
      </c>
      <c r="I3866" s="7">
        <v>5</v>
      </c>
      <c r="J3866" s="7">
        <v>0</v>
      </c>
      <c r="K3866" s="7" t="s">
        <v>18</v>
      </c>
      <c r="L3866" s="8">
        <v>39891.213356481479</v>
      </c>
      <c r="M3866" s="9" t="s">
        <v>19</v>
      </c>
      <c r="N3866" s="9" t="s">
        <v>22</v>
      </c>
      <c r="O3866" s="6" t="str">
        <f>HYPERLINK("https://pbs.twimg.com/profile_images/1433591977631748099/wuGDIimB_normal.jpg","View")</f>
        <v>View</v>
      </c>
      <c r="P3866" s="7"/>
    </row>
    <row r="3867" spans="1:16">
      <c r="A3867" s="3">
        <v>44539.200717592597</v>
      </c>
      <c r="B3867" s="4" t="str">
        <f>HYPERLINK("https://twitter.com/sergio_fajardo","@sergio_fajardo")</f>
        <v>@sergio_fajardo</v>
      </c>
      <c r="C3867" s="5" t="s">
        <v>16</v>
      </c>
      <c r="D3867" s="5" t="s">
        <v>3886</v>
      </c>
      <c r="E3867" s="6" t="str">
        <f>HYPERLINK("https://twitter.com/sergio_fajardo/status/1468721812108423175","1468721812108423175")</f>
        <v>1468721812108423175</v>
      </c>
      <c r="F3867" s="7" t="s">
        <v>17</v>
      </c>
      <c r="G3867" s="7">
        <v>1601651</v>
      </c>
      <c r="H3867" s="7">
        <v>629</v>
      </c>
      <c r="I3867" s="7">
        <v>6</v>
      </c>
      <c r="J3867" s="7">
        <v>0</v>
      </c>
      <c r="K3867" s="7" t="s">
        <v>18</v>
      </c>
      <c r="L3867" s="8">
        <v>39891.213356481479</v>
      </c>
      <c r="M3867" s="9" t="s">
        <v>19</v>
      </c>
      <c r="N3867" s="9" t="s">
        <v>22</v>
      </c>
      <c r="O3867" s="6" t="str">
        <f>HYPERLINK("https://pbs.twimg.com/profile_images/1433591977631748099/wuGDIimB_normal.jpg","View")</f>
        <v>View</v>
      </c>
      <c r="P3867" s="7"/>
    </row>
    <row r="3868" spans="1:16">
      <c r="A3868" s="3">
        <v>44539.206608796296</v>
      </c>
      <c r="B3868" s="4" t="str">
        <f>HYPERLINK("https://twitter.com/sergio_fajardo","@sergio_fajardo")</f>
        <v>@sergio_fajardo</v>
      </c>
      <c r="C3868" s="5" t="s">
        <v>16</v>
      </c>
      <c r="D3868" s="5" t="s">
        <v>3887</v>
      </c>
      <c r="E3868" s="6" t="str">
        <f>HYPERLINK("https://twitter.com/sergio_fajardo/status/1468723946564558850","1468723946564558850")</f>
        <v>1468723946564558850</v>
      </c>
      <c r="F3868" s="7" t="s">
        <v>23</v>
      </c>
      <c r="G3868" s="7">
        <v>1601651</v>
      </c>
      <c r="H3868" s="7">
        <v>629</v>
      </c>
      <c r="I3868" s="7">
        <v>5</v>
      </c>
      <c r="J3868" s="7">
        <v>12</v>
      </c>
      <c r="K3868" s="7" t="s">
        <v>18</v>
      </c>
      <c r="L3868" s="8">
        <v>39891.213356481479</v>
      </c>
      <c r="M3868" s="9" t="s">
        <v>19</v>
      </c>
      <c r="N3868" s="9" t="s">
        <v>22</v>
      </c>
      <c r="O3868" s="6" t="str">
        <f>HYPERLINK("https://pbs.twimg.com/profile_images/1433591977631748099/wuGDIimB_normal.jpg","View")</f>
        <v>View</v>
      </c>
      <c r="P3868" s="7"/>
    </row>
    <row r="3869" spans="1:16">
      <c r="A3869" s="3">
        <v>44539.213738425926</v>
      </c>
      <c r="B3869" s="4" t="str">
        <f>HYPERLINK("https://twitter.com/sergio_fajardo","@sergio_fajardo")</f>
        <v>@sergio_fajardo</v>
      </c>
      <c r="C3869" s="5" t="s">
        <v>16</v>
      </c>
      <c r="D3869" s="5" t="s">
        <v>3888</v>
      </c>
      <c r="E3869" s="6" t="str">
        <f>HYPERLINK("https://twitter.com/sergio_fajardo/status/1468726531019137033","1468726531019137033")</f>
        <v>1468726531019137033</v>
      </c>
      <c r="F3869" s="7" t="s">
        <v>23</v>
      </c>
      <c r="G3869" s="7">
        <v>1601648</v>
      </c>
      <c r="H3869" s="7">
        <v>630</v>
      </c>
      <c r="I3869" s="7">
        <v>5</v>
      </c>
      <c r="J3869" s="7">
        <v>29</v>
      </c>
      <c r="K3869" s="7" t="s">
        <v>18</v>
      </c>
      <c r="L3869" s="8">
        <v>39891.213356481479</v>
      </c>
      <c r="M3869" s="9" t="s">
        <v>19</v>
      </c>
      <c r="N3869" s="9" t="s">
        <v>22</v>
      </c>
      <c r="O3869" s="6" t="str">
        <f>HYPERLINK("https://pbs.twimg.com/profile_images/1433591977631748099/wuGDIimB_normal.jpg","View")</f>
        <v>View</v>
      </c>
      <c r="P3869" s="7"/>
    </row>
    <row r="3870" spans="1:16">
      <c r="A3870" s="3">
        <v>44539.22965277778</v>
      </c>
      <c r="B3870" s="4" t="str">
        <f>HYPERLINK("https://twitter.com/sergio_fajardo","@sergio_fajardo")</f>
        <v>@sergio_fajardo</v>
      </c>
      <c r="C3870" s="5" t="s">
        <v>16</v>
      </c>
      <c r="D3870" s="5" t="s">
        <v>3889</v>
      </c>
      <c r="E3870" s="6" t="str">
        <f>HYPERLINK("https://twitter.com/sergio_fajardo/status/1468732297851588610","1468732297851588610")</f>
        <v>1468732297851588610</v>
      </c>
      <c r="F3870" s="7" t="s">
        <v>2329</v>
      </c>
      <c r="G3870" s="7">
        <v>1601648</v>
      </c>
      <c r="H3870" s="7">
        <v>630</v>
      </c>
      <c r="I3870" s="7">
        <v>1</v>
      </c>
      <c r="J3870" s="7">
        <v>6</v>
      </c>
      <c r="K3870" s="7" t="s">
        <v>18</v>
      </c>
      <c r="L3870" s="8">
        <v>39891.213356481479</v>
      </c>
      <c r="M3870" s="9" t="s">
        <v>19</v>
      </c>
      <c r="N3870" s="9" t="s">
        <v>22</v>
      </c>
      <c r="O3870" s="6" t="str">
        <f>HYPERLINK("https://pbs.twimg.com/profile_images/1433591977631748099/wuGDIimB_normal.jpg","View")</f>
        <v>View</v>
      </c>
      <c r="P3870" s="7"/>
    </row>
    <row r="3871" spans="1:16">
      <c r="A3871" s="3">
        <v>44539.3125</v>
      </c>
      <c r="B3871" s="4" t="str">
        <f>HYPERLINK("https://twitter.com/sergio_fajardo","@sergio_fajardo")</f>
        <v>@sergio_fajardo</v>
      </c>
      <c r="C3871" s="5" t="s">
        <v>16</v>
      </c>
      <c r="D3871" s="5" t="s">
        <v>3890</v>
      </c>
      <c r="E3871" s="6" t="str">
        <f>HYPERLINK("https://twitter.com/sergio_fajardo/status/1468762320553885699","1468762320553885699")</f>
        <v>1468762320553885699</v>
      </c>
      <c r="F3871" s="7" t="s">
        <v>17</v>
      </c>
      <c r="G3871" s="7">
        <v>1601669</v>
      </c>
      <c r="H3871" s="7">
        <v>630</v>
      </c>
      <c r="I3871" s="7">
        <v>27</v>
      </c>
      <c r="J3871" s="7">
        <v>132</v>
      </c>
      <c r="K3871" s="7" t="s">
        <v>18</v>
      </c>
      <c r="L3871" s="8">
        <v>39891.213356481479</v>
      </c>
      <c r="M3871" s="9" t="s">
        <v>19</v>
      </c>
      <c r="N3871" s="9" t="s">
        <v>22</v>
      </c>
      <c r="O3871" s="6" t="str">
        <f>HYPERLINK("https://pbs.twimg.com/profile_images/1433591977631748099/wuGDIimB_normal.jpg","View")</f>
        <v>View</v>
      </c>
      <c r="P3871" s="7"/>
    </row>
    <row r="3872" spans="1:16">
      <c r="A3872" s="3">
        <v>44539.327210648145</v>
      </c>
      <c r="B3872" s="4" t="str">
        <f>HYPERLINK("https://twitter.com/sergio_fajardo","@sergio_fajardo")</f>
        <v>@sergio_fajardo</v>
      </c>
      <c r="C3872" s="5" t="s">
        <v>16</v>
      </c>
      <c r="D3872" s="5" t="s">
        <v>3891</v>
      </c>
      <c r="E3872" s="6" t="str">
        <f>HYPERLINK("https://twitter.com/sergio_fajardo/status/1468767652688666626","1468767652688666626")</f>
        <v>1468767652688666626</v>
      </c>
      <c r="F3872" s="7" t="s">
        <v>17</v>
      </c>
      <c r="G3872" s="7">
        <v>1601669</v>
      </c>
      <c r="H3872" s="7">
        <v>630</v>
      </c>
      <c r="I3872" s="7">
        <v>17</v>
      </c>
      <c r="J3872" s="7">
        <v>0</v>
      </c>
      <c r="K3872" s="7" t="s">
        <v>18</v>
      </c>
      <c r="L3872" s="8">
        <v>39891.213356481479</v>
      </c>
      <c r="M3872" s="9" t="s">
        <v>19</v>
      </c>
      <c r="N3872" s="9" t="s">
        <v>22</v>
      </c>
      <c r="O3872" s="6" t="str">
        <f>HYPERLINK("https://pbs.twimg.com/profile_images/1433591977631748099/wuGDIimB_normal.jpg","View")</f>
        <v>View</v>
      </c>
      <c r="P3872" s="7"/>
    </row>
    <row r="3873" spans="1:16">
      <c r="A3873" s="3">
        <v>44539.729479166665</v>
      </c>
      <c r="B3873" s="4" t="str">
        <f>HYPERLINK("https://twitter.com/sergio_fajardo","@sergio_fajardo")</f>
        <v>@sergio_fajardo</v>
      </c>
      <c r="C3873" s="5" t="s">
        <v>16</v>
      </c>
      <c r="D3873" s="5" t="s">
        <v>3892</v>
      </c>
      <c r="E3873" s="6" t="str">
        <f>HYPERLINK("https://twitter.com/sergio_fajardo/status/1468913429691912201","1468913429691912201")</f>
        <v>1468913429691912201</v>
      </c>
      <c r="F3873" s="7" t="s">
        <v>2329</v>
      </c>
      <c r="G3873" s="7">
        <v>1601710</v>
      </c>
      <c r="H3873" s="7">
        <v>630</v>
      </c>
      <c r="I3873" s="7">
        <v>4</v>
      </c>
      <c r="J3873" s="7">
        <v>9</v>
      </c>
      <c r="K3873" s="7" t="s">
        <v>18</v>
      </c>
      <c r="L3873" s="8">
        <v>39891.213356481479</v>
      </c>
      <c r="M3873" s="9" t="s">
        <v>19</v>
      </c>
      <c r="N3873" s="9" t="s">
        <v>22</v>
      </c>
      <c r="O3873" s="6" t="str">
        <f>HYPERLINK("https://pbs.twimg.com/profile_images/1433591977631748099/wuGDIimB_normal.jpg","View")</f>
        <v>View</v>
      </c>
      <c r="P3873" s="7"/>
    </row>
    <row r="3874" spans="1:16">
      <c r="A3874" s="3">
        <v>44539.750289351854</v>
      </c>
      <c r="B3874" s="4" t="str">
        <f>HYPERLINK("https://twitter.com/sergio_fajardo","@sergio_fajardo")</f>
        <v>@sergio_fajardo</v>
      </c>
      <c r="C3874" s="5" t="s">
        <v>16</v>
      </c>
      <c r="D3874" s="5" t="s">
        <v>3893</v>
      </c>
      <c r="E3874" s="6" t="str">
        <f>HYPERLINK("https://twitter.com/sergio_fajardo/status/1468920972052946946","1468920972052946946")</f>
        <v>1468920972052946946</v>
      </c>
      <c r="F3874" s="7" t="s">
        <v>2329</v>
      </c>
      <c r="G3874" s="7">
        <v>1601718</v>
      </c>
      <c r="H3874" s="7">
        <v>634</v>
      </c>
      <c r="I3874" s="7">
        <v>1</v>
      </c>
      <c r="J3874" s="7">
        <v>14</v>
      </c>
      <c r="K3874" s="7" t="s">
        <v>18</v>
      </c>
      <c r="L3874" s="8">
        <v>39891.213356481479</v>
      </c>
      <c r="M3874" s="9" t="s">
        <v>19</v>
      </c>
      <c r="N3874" s="9" t="s">
        <v>22</v>
      </c>
      <c r="O3874" s="6" t="str">
        <f>HYPERLINK("https://pbs.twimg.com/profile_images/1433591977631748099/wuGDIimB_normal.jpg","View")</f>
        <v>View</v>
      </c>
      <c r="P3874" s="7"/>
    </row>
    <row r="3875" spans="1:16">
      <c r="A3875" s="3">
        <v>44539.762222222227</v>
      </c>
      <c r="B3875" s="4" t="str">
        <f>HYPERLINK("https://twitter.com/sergio_fajardo","@sergio_fajardo")</f>
        <v>@sergio_fajardo</v>
      </c>
      <c r="C3875" s="5" t="s">
        <v>16</v>
      </c>
      <c r="D3875" s="5" t="s">
        <v>3894</v>
      </c>
      <c r="E3875" s="6" t="str">
        <f>HYPERLINK("https://twitter.com/sergio_fajardo/status/1468925296724303873","1468925296724303873")</f>
        <v>1468925296724303873</v>
      </c>
      <c r="F3875" s="7" t="s">
        <v>23</v>
      </c>
      <c r="G3875" s="7">
        <v>1601723</v>
      </c>
      <c r="H3875" s="7">
        <v>634</v>
      </c>
      <c r="I3875" s="7">
        <v>21</v>
      </c>
      <c r="J3875" s="7">
        <v>0</v>
      </c>
      <c r="K3875" s="7" t="s">
        <v>18</v>
      </c>
      <c r="L3875" s="8">
        <v>39891.213356481479</v>
      </c>
      <c r="M3875" s="9" t="s">
        <v>19</v>
      </c>
      <c r="N3875" s="9" t="s">
        <v>22</v>
      </c>
      <c r="O3875" s="6" t="str">
        <f>HYPERLINK("https://pbs.twimg.com/profile_images/1433591977631748099/wuGDIimB_normal.jpg","View")</f>
        <v>View</v>
      </c>
      <c r="P3875" s="7"/>
    </row>
    <row r="3876" spans="1:16">
      <c r="A3876" s="3">
        <v>44539.768182870372</v>
      </c>
      <c r="B3876" s="4" t="str">
        <f>HYPERLINK("https://twitter.com/sergio_fajardo","@sergio_fajardo")</f>
        <v>@sergio_fajardo</v>
      </c>
      <c r="C3876" s="5" t="s">
        <v>16</v>
      </c>
      <c r="D3876" s="5" t="s">
        <v>3895</v>
      </c>
      <c r="E3876" s="6" t="str">
        <f>HYPERLINK("https://twitter.com/sergio_fajardo/status/1468927453829767168","1468927453829767168")</f>
        <v>1468927453829767168</v>
      </c>
      <c r="F3876" s="7" t="s">
        <v>17</v>
      </c>
      <c r="G3876" s="7">
        <v>1601723</v>
      </c>
      <c r="H3876" s="7">
        <v>634</v>
      </c>
      <c r="I3876" s="7">
        <v>9</v>
      </c>
      <c r="J3876" s="7">
        <v>20</v>
      </c>
      <c r="K3876" s="7" t="s">
        <v>18</v>
      </c>
      <c r="L3876" s="8">
        <v>39891.213356481479</v>
      </c>
      <c r="M3876" s="9" t="s">
        <v>19</v>
      </c>
      <c r="N3876" s="9" t="s">
        <v>22</v>
      </c>
      <c r="O3876" s="6" t="str">
        <f>HYPERLINK("https://pbs.twimg.com/profile_images/1433591977631748099/wuGDIimB_normal.jpg","View")</f>
        <v>View</v>
      </c>
      <c r="P3876" s="7"/>
    </row>
    <row r="3877" spans="1:16">
      <c r="A3877" s="3">
        <v>44539.777928240743</v>
      </c>
      <c r="B3877" s="4" t="str">
        <f>HYPERLINK("https://twitter.com/sergio_fajardo","@sergio_fajardo")</f>
        <v>@sergio_fajardo</v>
      </c>
      <c r="C3877" s="5" t="s">
        <v>16</v>
      </c>
      <c r="D3877" s="5" t="s">
        <v>3896</v>
      </c>
      <c r="E3877" s="6" t="str">
        <f>HYPERLINK("https://twitter.com/sergio_fajardo/status/1468930987082096645","1468930987082096645")</f>
        <v>1468930987082096645</v>
      </c>
      <c r="F3877" s="7" t="s">
        <v>2329</v>
      </c>
      <c r="G3877" s="7">
        <v>1601724</v>
      </c>
      <c r="H3877" s="7">
        <v>634</v>
      </c>
      <c r="I3877" s="7">
        <v>8</v>
      </c>
      <c r="J3877" s="7">
        <v>30</v>
      </c>
      <c r="K3877" s="7" t="s">
        <v>18</v>
      </c>
      <c r="L3877" s="8">
        <v>39891.213356481479</v>
      </c>
      <c r="M3877" s="9" t="s">
        <v>19</v>
      </c>
      <c r="N3877" s="9" t="s">
        <v>22</v>
      </c>
      <c r="O3877" s="6" t="str">
        <f>HYPERLINK("https://pbs.twimg.com/profile_images/1433591977631748099/wuGDIimB_normal.jpg","View")</f>
        <v>View</v>
      </c>
      <c r="P3877" s="7"/>
    </row>
    <row r="3878" spans="1:16">
      <c r="A3878" s="3">
        <v>44539.791678240741</v>
      </c>
      <c r="B3878" s="4" t="str">
        <f>HYPERLINK("https://twitter.com/sergio_fajardo","@sergio_fajardo")</f>
        <v>@sergio_fajardo</v>
      </c>
      <c r="C3878" s="5" t="s">
        <v>16</v>
      </c>
      <c r="D3878" s="5" t="s">
        <v>3897</v>
      </c>
      <c r="E3878" s="6" t="str">
        <f>HYPERLINK("https://twitter.com/sergio_fajardo/status/1468935968560451589","1468935968560451589")</f>
        <v>1468935968560451589</v>
      </c>
      <c r="F3878" s="7" t="s">
        <v>2329</v>
      </c>
      <c r="G3878" s="7">
        <v>1601724</v>
      </c>
      <c r="H3878" s="7">
        <v>634</v>
      </c>
      <c r="I3878" s="7">
        <v>5</v>
      </c>
      <c r="J3878" s="7">
        <v>8</v>
      </c>
      <c r="K3878" s="7" t="s">
        <v>18</v>
      </c>
      <c r="L3878" s="8">
        <v>39891.213356481479</v>
      </c>
      <c r="M3878" s="9" t="s">
        <v>19</v>
      </c>
      <c r="N3878" s="9" t="s">
        <v>22</v>
      </c>
      <c r="O3878" s="6" t="str">
        <f>HYPERLINK("https://pbs.twimg.com/profile_images/1433591977631748099/wuGDIimB_normal.jpg","View")</f>
        <v>View</v>
      </c>
      <c r="P3878" s="7"/>
    </row>
    <row r="3879" spans="1:16">
      <c r="A3879" s="3">
        <v>44539.81251157407</v>
      </c>
      <c r="B3879" s="4" t="str">
        <f>HYPERLINK("https://twitter.com/sergio_fajardo","@sergio_fajardo")</f>
        <v>@sergio_fajardo</v>
      </c>
      <c r="C3879" s="5" t="s">
        <v>16</v>
      </c>
      <c r="D3879" s="5" t="s">
        <v>3898</v>
      </c>
      <c r="E3879" s="6" t="str">
        <f>HYPERLINK("https://twitter.com/sergio_fajardo/status/1468943519091867649","1468943519091867649")</f>
        <v>1468943519091867649</v>
      </c>
      <c r="F3879" s="7" t="s">
        <v>2329</v>
      </c>
      <c r="G3879" s="7">
        <v>1601728</v>
      </c>
      <c r="H3879" s="7">
        <v>634</v>
      </c>
      <c r="I3879" s="7">
        <v>2</v>
      </c>
      <c r="J3879" s="7">
        <v>11</v>
      </c>
      <c r="K3879" s="7" t="s">
        <v>18</v>
      </c>
      <c r="L3879" s="8">
        <v>39891.213356481479</v>
      </c>
      <c r="M3879" s="9" t="s">
        <v>19</v>
      </c>
      <c r="N3879" s="9" t="s">
        <v>22</v>
      </c>
      <c r="O3879" s="6" t="str">
        <f>HYPERLINK("https://pbs.twimg.com/profile_images/1433591977631748099/wuGDIimB_normal.jpg","View")</f>
        <v>View</v>
      </c>
      <c r="P3879" s="7"/>
    </row>
    <row r="3880" spans="1:16">
      <c r="A3880" s="3">
        <v>44539.854189814811</v>
      </c>
      <c r="B3880" s="4" t="str">
        <f>HYPERLINK("https://twitter.com/sergio_fajardo","@sergio_fajardo")</f>
        <v>@sergio_fajardo</v>
      </c>
      <c r="C3880" s="5" t="s">
        <v>16</v>
      </c>
      <c r="D3880" s="5" t="s">
        <v>3899</v>
      </c>
      <c r="E3880" s="6" t="str">
        <f>HYPERLINK("https://twitter.com/sergio_fajardo/status/1468958625305563141","1468958625305563141")</f>
        <v>1468958625305563141</v>
      </c>
      <c r="F3880" s="7" t="s">
        <v>2329</v>
      </c>
      <c r="G3880" s="7">
        <v>1601668</v>
      </c>
      <c r="H3880" s="7">
        <v>634</v>
      </c>
      <c r="I3880" s="7">
        <v>3</v>
      </c>
      <c r="J3880" s="7">
        <v>6</v>
      </c>
      <c r="K3880" s="7" t="s">
        <v>18</v>
      </c>
      <c r="L3880" s="8">
        <v>39891.213356481479</v>
      </c>
      <c r="M3880" s="9" t="s">
        <v>19</v>
      </c>
      <c r="N3880" s="9" t="s">
        <v>22</v>
      </c>
      <c r="O3880" s="6" t="str">
        <f>HYPERLINK("https://pbs.twimg.com/profile_images/1433591977631748099/wuGDIimB_normal.jpg","View")</f>
        <v>View</v>
      </c>
      <c r="P3880" s="7"/>
    </row>
    <row r="3881" spans="1:16">
      <c r="A3881" s="3">
        <v>44539.87501157407</v>
      </c>
      <c r="B3881" s="4" t="str">
        <f>HYPERLINK("https://twitter.com/sergio_fajardo","@sergio_fajardo")</f>
        <v>@sergio_fajardo</v>
      </c>
      <c r="C3881" s="5" t="s">
        <v>16</v>
      </c>
      <c r="D3881" s="5" t="s">
        <v>3900</v>
      </c>
      <c r="E3881" s="6" t="str">
        <f>HYPERLINK("https://twitter.com/sergio_fajardo/status/1468966167456927744","1468966167456927744")</f>
        <v>1468966167456927744</v>
      </c>
      <c r="F3881" s="7" t="s">
        <v>2329</v>
      </c>
      <c r="G3881" s="7">
        <v>1601671</v>
      </c>
      <c r="H3881" s="7">
        <v>634</v>
      </c>
      <c r="I3881" s="7">
        <v>3</v>
      </c>
      <c r="J3881" s="7">
        <v>8</v>
      </c>
      <c r="K3881" s="7" t="s">
        <v>18</v>
      </c>
      <c r="L3881" s="8">
        <v>39891.213356481479</v>
      </c>
      <c r="M3881" s="9" t="s">
        <v>19</v>
      </c>
      <c r="N3881" s="9" t="s">
        <v>22</v>
      </c>
      <c r="O3881" s="6" t="str">
        <f>HYPERLINK("https://pbs.twimg.com/profile_images/1433591977631748099/wuGDIimB_normal.jpg","View")</f>
        <v>View</v>
      </c>
      <c r="P3881" s="7"/>
    </row>
    <row r="3882" spans="1:16">
      <c r="A3882" s="3">
        <v>44539.895833333328</v>
      </c>
      <c r="B3882" s="4" t="str">
        <f>HYPERLINK("https://twitter.com/sergio_fajardo","@sergio_fajardo")</f>
        <v>@sergio_fajardo</v>
      </c>
      <c r="C3882" s="5" t="s">
        <v>16</v>
      </c>
      <c r="D3882" s="5" t="s">
        <v>3901</v>
      </c>
      <c r="E3882" s="6" t="str">
        <f>HYPERLINK("https://twitter.com/sergio_fajardo/status/1468973716453445632","1468973716453445632")</f>
        <v>1468973716453445632</v>
      </c>
      <c r="F3882" s="7" t="s">
        <v>2329</v>
      </c>
      <c r="G3882" s="7">
        <v>1601678</v>
      </c>
      <c r="H3882" s="7">
        <v>634</v>
      </c>
      <c r="I3882" s="7">
        <v>1</v>
      </c>
      <c r="J3882" s="7">
        <v>5</v>
      </c>
      <c r="K3882" s="7" t="s">
        <v>18</v>
      </c>
      <c r="L3882" s="8">
        <v>39891.213356481479</v>
      </c>
      <c r="M3882" s="9" t="s">
        <v>19</v>
      </c>
      <c r="N3882" s="9" t="s">
        <v>22</v>
      </c>
      <c r="O3882" s="6" t="str">
        <f>HYPERLINK("https://pbs.twimg.com/profile_images/1433591977631748099/wuGDIimB_normal.jpg","View")</f>
        <v>View</v>
      </c>
      <c r="P3882" s="7"/>
    </row>
    <row r="3883" spans="1:16">
      <c r="A3883" s="3">
        <v>44539.917893518519</v>
      </c>
      <c r="B3883" s="4" t="str">
        <f>HYPERLINK("https://twitter.com/sergio_fajardo","@sergio_fajardo")</f>
        <v>@sergio_fajardo</v>
      </c>
      <c r="C3883" s="5" t="s">
        <v>16</v>
      </c>
      <c r="D3883" s="5" t="s">
        <v>3902</v>
      </c>
      <c r="E3883" s="6" t="str">
        <f>HYPERLINK("https://twitter.com/sergio_fajardo/status/1468981709991563268","1468981709991563268")</f>
        <v>1468981709991563268</v>
      </c>
      <c r="F3883" s="7" t="s">
        <v>2329</v>
      </c>
      <c r="G3883" s="7">
        <v>1601755</v>
      </c>
      <c r="H3883" s="7">
        <v>634</v>
      </c>
      <c r="I3883" s="7">
        <v>0</v>
      </c>
      <c r="J3883" s="7">
        <v>3</v>
      </c>
      <c r="K3883" s="7" t="s">
        <v>18</v>
      </c>
      <c r="L3883" s="8">
        <v>39891.213356481479</v>
      </c>
      <c r="M3883" s="9" t="s">
        <v>19</v>
      </c>
      <c r="N3883" s="9" t="s">
        <v>22</v>
      </c>
      <c r="O3883" s="6" t="str">
        <f>HYPERLINK("https://pbs.twimg.com/profile_images/1433591977631748099/wuGDIimB_normal.jpg","View")</f>
        <v>View</v>
      </c>
      <c r="P3883" s="7"/>
    </row>
    <row r="3884" spans="1:16">
      <c r="A3884" s="3">
        <v>44539.925266203703</v>
      </c>
      <c r="B3884" s="4" t="str">
        <f>HYPERLINK("https://twitter.com/sergio_fajardo","@sergio_fajardo")</f>
        <v>@sergio_fajardo</v>
      </c>
      <c r="C3884" s="5" t="s">
        <v>16</v>
      </c>
      <c r="D3884" s="5" t="s">
        <v>3903</v>
      </c>
      <c r="E3884" s="6" t="str">
        <f>HYPERLINK("https://twitter.com/sergio_fajardo/status/1468984380727169029","1468984380727169029")</f>
        <v>1468984380727169029</v>
      </c>
      <c r="F3884" s="7" t="s">
        <v>17</v>
      </c>
      <c r="G3884" s="7">
        <v>1601754</v>
      </c>
      <c r="H3884" s="7">
        <v>634</v>
      </c>
      <c r="I3884" s="7">
        <v>12</v>
      </c>
      <c r="J3884" s="7">
        <v>79</v>
      </c>
      <c r="K3884" s="7" t="s">
        <v>18</v>
      </c>
      <c r="L3884" s="8">
        <v>39891.213356481479</v>
      </c>
      <c r="M3884" s="9" t="s">
        <v>19</v>
      </c>
      <c r="N3884" s="9" t="s">
        <v>22</v>
      </c>
      <c r="O3884" s="6" t="str">
        <f>HYPERLINK("https://pbs.twimg.com/profile_images/1433591977631748099/wuGDIimB_normal.jpg","View")</f>
        <v>View</v>
      </c>
      <c r="P3884" s="7"/>
    </row>
    <row r="3885" spans="1:16">
      <c r="A3885" s="3">
        <v>44539.939328703702</v>
      </c>
      <c r="B3885" s="4" t="str">
        <f>HYPERLINK("https://twitter.com/sergio_fajardo","@sergio_fajardo")</f>
        <v>@sergio_fajardo</v>
      </c>
      <c r="C3885" s="5" t="s">
        <v>16</v>
      </c>
      <c r="D3885" s="5" t="s">
        <v>3904</v>
      </c>
      <c r="E3885" s="6" t="str">
        <f>HYPERLINK("https://twitter.com/sergio_fajardo/status/1468989478932992006","1468989478932992006")</f>
        <v>1468989478932992006</v>
      </c>
      <c r="F3885" s="7" t="s">
        <v>17</v>
      </c>
      <c r="G3885" s="7">
        <v>1601754</v>
      </c>
      <c r="H3885" s="7">
        <v>634</v>
      </c>
      <c r="I3885" s="7">
        <v>3</v>
      </c>
      <c r="J3885" s="7">
        <v>0</v>
      </c>
      <c r="K3885" s="7" t="s">
        <v>18</v>
      </c>
      <c r="L3885" s="8">
        <v>39891.213356481479</v>
      </c>
      <c r="M3885" s="9" t="s">
        <v>19</v>
      </c>
      <c r="N3885" s="9" t="s">
        <v>22</v>
      </c>
      <c r="O3885" s="6" t="str">
        <f>HYPERLINK("https://pbs.twimg.com/profile_images/1433591977631748099/wuGDIimB_normal.jpg","View")</f>
        <v>View</v>
      </c>
      <c r="P3885" s="7"/>
    </row>
    <row r="3886" spans="1:16">
      <c r="A3886" s="3">
        <v>44539.958333333328</v>
      </c>
      <c r="B3886" s="4" t="str">
        <f>HYPERLINK("https://twitter.com/sergio_fajardo","@sergio_fajardo")</f>
        <v>@sergio_fajardo</v>
      </c>
      <c r="C3886" s="5" t="s">
        <v>16</v>
      </c>
      <c r="D3886" s="5" t="s">
        <v>3905</v>
      </c>
      <c r="E3886" s="6" t="str">
        <f>HYPERLINK("https://twitter.com/sergio_fajardo/status/1468996366051409921","1468996366051409921")</f>
        <v>1468996366051409921</v>
      </c>
      <c r="F3886" s="7" t="s">
        <v>2329</v>
      </c>
      <c r="G3886" s="7">
        <v>1601758</v>
      </c>
      <c r="H3886" s="7">
        <v>634</v>
      </c>
      <c r="I3886" s="7">
        <v>0</v>
      </c>
      <c r="J3886" s="7">
        <v>5</v>
      </c>
      <c r="K3886" s="7" t="s">
        <v>18</v>
      </c>
      <c r="L3886" s="8">
        <v>39891.213356481479</v>
      </c>
      <c r="M3886" s="9" t="s">
        <v>19</v>
      </c>
      <c r="N3886" s="9" t="s">
        <v>22</v>
      </c>
      <c r="O3886" s="6" t="str">
        <f>HYPERLINK("https://pbs.twimg.com/profile_images/1433591977631748099/wuGDIimB_normal.jpg","View")</f>
        <v>View</v>
      </c>
      <c r="P3886" s="7"/>
    </row>
    <row r="3887" spans="1:16">
      <c r="A3887" s="3">
        <v>44540.219641203701</v>
      </c>
      <c r="B3887" s="4" t="str">
        <f>HYPERLINK("https://twitter.com/sergio_fajardo","@sergio_fajardo")</f>
        <v>@sergio_fajardo</v>
      </c>
      <c r="C3887" s="5" t="s">
        <v>16</v>
      </c>
      <c r="D3887" s="5" t="s">
        <v>3906</v>
      </c>
      <c r="E3887" s="6" t="str">
        <f>HYPERLINK("https://twitter.com/sergio_fajardo/status/1469091058592227337","1469091058592227337")</f>
        <v>1469091058592227337</v>
      </c>
      <c r="F3887" s="7" t="s">
        <v>17</v>
      </c>
      <c r="G3887" s="7">
        <v>1601791</v>
      </c>
      <c r="H3887" s="7">
        <v>634</v>
      </c>
      <c r="I3887" s="7">
        <v>19</v>
      </c>
      <c r="J3887" s="7">
        <v>93</v>
      </c>
      <c r="K3887" s="7" t="s">
        <v>18</v>
      </c>
      <c r="L3887" s="8">
        <v>39891.213356481479</v>
      </c>
      <c r="M3887" s="9" t="s">
        <v>19</v>
      </c>
      <c r="N3887" s="9" t="s">
        <v>22</v>
      </c>
      <c r="O3887" s="6" t="str">
        <f>HYPERLINK("https://pbs.twimg.com/profile_images/1433591977631748099/wuGDIimB_normal.jpg","View")</f>
        <v>View</v>
      </c>
      <c r="P3887" s="7"/>
    </row>
    <row r="3888" spans="1:16">
      <c r="A3888" s="3">
        <v>44540.240034722221</v>
      </c>
      <c r="B3888" s="4" t="str">
        <f>HYPERLINK("https://twitter.com/sergio_fajardo","@sergio_fajardo")</f>
        <v>@sergio_fajardo</v>
      </c>
      <c r="C3888" s="5" t="s">
        <v>16</v>
      </c>
      <c r="D3888" s="5" t="s">
        <v>3907</v>
      </c>
      <c r="E3888" s="6" t="str">
        <f>HYPERLINK("https://twitter.com/sergio_fajardo/status/1469098448834248716","1469098448834248716")</f>
        <v>1469098448834248716</v>
      </c>
      <c r="F3888" s="7" t="s">
        <v>17</v>
      </c>
      <c r="G3888" s="7">
        <v>1601768</v>
      </c>
      <c r="H3888" s="7">
        <v>634</v>
      </c>
      <c r="I3888" s="7">
        <v>10</v>
      </c>
      <c r="J3888" s="7">
        <v>0</v>
      </c>
      <c r="K3888" s="7" t="s">
        <v>18</v>
      </c>
      <c r="L3888" s="8">
        <v>39891.213356481479</v>
      </c>
      <c r="M3888" s="9" t="s">
        <v>19</v>
      </c>
      <c r="N3888" s="9" t="s">
        <v>22</v>
      </c>
      <c r="O3888" s="6" t="str">
        <f>HYPERLINK("https://pbs.twimg.com/profile_images/1433591977631748099/wuGDIimB_normal.jpg","View")</f>
        <v>View</v>
      </c>
      <c r="P3888" s="7"/>
    </row>
    <row r="3889" spans="1:16">
      <c r="A3889" s="3">
        <v>44540.240104166667</v>
      </c>
      <c r="B3889" s="4" t="str">
        <f>HYPERLINK("https://twitter.com/sergio_fajardo","@sergio_fajardo")</f>
        <v>@sergio_fajardo</v>
      </c>
      <c r="C3889" s="5" t="s">
        <v>16</v>
      </c>
      <c r="D3889" s="5" t="s">
        <v>3908</v>
      </c>
      <c r="E3889" s="6" t="str">
        <f>HYPERLINK("https://twitter.com/sergio_fajardo/status/1469098473169559554","1469098473169559554")</f>
        <v>1469098473169559554</v>
      </c>
      <c r="F3889" s="7" t="s">
        <v>17</v>
      </c>
      <c r="G3889" s="7">
        <v>1601768</v>
      </c>
      <c r="H3889" s="7">
        <v>634</v>
      </c>
      <c r="I3889" s="7">
        <v>5</v>
      </c>
      <c r="J3889" s="7">
        <v>0</v>
      </c>
      <c r="K3889" s="7" t="s">
        <v>18</v>
      </c>
      <c r="L3889" s="8">
        <v>39891.213356481479</v>
      </c>
      <c r="M3889" s="9" t="s">
        <v>19</v>
      </c>
      <c r="N3889" s="9" t="s">
        <v>22</v>
      </c>
      <c r="O3889" s="6" t="str">
        <f>HYPERLINK("https://pbs.twimg.com/profile_images/1433591977631748099/wuGDIimB_normal.jpg","View")</f>
        <v>View</v>
      </c>
      <c r="P3889" s="7"/>
    </row>
    <row r="3890" spans="1:16">
      <c r="A3890" s="3">
        <v>44540.246527777781</v>
      </c>
      <c r="B3890" s="4" t="str">
        <f>HYPERLINK("https://twitter.com/sergio_fajardo","@sergio_fajardo")</f>
        <v>@sergio_fajardo</v>
      </c>
      <c r="C3890" s="5" t="s">
        <v>16</v>
      </c>
      <c r="D3890" s="5" t="s">
        <v>3909</v>
      </c>
      <c r="E3890" s="6" t="str">
        <f>HYPERLINK("https://twitter.com/sergio_fajardo/status/1469100801570361349","1469100801570361349")</f>
        <v>1469100801570361349</v>
      </c>
      <c r="F3890" s="7" t="s">
        <v>17</v>
      </c>
      <c r="G3890" s="7">
        <v>1601768</v>
      </c>
      <c r="H3890" s="7">
        <v>634</v>
      </c>
      <c r="I3890" s="7">
        <v>8</v>
      </c>
      <c r="J3890" s="7">
        <v>34</v>
      </c>
      <c r="K3890" s="7" t="s">
        <v>18</v>
      </c>
      <c r="L3890" s="8">
        <v>39891.213356481479</v>
      </c>
      <c r="M3890" s="9" t="s">
        <v>19</v>
      </c>
      <c r="N3890" s="9" t="s">
        <v>22</v>
      </c>
      <c r="O3890" s="6" t="str">
        <f>HYPERLINK("https://pbs.twimg.com/profile_images/1433591977631748099/wuGDIimB_normal.jpg","View")</f>
        <v>View</v>
      </c>
      <c r="P3890" s="7"/>
    </row>
    <row r="3891" spans="1:16">
      <c r="A3891" s="3">
        <v>44540.246782407412</v>
      </c>
      <c r="B3891" s="4" t="str">
        <f>HYPERLINK("https://twitter.com/sergio_fajardo","@sergio_fajardo")</f>
        <v>@sergio_fajardo</v>
      </c>
      <c r="C3891" s="5" t="s">
        <v>16</v>
      </c>
      <c r="D3891" s="5" t="s">
        <v>3910</v>
      </c>
      <c r="E3891" s="6" t="str">
        <f>HYPERLINK("https://twitter.com/sergio_fajardo/status/1469100894717415426","1469100894717415426")</f>
        <v>1469100894717415426</v>
      </c>
      <c r="F3891" s="7" t="s">
        <v>17</v>
      </c>
      <c r="G3891" s="7">
        <v>1601768</v>
      </c>
      <c r="H3891" s="7">
        <v>634</v>
      </c>
      <c r="I3891" s="7">
        <v>10</v>
      </c>
      <c r="J3891" s="7">
        <v>0</v>
      </c>
      <c r="K3891" s="7" t="s">
        <v>18</v>
      </c>
      <c r="L3891" s="8">
        <v>39891.213356481479</v>
      </c>
      <c r="M3891" s="9" t="s">
        <v>19</v>
      </c>
      <c r="N3891" s="9" t="s">
        <v>22</v>
      </c>
      <c r="O3891" s="6" t="str">
        <f>HYPERLINK("https://pbs.twimg.com/profile_images/1433591977631748099/wuGDIimB_normal.jpg","View")</f>
        <v>View</v>
      </c>
      <c r="P3891" s="7"/>
    </row>
    <row r="3892" spans="1:16">
      <c r="A3892" s="3">
        <v>44540.261180555557</v>
      </c>
      <c r="B3892" s="4" t="str">
        <f>HYPERLINK("https://twitter.com/sergio_fajardo","@sergio_fajardo")</f>
        <v>@sergio_fajardo</v>
      </c>
      <c r="C3892" s="5" t="s">
        <v>16</v>
      </c>
      <c r="D3892" s="5" t="s">
        <v>3911</v>
      </c>
      <c r="E3892" s="6" t="str">
        <f>HYPERLINK("https://twitter.com/sergio_fajardo/status/1469106110858772480","1469106110858772480")</f>
        <v>1469106110858772480</v>
      </c>
      <c r="F3892" s="7" t="s">
        <v>17</v>
      </c>
      <c r="G3892" s="7">
        <v>1601781</v>
      </c>
      <c r="H3892" s="7">
        <v>634</v>
      </c>
      <c r="I3892" s="7">
        <v>7</v>
      </c>
      <c r="J3892" s="7">
        <v>0</v>
      </c>
      <c r="K3892" s="7" t="s">
        <v>18</v>
      </c>
      <c r="L3892" s="8">
        <v>39891.213356481479</v>
      </c>
      <c r="M3892" s="9" t="s">
        <v>19</v>
      </c>
      <c r="N3892" s="9" t="s">
        <v>22</v>
      </c>
      <c r="O3892" s="6" t="str">
        <f>HYPERLINK("https://pbs.twimg.com/profile_images/1433591977631748099/wuGDIimB_normal.jpg","View")</f>
        <v>View</v>
      </c>
      <c r="P3892" s="7"/>
    </row>
    <row r="3893" spans="1:16">
      <c r="A3893" s="3">
        <v>44540.261736111112</v>
      </c>
      <c r="B3893" s="4" t="str">
        <f>HYPERLINK("https://twitter.com/sergio_fajardo","@sergio_fajardo")</f>
        <v>@sergio_fajardo</v>
      </c>
      <c r="C3893" s="5" t="s">
        <v>16</v>
      </c>
      <c r="D3893" s="5" t="s">
        <v>3912</v>
      </c>
      <c r="E3893" s="6" t="str">
        <f>HYPERLINK("https://twitter.com/sergio_fajardo/status/1469106313162592258","1469106313162592258")</f>
        <v>1469106313162592258</v>
      </c>
      <c r="F3893" s="7" t="s">
        <v>17</v>
      </c>
      <c r="G3893" s="7">
        <v>1601781</v>
      </c>
      <c r="H3893" s="7">
        <v>634</v>
      </c>
      <c r="I3893" s="7">
        <v>8</v>
      </c>
      <c r="J3893" s="7">
        <v>0</v>
      </c>
      <c r="K3893" s="7" t="s">
        <v>18</v>
      </c>
      <c r="L3893" s="8">
        <v>39891.213356481479</v>
      </c>
      <c r="M3893" s="9" t="s">
        <v>19</v>
      </c>
      <c r="N3893" s="9" t="s">
        <v>22</v>
      </c>
      <c r="O3893" s="6" t="str">
        <f>HYPERLINK("https://pbs.twimg.com/profile_images/1433591977631748099/wuGDIimB_normal.jpg","View")</f>
        <v>View</v>
      </c>
      <c r="P3893" s="7"/>
    </row>
    <row r="3894" spans="1:16">
      <c r="A3894" s="3">
        <v>44540.264791666668</v>
      </c>
      <c r="B3894" s="4" t="str">
        <f>HYPERLINK("https://twitter.com/sergio_fajardo","@sergio_fajardo")</f>
        <v>@sergio_fajardo</v>
      </c>
      <c r="C3894" s="5" t="s">
        <v>16</v>
      </c>
      <c r="D3894" s="5" t="s">
        <v>3913</v>
      </c>
      <c r="E3894" s="6" t="str">
        <f>HYPERLINK("https://twitter.com/sergio_fajardo/status/1469107421863895045","1469107421863895045")</f>
        <v>1469107421863895045</v>
      </c>
      <c r="F3894" s="7" t="s">
        <v>17</v>
      </c>
      <c r="G3894" s="7">
        <v>1601781</v>
      </c>
      <c r="H3894" s="7">
        <v>634</v>
      </c>
      <c r="I3894" s="7">
        <v>12</v>
      </c>
      <c r="J3894" s="7">
        <v>0</v>
      </c>
      <c r="K3894" s="7" t="s">
        <v>18</v>
      </c>
      <c r="L3894" s="8">
        <v>39891.213356481479</v>
      </c>
      <c r="M3894" s="9" t="s">
        <v>19</v>
      </c>
      <c r="N3894" s="9" t="s">
        <v>22</v>
      </c>
      <c r="O3894" s="6" t="str">
        <f>HYPERLINK("https://pbs.twimg.com/profile_images/1433591977631748099/wuGDIimB_normal.jpg","View")</f>
        <v>View</v>
      </c>
      <c r="P3894" s="7"/>
    </row>
    <row r="3895" spans="1:16">
      <c r="A3895" s="3">
        <v>44540.266145833331</v>
      </c>
      <c r="B3895" s="4" t="str">
        <f>HYPERLINK("https://twitter.com/sergio_fajardo","@sergio_fajardo")</f>
        <v>@sergio_fajardo</v>
      </c>
      <c r="C3895" s="5" t="s">
        <v>16</v>
      </c>
      <c r="D3895" s="5" t="s">
        <v>3914</v>
      </c>
      <c r="E3895" s="6" t="str">
        <f>HYPERLINK("https://twitter.com/sergio_fajardo/status/1469107911192371206","1469107911192371206")</f>
        <v>1469107911192371206</v>
      </c>
      <c r="F3895" s="7" t="s">
        <v>17</v>
      </c>
      <c r="G3895" s="7">
        <v>1601781</v>
      </c>
      <c r="H3895" s="7">
        <v>634</v>
      </c>
      <c r="I3895" s="7">
        <v>3</v>
      </c>
      <c r="J3895" s="7">
        <v>0</v>
      </c>
      <c r="K3895" s="7" t="s">
        <v>18</v>
      </c>
      <c r="L3895" s="8">
        <v>39891.213356481479</v>
      </c>
      <c r="M3895" s="9" t="s">
        <v>19</v>
      </c>
      <c r="N3895" s="9" t="s">
        <v>22</v>
      </c>
      <c r="O3895" s="6" t="str">
        <f>HYPERLINK("https://pbs.twimg.com/profile_images/1433591977631748099/wuGDIimB_normal.jpg","View")</f>
        <v>View</v>
      </c>
      <c r="P3895" s="7"/>
    </row>
    <row r="3896" spans="1:16">
      <c r="A3896" s="3">
        <v>44540.269629629634</v>
      </c>
      <c r="B3896" s="4" t="str">
        <f>HYPERLINK("https://twitter.com/sergio_fajardo","@sergio_fajardo")</f>
        <v>@sergio_fajardo</v>
      </c>
      <c r="C3896" s="5" t="s">
        <v>16</v>
      </c>
      <c r="D3896" s="5" t="s">
        <v>3915</v>
      </c>
      <c r="E3896" s="6" t="str">
        <f>HYPERLINK("https://twitter.com/sergio_fajardo/status/1469109173732454403","1469109173732454403")</f>
        <v>1469109173732454403</v>
      </c>
      <c r="F3896" s="7" t="s">
        <v>17</v>
      </c>
      <c r="G3896" s="7">
        <v>1601781</v>
      </c>
      <c r="H3896" s="7">
        <v>634</v>
      </c>
      <c r="I3896" s="7">
        <v>9</v>
      </c>
      <c r="J3896" s="7">
        <v>0</v>
      </c>
      <c r="K3896" s="7" t="s">
        <v>18</v>
      </c>
      <c r="L3896" s="8">
        <v>39891.213356481479</v>
      </c>
      <c r="M3896" s="9" t="s">
        <v>19</v>
      </c>
      <c r="N3896" s="9" t="s">
        <v>22</v>
      </c>
      <c r="O3896" s="6" t="str">
        <f>HYPERLINK("https://pbs.twimg.com/profile_images/1433591977631748099/wuGDIimB_normal.jpg","View")</f>
        <v>View</v>
      </c>
      <c r="P3896" s="7"/>
    </row>
    <row r="3897" spans="1:16">
      <c r="A3897" s="3">
        <v>44540.270914351851</v>
      </c>
      <c r="B3897" s="4" t="str">
        <f>HYPERLINK("https://twitter.com/sergio_fajardo","@sergio_fajardo")</f>
        <v>@sergio_fajardo</v>
      </c>
      <c r="C3897" s="5" t="s">
        <v>16</v>
      </c>
      <c r="D3897" s="5" t="s">
        <v>3916</v>
      </c>
      <c r="E3897" s="6" t="str">
        <f>HYPERLINK("https://twitter.com/sergio_fajardo/status/1469109640533364739","1469109640533364739")</f>
        <v>1469109640533364739</v>
      </c>
      <c r="F3897" s="7" t="s">
        <v>17</v>
      </c>
      <c r="G3897" s="7">
        <v>1601781</v>
      </c>
      <c r="H3897" s="7">
        <v>634</v>
      </c>
      <c r="I3897" s="7">
        <v>9</v>
      </c>
      <c r="J3897" s="7">
        <v>29</v>
      </c>
      <c r="K3897" s="7" t="s">
        <v>18</v>
      </c>
      <c r="L3897" s="8">
        <v>39891.213356481479</v>
      </c>
      <c r="M3897" s="9" t="s">
        <v>19</v>
      </c>
      <c r="N3897" s="9" t="s">
        <v>22</v>
      </c>
      <c r="O3897" s="6" t="str">
        <f>HYPERLINK("https://pbs.twimg.com/profile_images/1433591977631748099/wuGDIimB_normal.jpg","View")</f>
        <v>View</v>
      </c>
      <c r="P3897" s="7"/>
    </row>
    <row r="3898" spans="1:16">
      <c r="A3898" s="3">
        <v>44540.27344907407</v>
      </c>
      <c r="B3898" s="4" t="str">
        <f>HYPERLINK("https://twitter.com/sergio_fajardo","@sergio_fajardo")</f>
        <v>@sergio_fajardo</v>
      </c>
      <c r="C3898" s="5" t="s">
        <v>16</v>
      </c>
      <c r="D3898" s="5" t="s">
        <v>3917</v>
      </c>
      <c r="E3898" s="6" t="str">
        <f>HYPERLINK("https://twitter.com/sergio_fajardo/status/1469110557022302208","1469110557022302208")</f>
        <v>1469110557022302208</v>
      </c>
      <c r="F3898" s="7" t="s">
        <v>17</v>
      </c>
      <c r="G3898" s="7">
        <v>1601787</v>
      </c>
      <c r="H3898" s="7">
        <v>634</v>
      </c>
      <c r="I3898" s="7">
        <v>16</v>
      </c>
      <c r="J3898" s="7">
        <v>64</v>
      </c>
      <c r="K3898" s="7" t="s">
        <v>18</v>
      </c>
      <c r="L3898" s="8">
        <v>39891.213356481479</v>
      </c>
      <c r="M3898" s="9" t="s">
        <v>19</v>
      </c>
      <c r="N3898" s="9" t="s">
        <v>22</v>
      </c>
      <c r="O3898" s="6" t="str">
        <f>HYPERLINK("https://pbs.twimg.com/profile_images/1433591977631748099/wuGDIimB_normal.jpg","View")</f>
        <v>View</v>
      </c>
      <c r="P3898" s="7"/>
    </row>
    <row r="3899" spans="1:16">
      <c r="A3899" s="3">
        <v>44540.273969907408</v>
      </c>
      <c r="B3899" s="4" t="str">
        <f>HYPERLINK("https://twitter.com/sergio_fajardo","@sergio_fajardo")</f>
        <v>@sergio_fajardo</v>
      </c>
      <c r="C3899" s="5" t="s">
        <v>16</v>
      </c>
      <c r="D3899" s="5" t="s">
        <v>3918</v>
      </c>
      <c r="E3899" s="6" t="str">
        <f>HYPERLINK("https://twitter.com/sergio_fajardo/status/1469110747926081539","1469110747926081539")</f>
        <v>1469110747926081539</v>
      </c>
      <c r="F3899" s="7" t="s">
        <v>17</v>
      </c>
      <c r="G3899" s="7">
        <v>1601787</v>
      </c>
      <c r="H3899" s="7">
        <v>634</v>
      </c>
      <c r="I3899" s="7">
        <v>9</v>
      </c>
      <c r="J3899" s="7">
        <v>0</v>
      </c>
      <c r="K3899" s="7" t="s">
        <v>18</v>
      </c>
      <c r="L3899" s="8">
        <v>39891.213356481479</v>
      </c>
      <c r="M3899" s="9" t="s">
        <v>19</v>
      </c>
      <c r="N3899" s="9" t="s">
        <v>22</v>
      </c>
      <c r="O3899" s="6" t="str">
        <f>HYPERLINK("https://pbs.twimg.com/profile_images/1433591977631748099/wuGDIimB_normal.jpg","View")</f>
        <v>View</v>
      </c>
      <c r="P3899" s="7"/>
    </row>
    <row r="3900" spans="1:16">
      <c r="A3900" s="3">
        <v>44540.274131944447</v>
      </c>
      <c r="B3900" s="4" t="str">
        <f>HYPERLINK("https://twitter.com/sergio_fajardo","@sergio_fajardo")</f>
        <v>@sergio_fajardo</v>
      </c>
      <c r="C3900" s="5" t="s">
        <v>16</v>
      </c>
      <c r="D3900" s="5" t="s">
        <v>3919</v>
      </c>
      <c r="E3900" s="6" t="str">
        <f>HYPERLINK("https://twitter.com/sergio_fajardo/status/1469110803840344065","1469110803840344065")</f>
        <v>1469110803840344065</v>
      </c>
      <c r="F3900" s="7" t="s">
        <v>17</v>
      </c>
      <c r="G3900" s="7">
        <v>1601787</v>
      </c>
      <c r="H3900" s="7">
        <v>634</v>
      </c>
      <c r="I3900" s="7">
        <v>8</v>
      </c>
      <c r="J3900" s="7">
        <v>0</v>
      </c>
      <c r="K3900" s="7" t="s">
        <v>18</v>
      </c>
      <c r="L3900" s="8">
        <v>39891.213356481479</v>
      </c>
      <c r="M3900" s="9" t="s">
        <v>19</v>
      </c>
      <c r="N3900" s="9" t="s">
        <v>22</v>
      </c>
      <c r="O3900" s="6" t="str">
        <f>HYPERLINK("https://pbs.twimg.com/profile_images/1433591977631748099/wuGDIimB_normal.jpg","View")</f>
        <v>View</v>
      </c>
      <c r="P3900" s="7"/>
    </row>
    <row r="3901" spans="1:16">
      <c r="A3901" s="3">
        <v>44540.274212962962</v>
      </c>
      <c r="B3901" s="4" t="str">
        <f>HYPERLINK("https://twitter.com/sergio_fajardo","@sergio_fajardo")</f>
        <v>@sergio_fajardo</v>
      </c>
      <c r="C3901" s="5" t="s">
        <v>16</v>
      </c>
      <c r="D3901" s="5" t="s">
        <v>3920</v>
      </c>
      <c r="E3901" s="6" t="str">
        <f>HYPERLINK("https://twitter.com/sergio_fajardo/status/1469110833070411778","1469110833070411778")</f>
        <v>1469110833070411778</v>
      </c>
      <c r="F3901" s="7" t="s">
        <v>17</v>
      </c>
      <c r="G3901" s="7">
        <v>1601787</v>
      </c>
      <c r="H3901" s="7">
        <v>634</v>
      </c>
      <c r="I3901" s="7">
        <v>12</v>
      </c>
      <c r="J3901" s="7">
        <v>0</v>
      </c>
      <c r="K3901" s="7" t="s">
        <v>18</v>
      </c>
      <c r="L3901" s="8">
        <v>39891.213356481479</v>
      </c>
      <c r="M3901" s="9" t="s">
        <v>19</v>
      </c>
      <c r="N3901" s="9" t="s">
        <v>22</v>
      </c>
      <c r="O3901" s="6" t="str">
        <f>HYPERLINK("https://pbs.twimg.com/profile_images/1433591977631748099/wuGDIimB_normal.jpg","View")</f>
        <v>View</v>
      </c>
      <c r="P3901" s="7"/>
    </row>
    <row r="3902" spans="1:16">
      <c r="A3902" s="3">
        <v>44540.274317129632</v>
      </c>
      <c r="B3902" s="4" t="str">
        <f>HYPERLINK("https://twitter.com/sergio_fajardo","@sergio_fajardo")</f>
        <v>@sergio_fajardo</v>
      </c>
      <c r="C3902" s="5" t="s">
        <v>16</v>
      </c>
      <c r="D3902" s="5" t="s">
        <v>3921</v>
      </c>
      <c r="E3902" s="6" t="str">
        <f>HYPERLINK("https://twitter.com/sergio_fajardo/status/1469110870751985664","1469110870751985664")</f>
        <v>1469110870751985664</v>
      </c>
      <c r="F3902" s="7" t="s">
        <v>17</v>
      </c>
      <c r="G3902" s="7">
        <v>1601787</v>
      </c>
      <c r="H3902" s="7">
        <v>634</v>
      </c>
      <c r="I3902" s="7">
        <v>9</v>
      </c>
      <c r="J3902" s="7">
        <v>0</v>
      </c>
      <c r="K3902" s="7" t="s">
        <v>18</v>
      </c>
      <c r="L3902" s="8">
        <v>39891.213356481479</v>
      </c>
      <c r="M3902" s="9" t="s">
        <v>19</v>
      </c>
      <c r="N3902" s="9" t="s">
        <v>22</v>
      </c>
      <c r="O3902" s="6" t="str">
        <f>HYPERLINK("https://pbs.twimg.com/profile_images/1433591977631748099/wuGDIimB_normal.jpg","View")</f>
        <v>View</v>
      </c>
      <c r="P3902" s="7"/>
    </row>
    <row r="3903" spans="1:16">
      <c r="A3903" s="3">
        <v>44540.278113425928</v>
      </c>
      <c r="B3903" s="4" t="str">
        <f>HYPERLINK("https://twitter.com/sergio_fajardo","@sergio_fajardo")</f>
        <v>@sergio_fajardo</v>
      </c>
      <c r="C3903" s="5" t="s">
        <v>16</v>
      </c>
      <c r="D3903" s="5" t="s">
        <v>3922</v>
      </c>
      <c r="E3903" s="6" t="str">
        <f>HYPERLINK("https://twitter.com/sergio_fajardo/status/1469112250279546882","1469112250279546882")</f>
        <v>1469112250279546882</v>
      </c>
      <c r="F3903" s="7" t="s">
        <v>23</v>
      </c>
      <c r="G3903" s="7">
        <v>1601787</v>
      </c>
      <c r="H3903" s="7">
        <v>634</v>
      </c>
      <c r="I3903" s="7">
        <v>8</v>
      </c>
      <c r="J3903" s="7">
        <v>0</v>
      </c>
      <c r="K3903" s="7" t="s">
        <v>18</v>
      </c>
      <c r="L3903" s="8">
        <v>39891.213356481479</v>
      </c>
      <c r="M3903" s="9" t="s">
        <v>19</v>
      </c>
      <c r="N3903" s="9" t="s">
        <v>22</v>
      </c>
      <c r="O3903" s="6" t="str">
        <f>HYPERLINK("https://pbs.twimg.com/profile_images/1433591977631748099/wuGDIimB_normal.jpg","View")</f>
        <v>View</v>
      </c>
      <c r="P3903" s="7"/>
    </row>
    <row r="3904" spans="1:16">
      <c r="A3904" s="3">
        <v>44540.278379629628</v>
      </c>
      <c r="B3904" s="4" t="str">
        <f>HYPERLINK("https://twitter.com/sergio_fajardo","@sergio_fajardo")</f>
        <v>@sergio_fajardo</v>
      </c>
      <c r="C3904" s="5" t="s">
        <v>16</v>
      </c>
      <c r="D3904" s="5" t="s">
        <v>3923</v>
      </c>
      <c r="E3904" s="6" t="str">
        <f>HYPERLINK("https://twitter.com/sergio_fajardo/status/1469112343065939970","1469112343065939970")</f>
        <v>1469112343065939970</v>
      </c>
      <c r="F3904" s="7" t="s">
        <v>23</v>
      </c>
      <c r="G3904" s="7">
        <v>1601787</v>
      </c>
      <c r="H3904" s="7">
        <v>634</v>
      </c>
      <c r="I3904" s="7">
        <v>13</v>
      </c>
      <c r="J3904" s="7">
        <v>0</v>
      </c>
      <c r="K3904" s="7" t="s">
        <v>18</v>
      </c>
      <c r="L3904" s="8">
        <v>39891.213356481479</v>
      </c>
      <c r="M3904" s="9" t="s">
        <v>19</v>
      </c>
      <c r="N3904" s="9" t="s">
        <v>22</v>
      </c>
      <c r="O3904" s="6" t="str">
        <f>HYPERLINK("https://pbs.twimg.com/profile_images/1433591977631748099/wuGDIimB_normal.jpg","View")</f>
        <v>View</v>
      </c>
      <c r="P3904" s="7"/>
    </row>
    <row r="3905" spans="1:16">
      <c r="A3905" s="3">
        <v>44540.278483796297</v>
      </c>
      <c r="B3905" s="4" t="str">
        <f>HYPERLINK("https://twitter.com/sergio_fajardo","@sergio_fajardo")</f>
        <v>@sergio_fajardo</v>
      </c>
      <c r="C3905" s="5" t="s">
        <v>16</v>
      </c>
      <c r="D3905" s="5" t="s">
        <v>3924</v>
      </c>
      <c r="E3905" s="6" t="str">
        <f>HYPERLINK("https://twitter.com/sergio_fajardo/status/1469112383532638215","1469112383532638215")</f>
        <v>1469112383532638215</v>
      </c>
      <c r="F3905" s="7" t="s">
        <v>23</v>
      </c>
      <c r="G3905" s="7">
        <v>1601787</v>
      </c>
      <c r="H3905" s="7">
        <v>634</v>
      </c>
      <c r="I3905" s="7">
        <v>5</v>
      </c>
      <c r="J3905" s="7">
        <v>0</v>
      </c>
      <c r="K3905" s="7" t="s">
        <v>18</v>
      </c>
      <c r="L3905" s="8">
        <v>39891.213356481479</v>
      </c>
      <c r="M3905" s="9" t="s">
        <v>19</v>
      </c>
      <c r="N3905" s="9" t="s">
        <v>22</v>
      </c>
      <c r="O3905" s="6" t="str">
        <f>HYPERLINK("https://pbs.twimg.com/profile_images/1433591977631748099/wuGDIimB_normal.jpg","View")</f>
        <v>View</v>
      </c>
      <c r="P3905" s="7"/>
    </row>
    <row r="3906" spans="1:16">
      <c r="A3906" s="3">
        <v>44540.27952546296</v>
      </c>
      <c r="B3906" s="4" t="str">
        <f>HYPERLINK("https://twitter.com/sergio_fajardo","@sergio_fajardo")</f>
        <v>@sergio_fajardo</v>
      </c>
      <c r="C3906" s="5" t="s">
        <v>16</v>
      </c>
      <c r="D3906" s="5" t="s">
        <v>3925</v>
      </c>
      <c r="E3906" s="6" t="str">
        <f>HYPERLINK("https://twitter.com/sergio_fajardo/status/1469112760273362947","1469112760273362947")</f>
        <v>1469112760273362947</v>
      </c>
      <c r="F3906" s="7" t="s">
        <v>23</v>
      </c>
      <c r="G3906" s="7">
        <v>1601787</v>
      </c>
      <c r="H3906" s="7">
        <v>634</v>
      </c>
      <c r="I3906" s="7">
        <v>8</v>
      </c>
      <c r="J3906" s="7">
        <v>0</v>
      </c>
      <c r="K3906" s="7" t="s">
        <v>18</v>
      </c>
      <c r="L3906" s="8">
        <v>39891.213356481479</v>
      </c>
      <c r="M3906" s="9" t="s">
        <v>19</v>
      </c>
      <c r="N3906" s="9" t="s">
        <v>22</v>
      </c>
      <c r="O3906" s="6" t="str">
        <f>HYPERLINK("https://pbs.twimg.com/profile_images/1433591977631748099/wuGDIimB_normal.jpg","View")</f>
        <v>View</v>
      </c>
      <c r="P3906" s="7"/>
    </row>
    <row r="3907" spans="1:16">
      <c r="A3907" s="3">
        <v>44540.28230324074</v>
      </c>
      <c r="B3907" s="4" t="str">
        <f>HYPERLINK("https://twitter.com/sergio_fajardo","@sergio_fajardo")</f>
        <v>@sergio_fajardo</v>
      </c>
      <c r="C3907" s="5" t="s">
        <v>16</v>
      </c>
      <c r="D3907" s="5" t="s">
        <v>3926</v>
      </c>
      <c r="E3907" s="6" t="str">
        <f>HYPERLINK("https://twitter.com/sergio_fajardo/status/1469113768600875008","1469113768600875008")</f>
        <v>1469113768600875008</v>
      </c>
      <c r="F3907" s="7" t="s">
        <v>23</v>
      </c>
      <c r="G3907" s="7">
        <v>1601787</v>
      </c>
      <c r="H3907" s="7">
        <v>634</v>
      </c>
      <c r="I3907" s="7">
        <v>5</v>
      </c>
      <c r="J3907" s="7">
        <v>0</v>
      </c>
      <c r="K3907" s="7" t="s">
        <v>18</v>
      </c>
      <c r="L3907" s="8">
        <v>39891.213356481479</v>
      </c>
      <c r="M3907" s="9" t="s">
        <v>19</v>
      </c>
      <c r="N3907" s="9" t="s">
        <v>22</v>
      </c>
      <c r="O3907" s="6" t="str">
        <f>HYPERLINK("https://pbs.twimg.com/profile_images/1433591977631748099/wuGDIimB_normal.jpg","View")</f>
        <v>View</v>
      </c>
      <c r="P3907" s="7"/>
    </row>
    <row r="3908" spans="1:16">
      <c r="A3908" s="3">
        <v>44540.282407407409</v>
      </c>
      <c r="B3908" s="4" t="str">
        <f>HYPERLINK("https://twitter.com/sergio_fajardo","@sergio_fajardo")</f>
        <v>@sergio_fajardo</v>
      </c>
      <c r="C3908" s="5" t="s">
        <v>16</v>
      </c>
      <c r="D3908" s="5" t="s">
        <v>3927</v>
      </c>
      <c r="E3908" s="6" t="str">
        <f>HYPERLINK("https://twitter.com/sergio_fajardo/status/1469113804747325441","1469113804747325441")</f>
        <v>1469113804747325441</v>
      </c>
      <c r="F3908" s="7" t="s">
        <v>23</v>
      </c>
      <c r="G3908" s="7">
        <v>1601787</v>
      </c>
      <c r="H3908" s="7">
        <v>634</v>
      </c>
      <c r="I3908" s="7">
        <v>2</v>
      </c>
      <c r="J3908" s="7">
        <v>0</v>
      </c>
      <c r="K3908" s="7" t="s">
        <v>18</v>
      </c>
      <c r="L3908" s="8">
        <v>39891.213356481479</v>
      </c>
      <c r="M3908" s="9" t="s">
        <v>19</v>
      </c>
      <c r="N3908" s="9" t="s">
        <v>22</v>
      </c>
      <c r="O3908" s="6" t="str">
        <f>HYPERLINK("https://pbs.twimg.com/profile_images/1433591977631748099/wuGDIimB_normal.jpg","View")</f>
        <v>View</v>
      </c>
      <c r="P3908" s="7"/>
    </row>
    <row r="3909" spans="1:16">
      <c r="A3909" s="3">
        <v>44540.282581018517</v>
      </c>
      <c r="B3909" s="4" t="str">
        <f>HYPERLINK("https://twitter.com/sergio_fajardo","@sergio_fajardo")</f>
        <v>@sergio_fajardo</v>
      </c>
      <c r="C3909" s="5" t="s">
        <v>16</v>
      </c>
      <c r="D3909" s="5" t="s">
        <v>3928</v>
      </c>
      <c r="E3909" s="6" t="str">
        <f>HYPERLINK("https://twitter.com/sergio_fajardo/status/1469113867024445440","1469113867024445440")</f>
        <v>1469113867024445440</v>
      </c>
      <c r="F3909" s="7" t="s">
        <v>23</v>
      </c>
      <c r="G3909" s="7">
        <v>1601787</v>
      </c>
      <c r="H3909" s="7">
        <v>634</v>
      </c>
      <c r="I3909" s="7">
        <v>6</v>
      </c>
      <c r="J3909" s="7">
        <v>0</v>
      </c>
      <c r="K3909" s="7" t="s">
        <v>18</v>
      </c>
      <c r="L3909" s="8">
        <v>39891.213356481479</v>
      </c>
      <c r="M3909" s="9" t="s">
        <v>19</v>
      </c>
      <c r="N3909" s="9" t="s">
        <v>22</v>
      </c>
      <c r="O3909" s="6" t="str">
        <f>HYPERLINK("https://pbs.twimg.com/profile_images/1433591977631748099/wuGDIimB_normal.jpg","View")</f>
        <v>View</v>
      </c>
      <c r="P3909" s="7"/>
    </row>
    <row r="3910" spans="1:16">
      <c r="A3910" s="3">
        <v>44540.283287037033</v>
      </c>
      <c r="B3910" s="4" t="str">
        <f>HYPERLINK("https://twitter.com/sergio_fajardo","@sergio_fajardo")</f>
        <v>@sergio_fajardo</v>
      </c>
      <c r="C3910" s="5" t="s">
        <v>16</v>
      </c>
      <c r="D3910" s="5" t="s">
        <v>3929</v>
      </c>
      <c r="E3910" s="6" t="str">
        <f>HYPERLINK("https://twitter.com/sergio_fajardo/status/1469114122554036230","1469114122554036230")</f>
        <v>1469114122554036230</v>
      </c>
      <c r="F3910" s="7" t="s">
        <v>17</v>
      </c>
      <c r="G3910" s="7">
        <v>1601787</v>
      </c>
      <c r="H3910" s="7">
        <v>634</v>
      </c>
      <c r="I3910" s="7">
        <v>3</v>
      </c>
      <c r="J3910" s="7">
        <v>0</v>
      </c>
      <c r="K3910" s="7" t="s">
        <v>18</v>
      </c>
      <c r="L3910" s="8">
        <v>39891.213356481479</v>
      </c>
      <c r="M3910" s="9" t="s">
        <v>19</v>
      </c>
      <c r="N3910" s="9" t="s">
        <v>22</v>
      </c>
      <c r="O3910" s="6" t="str">
        <f>HYPERLINK("https://pbs.twimg.com/profile_images/1433591977631748099/wuGDIimB_normal.jpg","View")</f>
        <v>View</v>
      </c>
      <c r="P3910" s="7"/>
    </row>
    <row r="3911" spans="1:16">
      <c r="A3911" s="3">
        <v>44540.285150462965</v>
      </c>
      <c r="B3911" s="4" t="str">
        <f>HYPERLINK("https://twitter.com/sergio_fajardo","@sergio_fajardo")</f>
        <v>@sergio_fajardo</v>
      </c>
      <c r="C3911" s="5" t="s">
        <v>16</v>
      </c>
      <c r="D3911" s="5" t="s">
        <v>3930</v>
      </c>
      <c r="E3911" s="6" t="str">
        <f>HYPERLINK("https://twitter.com/sergio_fajardo/status/1469114799493726210","1469114799493726210")</f>
        <v>1469114799493726210</v>
      </c>
      <c r="F3911" s="7" t="s">
        <v>23</v>
      </c>
      <c r="G3911" s="7">
        <v>1601787</v>
      </c>
      <c r="H3911" s="7">
        <v>634</v>
      </c>
      <c r="I3911" s="7">
        <v>5</v>
      </c>
      <c r="J3911" s="7">
        <v>0</v>
      </c>
      <c r="K3911" s="7" t="s">
        <v>18</v>
      </c>
      <c r="L3911" s="8">
        <v>39891.213356481479</v>
      </c>
      <c r="M3911" s="9" t="s">
        <v>19</v>
      </c>
      <c r="N3911" s="9" t="s">
        <v>22</v>
      </c>
      <c r="O3911" s="6" t="str">
        <f>HYPERLINK("https://pbs.twimg.com/profile_images/1433591977631748099/wuGDIimB_normal.jpg","View")</f>
        <v>View</v>
      </c>
      <c r="P3911" s="7"/>
    </row>
    <row r="3912" spans="1:16">
      <c r="A3912" s="3">
        <v>44540.285810185189</v>
      </c>
      <c r="B3912" s="4" t="str">
        <f>HYPERLINK("https://twitter.com/sergio_fajardo","@sergio_fajardo")</f>
        <v>@sergio_fajardo</v>
      </c>
      <c r="C3912" s="5" t="s">
        <v>16</v>
      </c>
      <c r="D3912" s="5" t="s">
        <v>3931</v>
      </c>
      <c r="E3912" s="6" t="str">
        <f>HYPERLINK("https://twitter.com/sergio_fajardo/status/1469115039374262273","1469115039374262273")</f>
        <v>1469115039374262273</v>
      </c>
      <c r="F3912" s="7" t="s">
        <v>23</v>
      </c>
      <c r="G3912" s="7">
        <v>1601787</v>
      </c>
      <c r="H3912" s="7">
        <v>634</v>
      </c>
      <c r="I3912" s="7">
        <v>26</v>
      </c>
      <c r="J3912" s="7">
        <v>0</v>
      </c>
      <c r="K3912" s="7" t="s">
        <v>18</v>
      </c>
      <c r="L3912" s="8">
        <v>39891.213356481479</v>
      </c>
      <c r="M3912" s="9" t="s">
        <v>19</v>
      </c>
      <c r="N3912" s="9" t="s">
        <v>22</v>
      </c>
      <c r="O3912" s="6" t="str">
        <f>HYPERLINK("https://pbs.twimg.com/profile_images/1433591977631748099/wuGDIimB_normal.jpg","View")</f>
        <v>View</v>
      </c>
      <c r="P3912" s="7"/>
    </row>
    <row r="3913" spans="1:16">
      <c r="A3913" s="3">
        <v>44540.285983796297</v>
      </c>
      <c r="B3913" s="4" t="str">
        <f>HYPERLINK("https://twitter.com/sergio_fajardo","@sergio_fajardo")</f>
        <v>@sergio_fajardo</v>
      </c>
      <c r="C3913" s="5" t="s">
        <v>16</v>
      </c>
      <c r="D3913" s="5" t="s">
        <v>3932</v>
      </c>
      <c r="E3913" s="6" t="str">
        <f>HYPERLINK("https://twitter.com/sergio_fajardo/status/1469115102263754754","1469115102263754754")</f>
        <v>1469115102263754754</v>
      </c>
      <c r="F3913" s="7" t="s">
        <v>23</v>
      </c>
      <c r="G3913" s="7">
        <v>1601787</v>
      </c>
      <c r="H3913" s="7">
        <v>634</v>
      </c>
      <c r="I3913" s="7">
        <v>3</v>
      </c>
      <c r="J3913" s="7">
        <v>0</v>
      </c>
      <c r="K3913" s="7" t="s">
        <v>18</v>
      </c>
      <c r="L3913" s="8">
        <v>39891.213356481479</v>
      </c>
      <c r="M3913" s="9" t="s">
        <v>19</v>
      </c>
      <c r="N3913" s="9" t="s">
        <v>22</v>
      </c>
      <c r="O3913" s="6" t="str">
        <f>HYPERLINK("https://pbs.twimg.com/profile_images/1433591977631748099/wuGDIimB_normal.jpg","View")</f>
        <v>View</v>
      </c>
      <c r="P3913" s="7"/>
    </row>
    <row r="3914" spans="1:16">
      <c r="A3914" s="3">
        <v>44540.289247685185</v>
      </c>
      <c r="B3914" s="4" t="str">
        <f>HYPERLINK("https://twitter.com/sergio_fajardo","@sergio_fajardo")</f>
        <v>@sergio_fajardo</v>
      </c>
      <c r="C3914" s="5" t="s">
        <v>16</v>
      </c>
      <c r="D3914" s="5" t="s">
        <v>3933</v>
      </c>
      <c r="E3914" s="6" t="str">
        <f>HYPERLINK("https://twitter.com/sergio_fajardo/status/1469116285351043074","1469116285351043074")</f>
        <v>1469116285351043074</v>
      </c>
      <c r="F3914" s="7" t="s">
        <v>23</v>
      </c>
      <c r="G3914" s="7">
        <v>1601787</v>
      </c>
      <c r="H3914" s="7">
        <v>634</v>
      </c>
      <c r="I3914" s="7">
        <v>4</v>
      </c>
      <c r="J3914" s="7">
        <v>0</v>
      </c>
      <c r="K3914" s="7" t="s">
        <v>18</v>
      </c>
      <c r="L3914" s="8">
        <v>39891.213356481479</v>
      </c>
      <c r="M3914" s="9" t="s">
        <v>19</v>
      </c>
      <c r="N3914" s="9" t="s">
        <v>22</v>
      </c>
      <c r="O3914" s="6" t="str">
        <f>HYPERLINK("https://pbs.twimg.com/profile_images/1433591977631748099/wuGDIimB_normal.jpg","View")</f>
        <v>View</v>
      </c>
      <c r="P3914" s="7"/>
    </row>
    <row r="3915" spans="1:16">
      <c r="A3915" s="3">
        <v>44540.2893287037</v>
      </c>
      <c r="B3915" s="4" t="str">
        <f>HYPERLINK("https://twitter.com/sergio_fajardo","@sergio_fajardo")</f>
        <v>@sergio_fajardo</v>
      </c>
      <c r="C3915" s="5" t="s">
        <v>16</v>
      </c>
      <c r="D3915" s="5" t="s">
        <v>3934</v>
      </c>
      <c r="E3915" s="6" t="str">
        <f>HYPERLINK("https://twitter.com/sergio_fajardo/status/1469116312160976902","1469116312160976902")</f>
        <v>1469116312160976902</v>
      </c>
      <c r="F3915" s="7" t="s">
        <v>23</v>
      </c>
      <c r="G3915" s="7">
        <v>1601787</v>
      </c>
      <c r="H3915" s="7">
        <v>634</v>
      </c>
      <c r="I3915" s="7">
        <v>3</v>
      </c>
      <c r="J3915" s="7">
        <v>0</v>
      </c>
      <c r="K3915" s="7" t="s">
        <v>18</v>
      </c>
      <c r="L3915" s="8">
        <v>39891.213356481479</v>
      </c>
      <c r="M3915" s="9" t="s">
        <v>19</v>
      </c>
      <c r="N3915" s="9" t="s">
        <v>22</v>
      </c>
      <c r="O3915" s="6" t="str">
        <f>HYPERLINK("https://pbs.twimg.com/profile_images/1433591977631748099/wuGDIimB_normal.jpg","View")</f>
        <v>View</v>
      </c>
      <c r="P3915" s="7"/>
    </row>
    <row r="3916" spans="1:16">
      <c r="A3916" s="3">
        <v>44540.29314814815</v>
      </c>
      <c r="B3916" s="4" t="str">
        <f>HYPERLINK("https://twitter.com/sergio_fajardo","@sergio_fajardo")</f>
        <v>@sergio_fajardo</v>
      </c>
      <c r="C3916" s="5" t="s">
        <v>16</v>
      </c>
      <c r="D3916" s="5" t="s">
        <v>3935</v>
      </c>
      <c r="E3916" s="6" t="str">
        <f>HYPERLINK("https://twitter.com/sergio_fajardo/status/1469117698525310977","1469117698525310977")</f>
        <v>1469117698525310977</v>
      </c>
      <c r="F3916" s="7" t="s">
        <v>23</v>
      </c>
      <c r="G3916" s="7">
        <v>1601787</v>
      </c>
      <c r="H3916" s="7">
        <v>634</v>
      </c>
      <c r="I3916" s="7">
        <v>2</v>
      </c>
      <c r="J3916" s="7">
        <v>0</v>
      </c>
      <c r="K3916" s="7" t="s">
        <v>18</v>
      </c>
      <c r="L3916" s="8">
        <v>39891.213356481479</v>
      </c>
      <c r="M3916" s="9" t="s">
        <v>19</v>
      </c>
      <c r="N3916" s="9" t="s">
        <v>22</v>
      </c>
      <c r="O3916" s="6" t="str">
        <f>HYPERLINK("https://pbs.twimg.com/profile_images/1433591977631748099/wuGDIimB_normal.jpg","View")</f>
        <v>View</v>
      </c>
      <c r="P3916" s="7"/>
    </row>
    <row r="3917" spans="1:16">
      <c r="A3917" s="3">
        <v>44540.293194444443</v>
      </c>
      <c r="B3917" s="4" t="str">
        <f>HYPERLINK("https://twitter.com/sergio_fajardo","@sergio_fajardo")</f>
        <v>@sergio_fajardo</v>
      </c>
      <c r="C3917" s="5" t="s">
        <v>16</v>
      </c>
      <c r="D3917" s="5" t="s">
        <v>3936</v>
      </c>
      <c r="E3917" s="6" t="str">
        <f>HYPERLINK("https://twitter.com/sergio_fajardo/status/1469117713012469761","1469117713012469761")</f>
        <v>1469117713012469761</v>
      </c>
      <c r="F3917" s="7" t="s">
        <v>23</v>
      </c>
      <c r="G3917" s="7">
        <v>1601787</v>
      </c>
      <c r="H3917" s="7">
        <v>634</v>
      </c>
      <c r="I3917" s="7">
        <v>1</v>
      </c>
      <c r="J3917" s="7">
        <v>0</v>
      </c>
      <c r="K3917" s="7" t="s">
        <v>18</v>
      </c>
      <c r="L3917" s="8">
        <v>39891.213356481479</v>
      </c>
      <c r="M3917" s="9" t="s">
        <v>19</v>
      </c>
      <c r="N3917" s="9" t="s">
        <v>22</v>
      </c>
      <c r="O3917" s="6" t="str">
        <f>HYPERLINK("https://pbs.twimg.com/profile_images/1433591977631748099/wuGDIimB_normal.jpg","View")</f>
        <v>View</v>
      </c>
      <c r="P3917" s="7"/>
    </row>
    <row r="3918" spans="1:16">
      <c r="A3918" s="3">
        <v>44540.294027777782</v>
      </c>
      <c r="B3918" s="4" t="str">
        <f>HYPERLINK("https://twitter.com/sergio_fajardo","@sergio_fajardo")</f>
        <v>@sergio_fajardo</v>
      </c>
      <c r="C3918" s="5" t="s">
        <v>16</v>
      </c>
      <c r="D3918" s="5" t="s">
        <v>3937</v>
      </c>
      <c r="E3918" s="6" t="str">
        <f>HYPERLINK("https://twitter.com/sergio_fajardo/status/1469118014238994440","1469118014238994440")</f>
        <v>1469118014238994440</v>
      </c>
      <c r="F3918" s="7" t="s">
        <v>17</v>
      </c>
      <c r="G3918" s="7">
        <v>1601791</v>
      </c>
      <c r="H3918" s="7">
        <v>635</v>
      </c>
      <c r="I3918" s="7">
        <v>7</v>
      </c>
      <c r="J3918" s="7">
        <v>0</v>
      </c>
      <c r="K3918" s="7" t="s">
        <v>18</v>
      </c>
      <c r="L3918" s="8">
        <v>39891.213356481479</v>
      </c>
      <c r="M3918" s="9" t="s">
        <v>19</v>
      </c>
      <c r="N3918" s="9" t="s">
        <v>22</v>
      </c>
      <c r="O3918" s="6" t="str">
        <f>HYPERLINK("https://pbs.twimg.com/profile_images/1433591977631748099/wuGDIimB_normal.jpg","View")</f>
        <v>View</v>
      </c>
      <c r="P3918" s="7"/>
    </row>
    <row r="3919" spans="1:16">
      <c r="A3919" s="3">
        <v>44540.298750000002</v>
      </c>
      <c r="B3919" s="4" t="str">
        <f>HYPERLINK("https://twitter.com/sergio_fajardo","@sergio_fajardo")</f>
        <v>@sergio_fajardo</v>
      </c>
      <c r="C3919" s="5" t="s">
        <v>16</v>
      </c>
      <c r="D3919" s="5" t="s">
        <v>3938</v>
      </c>
      <c r="E3919" s="6" t="str">
        <f>HYPERLINK("https://twitter.com/sergio_fajardo/status/1469119728585265152","1469119728585265152")</f>
        <v>1469119728585265152</v>
      </c>
      <c r="F3919" s="7" t="s">
        <v>23</v>
      </c>
      <c r="G3919" s="7">
        <v>1601791</v>
      </c>
      <c r="H3919" s="7">
        <v>635</v>
      </c>
      <c r="I3919" s="7">
        <v>2</v>
      </c>
      <c r="J3919" s="7">
        <v>0</v>
      </c>
      <c r="K3919" s="7" t="s">
        <v>18</v>
      </c>
      <c r="L3919" s="8">
        <v>39891.213356481479</v>
      </c>
      <c r="M3919" s="9" t="s">
        <v>19</v>
      </c>
      <c r="N3919" s="9" t="s">
        <v>22</v>
      </c>
      <c r="O3919" s="6" t="str">
        <f>HYPERLINK("https://pbs.twimg.com/profile_images/1433591977631748099/wuGDIimB_normal.jpg","View")</f>
        <v>View</v>
      </c>
      <c r="P3919" s="7"/>
    </row>
    <row r="3920" spans="1:16">
      <c r="A3920" s="3">
        <v>44540.29892361111</v>
      </c>
      <c r="B3920" s="4" t="str">
        <f>HYPERLINK("https://twitter.com/sergio_fajardo","@sergio_fajardo")</f>
        <v>@sergio_fajardo</v>
      </c>
      <c r="C3920" s="5" t="s">
        <v>16</v>
      </c>
      <c r="D3920" s="5" t="s">
        <v>3939</v>
      </c>
      <c r="E3920" s="6" t="str">
        <f>HYPERLINK("https://twitter.com/sergio_fajardo/status/1469119790837022725","1469119790837022725")</f>
        <v>1469119790837022725</v>
      </c>
      <c r="F3920" s="7" t="s">
        <v>23</v>
      </c>
      <c r="G3920" s="7">
        <v>1601791</v>
      </c>
      <c r="H3920" s="7">
        <v>635</v>
      </c>
      <c r="I3920" s="7">
        <v>7</v>
      </c>
      <c r="J3920" s="7">
        <v>0</v>
      </c>
      <c r="K3920" s="7" t="s">
        <v>18</v>
      </c>
      <c r="L3920" s="8">
        <v>39891.213356481479</v>
      </c>
      <c r="M3920" s="9" t="s">
        <v>19</v>
      </c>
      <c r="N3920" s="9" t="s">
        <v>22</v>
      </c>
      <c r="O3920" s="6" t="str">
        <f>HYPERLINK("https://pbs.twimg.com/profile_images/1433591977631748099/wuGDIimB_normal.jpg","View")</f>
        <v>View</v>
      </c>
      <c r="P3920" s="7"/>
    </row>
    <row r="3921" spans="1:16">
      <c r="A3921" s="3">
        <v>44540.302060185189</v>
      </c>
      <c r="B3921" s="4" t="str">
        <f>HYPERLINK("https://twitter.com/sergio_fajardo","@sergio_fajardo")</f>
        <v>@sergio_fajardo</v>
      </c>
      <c r="C3921" s="5" t="s">
        <v>16</v>
      </c>
      <c r="D3921" s="5" t="s">
        <v>3940</v>
      </c>
      <c r="E3921" s="6" t="str">
        <f>HYPERLINK("https://twitter.com/sergio_fajardo/status/1469120927254339584","1469120927254339584")</f>
        <v>1469120927254339584</v>
      </c>
      <c r="F3921" s="7" t="s">
        <v>23</v>
      </c>
      <c r="G3921" s="7">
        <v>1601791</v>
      </c>
      <c r="H3921" s="7">
        <v>635</v>
      </c>
      <c r="I3921" s="7">
        <v>13</v>
      </c>
      <c r="J3921" s="7">
        <v>0</v>
      </c>
      <c r="K3921" s="7" t="s">
        <v>18</v>
      </c>
      <c r="L3921" s="8">
        <v>39891.213356481479</v>
      </c>
      <c r="M3921" s="9" t="s">
        <v>19</v>
      </c>
      <c r="N3921" s="9" t="s">
        <v>22</v>
      </c>
      <c r="O3921" s="6" t="str">
        <f>HYPERLINK("https://pbs.twimg.com/profile_images/1433591977631748099/wuGDIimB_normal.jpg","View")</f>
        <v>View</v>
      </c>
      <c r="P3921" s="7"/>
    </row>
    <row r="3922" spans="1:16">
      <c r="A3922" s="3">
        <v>44540.30232638889</v>
      </c>
      <c r="B3922" s="4" t="str">
        <f>HYPERLINK("https://twitter.com/sergio_fajardo","@sergio_fajardo")</f>
        <v>@sergio_fajardo</v>
      </c>
      <c r="C3922" s="5" t="s">
        <v>16</v>
      </c>
      <c r="D3922" s="5" t="s">
        <v>3941</v>
      </c>
      <c r="E3922" s="6" t="str">
        <f>HYPERLINK("https://twitter.com/sergio_fajardo/status/1469121022729326604","1469121022729326604")</f>
        <v>1469121022729326604</v>
      </c>
      <c r="F3922" s="7" t="s">
        <v>23</v>
      </c>
      <c r="G3922" s="7">
        <v>1601791</v>
      </c>
      <c r="H3922" s="7">
        <v>635</v>
      </c>
      <c r="I3922" s="7">
        <v>4</v>
      </c>
      <c r="J3922" s="7">
        <v>0</v>
      </c>
      <c r="K3922" s="7" t="s">
        <v>18</v>
      </c>
      <c r="L3922" s="8">
        <v>39891.213356481479</v>
      </c>
      <c r="M3922" s="9" t="s">
        <v>19</v>
      </c>
      <c r="N3922" s="9" t="s">
        <v>22</v>
      </c>
      <c r="O3922" s="6" t="str">
        <f>HYPERLINK("https://pbs.twimg.com/profile_images/1433591977631748099/wuGDIimB_normal.jpg","View")</f>
        <v>View</v>
      </c>
      <c r="P3922" s="7"/>
    </row>
    <row r="3923" spans="1:16">
      <c r="A3923" s="3">
        <v>44540.304583333331</v>
      </c>
      <c r="B3923" s="4" t="str">
        <f>HYPERLINK("https://twitter.com/sergio_fajardo","@sergio_fajardo")</f>
        <v>@sergio_fajardo</v>
      </c>
      <c r="C3923" s="5" t="s">
        <v>16</v>
      </c>
      <c r="D3923" s="5" t="s">
        <v>3942</v>
      </c>
      <c r="E3923" s="6" t="str">
        <f>HYPERLINK("https://twitter.com/sergio_fajardo/status/1469121840455077898","1469121840455077898")</f>
        <v>1469121840455077898</v>
      </c>
      <c r="F3923" s="7" t="s">
        <v>23</v>
      </c>
      <c r="G3923" s="7">
        <v>1601791</v>
      </c>
      <c r="H3923" s="7">
        <v>635</v>
      </c>
      <c r="I3923" s="7">
        <v>18</v>
      </c>
      <c r="J3923" s="7">
        <v>0</v>
      </c>
      <c r="K3923" s="7" t="s">
        <v>18</v>
      </c>
      <c r="L3923" s="8">
        <v>39891.213356481479</v>
      </c>
      <c r="M3923" s="9" t="s">
        <v>19</v>
      </c>
      <c r="N3923" s="9" t="s">
        <v>22</v>
      </c>
      <c r="O3923" s="6" t="str">
        <f>HYPERLINK("https://pbs.twimg.com/profile_images/1433591977631748099/wuGDIimB_normal.jpg","View")</f>
        <v>View</v>
      </c>
      <c r="P3923" s="7"/>
    </row>
    <row r="3924" spans="1:16">
      <c r="A3924" s="3">
        <v>44540.310798611114</v>
      </c>
      <c r="B3924" s="4" t="str">
        <f>HYPERLINK("https://twitter.com/sergio_fajardo","@sergio_fajardo")</f>
        <v>@sergio_fajardo</v>
      </c>
      <c r="C3924" s="5" t="s">
        <v>16</v>
      </c>
      <c r="D3924" s="5" t="s">
        <v>3943</v>
      </c>
      <c r="E3924" s="6" t="str">
        <f>HYPERLINK("https://twitter.com/sergio_fajardo/status/1469124093358321666","1469124093358321666")</f>
        <v>1469124093358321666</v>
      </c>
      <c r="F3924" s="7" t="s">
        <v>23</v>
      </c>
      <c r="G3924" s="7">
        <v>1601791</v>
      </c>
      <c r="H3924" s="7">
        <v>635</v>
      </c>
      <c r="I3924" s="7">
        <v>9</v>
      </c>
      <c r="J3924" s="7">
        <v>0</v>
      </c>
      <c r="K3924" s="7" t="s">
        <v>18</v>
      </c>
      <c r="L3924" s="8">
        <v>39891.213356481479</v>
      </c>
      <c r="M3924" s="9" t="s">
        <v>19</v>
      </c>
      <c r="N3924" s="9" t="s">
        <v>22</v>
      </c>
      <c r="O3924" s="6" t="str">
        <f>HYPERLINK("https://pbs.twimg.com/profile_images/1433591977631748099/wuGDIimB_normal.jpg","View")</f>
        <v>View</v>
      </c>
      <c r="P3924" s="7"/>
    </row>
    <row r="3925" spans="1:16">
      <c r="A3925" s="3">
        <v>44540.737870370373</v>
      </c>
      <c r="B3925" s="4" t="str">
        <f>HYPERLINK("https://twitter.com/sergio_fajardo","@sergio_fajardo")</f>
        <v>@sergio_fajardo</v>
      </c>
      <c r="C3925" s="5" t="s">
        <v>16</v>
      </c>
      <c r="D3925" s="5" t="s">
        <v>3944</v>
      </c>
      <c r="E3925" s="6" t="str">
        <f>HYPERLINK("https://twitter.com/sergio_fajardo/status/1469278856821551110","1469278856821551110")</f>
        <v>1469278856821551110</v>
      </c>
      <c r="F3925" s="7" t="s">
        <v>2329</v>
      </c>
      <c r="G3925" s="7">
        <v>1601805</v>
      </c>
      <c r="H3925" s="7">
        <v>635</v>
      </c>
      <c r="I3925" s="7">
        <v>12</v>
      </c>
      <c r="J3925" s="7">
        <v>60</v>
      </c>
      <c r="K3925" s="7" t="s">
        <v>18</v>
      </c>
      <c r="L3925" s="8">
        <v>39891.213356481479</v>
      </c>
      <c r="M3925" s="9" t="s">
        <v>19</v>
      </c>
      <c r="N3925" s="9" t="s">
        <v>22</v>
      </c>
      <c r="O3925" s="6" t="str">
        <f>HYPERLINK("https://pbs.twimg.com/profile_images/1433591977631748099/wuGDIimB_normal.jpg","View")</f>
        <v>View</v>
      </c>
      <c r="P3925" s="7"/>
    </row>
    <row r="3926" spans="1:16">
      <c r="A3926" s="3">
        <v>44540.752442129626</v>
      </c>
      <c r="B3926" s="4" t="str">
        <f>HYPERLINK("https://twitter.com/sergio_fajardo","@sergio_fajardo")</f>
        <v>@sergio_fajardo</v>
      </c>
      <c r="C3926" s="5" t="s">
        <v>16</v>
      </c>
      <c r="D3926" s="5" t="s">
        <v>3945</v>
      </c>
      <c r="E3926" s="6" t="str">
        <f>HYPERLINK("https://twitter.com/sergio_fajardo/status/1469284141271240710","1469284141271240710")</f>
        <v>1469284141271240710</v>
      </c>
      <c r="F3926" s="7" t="s">
        <v>2329</v>
      </c>
      <c r="G3926" s="7">
        <v>1601805</v>
      </c>
      <c r="H3926" s="7">
        <v>635</v>
      </c>
      <c r="I3926" s="7">
        <v>6</v>
      </c>
      <c r="J3926" s="7">
        <v>34</v>
      </c>
      <c r="K3926" s="7" t="s">
        <v>18</v>
      </c>
      <c r="L3926" s="8">
        <v>39891.213356481479</v>
      </c>
      <c r="M3926" s="9" t="s">
        <v>19</v>
      </c>
      <c r="N3926" s="9" t="s">
        <v>22</v>
      </c>
      <c r="O3926" s="6" t="str">
        <f>HYPERLINK("https://pbs.twimg.com/profile_images/1433591977631748099/wuGDIimB_normal.jpg","View")</f>
        <v>View</v>
      </c>
      <c r="P3926" s="7"/>
    </row>
    <row r="3927" spans="1:16">
      <c r="A3927" s="3">
        <v>44540.777777777781</v>
      </c>
      <c r="B3927" s="4" t="str">
        <f>HYPERLINK("https://twitter.com/sergio_fajardo","@sergio_fajardo")</f>
        <v>@sergio_fajardo</v>
      </c>
      <c r="C3927" s="5" t="s">
        <v>16</v>
      </c>
      <c r="D3927" s="5" t="s">
        <v>3946</v>
      </c>
      <c r="E3927" s="6" t="str">
        <f>HYPERLINK("https://twitter.com/sergio_fajardo/status/1469293320308285450","1469293320308285450")</f>
        <v>1469293320308285450</v>
      </c>
      <c r="F3927" s="7" t="s">
        <v>2329</v>
      </c>
      <c r="G3927" s="7">
        <v>1601812</v>
      </c>
      <c r="H3927" s="7">
        <v>635</v>
      </c>
      <c r="I3927" s="7">
        <v>4</v>
      </c>
      <c r="J3927" s="7">
        <v>22</v>
      </c>
      <c r="K3927" s="7" t="s">
        <v>18</v>
      </c>
      <c r="L3927" s="8">
        <v>39891.213356481479</v>
      </c>
      <c r="M3927" s="9" t="s">
        <v>19</v>
      </c>
      <c r="N3927" s="9" t="s">
        <v>22</v>
      </c>
      <c r="O3927" s="6" t="str">
        <f>HYPERLINK("https://pbs.twimg.com/profile_images/1433591977631748099/wuGDIimB_normal.jpg","View")</f>
        <v>View</v>
      </c>
      <c r="P3927" s="7"/>
    </row>
    <row r="3928" spans="1:16">
      <c r="A3928" s="3">
        <v>44540.795138888891</v>
      </c>
      <c r="B3928" s="4" t="str">
        <f>HYPERLINK("https://twitter.com/sergio_fajardo","@sergio_fajardo")</f>
        <v>@sergio_fajardo</v>
      </c>
      <c r="C3928" s="5" t="s">
        <v>16</v>
      </c>
      <c r="D3928" s="5" t="s">
        <v>3947</v>
      </c>
      <c r="E3928" s="6" t="str">
        <f>HYPERLINK("https://twitter.com/sergio_fajardo/status/1469299611437133825","1469299611437133825")</f>
        <v>1469299611437133825</v>
      </c>
      <c r="F3928" s="7" t="s">
        <v>2329</v>
      </c>
      <c r="G3928" s="7">
        <v>1601811</v>
      </c>
      <c r="H3928" s="7">
        <v>635</v>
      </c>
      <c r="I3928" s="7">
        <v>7</v>
      </c>
      <c r="J3928" s="7">
        <v>40</v>
      </c>
      <c r="K3928" s="7" t="s">
        <v>18</v>
      </c>
      <c r="L3928" s="8">
        <v>39891.213356481479</v>
      </c>
      <c r="M3928" s="9" t="s">
        <v>19</v>
      </c>
      <c r="N3928" s="9" t="s">
        <v>22</v>
      </c>
      <c r="O3928" s="6" t="str">
        <f>HYPERLINK("https://pbs.twimg.com/profile_images/1433591977631748099/wuGDIimB_normal.jpg","View")</f>
        <v>View</v>
      </c>
      <c r="P3928" s="7"/>
    </row>
    <row r="3929" spans="1:16">
      <c r="A3929" s="3">
        <v>44540.932650462964</v>
      </c>
      <c r="B3929" s="4" t="str">
        <f>HYPERLINK("https://twitter.com/sergio_fajardo","@sergio_fajardo")</f>
        <v>@sergio_fajardo</v>
      </c>
      <c r="C3929" s="5" t="s">
        <v>16</v>
      </c>
      <c r="D3929" s="5" t="s">
        <v>3948</v>
      </c>
      <c r="E3929" s="6" t="str">
        <f>HYPERLINK("https://twitter.com/sergio_fajardo/status/1469349445636612101","1469349445636612101")</f>
        <v>1469349445636612101</v>
      </c>
      <c r="F3929" s="7" t="s">
        <v>2329</v>
      </c>
      <c r="G3929" s="7">
        <v>1601842</v>
      </c>
      <c r="H3929" s="7">
        <v>635</v>
      </c>
      <c r="I3929" s="7">
        <v>9</v>
      </c>
      <c r="J3929" s="7">
        <v>45</v>
      </c>
      <c r="K3929" s="7" t="s">
        <v>18</v>
      </c>
      <c r="L3929" s="8">
        <v>39891.213356481479</v>
      </c>
      <c r="M3929" s="9" t="s">
        <v>19</v>
      </c>
      <c r="N3929" s="9" t="s">
        <v>22</v>
      </c>
      <c r="O3929" s="6" t="str">
        <f>HYPERLINK("https://pbs.twimg.com/profile_images/1433591977631748099/wuGDIimB_normal.jpg","View")</f>
        <v>View</v>
      </c>
      <c r="P3929" s="7"/>
    </row>
    <row r="3930" spans="1:16">
      <c r="A3930" s="3">
        <v>44540.979305555556</v>
      </c>
      <c r="B3930" s="4" t="str">
        <f>HYPERLINK("https://twitter.com/sergio_fajardo","@sergio_fajardo")</f>
        <v>@sergio_fajardo</v>
      </c>
      <c r="C3930" s="5" t="s">
        <v>16</v>
      </c>
      <c r="D3930" s="5" t="s">
        <v>3949</v>
      </c>
      <c r="E3930" s="6" t="str">
        <f>HYPERLINK("https://twitter.com/sergio_fajardo/status/1469366352813215747","1469366352813215747")</f>
        <v>1469366352813215747</v>
      </c>
      <c r="F3930" s="7" t="s">
        <v>2329</v>
      </c>
      <c r="G3930" s="7">
        <v>1601851</v>
      </c>
      <c r="H3930" s="7">
        <v>635</v>
      </c>
      <c r="I3930" s="7">
        <v>3</v>
      </c>
      <c r="J3930" s="7">
        <v>8</v>
      </c>
      <c r="K3930" s="7" t="s">
        <v>18</v>
      </c>
      <c r="L3930" s="8">
        <v>39891.213356481479</v>
      </c>
      <c r="M3930" s="9" t="s">
        <v>19</v>
      </c>
      <c r="N3930" s="9" t="s">
        <v>22</v>
      </c>
      <c r="O3930" s="6" t="str">
        <f>HYPERLINK("https://pbs.twimg.com/profile_images/1433591977631748099/wuGDIimB_normal.jpg","View")</f>
        <v>View</v>
      </c>
      <c r="P3930" s="7"/>
    </row>
    <row r="3931" spans="1:16">
      <c r="A3931" s="3">
        <v>44541.0628125</v>
      </c>
      <c r="B3931" s="4" t="str">
        <f>HYPERLINK("https://twitter.com/sergio_fajardo","@sergio_fajardo")</f>
        <v>@sergio_fajardo</v>
      </c>
      <c r="C3931" s="5" t="s">
        <v>16</v>
      </c>
      <c r="D3931" s="5" t="s">
        <v>3950</v>
      </c>
      <c r="E3931" s="6" t="str">
        <f>HYPERLINK("https://twitter.com/sergio_fajardo/status/1469396612573237251","1469396612573237251")</f>
        <v>1469396612573237251</v>
      </c>
      <c r="F3931" s="7" t="s">
        <v>17</v>
      </c>
      <c r="G3931" s="7">
        <v>1601861</v>
      </c>
      <c r="H3931" s="7">
        <v>635</v>
      </c>
      <c r="I3931" s="7">
        <v>1</v>
      </c>
      <c r="J3931" s="7">
        <v>0</v>
      </c>
      <c r="K3931" s="7" t="s">
        <v>18</v>
      </c>
      <c r="L3931" s="8">
        <v>39891.213356481479</v>
      </c>
      <c r="M3931" s="9" t="s">
        <v>19</v>
      </c>
      <c r="N3931" s="9" t="s">
        <v>22</v>
      </c>
      <c r="O3931" s="6" t="str">
        <f>HYPERLINK("https://pbs.twimg.com/profile_images/1433591977631748099/wuGDIimB_normal.jpg","View")</f>
        <v>View</v>
      </c>
      <c r="P3931" s="7"/>
    </row>
    <row r="3932" spans="1:16">
      <c r="A3932" s="3">
        <v>44541.077824074076</v>
      </c>
      <c r="B3932" s="4" t="str">
        <f>HYPERLINK("https://twitter.com/sergio_fajardo","@sergio_fajardo")</f>
        <v>@sergio_fajardo</v>
      </c>
      <c r="C3932" s="5" t="s">
        <v>16</v>
      </c>
      <c r="D3932" s="5" t="s">
        <v>3951</v>
      </c>
      <c r="E3932" s="6" t="str">
        <f>HYPERLINK("https://twitter.com/sergio_fajardo/status/1469402052631711748","1469402052631711748")</f>
        <v>1469402052631711748</v>
      </c>
      <c r="F3932" s="7" t="s">
        <v>17</v>
      </c>
      <c r="G3932" s="7">
        <v>1601861</v>
      </c>
      <c r="H3932" s="7">
        <v>635</v>
      </c>
      <c r="I3932" s="7">
        <v>25</v>
      </c>
      <c r="J3932" s="7">
        <v>0</v>
      </c>
      <c r="K3932" s="7" t="s">
        <v>18</v>
      </c>
      <c r="L3932" s="8">
        <v>39891.213356481479</v>
      </c>
      <c r="M3932" s="9" t="s">
        <v>19</v>
      </c>
      <c r="N3932" s="9" t="s">
        <v>22</v>
      </c>
      <c r="O3932" s="6" t="str">
        <f>HYPERLINK("https://pbs.twimg.com/profile_images/1433591977631748099/wuGDIimB_normal.jpg","View")</f>
        <v>View</v>
      </c>
      <c r="P3932" s="7"/>
    </row>
    <row r="3933" spans="1:16">
      <c r="A3933" s="3">
        <v>44541.083136574074</v>
      </c>
      <c r="B3933" s="4" t="str">
        <f>HYPERLINK("https://twitter.com/sergio_fajardo","@sergio_fajardo")</f>
        <v>@sergio_fajardo</v>
      </c>
      <c r="C3933" s="5" t="s">
        <v>16</v>
      </c>
      <c r="D3933" s="5" t="s">
        <v>3952</v>
      </c>
      <c r="E3933" s="6" t="str">
        <f>HYPERLINK("https://twitter.com/sergio_fajardo/status/1469403977372639238","1469403977372639238")</f>
        <v>1469403977372639238</v>
      </c>
      <c r="F3933" s="7" t="s">
        <v>17</v>
      </c>
      <c r="G3933" s="7">
        <v>1601861</v>
      </c>
      <c r="H3933" s="7">
        <v>635</v>
      </c>
      <c r="I3933" s="7">
        <v>23</v>
      </c>
      <c r="J3933" s="7">
        <v>0</v>
      </c>
      <c r="K3933" s="7" t="s">
        <v>18</v>
      </c>
      <c r="L3933" s="8">
        <v>39891.213356481479</v>
      </c>
      <c r="M3933" s="9" t="s">
        <v>19</v>
      </c>
      <c r="N3933" s="9" t="s">
        <v>22</v>
      </c>
      <c r="O3933" s="6" t="str">
        <f>HYPERLINK("https://pbs.twimg.com/profile_images/1433591977631748099/wuGDIimB_normal.jpg","View")</f>
        <v>View</v>
      </c>
      <c r="P3933" s="7"/>
    </row>
    <row r="3934" spans="1:16">
      <c r="A3934" s="3">
        <v>44541.208634259259</v>
      </c>
      <c r="B3934" s="4" t="str">
        <f>HYPERLINK("https://twitter.com/sergio_fajardo","@sergio_fajardo")</f>
        <v>@sergio_fajardo</v>
      </c>
      <c r="C3934" s="5" t="s">
        <v>16</v>
      </c>
      <c r="D3934" s="5" t="s">
        <v>3953</v>
      </c>
      <c r="E3934" s="6" t="str">
        <f>HYPERLINK("https://twitter.com/sergio_fajardo/status/1469449460048703488","1469449460048703488")</f>
        <v>1469449460048703488</v>
      </c>
      <c r="F3934" s="7" t="s">
        <v>2329</v>
      </c>
      <c r="G3934" s="7">
        <v>1601873</v>
      </c>
      <c r="H3934" s="7">
        <v>635</v>
      </c>
      <c r="I3934" s="7">
        <v>1</v>
      </c>
      <c r="J3934" s="7">
        <v>7</v>
      </c>
      <c r="K3934" s="7" t="s">
        <v>18</v>
      </c>
      <c r="L3934" s="8">
        <v>39891.213356481479</v>
      </c>
      <c r="M3934" s="9" t="s">
        <v>19</v>
      </c>
      <c r="N3934" s="9" t="s">
        <v>22</v>
      </c>
      <c r="O3934" s="6" t="str">
        <f>HYPERLINK("https://pbs.twimg.com/profile_images/1433591977631748099/wuGDIimB_normal.jpg","View")</f>
        <v>View</v>
      </c>
      <c r="P3934" s="7"/>
    </row>
    <row r="3935" spans="1:16">
      <c r="A3935" s="3">
        <v>44541.810150462959</v>
      </c>
      <c r="B3935" s="4" t="str">
        <f>HYPERLINK("https://twitter.com/sergio_fajardo","@sergio_fajardo")</f>
        <v>@sergio_fajardo</v>
      </c>
      <c r="C3935" s="5" t="s">
        <v>16</v>
      </c>
      <c r="D3935" s="5" t="s">
        <v>3954</v>
      </c>
      <c r="E3935" s="6" t="str">
        <f>HYPERLINK("https://twitter.com/sergio_fajardo/status/1469667438346317829","1469667438346317829")</f>
        <v>1469667438346317829</v>
      </c>
      <c r="F3935" s="7" t="s">
        <v>2329</v>
      </c>
      <c r="G3935" s="7">
        <v>1601943</v>
      </c>
      <c r="H3935" s="7">
        <v>635</v>
      </c>
      <c r="I3935" s="7">
        <v>7</v>
      </c>
      <c r="J3935" s="7">
        <v>20</v>
      </c>
      <c r="K3935" s="7" t="s">
        <v>18</v>
      </c>
      <c r="L3935" s="8">
        <v>39891.213356481479</v>
      </c>
      <c r="M3935" s="9" t="s">
        <v>19</v>
      </c>
      <c r="N3935" s="9" t="s">
        <v>22</v>
      </c>
      <c r="O3935" s="6" t="str">
        <f>HYPERLINK("https://pbs.twimg.com/profile_images/1433591977631748099/wuGDIimB_normal.jpg","View")</f>
        <v>View</v>
      </c>
      <c r="P3935" s="7"/>
    </row>
    <row r="3936" spans="1:16">
      <c r="A3936" s="3">
        <v>44542.166666666672</v>
      </c>
      <c r="B3936" s="4" t="str">
        <f>HYPERLINK("https://twitter.com/sergio_fajardo","@sergio_fajardo")</f>
        <v>@sergio_fajardo</v>
      </c>
      <c r="C3936" s="5" t="s">
        <v>16</v>
      </c>
      <c r="D3936" s="5" t="s">
        <v>3955</v>
      </c>
      <c r="E3936" s="6" t="str">
        <f>HYPERLINK("https://twitter.com/sergio_fajardo/status/1469796636100632577","1469796636100632577")</f>
        <v>1469796636100632577</v>
      </c>
      <c r="F3936" s="7" t="s">
        <v>2329</v>
      </c>
      <c r="G3936" s="7">
        <v>1601997</v>
      </c>
      <c r="H3936" s="7">
        <v>636</v>
      </c>
      <c r="I3936" s="7">
        <v>6</v>
      </c>
      <c r="J3936" s="7">
        <v>39</v>
      </c>
      <c r="K3936" s="7" t="s">
        <v>18</v>
      </c>
      <c r="L3936" s="8">
        <v>39891.213356481479</v>
      </c>
      <c r="M3936" s="9" t="s">
        <v>19</v>
      </c>
      <c r="N3936" s="9" t="s">
        <v>22</v>
      </c>
      <c r="O3936" s="6" t="str">
        <f>HYPERLINK("https://pbs.twimg.com/profile_images/1433591977631748099/wuGDIimB_normal.jpg","View")</f>
        <v>View</v>
      </c>
      <c r="P3936" s="7"/>
    </row>
    <row r="3937" spans="1:16">
      <c r="A3937" s="3">
        <v>44542.870624999996</v>
      </c>
      <c r="B3937" s="4" t="str">
        <f>HYPERLINK("https://twitter.com/sergio_fajardo","@sergio_fajardo")</f>
        <v>@sergio_fajardo</v>
      </c>
      <c r="C3937" s="5" t="s">
        <v>16</v>
      </c>
      <c r="D3937" s="5" t="s">
        <v>3956</v>
      </c>
      <c r="E3937" s="6" t="str">
        <f>HYPERLINK("https://twitter.com/sergio_fajardo/status/1470051742607892480","1470051742607892480")</f>
        <v>1470051742607892480</v>
      </c>
      <c r="F3937" s="7" t="s">
        <v>2329</v>
      </c>
      <c r="G3937" s="7">
        <v>1602062</v>
      </c>
      <c r="H3937" s="7">
        <v>636</v>
      </c>
      <c r="I3937" s="7">
        <v>4</v>
      </c>
      <c r="J3937" s="7">
        <v>31</v>
      </c>
      <c r="K3937" s="7" t="s">
        <v>18</v>
      </c>
      <c r="L3937" s="8">
        <v>39891.213356481479</v>
      </c>
      <c r="M3937" s="9" t="s">
        <v>19</v>
      </c>
      <c r="N3937" s="9" t="s">
        <v>22</v>
      </c>
      <c r="O3937" s="6" t="str">
        <f>HYPERLINK("https://pbs.twimg.com/profile_images/1433591977631748099/wuGDIimB_normal.jpg","View")</f>
        <v>View</v>
      </c>
      <c r="P3937" s="7"/>
    </row>
    <row r="3938" spans="1:16">
      <c r="A3938" s="3">
        <v>44542.938159722224</v>
      </c>
      <c r="B3938" s="4" t="str">
        <f>HYPERLINK("https://twitter.com/sergio_fajardo","@sergio_fajardo")</f>
        <v>@sergio_fajardo</v>
      </c>
      <c r="C3938" s="5" t="s">
        <v>16</v>
      </c>
      <c r="D3938" s="5" t="s">
        <v>3957</v>
      </c>
      <c r="E3938" s="6" t="str">
        <f>HYPERLINK("https://twitter.com/sergio_fajardo/status/1470076215067389957","1470076215067389957")</f>
        <v>1470076215067389957</v>
      </c>
      <c r="F3938" s="7" t="s">
        <v>23</v>
      </c>
      <c r="G3938" s="7">
        <v>1602007</v>
      </c>
      <c r="H3938" s="7">
        <v>636</v>
      </c>
      <c r="I3938" s="7">
        <v>7</v>
      </c>
      <c r="J3938" s="7">
        <v>29</v>
      </c>
      <c r="K3938" s="7" t="s">
        <v>18</v>
      </c>
      <c r="L3938" s="8">
        <v>39891.213356481479</v>
      </c>
      <c r="M3938" s="9" t="s">
        <v>19</v>
      </c>
      <c r="N3938" s="9" t="s">
        <v>22</v>
      </c>
      <c r="O3938" s="6" t="str">
        <f>HYPERLINK("https://pbs.twimg.com/profile_images/1433591977631748099/wuGDIimB_normal.jpg","View")</f>
        <v>View</v>
      </c>
      <c r="P3938" s="7"/>
    </row>
    <row r="3939" spans="1:16">
      <c r="A3939" s="3">
        <v>44542.951481481483</v>
      </c>
      <c r="B3939" s="4" t="str">
        <f>HYPERLINK("https://twitter.com/sergio_fajardo","@sergio_fajardo")</f>
        <v>@sergio_fajardo</v>
      </c>
      <c r="C3939" s="5" t="s">
        <v>16</v>
      </c>
      <c r="D3939" s="5" t="s">
        <v>3958</v>
      </c>
      <c r="E3939" s="6" t="str">
        <f>HYPERLINK("https://twitter.com/sergio_fajardo/status/1470081046129647623","1470081046129647623")</f>
        <v>1470081046129647623</v>
      </c>
      <c r="F3939" s="7" t="s">
        <v>23</v>
      </c>
      <c r="G3939" s="7">
        <v>1602086</v>
      </c>
      <c r="H3939" s="7">
        <v>636</v>
      </c>
      <c r="I3939" s="7">
        <v>13</v>
      </c>
      <c r="J3939" s="7">
        <v>0</v>
      </c>
      <c r="K3939" s="7" t="s">
        <v>18</v>
      </c>
      <c r="L3939" s="8">
        <v>39891.213356481479</v>
      </c>
      <c r="M3939" s="9" t="s">
        <v>19</v>
      </c>
      <c r="N3939" s="9" t="s">
        <v>22</v>
      </c>
      <c r="O3939" s="6" t="str">
        <f>HYPERLINK("https://pbs.twimg.com/profile_images/1433591977631748099/wuGDIimB_normal.jpg","View")</f>
        <v>View</v>
      </c>
      <c r="P3939" s="7"/>
    </row>
    <row r="3940" spans="1:16">
      <c r="A3940" s="3">
        <v>44543.0625</v>
      </c>
      <c r="B3940" s="4" t="str">
        <f>HYPERLINK("https://twitter.com/sergio_fajardo","@sergio_fajardo")</f>
        <v>@sergio_fajardo</v>
      </c>
      <c r="C3940" s="5" t="s">
        <v>16</v>
      </c>
      <c r="D3940" s="5" t="s">
        <v>3959</v>
      </c>
      <c r="E3940" s="6" t="str">
        <f>HYPERLINK("https://twitter.com/sergio_fajardo/status/1470121276878512134","1470121276878512134")</f>
        <v>1470121276878512134</v>
      </c>
      <c r="F3940" s="7" t="s">
        <v>2329</v>
      </c>
      <c r="G3940" s="7">
        <v>1602103</v>
      </c>
      <c r="H3940" s="7">
        <v>636</v>
      </c>
      <c r="I3940" s="7">
        <v>7</v>
      </c>
      <c r="J3940" s="7">
        <v>28</v>
      </c>
      <c r="K3940" s="7" t="s">
        <v>18</v>
      </c>
      <c r="L3940" s="8">
        <v>39891.213356481479</v>
      </c>
      <c r="M3940" s="9" t="s">
        <v>19</v>
      </c>
      <c r="N3940" s="9" t="s">
        <v>22</v>
      </c>
      <c r="O3940" s="6" t="str">
        <f>HYPERLINK("https://pbs.twimg.com/profile_images/1433591977631748099/wuGDIimB_normal.jpg","View")</f>
        <v>View</v>
      </c>
      <c r="P3940" s="7"/>
    </row>
    <row r="3941" spans="1:16">
      <c r="A3941" s="3">
        <v>44543.164884259255</v>
      </c>
      <c r="B3941" s="4" t="str">
        <f>HYPERLINK("https://twitter.com/sergio_fajardo","@sergio_fajardo")</f>
        <v>@sergio_fajardo</v>
      </c>
      <c r="C3941" s="5" t="s">
        <v>16</v>
      </c>
      <c r="D3941" s="5" t="s">
        <v>3960</v>
      </c>
      <c r="E3941" s="6" t="str">
        <f>HYPERLINK("https://twitter.com/sergio_fajardo/status/1470158381201637379","1470158381201637379")</f>
        <v>1470158381201637379</v>
      </c>
      <c r="F3941" s="7" t="s">
        <v>17</v>
      </c>
      <c r="G3941" s="7">
        <v>1602122</v>
      </c>
      <c r="H3941" s="7">
        <v>636</v>
      </c>
      <c r="I3941" s="7">
        <v>11</v>
      </c>
      <c r="J3941" s="7">
        <v>0</v>
      </c>
      <c r="K3941" s="7" t="s">
        <v>18</v>
      </c>
      <c r="L3941" s="8">
        <v>39891.213356481479</v>
      </c>
      <c r="M3941" s="9" t="s">
        <v>19</v>
      </c>
      <c r="N3941" s="9" t="s">
        <v>22</v>
      </c>
      <c r="O3941" s="6" t="str">
        <f>HYPERLINK("https://pbs.twimg.com/profile_images/1433591977631748099/wuGDIimB_normal.jpg","View")</f>
        <v>View</v>
      </c>
      <c r="P3941" s="7"/>
    </row>
    <row r="3942" spans="1:16">
      <c r="A3942" s="3">
        <v>44543.171666666662</v>
      </c>
      <c r="B3942" s="4" t="str">
        <f>HYPERLINK("https://twitter.com/sergio_fajardo","@sergio_fajardo")</f>
        <v>@sergio_fajardo</v>
      </c>
      <c r="C3942" s="5" t="s">
        <v>16</v>
      </c>
      <c r="D3942" s="5" t="s">
        <v>3961</v>
      </c>
      <c r="E3942" s="6" t="str">
        <f>HYPERLINK("https://twitter.com/sergio_fajardo/status/1470160838287888387","1470160838287888387")</f>
        <v>1470160838287888387</v>
      </c>
      <c r="F3942" s="7" t="s">
        <v>17</v>
      </c>
      <c r="G3942" s="7">
        <v>1602122</v>
      </c>
      <c r="H3942" s="7">
        <v>636</v>
      </c>
      <c r="I3942" s="7">
        <v>1</v>
      </c>
      <c r="J3942" s="7">
        <v>0</v>
      </c>
      <c r="K3942" s="7" t="s">
        <v>18</v>
      </c>
      <c r="L3942" s="8">
        <v>39891.213356481479</v>
      </c>
      <c r="M3942" s="9" t="s">
        <v>19</v>
      </c>
      <c r="N3942" s="9" t="s">
        <v>22</v>
      </c>
      <c r="O3942" s="6" t="str">
        <f>HYPERLINK("https://pbs.twimg.com/profile_images/1433591977631748099/wuGDIimB_normal.jpg","View")</f>
        <v>View</v>
      </c>
      <c r="P3942" s="7"/>
    </row>
    <row r="3943" spans="1:16">
      <c r="A3943" s="3">
        <v>44543.230486111112</v>
      </c>
      <c r="B3943" s="4" t="str">
        <f>HYPERLINK("https://twitter.com/sergio_fajardo","@sergio_fajardo")</f>
        <v>@sergio_fajardo</v>
      </c>
      <c r="C3943" s="5" t="s">
        <v>16</v>
      </c>
      <c r="D3943" s="5" t="s">
        <v>3962</v>
      </c>
      <c r="E3943" s="6" t="str">
        <f>HYPERLINK("https://twitter.com/sergio_fajardo/status/1470182152629374986","1470182152629374986")</f>
        <v>1470182152629374986</v>
      </c>
      <c r="F3943" s="7" t="s">
        <v>17</v>
      </c>
      <c r="G3943" s="7">
        <v>1602125</v>
      </c>
      <c r="H3943" s="7">
        <v>636</v>
      </c>
      <c r="I3943" s="7">
        <v>2</v>
      </c>
      <c r="J3943" s="7">
        <v>8</v>
      </c>
      <c r="K3943" s="7" t="s">
        <v>18</v>
      </c>
      <c r="L3943" s="8">
        <v>39891.213356481479</v>
      </c>
      <c r="M3943" s="9" t="s">
        <v>19</v>
      </c>
      <c r="N3943" s="9" t="s">
        <v>22</v>
      </c>
      <c r="O3943" s="6" t="str">
        <f>HYPERLINK("https://pbs.twimg.com/profile_images/1433591977631748099/wuGDIimB_normal.jpg","View")</f>
        <v>View</v>
      </c>
      <c r="P3943" s="7"/>
    </row>
    <row r="3944" spans="1:16">
      <c r="A3944" s="3">
        <v>44543.233726851853</v>
      </c>
      <c r="B3944" s="4" t="str">
        <f>HYPERLINK("https://twitter.com/sergio_fajardo","@sergio_fajardo")</f>
        <v>@sergio_fajardo</v>
      </c>
      <c r="C3944" s="5" t="s">
        <v>16</v>
      </c>
      <c r="D3944" s="5" t="s">
        <v>3963</v>
      </c>
      <c r="E3944" s="6" t="str">
        <f>HYPERLINK("https://twitter.com/sergio_fajardo/status/1470183325516058627","1470183325516058627")</f>
        <v>1470183325516058627</v>
      </c>
      <c r="F3944" s="7" t="s">
        <v>17</v>
      </c>
      <c r="G3944" s="7">
        <v>1602133</v>
      </c>
      <c r="H3944" s="7">
        <v>636</v>
      </c>
      <c r="I3944" s="7">
        <v>3</v>
      </c>
      <c r="J3944" s="7">
        <v>9</v>
      </c>
      <c r="K3944" s="7" t="s">
        <v>18</v>
      </c>
      <c r="L3944" s="8">
        <v>39891.213356481479</v>
      </c>
      <c r="M3944" s="9" t="s">
        <v>19</v>
      </c>
      <c r="N3944" s="9" t="s">
        <v>22</v>
      </c>
      <c r="O3944" s="6" t="str">
        <f>HYPERLINK("https://pbs.twimg.com/profile_images/1433591977631748099/wuGDIimB_normal.jpg","View")</f>
        <v>View</v>
      </c>
      <c r="P3944" s="7"/>
    </row>
    <row r="3945" spans="1:16">
      <c r="A3945" s="3">
        <v>44543.234618055554</v>
      </c>
      <c r="B3945" s="4" t="str">
        <f>HYPERLINK("https://twitter.com/sergio_fajardo","@sergio_fajardo")</f>
        <v>@sergio_fajardo</v>
      </c>
      <c r="C3945" s="5" t="s">
        <v>16</v>
      </c>
      <c r="D3945" s="5" t="s">
        <v>3964</v>
      </c>
      <c r="E3945" s="6" t="str">
        <f>HYPERLINK("https://twitter.com/sergio_fajardo/status/1470183650994106373","1470183650994106373")</f>
        <v>1470183650994106373</v>
      </c>
      <c r="F3945" s="7" t="s">
        <v>17</v>
      </c>
      <c r="G3945" s="7">
        <v>1602133</v>
      </c>
      <c r="H3945" s="7">
        <v>636</v>
      </c>
      <c r="I3945" s="7">
        <v>8</v>
      </c>
      <c r="J3945" s="7">
        <v>0</v>
      </c>
      <c r="K3945" s="7" t="s">
        <v>18</v>
      </c>
      <c r="L3945" s="8">
        <v>39891.213356481479</v>
      </c>
      <c r="M3945" s="9" t="s">
        <v>19</v>
      </c>
      <c r="N3945" s="9" t="s">
        <v>22</v>
      </c>
      <c r="O3945" s="6" t="str">
        <f>HYPERLINK("https://pbs.twimg.com/profile_images/1433591977631748099/wuGDIimB_normal.jpg","View")</f>
        <v>View</v>
      </c>
      <c r="P3945" s="7"/>
    </row>
    <row r="3946" spans="1:16">
      <c r="A3946" s="3">
        <v>44543.234803240739</v>
      </c>
      <c r="B3946" s="4" t="str">
        <f>HYPERLINK("https://twitter.com/sergio_fajardo","@sergio_fajardo")</f>
        <v>@sergio_fajardo</v>
      </c>
      <c r="C3946" s="5" t="s">
        <v>16</v>
      </c>
      <c r="D3946" s="5" t="s">
        <v>3965</v>
      </c>
      <c r="E3946" s="6" t="str">
        <f>HYPERLINK("https://twitter.com/sergio_fajardo/status/1470183715208896518","1470183715208896518")</f>
        <v>1470183715208896518</v>
      </c>
      <c r="F3946" s="7" t="s">
        <v>17</v>
      </c>
      <c r="G3946" s="7">
        <v>1602133</v>
      </c>
      <c r="H3946" s="7">
        <v>636</v>
      </c>
      <c r="I3946" s="7">
        <v>5</v>
      </c>
      <c r="J3946" s="7">
        <v>0</v>
      </c>
      <c r="K3946" s="7" t="s">
        <v>18</v>
      </c>
      <c r="L3946" s="8">
        <v>39891.213356481479</v>
      </c>
      <c r="M3946" s="9" t="s">
        <v>19</v>
      </c>
      <c r="N3946" s="9" t="s">
        <v>22</v>
      </c>
      <c r="O3946" s="6" t="str">
        <f>HYPERLINK("https://pbs.twimg.com/profile_images/1433591977631748099/wuGDIimB_normal.jpg","View")</f>
        <v>View</v>
      </c>
      <c r="P3946" s="7"/>
    </row>
    <row r="3947" spans="1:16">
      <c r="A3947" s="3">
        <v>44543.238541666666</v>
      </c>
      <c r="B3947" s="4" t="str">
        <f>HYPERLINK("https://twitter.com/sergio_fajardo","@sergio_fajardo")</f>
        <v>@sergio_fajardo</v>
      </c>
      <c r="C3947" s="5" t="s">
        <v>16</v>
      </c>
      <c r="D3947" s="5" t="s">
        <v>3966</v>
      </c>
      <c r="E3947" s="6" t="str">
        <f>HYPERLINK("https://twitter.com/sergio_fajardo/status/1470185072506589184","1470185072506589184")</f>
        <v>1470185072506589184</v>
      </c>
      <c r="F3947" s="7" t="s">
        <v>17</v>
      </c>
      <c r="G3947" s="7">
        <v>1602133</v>
      </c>
      <c r="H3947" s="7">
        <v>636</v>
      </c>
      <c r="I3947" s="7">
        <v>11</v>
      </c>
      <c r="J3947" s="7">
        <v>0</v>
      </c>
      <c r="K3947" s="7" t="s">
        <v>18</v>
      </c>
      <c r="L3947" s="8">
        <v>39891.213356481479</v>
      </c>
      <c r="M3947" s="9" t="s">
        <v>19</v>
      </c>
      <c r="N3947" s="9" t="s">
        <v>22</v>
      </c>
      <c r="O3947" s="6" t="str">
        <f>HYPERLINK("https://pbs.twimg.com/profile_images/1433591977631748099/wuGDIimB_normal.jpg","View")</f>
        <v>View</v>
      </c>
      <c r="P3947" s="7"/>
    </row>
    <row r="3948" spans="1:16">
      <c r="A3948" s="3">
        <v>44543.239120370374</v>
      </c>
      <c r="B3948" s="4" t="str">
        <f>HYPERLINK("https://twitter.com/sergio_fajardo","@sergio_fajardo")</f>
        <v>@sergio_fajardo</v>
      </c>
      <c r="C3948" s="5" t="s">
        <v>16</v>
      </c>
      <c r="D3948" s="5" t="s">
        <v>3967</v>
      </c>
      <c r="E3948" s="6" t="str">
        <f>HYPERLINK("https://twitter.com/sergio_fajardo/status/1470185280804110344","1470185280804110344")</f>
        <v>1470185280804110344</v>
      </c>
      <c r="F3948" s="7" t="s">
        <v>17</v>
      </c>
      <c r="G3948" s="7">
        <v>1602133</v>
      </c>
      <c r="H3948" s="7">
        <v>636</v>
      </c>
      <c r="I3948" s="7">
        <v>9</v>
      </c>
      <c r="J3948" s="7">
        <v>0</v>
      </c>
      <c r="K3948" s="7" t="s">
        <v>18</v>
      </c>
      <c r="L3948" s="8">
        <v>39891.213356481479</v>
      </c>
      <c r="M3948" s="9" t="s">
        <v>19</v>
      </c>
      <c r="N3948" s="9" t="s">
        <v>22</v>
      </c>
      <c r="O3948" s="6" t="str">
        <f>HYPERLINK("https://pbs.twimg.com/profile_images/1433591977631748099/wuGDIimB_normal.jpg","View")</f>
        <v>View</v>
      </c>
      <c r="P3948" s="7"/>
    </row>
    <row r="3949" spans="1:16">
      <c r="A3949" s="3">
        <v>44543.239664351851</v>
      </c>
      <c r="B3949" s="4" t="str">
        <f>HYPERLINK("https://twitter.com/sergio_fajardo","@sergio_fajardo")</f>
        <v>@sergio_fajardo</v>
      </c>
      <c r="C3949" s="5" t="s">
        <v>16</v>
      </c>
      <c r="D3949" s="5" t="s">
        <v>3968</v>
      </c>
      <c r="E3949" s="6" t="str">
        <f>HYPERLINK("https://twitter.com/sergio_fajardo/status/1470185480268488706","1470185480268488706")</f>
        <v>1470185480268488706</v>
      </c>
      <c r="F3949" s="7" t="s">
        <v>17</v>
      </c>
      <c r="G3949" s="7">
        <v>1602133</v>
      </c>
      <c r="H3949" s="7">
        <v>636</v>
      </c>
      <c r="I3949" s="7">
        <v>8</v>
      </c>
      <c r="J3949" s="7">
        <v>0</v>
      </c>
      <c r="K3949" s="7" t="s">
        <v>18</v>
      </c>
      <c r="L3949" s="8">
        <v>39891.213356481479</v>
      </c>
      <c r="M3949" s="9" t="s">
        <v>19</v>
      </c>
      <c r="N3949" s="9" t="s">
        <v>22</v>
      </c>
      <c r="O3949" s="6" t="str">
        <f>HYPERLINK("https://pbs.twimg.com/profile_images/1433591977631748099/wuGDIimB_normal.jpg","View")</f>
        <v>View</v>
      </c>
      <c r="P3949" s="7"/>
    </row>
    <row r="3950" spans="1:16">
      <c r="A3950" s="3">
        <v>44543.253148148149</v>
      </c>
      <c r="B3950" s="4" t="str">
        <f>HYPERLINK("https://twitter.com/sergio_fajardo","@sergio_fajardo")</f>
        <v>@sergio_fajardo</v>
      </c>
      <c r="C3950" s="5" t="s">
        <v>16</v>
      </c>
      <c r="D3950" s="5" t="s">
        <v>3969</v>
      </c>
      <c r="E3950" s="6" t="str">
        <f>HYPERLINK("https://twitter.com/sergio_fajardo/status/1470190363444977666","1470190363444977666")</f>
        <v>1470190363444977666</v>
      </c>
      <c r="F3950" s="7" t="s">
        <v>17</v>
      </c>
      <c r="G3950" s="7">
        <v>1602136</v>
      </c>
      <c r="H3950" s="7">
        <v>636</v>
      </c>
      <c r="I3950" s="7">
        <v>8</v>
      </c>
      <c r="J3950" s="7">
        <v>0</v>
      </c>
      <c r="K3950" s="7" t="s">
        <v>18</v>
      </c>
      <c r="L3950" s="8">
        <v>39891.213356481479</v>
      </c>
      <c r="M3950" s="9" t="s">
        <v>19</v>
      </c>
      <c r="N3950" s="9" t="s">
        <v>22</v>
      </c>
      <c r="O3950" s="6" t="str">
        <f>HYPERLINK("https://pbs.twimg.com/profile_images/1433591977631748099/wuGDIimB_normal.jpg","View")</f>
        <v>View</v>
      </c>
      <c r="P3950" s="7"/>
    </row>
    <row r="3951" spans="1:16">
      <c r="A3951" s="3">
        <v>44543.253206018519</v>
      </c>
      <c r="B3951" s="4" t="str">
        <f>HYPERLINK("https://twitter.com/sergio_fajardo","@sergio_fajardo")</f>
        <v>@sergio_fajardo</v>
      </c>
      <c r="C3951" s="5" t="s">
        <v>16</v>
      </c>
      <c r="D3951" s="5" t="s">
        <v>3970</v>
      </c>
      <c r="E3951" s="6" t="str">
        <f>HYPERLINK("https://twitter.com/sergio_fajardo/status/1470190384248729600","1470190384248729600")</f>
        <v>1470190384248729600</v>
      </c>
      <c r="F3951" s="7" t="s">
        <v>17</v>
      </c>
      <c r="G3951" s="7">
        <v>1602136</v>
      </c>
      <c r="H3951" s="7">
        <v>636</v>
      </c>
      <c r="I3951" s="7">
        <v>10</v>
      </c>
      <c r="J3951" s="7">
        <v>0</v>
      </c>
      <c r="K3951" s="7" t="s">
        <v>18</v>
      </c>
      <c r="L3951" s="8">
        <v>39891.213356481479</v>
      </c>
      <c r="M3951" s="9" t="s">
        <v>19</v>
      </c>
      <c r="N3951" s="9" t="s">
        <v>22</v>
      </c>
      <c r="O3951" s="6" t="str">
        <f>HYPERLINK("https://pbs.twimg.com/profile_images/1433591977631748099/wuGDIimB_normal.jpg","View")</f>
        <v>View</v>
      </c>
      <c r="P3951" s="7"/>
    </row>
    <row r="3952" spans="1:16">
      <c r="A3952" s="3">
        <v>44543.259363425925</v>
      </c>
      <c r="B3952" s="4" t="str">
        <f>HYPERLINK("https://twitter.com/sergio_fajardo","@sergio_fajardo")</f>
        <v>@sergio_fajardo</v>
      </c>
      <c r="C3952" s="5" t="s">
        <v>16</v>
      </c>
      <c r="D3952" s="5" t="s">
        <v>3971</v>
      </c>
      <c r="E3952" s="6" t="str">
        <f>HYPERLINK("https://twitter.com/sergio_fajardo/status/1470192615761096705","1470192615761096705")</f>
        <v>1470192615761096705</v>
      </c>
      <c r="F3952" s="7" t="s">
        <v>17</v>
      </c>
      <c r="G3952" s="7">
        <v>1602136</v>
      </c>
      <c r="H3952" s="7">
        <v>636</v>
      </c>
      <c r="I3952" s="7">
        <v>24</v>
      </c>
      <c r="J3952" s="7">
        <v>52</v>
      </c>
      <c r="K3952" s="7" t="s">
        <v>18</v>
      </c>
      <c r="L3952" s="8">
        <v>39891.213356481479</v>
      </c>
      <c r="M3952" s="9" t="s">
        <v>19</v>
      </c>
      <c r="N3952" s="9" t="s">
        <v>22</v>
      </c>
      <c r="O3952" s="6" t="str">
        <f>HYPERLINK("https://pbs.twimg.com/profile_images/1433591977631748099/wuGDIimB_normal.jpg","View")</f>
        <v>View</v>
      </c>
      <c r="P3952" s="7"/>
    </row>
    <row r="3953" spans="1:16">
      <c r="A3953" s="3">
        <v>44543.265717592592</v>
      </c>
      <c r="B3953" s="4" t="str">
        <f>HYPERLINK("https://twitter.com/sergio_fajardo","@sergio_fajardo")</f>
        <v>@sergio_fajardo</v>
      </c>
      <c r="C3953" s="5" t="s">
        <v>16</v>
      </c>
      <c r="D3953" s="5" t="s">
        <v>3972</v>
      </c>
      <c r="E3953" s="6" t="str">
        <f>HYPERLINK("https://twitter.com/sergio_fajardo/status/1470194919776174089","1470194919776174089")</f>
        <v>1470194919776174089</v>
      </c>
      <c r="F3953" s="7" t="s">
        <v>17</v>
      </c>
      <c r="G3953" s="7">
        <v>1602136</v>
      </c>
      <c r="H3953" s="7">
        <v>636</v>
      </c>
      <c r="I3953" s="7">
        <v>11</v>
      </c>
      <c r="J3953" s="7">
        <v>59</v>
      </c>
      <c r="K3953" s="7" t="s">
        <v>18</v>
      </c>
      <c r="L3953" s="8">
        <v>39891.213356481479</v>
      </c>
      <c r="M3953" s="9" t="s">
        <v>19</v>
      </c>
      <c r="N3953" s="9" t="s">
        <v>22</v>
      </c>
      <c r="O3953" s="6" t="str">
        <f>HYPERLINK("https://pbs.twimg.com/profile_images/1433591977631748099/wuGDIimB_normal.jpg","View")</f>
        <v>View</v>
      </c>
      <c r="P3953" s="7"/>
    </row>
    <row r="3954" spans="1:16">
      <c r="A3954" s="3">
        <v>44543.267962962964</v>
      </c>
      <c r="B3954" s="4" t="str">
        <f>HYPERLINK("https://twitter.com/sergio_fajardo","@sergio_fajardo")</f>
        <v>@sergio_fajardo</v>
      </c>
      <c r="C3954" s="5" t="s">
        <v>16</v>
      </c>
      <c r="D3954" s="5" t="s">
        <v>3973</v>
      </c>
      <c r="E3954" s="6" t="str">
        <f>HYPERLINK("https://twitter.com/sergio_fajardo/status/1470195733953404940","1470195733953404940")</f>
        <v>1470195733953404940</v>
      </c>
      <c r="F3954" s="7" t="s">
        <v>17</v>
      </c>
      <c r="G3954" s="7">
        <v>1602136</v>
      </c>
      <c r="H3954" s="7">
        <v>636</v>
      </c>
      <c r="I3954" s="7">
        <v>13</v>
      </c>
      <c r="J3954" s="7">
        <v>44</v>
      </c>
      <c r="K3954" s="7" t="s">
        <v>18</v>
      </c>
      <c r="L3954" s="8">
        <v>39891.213356481479</v>
      </c>
      <c r="M3954" s="9" t="s">
        <v>19</v>
      </c>
      <c r="N3954" s="9" t="s">
        <v>22</v>
      </c>
      <c r="O3954" s="6" t="str">
        <f>HYPERLINK("https://pbs.twimg.com/profile_images/1433591977631748099/wuGDIimB_normal.jpg","View")</f>
        <v>View</v>
      </c>
      <c r="P3954" s="7"/>
    </row>
    <row r="3955" spans="1:16">
      <c r="A3955" s="3">
        <v>44543.268703703703</v>
      </c>
      <c r="B3955" s="4" t="str">
        <f>HYPERLINK("https://twitter.com/sergio_fajardo","@sergio_fajardo")</f>
        <v>@sergio_fajardo</v>
      </c>
      <c r="C3955" s="5" t="s">
        <v>16</v>
      </c>
      <c r="D3955" s="5" t="s">
        <v>3974</v>
      </c>
      <c r="E3955" s="6" t="str">
        <f>HYPERLINK("https://twitter.com/sergio_fajardo/status/1470196003294826502","1470196003294826502")</f>
        <v>1470196003294826502</v>
      </c>
      <c r="F3955" s="7" t="s">
        <v>17</v>
      </c>
      <c r="G3955" s="7">
        <v>1602136</v>
      </c>
      <c r="H3955" s="7">
        <v>636</v>
      </c>
      <c r="I3955" s="7">
        <v>6</v>
      </c>
      <c r="J3955" s="7">
        <v>0</v>
      </c>
      <c r="K3955" s="7" t="s">
        <v>18</v>
      </c>
      <c r="L3955" s="8">
        <v>39891.213356481479</v>
      </c>
      <c r="M3955" s="9" t="s">
        <v>19</v>
      </c>
      <c r="N3955" s="9" t="s">
        <v>22</v>
      </c>
      <c r="O3955" s="6" t="str">
        <f>HYPERLINK("https://pbs.twimg.com/profile_images/1433591977631748099/wuGDIimB_normal.jpg","View")</f>
        <v>View</v>
      </c>
      <c r="P3955" s="7"/>
    </row>
    <row r="3956" spans="1:16">
      <c r="A3956" s="3">
        <v>44543.268773148149</v>
      </c>
      <c r="B3956" s="4" t="str">
        <f>HYPERLINK("https://twitter.com/sergio_fajardo","@sergio_fajardo")</f>
        <v>@sergio_fajardo</v>
      </c>
      <c r="C3956" s="5" t="s">
        <v>16</v>
      </c>
      <c r="D3956" s="5" t="s">
        <v>3975</v>
      </c>
      <c r="E3956" s="6" t="str">
        <f>HYPERLINK("https://twitter.com/sergio_fajardo/status/1470196026720014340","1470196026720014340")</f>
        <v>1470196026720014340</v>
      </c>
      <c r="F3956" s="7" t="s">
        <v>17</v>
      </c>
      <c r="G3956" s="7">
        <v>1602136</v>
      </c>
      <c r="H3956" s="7">
        <v>636</v>
      </c>
      <c r="I3956" s="7">
        <v>5</v>
      </c>
      <c r="J3956" s="7">
        <v>0</v>
      </c>
      <c r="K3956" s="7" t="s">
        <v>18</v>
      </c>
      <c r="L3956" s="8">
        <v>39891.213356481479</v>
      </c>
      <c r="M3956" s="9" t="s">
        <v>19</v>
      </c>
      <c r="N3956" s="9" t="s">
        <v>22</v>
      </c>
      <c r="O3956" s="6" t="str">
        <f>HYPERLINK("https://pbs.twimg.com/profile_images/1433591977631748099/wuGDIimB_normal.jpg","View")</f>
        <v>View</v>
      </c>
      <c r="P3956" s="7"/>
    </row>
    <row r="3957" spans="1:16">
      <c r="A3957" s="3">
        <v>44543.268831018519</v>
      </c>
      <c r="B3957" s="4" t="str">
        <f>HYPERLINK("https://twitter.com/sergio_fajardo","@sergio_fajardo")</f>
        <v>@sergio_fajardo</v>
      </c>
      <c r="C3957" s="5" t="s">
        <v>16</v>
      </c>
      <c r="D3957" s="5" t="s">
        <v>3976</v>
      </c>
      <c r="E3957" s="6" t="str">
        <f>HYPERLINK("https://twitter.com/sergio_fajardo/status/1470196049600036866","1470196049600036866")</f>
        <v>1470196049600036866</v>
      </c>
      <c r="F3957" s="7" t="s">
        <v>17</v>
      </c>
      <c r="G3957" s="7">
        <v>1602136</v>
      </c>
      <c r="H3957" s="7">
        <v>636</v>
      </c>
      <c r="I3957" s="7">
        <v>4</v>
      </c>
      <c r="J3957" s="7">
        <v>0</v>
      </c>
      <c r="K3957" s="7" t="s">
        <v>18</v>
      </c>
      <c r="L3957" s="8">
        <v>39891.213356481479</v>
      </c>
      <c r="M3957" s="9" t="s">
        <v>19</v>
      </c>
      <c r="N3957" s="9" t="s">
        <v>22</v>
      </c>
      <c r="O3957" s="6" t="str">
        <f>HYPERLINK("https://pbs.twimg.com/profile_images/1433591977631748099/wuGDIimB_normal.jpg","View")</f>
        <v>View</v>
      </c>
      <c r="P3957" s="7"/>
    </row>
    <row r="3958" spans="1:16">
      <c r="A3958" s="3">
        <v>44543.269375000003</v>
      </c>
      <c r="B3958" s="4" t="str">
        <f>HYPERLINK("https://twitter.com/sergio_fajardo","@sergio_fajardo")</f>
        <v>@sergio_fajardo</v>
      </c>
      <c r="C3958" s="5" t="s">
        <v>16</v>
      </c>
      <c r="D3958" s="5" t="s">
        <v>3977</v>
      </c>
      <c r="E3958" s="6" t="str">
        <f>HYPERLINK("https://twitter.com/sergio_fajardo/status/1470196244249251850","1470196244249251850")</f>
        <v>1470196244249251850</v>
      </c>
      <c r="F3958" s="7" t="s">
        <v>17</v>
      </c>
      <c r="G3958" s="7">
        <v>1602136</v>
      </c>
      <c r="H3958" s="7">
        <v>636</v>
      </c>
      <c r="I3958" s="7">
        <v>3</v>
      </c>
      <c r="J3958" s="7">
        <v>0</v>
      </c>
      <c r="K3958" s="7" t="s">
        <v>18</v>
      </c>
      <c r="L3958" s="8">
        <v>39891.213356481479</v>
      </c>
      <c r="M3958" s="9" t="s">
        <v>19</v>
      </c>
      <c r="N3958" s="9" t="s">
        <v>22</v>
      </c>
      <c r="O3958" s="6" t="str">
        <f>HYPERLINK("https://pbs.twimg.com/profile_images/1433591977631748099/wuGDIimB_normal.jpg","View")</f>
        <v>View</v>
      </c>
      <c r="P3958" s="7"/>
    </row>
    <row r="3959" spans="1:16">
      <c r="A3959" s="3">
        <v>44543.26944444445</v>
      </c>
      <c r="B3959" s="4" t="str">
        <f>HYPERLINK("https://twitter.com/sergio_fajardo","@sergio_fajardo")</f>
        <v>@sergio_fajardo</v>
      </c>
      <c r="C3959" s="5" t="s">
        <v>16</v>
      </c>
      <c r="D3959" s="5" t="s">
        <v>3978</v>
      </c>
      <c r="E3959" s="6" t="str">
        <f>HYPERLINK("https://twitter.com/sergio_fajardo/status/1470196271411605506","1470196271411605506")</f>
        <v>1470196271411605506</v>
      </c>
      <c r="F3959" s="7" t="s">
        <v>17</v>
      </c>
      <c r="G3959" s="7">
        <v>1602136</v>
      </c>
      <c r="H3959" s="7">
        <v>636</v>
      </c>
      <c r="I3959" s="7">
        <v>5</v>
      </c>
      <c r="J3959" s="7">
        <v>0</v>
      </c>
      <c r="K3959" s="7" t="s">
        <v>18</v>
      </c>
      <c r="L3959" s="8">
        <v>39891.213356481479</v>
      </c>
      <c r="M3959" s="9" t="s">
        <v>19</v>
      </c>
      <c r="N3959" s="9" t="s">
        <v>22</v>
      </c>
      <c r="O3959" s="6" t="str">
        <f>HYPERLINK("https://pbs.twimg.com/profile_images/1433591977631748099/wuGDIimB_normal.jpg","View")</f>
        <v>View</v>
      </c>
      <c r="P3959" s="7"/>
    </row>
    <row r="3960" spans="1:16">
      <c r="A3960" s="3">
        <v>44543.269861111112</v>
      </c>
      <c r="B3960" s="4" t="str">
        <f>HYPERLINK("https://twitter.com/sergio_fajardo","@sergio_fajardo")</f>
        <v>@sergio_fajardo</v>
      </c>
      <c r="C3960" s="5" t="s">
        <v>16</v>
      </c>
      <c r="D3960" s="5" t="s">
        <v>3979</v>
      </c>
      <c r="E3960" s="6" t="str">
        <f>HYPERLINK("https://twitter.com/sergio_fajardo/status/1470196422397988865","1470196422397988865")</f>
        <v>1470196422397988865</v>
      </c>
      <c r="F3960" s="7" t="s">
        <v>17</v>
      </c>
      <c r="G3960" s="7">
        <v>1602136</v>
      </c>
      <c r="H3960" s="7">
        <v>636</v>
      </c>
      <c r="I3960" s="7">
        <v>5</v>
      </c>
      <c r="J3960" s="7">
        <v>0</v>
      </c>
      <c r="K3960" s="7" t="s">
        <v>18</v>
      </c>
      <c r="L3960" s="8">
        <v>39891.213356481479</v>
      </c>
      <c r="M3960" s="9" t="s">
        <v>19</v>
      </c>
      <c r="N3960" s="9" t="s">
        <v>22</v>
      </c>
      <c r="O3960" s="6" t="str">
        <f>HYPERLINK("https://pbs.twimg.com/profile_images/1433591977631748099/wuGDIimB_normal.jpg","View")</f>
        <v>View</v>
      </c>
      <c r="P3960" s="7"/>
    </row>
    <row r="3961" spans="1:16">
      <c r="A3961" s="3">
        <v>44543.270011574074</v>
      </c>
      <c r="B3961" s="4" t="str">
        <f>HYPERLINK("https://twitter.com/sergio_fajardo","@sergio_fajardo")</f>
        <v>@sergio_fajardo</v>
      </c>
      <c r="C3961" s="5" t="s">
        <v>16</v>
      </c>
      <c r="D3961" s="5" t="s">
        <v>3980</v>
      </c>
      <c r="E3961" s="6" t="str">
        <f>HYPERLINK("https://twitter.com/sergio_fajardo/status/1470196476093550599","1470196476093550599")</f>
        <v>1470196476093550599</v>
      </c>
      <c r="F3961" s="7" t="s">
        <v>17</v>
      </c>
      <c r="G3961" s="7">
        <v>1602136</v>
      </c>
      <c r="H3961" s="7">
        <v>636</v>
      </c>
      <c r="I3961" s="7">
        <v>4</v>
      </c>
      <c r="J3961" s="7">
        <v>0</v>
      </c>
      <c r="K3961" s="7" t="s">
        <v>18</v>
      </c>
      <c r="L3961" s="8">
        <v>39891.213356481479</v>
      </c>
      <c r="M3961" s="9" t="s">
        <v>19</v>
      </c>
      <c r="N3961" s="9" t="s">
        <v>22</v>
      </c>
      <c r="O3961" s="6" t="str">
        <f>HYPERLINK("https://pbs.twimg.com/profile_images/1433591977631748099/wuGDIimB_normal.jpg","View")</f>
        <v>View</v>
      </c>
      <c r="P3961" s="7"/>
    </row>
    <row r="3962" spans="1:16">
      <c r="A3962" s="3">
        <v>44543.27008101852</v>
      </c>
      <c r="B3962" s="4" t="str">
        <f>HYPERLINK("https://twitter.com/sergio_fajardo","@sergio_fajardo")</f>
        <v>@sergio_fajardo</v>
      </c>
      <c r="C3962" s="5" t="s">
        <v>16</v>
      </c>
      <c r="D3962" s="5" t="s">
        <v>3981</v>
      </c>
      <c r="E3962" s="6" t="str">
        <f>HYPERLINK("https://twitter.com/sergio_fajardo/status/1470196501758554117","1470196501758554117")</f>
        <v>1470196501758554117</v>
      </c>
      <c r="F3962" s="7" t="s">
        <v>17</v>
      </c>
      <c r="G3962" s="7">
        <v>1602136</v>
      </c>
      <c r="H3962" s="7">
        <v>636</v>
      </c>
      <c r="I3962" s="7">
        <v>6</v>
      </c>
      <c r="J3962" s="7">
        <v>0</v>
      </c>
      <c r="K3962" s="7" t="s">
        <v>18</v>
      </c>
      <c r="L3962" s="8">
        <v>39891.213356481479</v>
      </c>
      <c r="M3962" s="9" t="s">
        <v>19</v>
      </c>
      <c r="N3962" s="9" t="s">
        <v>22</v>
      </c>
      <c r="O3962" s="6" t="str">
        <f>HYPERLINK("https://pbs.twimg.com/profile_images/1433591977631748099/wuGDIimB_normal.jpg","View")</f>
        <v>View</v>
      </c>
      <c r="P3962" s="7"/>
    </row>
    <row r="3963" spans="1:16">
      <c r="A3963" s="3">
        <v>44543.270127314812</v>
      </c>
      <c r="B3963" s="4" t="str">
        <f>HYPERLINK("https://twitter.com/sergio_fajardo","@sergio_fajardo")</f>
        <v>@sergio_fajardo</v>
      </c>
      <c r="C3963" s="5" t="s">
        <v>16</v>
      </c>
      <c r="D3963" s="5" t="s">
        <v>3982</v>
      </c>
      <c r="E3963" s="6" t="str">
        <f>HYPERLINK("https://twitter.com/sergio_fajardo/status/1470196519890571267","1470196519890571267")</f>
        <v>1470196519890571267</v>
      </c>
      <c r="F3963" s="7" t="s">
        <v>17</v>
      </c>
      <c r="G3963" s="7">
        <v>1602136</v>
      </c>
      <c r="H3963" s="7">
        <v>636</v>
      </c>
      <c r="I3963" s="7">
        <v>8</v>
      </c>
      <c r="J3963" s="7">
        <v>0</v>
      </c>
      <c r="K3963" s="7" t="s">
        <v>18</v>
      </c>
      <c r="L3963" s="8">
        <v>39891.213356481479</v>
      </c>
      <c r="M3963" s="9" t="s">
        <v>19</v>
      </c>
      <c r="N3963" s="9" t="s">
        <v>22</v>
      </c>
      <c r="O3963" s="6" t="str">
        <f>HYPERLINK("https://pbs.twimg.com/profile_images/1433591977631748099/wuGDIimB_normal.jpg","View")</f>
        <v>View</v>
      </c>
      <c r="P3963" s="7"/>
    </row>
    <row r="3964" spans="1:16">
      <c r="A3964" s="3">
        <v>44543.27039351852</v>
      </c>
      <c r="B3964" s="4" t="str">
        <f>HYPERLINK("https://twitter.com/sergio_fajardo","@sergio_fajardo")</f>
        <v>@sergio_fajardo</v>
      </c>
      <c r="C3964" s="5" t="s">
        <v>16</v>
      </c>
      <c r="D3964" s="5" t="s">
        <v>3983</v>
      </c>
      <c r="E3964" s="6" t="str">
        <f>HYPERLINK("https://twitter.com/sergio_fajardo/status/1470196612924428288","1470196612924428288")</f>
        <v>1470196612924428288</v>
      </c>
      <c r="F3964" s="7" t="s">
        <v>17</v>
      </c>
      <c r="G3964" s="7">
        <v>1602136</v>
      </c>
      <c r="H3964" s="7">
        <v>636</v>
      </c>
      <c r="I3964" s="7">
        <v>8</v>
      </c>
      <c r="J3964" s="7">
        <v>0</v>
      </c>
      <c r="K3964" s="7" t="s">
        <v>18</v>
      </c>
      <c r="L3964" s="8">
        <v>39891.213356481479</v>
      </c>
      <c r="M3964" s="9" t="s">
        <v>19</v>
      </c>
      <c r="N3964" s="9" t="s">
        <v>22</v>
      </c>
      <c r="O3964" s="6" t="str">
        <f>HYPERLINK("https://pbs.twimg.com/profile_images/1433591977631748099/wuGDIimB_normal.jpg","View")</f>
        <v>View</v>
      </c>
      <c r="P3964" s="7"/>
    </row>
    <row r="3965" spans="1:16">
      <c r="A3965" s="3">
        <v>44543.271608796298</v>
      </c>
      <c r="B3965" s="4" t="str">
        <f>HYPERLINK("https://twitter.com/sergio_fajardo","@sergio_fajardo")</f>
        <v>@sergio_fajardo</v>
      </c>
      <c r="C3965" s="5" t="s">
        <v>16</v>
      </c>
      <c r="D3965" s="5" t="s">
        <v>3984</v>
      </c>
      <c r="E3965" s="6" t="str">
        <f>HYPERLINK("https://twitter.com/sergio_fajardo/status/1470197056673308673","1470197056673308673")</f>
        <v>1470197056673308673</v>
      </c>
      <c r="F3965" s="7" t="s">
        <v>17</v>
      </c>
      <c r="G3965" s="7">
        <v>1602136</v>
      </c>
      <c r="H3965" s="7">
        <v>636</v>
      </c>
      <c r="I3965" s="7">
        <v>3</v>
      </c>
      <c r="J3965" s="7">
        <v>0</v>
      </c>
      <c r="K3965" s="7" t="s">
        <v>18</v>
      </c>
      <c r="L3965" s="8">
        <v>39891.213356481479</v>
      </c>
      <c r="M3965" s="9" t="s">
        <v>19</v>
      </c>
      <c r="N3965" s="9" t="s">
        <v>22</v>
      </c>
      <c r="O3965" s="6" t="str">
        <f>HYPERLINK("https://pbs.twimg.com/profile_images/1433591977631748099/wuGDIimB_normal.jpg","View")</f>
        <v>View</v>
      </c>
      <c r="P3965" s="7"/>
    </row>
    <row r="3966" spans="1:16">
      <c r="A3966" s="3">
        <v>44543.271655092598</v>
      </c>
      <c r="B3966" s="4" t="str">
        <f>HYPERLINK("https://twitter.com/sergio_fajardo","@sergio_fajardo")</f>
        <v>@sergio_fajardo</v>
      </c>
      <c r="C3966" s="5" t="s">
        <v>16</v>
      </c>
      <c r="D3966" s="5" t="s">
        <v>3985</v>
      </c>
      <c r="E3966" s="6" t="str">
        <f>HYPERLINK("https://twitter.com/sergio_fajardo/status/1470197073177890825","1470197073177890825")</f>
        <v>1470197073177890825</v>
      </c>
      <c r="F3966" s="7" t="s">
        <v>17</v>
      </c>
      <c r="G3966" s="7">
        <v>1602136</v>
      </c>
      <c r="H3966" s="7">
        <v>636</v>
      </c>
      <c r="I3966" s="7">
        <v>4</v>
      </c>
      <c r="J3966" s="7">
        <v>0</v>
      </c>
      <c r="K3966" s="7" t="s">
        <v>18</v>
      </c>
      <c r="L3966" s="8">
        <v>39891.213356481479</v>
      </c>
      <c r="M3966" s="9" t="s">
        <v>19</v>
      </c>
      <c r="N3966" s="9" t="s">
        <v>22</v>
      </c>
      <c r="O3966" s="6" t="str">
        <f>HYPERLINK("https://pbs.twimg.com/profile_images/1433591977631748099/wuGDIimB_normal.jpg","View")</f>
        <v>View</v>
      </c>
      <c r="P3966" s="7"/>
    </row>
    <row r="3967" spans="1:16">
      <c r="A3967" s="3">
        <v>44543.276585648149</v>
      </c>
      <c r="B3967" s="4" t="str">
        <f>HYPERLINK("https://twitter.com/sergio_fajardo","@sergio_fajardo")</f>
        <v>@sergio_fajardo</v>
      </c>
      <c r="C3967" s="5" t="s">
        <v>16</v>
      </c>
      <c r="D3967" s="5" t="s">
        <v>3986</v>
      </c>
      <c r="E3967" s="6" t="str">
        <f>HYPERLINK("https://twitter.com/sergio_fajardo/status/1470198859964076036","1470198859964076036")</f>
        <v>1470198859964076036</v>
      </c>
      <c r="F3967" s="7" t="s">
        <v>17</v>
      </c>
      <c r="G3967" s="7">
        <v>1602133</v>
      </c>
      <c r="H3967" s="7">
        <v>636</v>
      </c>
      <c r="I3967" s="7">
        <v>6</v>
      </c>
      <c r="J3967" s="7">
        <v>44</v>
      </c>
      <c r="K3967" s="7" t="s">
        <v>18</v>
      </c>
      <c r="L3967" s="8">
        <v>39891.213356481479</v>
      </c>
      <c r="M3967" s="9" t="s">
        <v>19</v>
      </c>
      <c r="N3967" s="9" t="s">
        <v>22</v>
      </c>
      <c r="O3967" s="6" t="str">
        <f>HYPERLINK("https://pbs.twimg.com/profile_images/1433591977631748099/wuGDIimB_normal.jpg","View")</f>
        <v>View</v>
      </c>
      <c r="P3967" s="7"/>
    </row>
    <row r="3968" spans="1:16">
      <c r="A3968" s="3">
        <v>44543.278807870374</v>
      </c>
      <c r="B3968" s="4" t="str">
        <f>HYPERLINK("https://twitter.com/sergio_fajardo","@sergio_fajardo")</f>
        <v>@sergio_fajardo</v>
      </c>
      <c r="C3968" s="5" t="s">
        <v>16</v>
      </c>
      <c r="D3968" s="5" t="s">
        <v>3987</v>
      </c>
      <c r="E3968" s="6" t="str">
        <f>HYPERLINK("https://twitter.com/sergio_fajardo/status/1470199662909038592","1470199662909038592")</f>
        <v>1470199662909038592</v>
      </c>
      <c r="F3968" s="7" t="s">
        <v>17</v>
      </c>
      <c r="G3968" s="7">
        <v>1602133</v>
      </c>
      <c r="H3968" s="7">
        <v>636</v>
      </c>
      <c r="I3968" s="7">
        <v>3</v>
      </c>
      <c r="J3968" s="7">
        <v>0</v>
      </c>
      <c r="K3968" s="7" t="s">
        <v>18</v>
      </c>
      <c r="L3968" s="8">
        <v>39891.213356481479</v>
      </c>
      <c r="M3968" s="9" t="s">
        <v>19</v>
      </c>
      <c r="N3968" s="9" t="s">
        <v>22</v>
      </c>
      <c r="O3968" s="6" t="str">
        <f>HYPERLINK("https://pbs.twimg.com/profile_images/1433591977631748099/wuGDIimB_normal.jpg","View")</f>
        <v>View</v>
      </c>
      <c r="P3968" s="7"/>
    </row>
    <row r="3969" spans="1:16">
      <c r="A3969" s="3">
        <v>44543.279629629629</v>
      </c>
      <c r="B3969" s="4" t="str">
        <f>HYPERLINK("https://twitter.com/sergio_fajardo","@sergio_fajardo")</f>
        <v>@sergio_fajardo</v>
      </c>
      <c r="C3969" s="5" t="s">
        <v>16</v>
      </c>
      <c r="D3969" s="5" t="s">
        <v>3988</v>
      </c>
      <c r="E3969" s="6" t="str">
        <f>HYPERLINK("https://twitter.com/sergio_fajardo/status/1470199963221114883","1470199963221114883")</f>
        <v>1470199963221114883</v>
      </c>
      <c r="F3969" s="7" t="s">
        <v>17</v>
      </c>
      <c r="G3969" s="7">
        <v>1602133</v>
      </c>
      <c r="H3969" s="7">
        <v>636</v>
      </c>
      <c r="I3969" s="7">
        <v>5</v>
      </c>
      <c r="J3969" s="7">
        <v>0</v>
      </c>
      <c r="K3969" s="7" t="s">
        <v>18</v>
      </c>
      <c r="L3969" s="8">
        <v>39891.213356481479</v>
      </c>
      <c r="M3969" s="9" t="s">
        <v>19</v>
      </c>
      <c r="N3969" s="9" t="s">
        <v>22</v>
      </c>
      <c r="O3969" s="6" t="str">
        <f>HYPERLINK("https://pbs.twimg.com/profile_images/1433591977631748099/wuGDIimB_normal.jpg","View")</f>
        <v>View</v>
      </c>
      <c r="P3969" s="7"/>
    </row>
    <row r="3970" spans="1:16">
      <c r="A3970" s="3">
        <v>44543.28126157407</v>
      </c>
      <c r="B3970" s="4" t="str">
        <f>HYPERLINK("https://twitter.com/sergio_fajardo","@sergio_fajardo")</f>
        <v>@sergio_fajardo</v>
      </c>
      <c r="C3970" s="5" t="s">
        <v>16</v>
      </c>
      <c r="D3970" s="5" t="s">
        <v>3989</v>
      </c>
      <c r="E3970" s="6" t="str">
        <f>HYPERLINK("https://twitter.com/sergio_fajardo/status/1470200552072093697","1470200552072093697")</f>
        <v>1470200552072093697</v>
      </c>
      <c r="F3970" s="7" t="s">
        <v>17</v>
      </c>
      <c r="G3970" s="7">
        <v>1602133</v>
      </c>
      <c r="H3970" s="7">
        <v>636</v>
      </c>
      <c r="I3970" s="7">
        <v>2</v>
      </c>
      <c r="J3970" s="7">
        <v>0</v>
      </c>
      <c r="K3970" s="7" t="s">
        <v>18</v>
      </c>
      <c r="L3970" s="8">
        <v>39891.213356481479</v>
      </c>
      <c r="M3970" s="9" t="s">
        <v>19</v>
      </c>
      <c r="N3970" s="9" t="s">
        <v>22</v>
      </c>
      <c r="O3970" s="6" t="str">
        <f>HYPERLINK("https://pbs.twimg.com/profile_images/1433591977631748099/wuGDIimB_normal.jpg","View")</f>
        <v>View</v>
      </c>
      <c r="P3970" s="7"/>
    </row>
    <row r="3971" spans="1:16">
      <c r="A3971" s="3">
        <v>44543.282754629632</v>
      </c>
      <c r="B3971" s="4" t="str">
        <f>HYPERLINK("https://twitter.com/sergio_fajardo","@sergio_fajardo")</f>
        <v>@sergio_fajardo</v>
      </c>
      <c r="C3971" s="5" t="s">
        <v>16</v>
      </c>
      <c r="D3971" s="5" t="s">
        <v>3990</v>
      </c>
      <c r="E3971" s="6" t="str">
        <f>HYPERLINK("https://twitter.com/sergio_fajardo/status/1470201093049262080","1470201093049262080")</f>
        <v>1470201093049262080</v>
      </c>
      <c r="F3971" s="7" t="s">
        <v>17</v>
      </c>
      <c r="G3971" s="7">
        <v>1602133</v>
      </c>
      <c r="H3971" s="7">
        <v>636</v>
      </c>
      <c r="I3971" s="7">
        <v>7</v>
      </c>
      <c r="J3971" s="7">
        <v>0</v>
      </c>
      <c r="K3971" s="7" t="s">
        <v>18</v>
      </c>
      <c r="L3971" s="8">
        <v>39891.213356481479</v>
      </c>
      <c r="M3971" s="9" t="s">
        <v>19</v>
      </c>
      <c r="N3971" s="9" t="s">
        <v>22</v>
      </c>
      <c r="O3971" s="6" t="str">
        <f>HYPERLINK("https://pbs.twimg.com/profile_images/1433591977631748099/wuGDIimB_normal.jpg","View")</f>
        <v>View</v>
      </c>
      <c r="P3971" s="7"/>
    </row>
    <row r="3972" spans="1:16">
      <c r="A3972" s="3">
        <v>44543.283703703702</v>
      </c>
      <c r="B3972" s="4" t="str">
        <f>HYPERLINK("https://twitter.com/sergio_fajardo","@sergio_fajardo")</f>
        <v>@sergio_fajardo</v>
      </c>
      <c r="C3972" s="5" t="s">
        <v>16</v>
      </c>
      <c r="D3972" s="5" t="s">
        <v>3991</v>
      </c>
      <c r="E3972" s="6" t="str">
        <f>HYPERLINK("https://twitter.com/sergio_fajardo/status/1470201436470394882","1470201436470394882")</f>
        <v>1470201436470394882</v>
      </c>
      <c r="F3972" s="7" t="s">
        <v>17</v>
      </c>
      <c r="G3972" s="7">
        <v>1602133</v>
      </c>
      <c r="H3972" s="7">
        <v>636</v>
      </c>
      <c r="I3972" s="7">
        <v>7</v>
      </c>
      <c r="J3972" s="7">
        <v>0</v>
      </c>
      <c r="K3972" s="7" t="s">
        <v>18</v>
      </c>
      <c r="L3972" s="8">
        <v>39891.213356481479</v>
      </c>
      <c r="M3972" s="9" t="s">
        <v>19</v>
      </c>
      <c r="N3972" s="9" t="s">
        <v>22</v>
      </c>
      <c r="O3972" s="6" t="str">
        <f>HYPERLINK("https://pbs.twimg.com/profile_images/1433591977631748099/wuGDIimB_normal.jpg","View")</f>
        <v>View</v>
      </c>
      <c r="P3972" s="7"/>
    </row>
    <row r="3973" spans="1:16">
      <c r="A3973" s="3">
        <v>44543.283773148149</v>
      </c>
      <c r="B3973" s="4" t="str">
        <f>HYPERLINK("https://twitter.com/sergio_fajardo","@sergio_fajardo")</f>
        <v>@sergio_fajardo</v>
      </c>
      <c r="C3973" s="5" t="s">
        <v>16</v>
      </c>
      <c r="D3973" s="5" t="s">
        <v>3992</v>
      </c>
      <c r="E3973" s="6" t="str">
        <f>HYPERLINK("https://twitter.com/sergio_fajardo/status/1470201463553110016","1470201463553110016")</f>
        <v>1470201463553110016</v>
      </c>
      <c r="F3973" s="7" t="s">
        <v>17</v>
      </c>
      <c r="G3973" s="7">
        <v>1602133</v>
      </c>
      <c r="H3973" s="7">
        <v>636</v>
      </c>
      <c r="I3973" s="7">
        <v>9</v>
      </c>
      <c r="J3973" s="7">
        <v>0</v>
      </c>
      <c r="K3973" s="7" t="s">
        <v>18</v>
      </c>
      <c r="L3973" s="8">
        <v>39891.213356481479</v>
      </c>
      <c r="M3973" s="9" t="s">
        <v>19</v>
      </c>
      <c r="N3973" s="9" t="s">
        <v>22</v>
      </c>
      <c r="O3973" s="6" t="str">
        <f>HYPERLINK("https://pbs.twimg.com/profile_images/1433591977631748099/wuGDIimB_normal.jpg","View")</f>
        <v>View</v>
      </c>
      <c r="P3973" s="7"/>
    </row>
    <row r="3974" spans="1:16">
      <c r="A3974" s="3">
        <v>44543.291967592595</v>
      </c>
      <c r="B3974" s="4" t="str">
        <f>HYPERLINK("https://twitter.com/sergio_fajardo","@sergio_fajardo")</f>
        <v>@sergio_fajardo</v>
      </c>
      <c r="C3974" s="5" t="s">
        <v>16</v>
      </c>
      <c r="D3974" s="5" t="s">
        <v>3993</v>
      </c>
      <c r="E3974" s="6" t="str">
        <f>HYPERLINK("https://twitter.com/sergio_fajardo/status/1470204432466038789","1470204432466038789")</f>
        <v>1470204432466038789</v>
      </c>
      <c r="F3974" s="7" t="s">
        <v>17</v>
      </c>
      <c r="G3974" s="7">
        <v>1602133</v>
      </c>
      <c r="H3974" s="7">
        <v>636</v>
      </c>
      <c r="I3974" s="7">
        <v>2</v>
      </c>
      <c r="J3974" s="7">
        <v>0</v>
      </c>
      <c r="K3974" s="7" t="s">
        <v>18</v>
      </c>
      <c r="L3974" s="8">
        <v>39891.213356481479</v>
      </c>
      <c r="M3974" s="9" t="s">
        <v>19</v>
      </c>
      <c r="N3974" s="9" t="s">
        <v>22</v>
      </c>
      <c r="O3974" s="6" t="str">
        <f>HYPERLINK("https://pbs.twimg.com/profile_images/1433591977631748099/wuGDIimB_normal.jpg","View")</f>
        <v>View</v>
      </c>
      <c r="P3974" s="7"/>
    </row>
    <row r="3975" spans="1:16">
      <c r="A3975" s="3">
        <v>44543.301979166667</v>
      </c>
      <c r="B3975" s="4" t="str">
        <f>HYPERLINK("https://twitter.com/sergio_fajardo","@sergio_fajardo")</f>
        <v>@sergio_fajardo</v>
      </c>
      <c r="C3975" s="5" t="s">
        <v>16</v>
      </c>
      <c r="D3975" s="5" t="s">
        <v>3994</v>
      </c>
      <c r="E3975" s="6" t="str">
        <f>HYPERLINK("https://twitter.com/sergio_fajardo/status/1470208058961891331","1470208058961891331")</f>
        <v>1470208058961891331</v>
      </c>
      <c r="F3975" s="7" t="s">
        <v>17</v>
      </c>
      <c r="G3975" s="7">
        <v>1602136</v>
      </c>
      <c r="H3975" s="7">
        <v>636</v>
      </c>
      <c r="I3975" s="7">
        <v>10</v>
      </c>
      <c r="J3975" s="7">
        <v>46</v>
      </c>
      <c r="K3975" s="7" t="s">
        <v>18</v>
      </c>
      <c r="L3975" s="8">
        <v>39891.213356481479</v>
      </c>
      <c r="M3975" s="9" t="s">
        <v>19</v>
      </c>
      <c r="N3975" s="9" t="s">
        <v>22</v>
      </c>
      <c r="O3975" s="6" t="str">
        <f>HYPERLINK("https://pbs.twimg.com/profile_images/1433591977631748099/wuGDIimB_normal.jpg","View")</f>
        <v>View</v>
      </c>
      <c r="P3975" s="7"/>
    </row>
    <row r="3976" spans="1:16">
      <c r="A3976" s="3">
        <v>44543.304513888885</v>
      </c>
      <c r="B3976" s="4" t="str">
        <f>HYPERLINK("https://twitter.com/sergio_fajardo","@sergio_fajardo")</f>
        <v>@sergio_fajardo</v>
      </c>
      <c r="C3976" s="5" t="s">
        <v>16</v>
      </c>
      <c r="D3976" s="5" t="s">
        <v>3995</v>
      </c>
      <c r="E3976" s="6" t="str">
        <f>HYPERLINK("https://twitter.com/sergio_fajardo/status/1470208980605620225","1470208980605620225")</f>
        <v>1470208980605620225</v>
      </c>
      <c r="F3976" s="7" t="s">
        <v>17</v>
      </c>
      <c r="G3976" s="7">
        <v>1602136</v>
      </c>
      <c r="H3976" s="7">
        <v>636</v>
      </c>
      <c r="I3976" s="7">
        <v>4</v>
      </c>
      <c r="J3976" s="7">
        <v>0</v>
      </c>
      <c r="K3976" s="7" t="s">
        <v>18</v>
      </c>
      <c r="L3976" s="8">
        <v>39891.213356481479</v>
      </c>
      <c r="M3976" s="9" t="s">
        <v>19</v>
      </c>
      <c r="N3976" s="9" t="s">
        <v>22</v>
      </c>
      <c r="O3976" s="6" t="str">
        <f>HYPERLINK("https://pbs.twimg.com/profile_images/1433591977631748099/wuGDIimB_normal.jpg","View")</f>
        <v>View</v>
      </c>
      <c r="P3976" s="7"/>
    </row>
    <row r="3977" spans="1:16">
      <c r="A3977" s="3">
        <v>44543.320011574076</v>
      </c>
      <c r="B3977" s="4" t="str">
        <f>HYPERLINK("https://twitter.com/sergio_fajardo","@sergio_fajardo")</f>
        <v>@sergio_fajardo</v>
      </c>
      <c r="C3977" s="5" t="s">
        <v>16</v>
      </c>
      <c r="D3977" s="5" t="s">
        <v>3996</v>
      </c>
      <c r="E3977" s="6" t="str">
        <f>HYPERLINK("https://twitter.com/sergio_fajardo/status/1470214595029741569","1470214595029741569")</f>
        <v>1470214595029741569</v>
      </c>
      <c r="F3977" s="7" t="s">
        <v>17</v>
      </c>
      <c r="G3977" s="7">
        <v>1602140</v>
      </c>
      <c r="H3977" s="7">
        <v>636</v>
      </c>
      <c r="I3977" s="7">
        <v>5</v>
      </c>
      <c r="J3977" s="7">
        <v>33</v>
      </c>
      <c r="K3977" s="7" t="s">
        <v>18</v>
      </c>
      <c r="L3977" s="8">
        <v>39891.213356481479</v>
      </c>
      <c r="M3977" s="9" t="s">
        <v>19</v>
      </c>
      <c r="N3977" s="9" t="s">
        <v>22</v>
      </c>
      <c r="O3977" s="6" t="str">
        <f>HYPERLINK("https://pbs.twimg.com/profile_images/1433591977631748099/wuGDIimB_normal.jpg","View")</f>
        <v>View</v>
      </c>
      <c r="P3977" s="7"/>
    </row>
    <row r="3978" spans="1:16">
      <c r="A3978" s="3">
        <v>44543.345208333332</v>
      </c>
      <c r="B3978" s="4" t="str">
        <f>HYPERLINK("https://twitter.com/sergio_fajardo","@sergio_fajardo")</f>
        <v>@sergio_fajardo</v>
      </c>
      <c r="C3978" s="5" t="s">
        <v>16</v>
      </c>
      <c r="D3978" s="5" t="s">
        <v>3997</v>
      </c>
      <c r="E3978" s="6" t="str">
        <f>HYPERLINK("https://twitter.com/sergio_fajardo/status/1470223727690498056","1470223727690498056")</f>
        <v>1470223727690498056</v>
      </c>
      <c r="F3978" s="7" t="s">
        <v>17</v>
      </c>
      <c r="G3978" s="7">
        <v>1602135</v>
      </c>
      <c r="H3978" s="7">
        <v>636</v>
      </c>
      <c r="I3978" s="7">
        <v>9</v>
      </c>
      <c r="J3978" s="7">
        <v>52</v>
      </c>
      <c r="K3978" s="7" t="s">
        <v>18</v>
      </c>
      <c r="L3978" s="8">
        <v>39891.213356481479</v>
      </c>
      <c r="M3978" s="9" t="s">
        <v>19</v>
      </c>
      <c r="N3978" s="9" t="s">
        <v>22</v>
      </c>
      <c r="O3978" s="6" t="str">
        <f>HYPERLINK("https://pbs.twimg.com/profile_images/1433591977631748099/wuGDIimB_normal.jpg","View")</f>
        <v>View</v>
      </c>
      <c r="P3978" s="7"/>
    </row>
    <row r="3979" spans="1:16">
      <c r="A3979" s="3">
        <v>44543.347094907411</v>
      </c>
      <c r="B3979" s="4" t="str">
        <f>HYPERLINK("https://twitter.com/sergio_fajardo","@sergio_fajardo")</f>
        <v>@sergio_fajardo</v>
      </c>
      <c r="C3979" s="5" t="s">
        <v>16</v>
      </c>
      <c r="D3979" s="5" t="s">
        <v>3998</v>
      </c>
      <c r="E3979" s="6" t="str">
        <f>HYPERLINK("https://twitter.com/sergio_fajardo/status/1470224409617211401","1470224409617211401")</f>
        <v>1470224409617211401</v>
      </c>
      <c r="F3979" s="7" t="s">
        <v>17</v>
      </c>
      <c r="G3979" s="7">
        <v>1602135</v>
      </c>
      <c r="H3979" s="7">
        <v>636</v>
      </c>
      <c r="I3979" s="7">
        <v>8</v>
      </c>
      <c r="J3979" s="7">
        <v>0</v>
      </c>
      <c r="K3979" s="7" t="s">
        <v>18</v>
      </c>
      <c r="L3979" s="8">
        <v>39891.213356481479</v>
      </c>
      <c r="M3979" s="9" t="s">
        <v>19</v>
      </c>
      <c r="N3979" s="9" t="s">
        <v>22</v>
      </c>
      <c r="O3979" s="6" t="str">
        <f>HYPERLINK("https://pbs.twimg.com/profile_images/1433591977631748099/wuGDIimB_normal.jpg","View")</f>
        <v>View</v>
      </c>
      <c r="P3979" s="7"/>
    </row>
    <row r="3980" spans="1:16">
      <c r="A3980" s="3">
        <v>44543.347604166665</v>
      </c>
      <c r="B3980" s="4" t="str">
        <f>HYPERLINK("https://twitter.com/sergio_fajardo","@sergio_fajardo")</f>
        <v>@sergio_fajardo</v>
      </c>
      <c r="C3980" s="5" t="s">
        <v>16</v>
      </c>
      <c r="D3980" s="5" t="s">
        <v>3999</v>
      </c>
      <c r="E3980" s="6" t="str">
        <f>HYPERLINK("https://twitter.com/sergio_fajardo/status/1470224593352802305","1470224593352802305")</f>
        <v>1470224593352802305</v>
      </c>
      <c r="F3980" s="7" t="s">
        <v>17</v>
      </c>
      <c r="G3980" s="7">
        <v>1602135</v>
      </c>
      <c r="H3980" s="7">
        <v>636</v>
      </c>
      <c r="I3980" s="7">
        <v>2</v>
      </c>
      <c r="J3980" s="7">
        <v>0</v>
      </c>
      <c r="K3980" s="7" t="s">
        <v>18</v>
      </c>
      <c r="L3980" s="8">
        <v>39891.213356481479</v>
      </c>
      <c r="M3980" s="9" t="s">
        <v>19</v>
      </c>
      <c r="N3980" s="9" t="s">
        <v>22</v>
      </c>
      <c r="O3980" s="6" t="str">
        <f>HYPERLINK("https://pbs.twimg.com/profile_images/1433591977631748099/wuGDIimB_normal.jpg","View")</f>
        <v>View</v>
      </c>
      <c r="P3980" s="7"/>
    </row>
    <row r="3981" spans="1:16">
      <c r="A3981" s="3">
        <v>44543.347719907411</v>
      </c>
      <c r="B3981" s="4" t="str">
        <f>HYPERLINK("https://twitter.com/sergio_fajardo","@sergio_fajardo")</f>
        <v>@sergio_fajardo</v>
      </c>
      <c r="C3981" s="5" t="s">
        <v>16</v>
      </c>
      <c r="D3981" s="5" t="s">
        <v>4000</v>
      </c>
      <c r="E3981" s="6" t="str">
        <f>HYPERLINK("https://twitter.com/sergio_fajardo/status/1470224635774095370","1470224635774095370")</f>
        <v>1470224635774095370</v>
      </c>
      <c r="F3981" s="7" t="s">
        <v>17</v>
      </c>
      <c r="G3981" s="7">
        <v>1602135</v>
      </c>
      <c r="H3981" s="7">
        <v>636</v>
      </c>
      <c r="I3981" s="7">
        <v>2</v>
      </c>
      <c r="J3981" s="7">
        <v>0</v>
      </c>
      <c r="K3981" s="7" t="s">
        <v>18</v>
      </c>
      <c r="L3981" s="8">
        <v>39891.213356481479</v>
      </c>
      <c r="M3981" s="9" t="s">
        <v>19</v>
      </c>
      <c r="N3981" s="9" t="s">
        <v>22</v>
      </c>
      <c r="O3981" s="6" t="str">
        <f>HYPERLINK("https://pbs.twimg.com/profile_images/1433591977631748099/wuGDIimB_normal.jpg","View")</f>
        <v>View</v>
      </c>
      <c r="P3981" s="7"/>
    </row>
    <row r="3982" spans="1:16">
      <c r="A3982" s="3">
        <v>44543.347766203704</v>
      </c>
      <c r="B3982" s="4" t="str">
        <f>HYPERLINK("https://twitter.com/sergio_fajardo","@sergio_fajardo")</f>
        <v>@sergio_fajardo</v>
      </c>
      <c r="C3982" s="5" t="s">
        <v>16</v>
      </c>
      <c r="D3982" s="5" t="s">
        <v>4001</v>
      </c>
      <c r="E3982" s="6" t="str">
        <f>HYPERLINK("https://twitter.com/sergio_fajardo/status/1470224652714786819","1470224652714786819")</f>
        <v>1470224652714786819</v>
      </c>
      <c r="F3982" s="7" t="s">
        <v>17</v>
      </c>
      <c r="G3982" s="7">
        <v>1602135</v>
      </c>
      <c r="H3982" s="7">
        <v>636</v>
      </c>
      <c r="I3982" s="7">
        <v>3</v>
      </c>
      <c r="J3982" s="7">
        <v>0</v>
      </c>
      <c r="K3982" s="7" t="s">
        <v>18</v>
      </c>
      <c r="L3982" s="8">
        <v>39891.213356481479</v>
      </c>
      <c r="M3982" s="9" t="s">
        <v>19</v>
      </c>
      <c r="N3982" s="9" t="s">
        <v>22</v>
      </c>
      <c r="O3982" s="6" t="str">
        <f>HYPERLINK("https://pbs.twimg.com/profile_images/1433591977631748099/wuGDIimB_normal.jpg","View")</f>
        <v>View</v>
      </c>
      <c r="P3982" s="7"/>
    </row>
    <row r="3983" spans="1:16">
      <c r="A3983" s="3">
        <v>44543.348159722227</v>
      </c>
      <c r="B3983" s="4" t="str">
        <f>HYPERLINK("https://twitter.com/sergio_fajardo","@sergio_fajardo")</f>
        <v>@sergio_fajardo</v>
      </c>
      <c r="C3983" s="5" t="s">
        <v>16</v>
      </c>
      <c r="D3983" s="5" t="s">
        <v>4002</v>
      </c>
      <c r="E3983" s="6" t="str">
        <f>HYPERLINK("https://twitter.com/sergio_fajardo/status/1470224794117447680","1470224794117447680")</f>
        <v>1470224794117447680</v>
      </c>
      <c r="F3983" s="7" t="s">
        <v>17</v>
      </c>
      <c r="G3983" s="7">
        <v>1602135</v>
      </c>
      <c r="H3983" s="7">
        <v>636</v>
      </c>
      <c r="I3983" s="7">
        <v>6</v>
      </c>
      <c r="J3983" s="7">
        <v>0</v>
      </c>
      <c r="K3983" s="7" t="s">
        <v>18</v>
      </c>
      <c r="L3983" s="8">
        <v>39891.213356481479</v>
      </c>
      <c r="M3983" s="9" t="s">
        <v>19</v>
      </c>
      <c r="N3983" s="9" t="s">
        <v>22</v>
      </c>
      <c r="O3983" s="6" t="str">
        <f>HYPERLINK("https://pbs.twimg.com/profile_images/1433591977631748099/wuGDIimB_normal.jpg","View")</f>
        <v>View</v>
      </c>
      <c r="P3983" s="7"/>
    </row>
    <row r="3984" spans="1:16">
      <c r="A3984" s="3">
        <v>44543.375173611115</v>
      </c>
      <c r="B3984" s="4" t="str">
        <f>HYPERLINK("https://twitter.com/sergio_fajardo","@sergio_fajardo")</f>
        <v>@sergio_fajardo</v>
      </c>
      <c r="C3984" s="5" t="s">
        <v>16</v>
      </c>
      <c r="D3984" s="5" t="s">
        <v>4003</v>
      </c>
      <c r="E3984" s="6" t="str">
        <f>HYPERLINK("https://twitter.com/sergio_fajardo/status/1470234586621923328","1470234586621923328")</f>
        <v>1470234586621923328</v>
      </c>
      <c r="F3984" s="7" t="s">
        <v>23</v>
      </c>
      <c r="G3984" s="7">
        <v>1602131</v>
      </c>
      <c r="H3984" s="7">
        <v>636</v>
      </c>
      <c r="I3984" s="7">
        <v>6</v>
      </c>
      <c r="J3984" s="7">
        <v>0</v>
      </c>
      <c r="K3984" s="7" t="s">
        <v>18</v>
      </c>
      <c r="L3984" s="8">
        <v>39891.213356481479</v>
      </c>
      <c r="M3984" s="9" t="s">
        <v>19</v>
      </c>
      <c r="N3984" s="9" t="s">
        <v>22</v>
      </c>
      <c r="O3984" s="6" t="str">
        <f>HYPERLINK("https://pbs.twimg.com/profile_images/1433591977631748099/wuGDIimB_normal.jpg","View")</f>
        <v>View</v>
      </c>
      <c r="P3984" s="7"/>
    </row>
    <row r="3985" spans="1:16">
      <c r="A3985" s="3">
        <v>44543.377129629633</v>
      </c>
      <c r="B3985" s="4" t="str">
        <f>HYPERLINK("https://twitter.com/sergio_fajardo","@sergio_fajardo")</f>
        <v>@sergio_fajardo</v>
      </c>
      <c r="C3985" s="5" t="s">
        <v>16</v>
      </c>
      <c r="D3985" s="5" t="s">
        <v>4004</v>
      </c>
      <c r="E3985" s="6" t="str">
        <f>HYPERLINK("https://twitter.com/sergio_fajardo/status/1470235292368048128","1470235292368048128")</f>
        <v>1470235292368048128</v>
      </c>
      <c r="F3985" s="7" t="s">
        <v>23</v>
      </c>
      <c r="G3985" s="7">
        <v>1602126</v>
      </c>
      <c r="H3985" s="7">
        <v>636</v>
      </c>
      <c r="I3985" s="7">
        <v>1</v>
      </c>
      <c r="J3985" s="7">
        <v>0</v>
      </c>
      <c r="K3985" s="7" t="s">
        <v>18</v>
      </c>
      <c r="L3985" s="8">
        <v>39891.213356481479</v>
      </c>
      <c r="M3985" s="9" t="s">
        <v>19</v>
      </c>
      <c r="N3985" s="9" t="s">
        <v>22</v>
      </c>
      <c r="O3985" s="6" t="str">
        <f>HYPERLINK("https://pbs.twimg.com/profile_images/1433591977631748099/wuGDIimB_normal.jpg","View")</f>
        <v>View</v>
      </c>
      <c r="P3985" s="7"/>
    </row>
    <row r="3986" spans="1:16">
      <c r="A3986" s="3">
        <v>44543.378402777773</v>
      </c>
      <c r="B3986" s="4" t="str">
        <f>HYPERLINK("https://twitter.com/sergio_fajardo","@sergio_fajardo")</f>
        <v>@sergio_fajardo</v>
      </c>
      <c r="C3986" s="5" t="s">
        <v>16</v>
      </c>
      <c r="D3986" s="5" t="s">
        <v>4005</v>
      </c>
      <c r="E3986" s="6" t="str">
        <f>HYPERLINK("https://twitter.com/sergio_fajardo/status/1470235756522319875","1470235756522319875")</f>
        <v>1470235756522319875</v>
      </c>
      <c r="F3986" s="7" t="s">
        <v>23</v>
      </c>
      <c r="G3986" s="7">
        <v>1602126</v>
      </c>
      <c r="H3986" s="7">
        <v>636</v>
      </c>
      <c r="I3986" s="7">
        <v>9</v>
      </c>
      <c r="J3986" s="7">
        <v>0</v>
      </c>
      <c r="K3986" s="7" t="s">
        <v>18</v>
      </c>
      <c r="L3986" s="8">
        <v>39891.213356481479</v>
      </c>
      <c r="M3986" s="9" t="s">
        <v>19</v>
      </c>
      <c r="N3986" s="9" t="s">
        <v>22</v>
      </c>
      <c r="O3986" s="6" t="str">
        <f>HYPERLINK("https://pbs.twimg.com/profile_images/1433591977631748099/wuGDIimB_normal.jpg","View")</f>
        <v>View</v>
      </c>
      <c r="P3986" s="7"/>
    </row>
    <row r="3987" spans="1:16">
      <c r="A3987" s="3">
        <v>44543.37881944445</v>
      </c>
      <c r="B3987" s="4" t="str">
        <f>HYPERLINK("https://twitter.com/sergio_fajardo","@sergio_fajardo")</f>
        <v>@sergio_fajardo</v>
      </c>
      <c r="C3987" s="5" t="s">
        <v>16</v>
      </c>
      <c r="D3987" s="5" t="s">
        <v>4006</v>
      </c>
      <c r="E3987" s="6" t="str">
        <f>HYPERLINK("https://twitter.com/sergio_fajardo/status/1470235908163223556","1470235908163223556")</f>
        <v>1470235908163223556</v>
      </c>
      <c r="F3987" s="7" t="s">
        <v>23</v>
      </c>
      <c r="G3987" s="7">
        <v>1602126</v>
      </c>
      <c r="H3987" s="7">
        <v>636</v>
      </c>
      <c r="I3987" s="7">
        <v>12</v>
      </c>
      <c r="J3987" s="7">
        <v>0</v>
      </c>
      <c r="K3987" s="7" t="s">
        <v>18</v>
      </c>
      <c r="L3987" s="8">
        <v>39891.213356481479</v>
      </c>
      <c r="M3987" s="9" t="s">
        <v>19</v>
      </c>
      <c r="N3987" s="9" t="s">
        <v>22</v>
      </c>
      <c r="O3987" s="6" t="str">
        <f>HYPERLINK("https://pbs.twimg.com/profile_images/1433591977631748099/wuGDIimB_normal.jpg","View")</f>
        <v>View</v>
      </c>
      <c r="P3987" s="7"/>
    </row>
    <row r="3988" spans="1:16">
      <c r="A3988" s="3">
        <v>44543.771423611106</v>
      </c>
      <c r="B3988" s="4" t="str">
        <f>HYPERLINK("https://twitter.com/sergio_fajardo","@sergio_fajardo")</f>
        <v>@sergio_fajardo</v>
      </c>
      <c r="C3988" s="5" t="s">
        <v>16</v>
      </c>
      <c r="D3988" s="5" t="s">
        <v>4007</v>
      </c>
      <c r="E3988" s="6" t="str">
        <f>HYPERLINK("https://twitter.com/sergio_fajardo/status/1470378183337857027","1470378183337857027")</f>
        <v>1470378183337857027</v>
      </c>
      <c r="F3988" s="7" t="s">
        <v>2329</v>
      </c>
      <c r="G3988" s="7">
        <v>1602150</v>
      </c>
      <c r="H3988" s="7">
        <v>636</v>
      </c>
      <c r="I3988" s="7">
        <v>0</v>
      </c>
      <c r="J3988" s="7">
        <v>3</v>
      </c>
      <c r="K3988" s="7" t="s">
        <v>18</v>
      </c>
      <c r="L3988" s="8">
        <v>39891.213356481479</v>
      </c>
      <c r="M3988" s="9" t="s">
        <v>19</v>
      </c>
      <c r="N3988" s="9" t="s">
        <v>22</v>
      </c>
      <c r="O3988" s="6" t="str">
        <f>HYPERLINK("https://pbs.twimg.com/profile_images/1433591977631748099/wuGDIimB_normal.jpg","View")</f>
        <v>View</v>
      </c>
      <c r="P3988" s="7"/>
    </row>
    <row r="3989" spans="1:16">
      <c r="A3989" s="3">
        <v>44543.791678240741</v>
      </c>
      <c r="B3989" s="4" t="str">
        <f>HYPERLINK("https://twitter.com/sergio_fajardo","@sergio_fajardo")</f>
        <v>@sergio_fajardo</v>
      </c>
      <c r="C3989" s="5" t="s">
        <v>16</v>
      </c>
      <c r="D3989" s="5" t="s">
        <v>4008</v>
      </c>
      <c r="E3989" s="6" t="str">
        <f>HYPERLINK("https://twitter.com/sergio_fajardo/status/1470385522782588928","1470385522782588928")</f>
        <v>1470385522782588928</v>
      </c>
      <c r="F3989" s="7" t="s">
        <v>2329</v>
      </c>
      <c r="G3989" s="7">
        <v>1602150</v>
      </c>
      <c r="H3989" s="7">
        <v>636</v>
      </c>
      <c r="I3989" s="7">
        <v>1</v>
      </c>
      <c r="J3989" s="7">
        <v>11</v>
      </c>
      <c r="K3989" s="7" t="s">
        <v>18</v>
      </c>
      <c r="L3989" s="8">
        <v>39891.213356481479</v>
      </c>
      <c r="M3989" s="9" t="s">
        <v>19</v>
      </c>
      <c r="N3989" s="9" t="s">
        <v>22</v>
      </c>
      <c r="O3989" s="6" t="str">
        <f>HYPERLINK("https://pbs.twimg.com/profile_images/1433591977631748099/wuGDIimB_normal.jpg","View")</f>
        <v>View</v>
      </c>
      <c r="P3989" s="7"/>
    </row>
    <row r="3990" spans="1:16">
      <c r="A3990" s="3">
        <v>44543.8125</v>
      </c>
      <c r="B3990" s="4" t="str">
        <f>HYPERLINK("https://twitter.com/sergio_fajardo","@sergio_fajardo")</f>
        <v>@sergio_fajardo</v>
      </c>
      <c r="C3990" s="5" t="s">
        <v>16</v>
      </c>
      <c r="D3990" s="5" t="s">
        <v>4009</v>
      </c>
      <c r="E3990" s="6" t="str">
        <f>HYPERLINK("https://twitter.com/sergio_fajardo/status/1470393066733330435","1470393066733330435")</f>
        <v>1470393066733330435</v>
      </c>
      <c r="F3990" s="7" t="s">
        <v>2329</v>
      </c>
      <c r="G3990" s="7">
        <v>1602153</v>
      </c>
      <c r="H3990" s="7">
        <v>636</v>
      </c>
      <c r="I3990" s="7">
        <v>0</v>
      </c>
      <c r="J3990" s="7">
        <v>6</v>
      </c>
      <c r="K3990" s="7" t="s">
        <v>18</v>
      </c>
      <c r="L3990" s="8">
        <v>39891.213356481479</v>
      </c>
      <c r="M3990" s="9" t="s">
        <v>19</v>
      </c>
      <c r="N3990" s="9" t="s">
        <v>22</v>
      </c>
      <c r="O3990" s="6" t="str">
        <f>HYPERLINK("https://pbs.twimg.com/profile_images/1433591977631748099/wuGDIimB_normal.jpg","View")</f>
        <v>View</v>
      </c>
      <c r="P3990" s="7"/>
    </row>
    <row r="3991" spans="1:16">
      <c r="A3991" s="3">
        <v>44543.833333333328</v>
      </c>
      <c r="B3991" s="4" t="str">
        <f>HYPERLINK("https://twitter.com/sergio_fajardo","@sergio_fajardo")</f>
        <v>@sergio_fajardo</v>
      </c>
      <c r="C3991" s="5" t="s">
        <v>16</v>
      </c>
      <c r="D3991" s="5" t="s">
        <v>4010</v>
      </c>
      <c r="E3991" s="6" t="str">
        <f>HYPERLINK("https://twitter.com/sergio_fajardo/status/1470400616618942469","1470400616618942469")</f>
        <v>1470400616618942469</v>
      </c>
      <c r="F3991" s="7" t="s">
        <v>2329</v>
      </c>
      <c r="G3991" s="7">
        <v>1602156</v>
      </c>
      <c r="H3991" s="7">
        <v>636</v>
      </c>
      <c r="I3991" s="7">
        <v>5</v>
      </c>
      <c r="J3991" s="7">
        <v>14</v>
      </c>
      <c r="K3991" s="7" t="s">
        <v>18</v>
      </c>
      <c r="L3991" s="8">
        <v>39891.213356481479</v>
      </c>
      <c r="M3991" s="9" t="s">
        <v>19</v>
      </c>
      <c r="N3991" s="9" t="s">
        <v>22</v>
      </c>
      <c r="O3991" s="6" t="str">
        <f>HYPERLINK("https://pbs.twimg.com/profile_images/1433591977631748099/wuGDIimB_normal.jpg","View")</f>
        <v>View</v>
      </c>
      <c r="P3991" s="7"/>
    </row>
    <row r="3992" spans="1:16">
      <c r="A3992" s="3">
        <v>44543.938483796301</v>
      </c>
      <c r="B3992" s="4" t="str">
        <f>HYPERLINK("https://twitter.com/sergio_fajardo","@sergio_fajardo")</f>
        <v>@sergio_fajardo</v>
      </c>
      <c r="C3992" s="5" t="s">
        <v>16</v>
      </c>
      <c r="D3992" s="5" t="s">
        <v>4011</v>
      </c>
      <c r="E3992" s="6" t="str">
        <f>HYPERLINK("https://twitter.com/sergio_fajardo/status/1470438722361511940","1470438722361511940")</f>
        <v>1470438722361511940</v>
      </c>
      <c r="F3992" s="7" t="s">
        <v>2329</v>
      </c>
      <c r="G3992" s="7">
        <v>1602159</v>
      </c>
      <c r="H3992" s="7">
        <v>636</v>
      </c>
      <c r="I3992" s="7">
        <v>2</v>
      </c>
      <c r="J3992" s="7">
        <v>8</v>
      </c>
      <c r="K3992" s="7" t="s">
        <v>18</v>
      </c>
      <c r="L3992" s="8">
        <v>39891.213356481479</v>
      </c>
      <c r="M3992" s="9" t="s">
        <v>19</v>
      </c>
      <c r="N3992" s="9" t="s">
        <v>22</v>
      </c>
      <c r="O3992" s="6" t="str">
        <f>HYPERLINK("https://pbs.twimg.com/profile_images/1433591977631748099/wuGDIimB_normal.jpg","View")</f>
        <v>View</v>
      </c>
      <c r="P3992" s="7"/>
    </row>
    <row r="3993" spans="1:16">
      <c r="A3993" s="3">
        <v>44544.16914351852</v>
      </c>
      <c r="B3993" s="4" t="str">
        <f>HYPERLINK("https://twitter.com/sergio_fajardo","@sergio_fajardo")</f>
        <v>@sergio_fajardo</v>
      </c>
      <c r="C3993" s="5" t="s">
        <v>16</v>
      </c>
      <c r="D3993" s="5" t="s">
        <v>4012</v>
      </c>
      <c r="E3993" s="6" t="str">
        <f>HYPERLINK("https://twitter.com/sergio_fajardo/status/1470522311547789312","1470522311547789312")</f>
        <v>1470522311547789312</v>
      </c>
      <c r="F3993" s="7" t="s">
        <v>17</v>
      </c>
      <c r="G3993" s="7">
        <v>1602197</v>
      </c>
      <c r="H3993" s="7">
        <v>636</v>
      </c>
      <c r="I3993" s="7">
        <v>14</v>
      </c>
      <c r="J3993" s="7">
        <v>123</v>
      </c>
      <c r="K3993" s="7" t="s">
        <v>18</v>
      </c>
      <c r="L3993" s="8">
        <v>39891.213356481479</v>
      </c>
      <c r="M3993" s="9" t="s">
        <v>19</v>
      </c>
      <c r="N3993" s="9" t="s">
        <v>22</v>
      </c>
      <c r="O3993" s="6" t="str">
        <f>HYPERLINK("https://pbs.twimg.com/profile_images/1433591977631748099/wuGDIimB_normal.jpg","View")</f>
        <v>View</v>
      </c>
      <c r="P3993" s="7"/>
    </row>
    <row r="3994" spans="1:16">
      <c r="A3994" s="3">
        <v>44544.295578703706</v>
      </c>
      <c r="B3994" s="4" t="str">
        <f>HYPERLINK("https://twitter.com/sergio_fajardo","@sergio_fajardo")</f>
        <v>@sergio_fajardo</v>
      </c>
      <c r="C3994" s="5" t="s">
        <v>16</v>
      </c>
      <c r="D3994" s="5" t="s">
        <v>4013</v>
      </c>
      <c r="E3994" s="6" t="str">
        <f>HYPERLINK("https://twitter.com/sergio_fajardo/status/1470568128002338819","1470568128002338819")</f>
        <v>1470568128002338819</v>
      </c>
      <c r="F3994" s="7" t="s">
        <v>17</v>
      </c>
      <c r="G3994" s="7">
        <v>1602191</v>
      </c>
      <c r="H3994" s="7">
        <v>636</v>
      </c>
      <c r="I3994" s="7">
        <v>275</v>
      </c>
      <c r="J3994" s="7">
        <v>1080</v>
      </c>
      <c r="K3994" s="7" t="s">
        <v>18</v>
      </c>
      <c r="L3994" s="8">
        <v>39891.213356481479</v>
      </c>
      <c r="M3994" s="9" t="s">
        <v>19</v>
      </c>
      <c r="N3994" s="9" t="s">
        <v>22</v>
      </c>
      <c r="O3994" s="6" t="str">
        <f>HYPERLINK("https://pbs.twimg.com/profile_images/1433591977631748099/wuGDIimB_normal.jpg","View")</f>
        <v>View</v>
      </c>
      <c r="P3994" s="7"/>
    </row>
    <row r="3995" spans="1:16">
      <c r="A3995" s="3">
        <v>44544.669594907406</v>
      </c>
      <c r="B3995" s="4" t="str">
        <f>HYPERLINK("https://twitter.com/sergio_fajardo","@sergio_fajardo")</f>
        <v>@sergio_fajardo</v>
      </c>
      <c r="C3995" s="5" t="s">
        <v>16</v>
      </c>
      <c r="D3995" s="5" t="s">
        <v>4014</v>
      </c>
      <c r="E3995" s="6" t="str">
        <f>HYPERLINK("https://twitter.com/sergio_fajardo/status/1470703666835378177","1470703666835378177")</f>
        <v>1470703666835378177</v>
      </c>
      <c r="F3995" s="7" t="s">
        <v>17</v>
      </c>
      <c r="G3995" s="7">
        <v>1602233</v>
      </c>
      <c r="H3995" s="7">
        <v>636</v>
      </c>
      <c r="I3995" s="7">
        <v>57</v>
      </c>
      <c r="J3995" s="7">
        <v>0</v>
      </c>
      <c r="K3995" s="7" t="s">
        <v>18</v>
      </c>
      <c r="L3995" s="8">
        <v>39891.213356481479</v>
      </c>
      <c r="M3995" s="9" t="s">
        <v>19</v>
      </c>
      <c r="N3995" s="9" t="s">
        <v>22</v>
      </c>
      <c r="O3995" s="6" t="str">
        <f>HYPERLINK("https://pbs.twimg.com/profile_images/1433591977631748099/wuGDIimB_normal.jpg","View")</f>
        <v>View</v>
      </c>
      <c r="P3995" s="7"/>
    </row>
    <row r="3996" spans="1:16">
      <c r="A3996" s="3">
        <v>44544.801782407405</v>
      </c>
      <c r="B3996" s="4" t="str">
        <f>HYPERLINK("https://twitter.com/sergio_fajardo","@sergio_fajardo")</f>
        <v>@sergio_fajardo</v>
      </c>
      <c r="C3996" s="5" t="s">
        <v>16</v>
      </c>
      <c r="D3996" s="5" t="s">
        <v>4015</v>
      </c>
      <c r="E3996" s="6" t="str">
        <f>HYPERLINK("https://twitter.com/sergio_fajardo/status/1470751573332615178","1470751573332615178")</f>
        <v>1470751573332615178</v>
      </c>
      <c r="F3996" s="7" t="s">
        <v>23</v>
      </c>
      <c r="G3996" s="7">
        <v>1602269</v>
      </c>
      <c r="H3996" s="7">
        <v>636</v>
      </c>
      <c r="I3996" s="7">
        <v>6</v>
      </c>
      <c r="J3996" s="7">
        <v>75</v>
      </c>
      <c r="K3996" s="7" t="s">
        <v>18</v>
      </c>
      <c r="L3996" s="8">
        <v>39891.213356481479</v>
      </c>
      <c r="M3996" s="9" t="s">
        <v>19</v>
      </c>
      <c r="N3996" s="9" t="s">
        <v>22</v>
      </c>
      <c r="O3996" s="6" t="str">
        <f>HYPERLINK("https://pbs.twimg.com/profile_images/1433591977631748099/wuGDIimB_normal.jpg","View")</f>
        <v>View</v>
      </c>
      <c r="P3996" s="7"/>
    </row>
    <row r="3997" spans="1:16">
      <c r="A3997" s="3">
        <v>44544.93372685185</v>
      </c>
      <c r="B3997" s="4" t="str">
        <f>HYPERLINK("https://twitter.com/sergio_fajardo","@sergio_fajardo")</f>
        <v>@sergio_fajardo</v>
      </c>
      <c r="C3997" s="5" t="s">
        <v>16</v>
      </c>
      <c r="D3997" s="5" t="s">
        <v>4016</v>
      </c>
      <c r="E3997" s="6" t="str">
        <f>HYPERLINK("https://twitter.com/sergio_fajardo/status/1470799386552770561","1470799386552770561")</f>
        <v>1470799386552770561</v>
      </c>
      <c r="F3997" s="7" t="s">
        <v>17</v>
      </c>
      <c r="G3997" s="7">
        <v>1602276</v>
      </c>
      <c r="H3997" s="7">
        <v>636</v>
      </c>
      <c r="I3997" s="7">
        <v>24</v>
      </c>
      <c r="J3997" s="7">
        <v>0</v>
      </c>
      <c r="K3997" s="7" t="s">
        <v>18</v>
      </c>
      <c r="L3997" s="8">
        <v>39891.213356481479</v>
      </c>
      <c r="M3997" s="9" t="s">
        <v>19</v>
      </c>
      <c r="N3997" s="9" t="s">
        <v>4017</v>
      </c>
      <c r="O3997" s="6" t="str">
        <f>HYPERLINK("https://pbs.twimg.com/profile_images/1433591977631748099/wuGDIimB_normal.jpg","View")</f>
        <v>View</v>
      </c>
      <c r="P3997" s="7"/>
    </row>
    <row r="3998" spans="1:16">
      <c r="A3998" s="3">
        <v>44545.25277777778</v>
      </c>
      <c r="B3998" s="4" t="str">
        <f>HYPERLINK("https://twitter.com/sergio_fajardo","@sergio_fajardo")</f>
        <v>@sergio_fajardo</v>
      </c>
      <c r="C3998" s="5" t="s">
        <v>16</v>
      </c>
      <c r="D3998" s="5" t="s">
        <v>4018</v>
      </c>
      <c r="E3998" s="6" t="str">
        <f>HYPERLINK("https://twitter.com/sergio_fajardo/status/1470915007848361989","1470915007848361989")</f>
        <v>1470915007848361989</v>
      </c>
      <c r="F3998" s="7" t="s">
        <v>23</v>
      </c>
      <c r="G3998" s="7">
        <v>1602284</v>
      </c>
      <c r="H3998" s="7">
        <v>636</v>
      </c>
      <c r="I3998" s="7">
        <v>9</v>
      </c>
      <c r="J3998" s="7">
        <v>44</v>
      </c>
      <c r="K3998" s="7" t="s">
        <v>18</v>
      </c>
      <c r="L3998" s="8">
        <v>39891.213356481479</v>
      </c>
      <c r="M3998" s="9" t="s">
        <v>19</v>
      </c>
      <c r="N3998" s="9" t="s">
        <v>4017</v>
      </c>
      <c r="O3998" s="6" t="str">
        <f>HYPERLINK("https://pbs.twimg.com/profile_images/1433591977631748099/wuGDIimB_normal.jpg","View")</f>
        <v>View</v>
      </c>
      <c r="P3998" s="7"/>
    </row>
    <row r="3999" spans="1:16">
      <c r="A3999" s="3">
        <v>44545.901712962965</v>
      </c>
      <c r="B3999" s="4" t="str">
        <f>HYPERLINK("https://twitter.com/sergio_fajardo","@sergio_fajardo")</f>
        <v>@sergio_fajardo</v>
      </c>
      <c r="C3999" s="5" t="s">
        <v>16</v>
      </c>
      <c r="D3999" s="5" t="s">
        <v>4019</v>
      </c>
      <c r="E3999" s="6" t="str">
        <f>HYPERLINK("https://twitter.com/sergio_fajardo/status/1471150171866161155","1471150171866161155")</f>
        <v>1471150171866161155</v>
      </c>
      <c r="F3999" s="7" t="s">
        <v>17</v>
      </c>
      <c r="G3999" s="7">
        <v>1602357</v>
      </c>
      <c r="H3999" s="7">
        <v>636</v>
      </c>
      <c r="I3999" s="7">
        <v>23</v>
      </c>
      <c r="J3999" s="7">
        <v>0</v>
      </c>
      <c r="K3999" s="7" t="s">
        <v>18</v>
      </c>
      <c r="L3999" s="8">
        <v>39891.213356481479</v>
      </c>
      <c r="M3999" s="9" t="s">
        <v>19</v>
      </c>
      <c r="N3999" s="9" t="s">
        <v>4017</v>
      </c>
      <c r="O3999" s="6" t="str">
        <f>HYPERLINK("https://pbs.twimg.com/profile_images/1433591977631748099/wuGDIimB_normal.jpg","View")</f>
        <v>View</v>
      </c>
      <c r="P3999" s="7"/>
    </row>
    <row r="4000" spans="1:16">
      <c r="A4000" s="3">
        <v>44545.959953703699</v>
      </c>
      <c r="B4000" s="4" t="str">
        <f>HYPERLINK("https://twitter.com/sergio_fajardo","@sergio_fajardo")</f>
        <v>@sergio_fajardo</v>
      </c>
      <c r="C4000" s="5" t="s">
        <v>16</v>
      </c>
      <c r="D4000" s="5" t="s">
        <v>4020</v>
      </c>
      <c r="E4000" s="6" t="str">
        <f>HYPERLINK("https://twitter.com/sergio_fajardo/status/1471171280208633860","1471171280208633860")</f>
        <v>1471171280208633860</v>
      </c>
      <c r="F4000" s="7" t="s">
        <v>17</v>
      </c>
      <c r="G4000" s="7">
        <v>1602369</v>
      </c>
      <c r="H4000" s="7">
        <v>636</v>
      </c>
      <c r="I4000" s="7">
        <v>9</v>
      </c>
      <c r="J4000" s="7">
        <v>44</v>
      </c>
      <c r="K4000" s="7" t="s">
        <v>18</v>
      </c>
      <c r="L4000" s="8">
        <v>39891.213356481479</v>
      </c>
      <c r="M4000" s="9" t="s">
        <v>19</v>
      </c>
      <c r="N4000" s="9" t="s">
        <v>4017</v>
      </c>
      <c r="O4000" s="6" t="str">
        <f>HYPERLINK("https://pbs.twimg.com/profile_images/1433591977631748099/wuGDIimB_normal.jpg","View")</f>
        <v>View</v>
      </c>
      <c r="P4000" s="7"/>
    </row>
    <row r="4001" spans="1:16">
      <c r="A4001" s="3">
        <v>44545.993530092594</v>
      </c>
      <c r="B4001" s="4" t="str">
        <f>HYPERLINK("https://twitter.com/sergio_fajardo","@sergio_fajardo")</f>
        <v>@sergio_fajardo</v>
      </c>
      <c r="C4001" s="5" t="s">
        <v>16</v>
      </c>
      <c r="D4001" s="5" t="s">
        <v>4021</v>
      </c>
      <c r="E4001" s="6" t="str">
        <f>HYPERLINK("https://twitter.com/sergio_fajardo/status/1471183444805918722","1471183444805918722")</f>
        <v>1471183444805918722</v>
      </c>
      <c r="F4001" s="7" t="s">
        <v>23</v>
      </c>
      <c r="G4001" s="7">
        <v>1602374</v>
      </c>
      <c r="H4001" s="7">
        <v>636</v>
      </c>
      <c r="I4001" s="7">
        <v>34</v>
      </c>
      <c r="J4001" s="7">
        <v>159</v>
      </c>
      <c r="K4001" s="7" t="s">
        <v>18</v>
      </c>
      <c r="L4001" s="8">
        <v>39891.213356481479</v>
      </c>
      <c r="M4001" s="9" t="s">
        <v>19</v>
      </c>
      <c r="N4001" s="9" t="s">
        <v>4017</v>
      </c>
      <c r="O4001" s="6" t="str">
        <f>HYPERLINK("https://pbs.twimg.com/profile_images/1433591977631748099/wuGDIimB_normal.jpg","View")</f>
        <v>View</v>
      </c>
      <c r="P4001" s="7"/>
    </row>
    <row r="4002" spans="1:16">
      <c r="A4002" s="3">
        <v>44545.993530092594</v>
      </c>
      <c r="B4002" s="4" t="str">
        <f>HYPERLINK("https://twitter.com/sergio_fajardo","@sergio_fajardo")</f>
        <v>@sergio_fajardo</v>
      </c>
      <c r="C4002" s="5" t="s">
        <v>16</v>
      </c>
      <c r="D4002" s="5" t="s">
        <v>4022</v>
      </c>
      <c r="E4002" s="6" t="str">
        <f>HYPERLINK("https://twitter.com/sergio_fajardo/status/1471183446693363718","1471183446693363718")</f>
        <v>1471183446693363718</v>
      </c>
      <c r="F4002" s="7" t="s">
        <v>23</v>
      </c>
      <c r="G4002" s="7">
        <v>1602374</v>
      </c>
      <c r="H4002" s="7">
        <v>636</v>
      </c>
      <c r="I4002" s="7">
        <v>6</v>
      </c>
      <c r="J4002" s="7">
        <v>61</v>
      </c>
      <c r="K4002" s="7" t="s">
        <v>18</v>
      </c>
      <c r="L4002" s="8">
        <v>39891.213356481479</v>
      </c>
      <c r="M4002" s="9" t="s">
        <v>19</v>
      </c>
      <c r="N4002" s="9" t="s">
        <v>4017</v>
      </c>
      <c r="O4002" s="6" t="str">
        <f>HYPERLINK("https://pbs.twimg.com/profile_images/1433591977631748099/wuGDIimB_normal.jpg","View")</f>
        <v>View</v>
      </c>
      <c r="P4002" s="7"/>
    </row>
    <row r="4003" spans="1:16">
      <c r="A4003" s="3">
        <v>44545.993530092594</v>
      </c>
      <c r="B4003" s="4" t="str">
        <f>HYPERLINK("https://twitter.com/sergio_fajardo","@sergio_fajardo")</f>
        <v>@sergio_fajardo</v>
      </c>
      <c r="C4003" s="5" t="s">
        <v>16</v>
      </c>
      <c r="D4003" s="5" t="s">
        <v>4023</v>
      </c>
      <c r="E4003" s="6" t="str">
        <f>HYPERLINK("https://twitter.com/sergio_fajardo/status/1471183447943172103","1471183447943172103")</f>
        <v>1471183447943172103</v>
      </c>
      <c r="F4003" s="7" t="s">
        <v>23</v>
      </c>
      <c r="G4003" s="7">
        <v>1602374</v>
      </c>
      <c r="H4003" s="7">
        <v>636</v>
      </c>
      <c r="I4003" s="7">
        <v>7</v>
      </c>
      <c r="J4003" s="7">
        <v>61</v>
      </c>
      <c r="K4003" s="7" t="s">
        <v>18</v>
      </c>
      <c r="L4003" s="8">
        <v>39891.213356481479</v>
      </c>
      <c r="M4003" s="9" t="s">
        <v>19</v>
      </c>
      <c r="N4003" s="9" t="s">
        <v>4017</v>
      </c>
      <c r="O4003" s="6" t="str">
        <f>HYPERLINK("https://pbs.twimg.com/profile_images/1433591977631748099/wuGDIimB_normal.jpg","View")</f>
        <v>View</v>
      </c>
      <c r="P4003" s="7"/>
    </row>
    <row r="4004" spans="1:16">
      <c r="A4004" s="3">
        <v>44545.99354166667</v>
      </c>
      <c r="B4004" s="4" t="str">
        <f>HYPERLINK("https://twitter.com/sergio_fajardo","@sergio_fajardo")</f>
        <v>@sergio_fajardo</v>
      </c>
      <c r="C4004" s="5" t="s">
        <v>16</v>
      </c>
      <c r="D4004" s="5" t="s">
        <v>4024</v>
      </c>
      <c r="E4004" s="6" t="str">
        <f>HYPERLINK("https://twitter.com/sergio_fajardo/status/1471183449725751302","1471183449725751302")</f>
        <v>1471183449725751302</v>
      </c>
      <c r="F4004" s="7" t="s">
        <v>23</v>
      </c>
      <c r="G4004" s="7">
        <v>1602374</v>
      </c>
      <c r="H4004" s="7">
        <v>636</v>
      </c>
      <c r="I4004" s="7">
        <v>6</v>
      </c>
      <c r="J4004" s="7">
        <v>65</v>
      </c>
      <c r="K4004" s="7" t="s">
        <v>18</v>
      </c>
      <c r="L4004" s="8">
        <v>39891.213356481479</v>
      </c>
      <c r="M4004" s="9" t="s">
        <v>19</v>
      </c>
      <c r="N4004" s="9" t="s">
        <v>4017</v>
      </c>
      <c r="O4004" s="6" t="str">
        <f>HYPERLINK("https://pbs.twimg.com/profile_images/1433591977631748099/wuGDIimB_normal.jpg","View")</f>
        <v>View</v>
      </c>
      <c r="P4004" s="7"/>
    </row>
    <row r="4005" spans="1:16">
      <c r="A4005" s="3">
        <v>44545.99354166667</v>
      </c>
      <c r="B4005" s="4" t="str">
        <f>HYPERLINK("https://twitter.com/sergio_fajardo","@sergio_fajardo")</f>
        <v>@sergio_fajardo</v>
      </c>
      <c r="C4005" s="5" t="s">
        <v>16</v>
      </c>
      <c r="D4005" s="5" t="s">
        <v>4025</v>
      </c>
      <c r="E4005" s="6" t="str">
        <f>HYPERLINK("https://twitter.com/sergio_fajardo/status/1471183450891816961","1471183450891816961")</f>
        <v>1471183450891816961</v>
      </c>
      <c r="F4005" s="7" t="s">
        <v>23</v>
      </c>
      <c r="G4005" s="7">
        <v>1602374</v>
      </c>
      <c r="H4005" s="7">
        <v>636</v>
      </c>
      <c r="I4005" s="7">
        <v>5</v>
      </c>
      <c r="J4005" s="7">
        <v>47</v>
      </c>
      <c r="K4005" s="7" t="s">
        <v>18</v>
      </c>
      <c r="L4005" s="8">
        <v>39891.213356481479</v>
      </c>
      <c r="M4005" s="9" t="s">
        <v>19</v>
      </c>
      <c r="N4005" s="9" t="s">
        <v>4017</v>
      </c>
      <c r="O4005" s="6" t="str">
        <f>HYPERLINK("https://pbs.twimg.com/profile_images/1433591977631748099/wuGDIimB_normal.jpg","View")</f>
        <v>View</v>
      </c>
      <c r="P4005" s="7"/>
    </row>
    <row r="4006" spans="1:16">
      <c r="A4006" s="3">
        <v>44545.99354166667</v>
      </c>
      <c r="B4006" s="4" t="str">
        <f>HYPERLINK("https://twitter.com/sergio_fajardo","@sergio_fajardo")</f>
        <v>@sergio_fajardo</v>
      </c>
      <c r="C4006" s="5" t="s">
        <v>16</v>
      </c>
      <c r="D4006" s="5" t="s">
        <v>4026</v>
      </c>
      <c r="E4006" s="6" t="str">
        <f>HYPERLINK("https://twitter.com/sergio_fajardo/status/1471183452150145032","1471183452150145032")</f>
        <v>1471183452150145032</v>
      </c>
      <c r="F4006" s="7" t="s">
        <v>23</v>
      </c>
      <c r="G4006" s="7">
        <v>1602374</v>
      </c>
      <c r="H4006" s="7">
        <v>636</v>
      </c>
      <c r="I4006" s="7">
        <v>4</v>
      </c>
      <c r="J4006" s="7">
        <v>39</v>
      </c>
      <c r="K4006" s="7" t="s">
        <v>18</v>
      </c>
      <c r="L4006" s="8">
        <v>39891.213356481479</v>
      </c>
      <c r="M4006" s="9" t="s">
        <v>19</v>
      </c>
      <c r="N4006" s="9" t="s">
        <v>4017</v>
      </c>
      <c r="O4006" s="6" t="str">
        <f>HYPERLINK("https://pbs.twimg.com/profile_images/1433591977631748099/wuGDIimB_normal.jpg","View")</f>
        <v>View</v>
      </c>
      <c r="P4006" s="7"/>
    </row>
    <row r="4007" spans="1:16">
      <c r="A4007" s="3">
        <v>44545.99355324074</v>
      </c>
      <c r="B4007" s="4" t="str">
        <f>HYPERLINK("https://twitter.com/sergio_fajardo","@sergio_fajardo")</f>
        <v>@sergio_fajardo</v>
      </c>
      <c r="C4007" s="5" t="s">
        <v>16</v>
      </c>
      <c r="D4007" s="5" t="s">
        <v>4027</v>
      </c>
      <c r="E4007" s="6" t="str">
        <f>HYPERLINK("https://twitter.com/sergio_fajardo/status/1471183453320355855","1471183453320355855")</f>
        <v>1471183453320355855</v>
      </c>
      <c r="F4007" s="7" t="s">
        <v>23</v>
      </c>
      <c r="G4007" s="7">
        <v>1602374</v>
      </c>
      <c r="H4007" s="7">
        <v>636</v>
      </c>
      <c r="I4007" s="7">
        <v>6</v>
      </c>
      <c r="J4007" s="7">
        <v>58</v>
      </c>
      <c r="K4007" s="7" t="s">
        <v>18</v>
      </c>
      <c r="L4007" s="8">
        <v>39891.213356481479</v>
      </c>
      <c r="M4007" s="9" t="s">
        <v>19</v>
      </c>
      <c r="N4007" s="9" t="s">
        <v>4017</v>
      </c>
      <c r="O4007" s="6" t="str">
        <f>HYPERLINK("https://pbs.twimg.com/profile_images/1433591977631748099/wuGDIimB_normal.jpg","View")</f>
        <v>View</v>
      </c>
      <c r="P4007" s="7"/>
    </row>
    <row r="4008" spans="1:16">
      <c r="A4008" s="3">
        <v>44546.202685185184</v>
      </c>
      <c r="B4008" s="4" t="str">
        <f>HYPERLINK("https://twitter.com/sergio_fajardo","@sergio_fajardo")</f>
        <v>@sergio_fajardo</v>
      </c>
      <c r="C4008" s="5" t="s">
        <v>16</v>
      </c>
      <c r="D4008" s="5" t="s">
        <v>4028</v>
      </c>
      <c r="E4008" s="6" t="str">
        <f>HYPERLINK("https://twitter.com/sergio_fajardo/status/1471259239800786950","1471259239800786950")</f>
        <v>1471259239800786950</v>
      </c>
      <c r="F4008" s="7" t="s">
        <v>2329</v>
      </c>
      <c r="G4008" s="7">
        <v>1602411</v>
      </c>
      <c r="H4008" s="7">
        <v>636</v>
      </c>
      <c r="I4008" s="7">
        <v>16</v>
      </c>
      <c r="J4008" s="7">
        <v>34</v>
      </c>
      <c r="K4008" s="7" t="s">
        <v>18</v>
      </c>
      <c r="L4008" s="8">
        <v>39891.213356481479</v>
      </c>
      <c r="M4008" s="9" t="s">
        <v>19</v>
      </c>
      <c r="N4008" s="9" t="s">
        <v>4017</v>
      </c>
      <c r="O4008" s="6" t="str">
        <f>HYPERLINK("https://pbs.twimg.com/profile_images/1433591977631748099/wuGDIimB_normal.jpg","View")</f>
        <v>View</v>
      </c>
      <c r="P4008" s="7"/>
    </row>
    <row r="4009" spans="1:16">
      <c r="A4009" s="3">
        <v>44546.203587962962</v>
      </c>
      <c r="B4009" s="4" t="str">
        <f>HYPERLINK("https://twitter.com/sergio_fajardo","@sergio_fajardo")</f>
        <v>@sergio_fajardo</v>
      </c>
      <c r="C4009" s="5" t="s">
        <v>16</v>
      </c>
      <c r="D4009" s="5" t="s">
        <v>4029</v>
      </c>
      <c r="E4009" s="6" t="str">
        <f>HYPERLINK("https://twitter.com/sergio_fajardo/status/1471259570714599427","1471259570714599427")</f>
        <v>1471259570714599427</v>
      </c>
      <c r="F4009" s="7" t="s">
        <v>23</v>
      </c>
      <c r="G4009" s="7">
        <v>1602411</v>
      </c>
      <c r="H4009" s="7">
        <v>636</v>
      </c>
      <c r="I4009" s="7">
        <v>5</v>
      </c>
      <c r="J4009" s="7">
        <v>13</v>
      </c>
      <c r="K4009" s="7" t="s">
        <v>18</v>
      </c>
      <c r="L4009" s="8">
        <v>39891.213356481479</v>
      </c>
      <c r="M4009" s="9" t="s">
        <v>19</v>
      </c>
      <c r="N4009" s="9" t="s">
        <v>4017</v>
      </c>
      <c r="O4009" s="6" t="str">
        <f>HYPERLINK("https://pbs.twimg.com/profile_images/1433591977631748099/wuGDIimB_normal.jpg","View")</f>
        <v>View</v>
      </c>
      <c r="P4009" s="7"/>
    </row>
    <row r="4010" spans="1:16">
      <c r="A4010" s="3">
        <v>44546.234803240739</v>
      </c>
      <c r="B4010" s="4" t="str">
        <f>HYPERLINK("https://twitter.com/sergio_fajardo","@sergio_fajardo")</f>
        <v>@sergio_fajardo</v>
      </c>
      <c r="C4010" s="5" t="s">
        <v>16</v>
      </c>
      <c r="D4010" s="5" t="s">
        <v>4030</v>
      </c>
      <c r="E4010" s="6" t="str">
        <f>HYPERLINK("https://twitter.com/sergio_fajardo/status/1471270882597384193","1471270882597384193")</f>
        <v>1471270882597384193</v>
      </c>
      <c r="F4010" s="7" t="s">
        <v>17</v>
      </c>
      <c r="G4010" s="7">
        <v>1602415</v>
      </c>
      <c r="H4010" s="7">
        <v>636</v>
      </c>
      <c r="I4010" s="7">
        <v>9</v>
      </c>
      <c r="J4010" s="7">
        <v>23</v>
      </c>
      <c r="K4010" s="7" t="s">
        <v>18</v>
      </c>
      <c r="L4010" s="8">
        <v>39891.213356481479</v>
      </c>
      <c r="M4010" s="9" t="s">
        <v>19</v>
      </c>
      <c r="N4010" s="9" t="s">
        <v>4017</v>
      </c>
      <c r="O4010" s="6" t="str">
        <f>HYPERLINK("https://pbs.twimg.com/profile_images/1433591977631748099/wuGDIimB_normal.jpg","View")</f>
        <v>View</v>
      </c>
      <c r="P4010" s="7"/>
    </row>
    <row r="4011" spans="1:16">
      <c r="A4011" s="3">
        <v>44546.775902777779</v>
      </c>
      <c r="B4011" s="4" t="str">
        <f>HYPERLINK("https://twitter.com/sergio_fajardo","@sergio_fajardo")</f>
        <v>@sergio_fajardo</v>
      </c>
      <c r="C4011" s="5" t="s">
        <v>16</v>
      </c>
      <c r="D4011" s="5" t="s">
        <v>4031</v>
      </c>
      <c r="E4011" s="6" t="str">
        <f>HYPERLINK("https://twitter.com/sergio_fajardo/status/1471466968947568652","1471466968947568652")</f>
        <v>1471466968947568652</v>
      </c>
      <c r="F4011" s="7" t="s">
        <v>2329</v>
      </c>
      <c r="G4011" s="7">
        <v>1602478</v>
      </c>
      <c r="H4011" s="7">
        <v>636</v>
      </c>
      <c r="I4011" s="7">
        <v>2</v>
      </c>
      <c r="J4011" s="7">
        <v>16</v>
      </c>
      <c r="K4011" s="7" t="s">
        <v>18</v>
      </c>
      <c r="L4011" s="8">
        <v>39891.213356481479</v>
      </c>
      <c r="M4011" s="9" t="s">
        <v>19</v>
      </c>
      <c r="N4011" s="9" t="s">
        <v>4017</v>
      </c>
      <c r="O4011" s="6" t="str">
        <f>HYPERLINK("https://pbs.twimg.com/profile_images/1433591977631748099/wuGDIimB_normal.jpg","View")</f>
        <v>View</v>
      </c>
      <c r="P4011" s="7"/>
    </row>
    <row r="4012" spans="1:16">
      <c r="A4012" s="3">
        <v>44546.891365740739</v>
      </c>
      <c r="B4012" s="4" t="str">
        <f>HYPERLINK("https://twitter.com/sergio_fajardo","@sergio_fajardo")</f>
        <v>@sergio_fajardo</v>
      </c>
      <c r="C4012" s="5" t="s">
        <v>16</v>
      </c>
      <c r="D4012" s="5" t="s">
        <v>4032</v>
      </c>
      <c r="E4012" s="6" t="str">
        <f>HYPERLINK("https://twitter.com/sergio_fajardo/status/1471508810137313280","1471508810137313280")</f>
        <v>1471508810137313280</v>
      </c>
      <c r="F4012" s="7" t="s">
        <v>17</v>
      </c>
      <c r="G4012" s="7">
        <v>1602506</v>
      </c>
      <c r="H4012" s="7">
        <v>636</v>
      </c>
      <c r="I4012" s="7">
        <v>3</v>
      </c>
      <c r="J4012" s="7">
        <v>15</v>
      </c>
      <c r="K4012" s="7" t="s">
        <v>18</v>
      </c>
      <c r="L4012" s="8">
        <v>39891.213356481479</v>
      </c>
      <c r="M4012" s="9" t="s">
        <v>19</v>
      </c>
      <c r="N4012" s="9" t="s">
        <v>4017</v>
      </c>
      <c r="O4012" s="6" t="str">
        <f>HYPERLINK("https://pbs.twimg.com/profile_images/1433591977631748099/wuGDIimB_normal.jpg","View")</f>
        <v>View</v>
      </c>
      <c r="P4012" s="7"/>
    </row>
    <row r="4013" spans="1:16">
      <c r="A4013" s="3">
        <v>44546.991238425922</v>
      </c>
      <c r="B4013" s="4" t="str">
        <f>HYPERLINK("https://twitter.com/sergio_fajardo","@sergio_fajardo")</f>
        <v>@sergio_fajardo</v>
      </c>
      <c r="C4013" s="5" t="s">
        <v>16</v>
      </c>
      <c r="D4013" s="5" t="s">
        <v>4033</v>
      </c>
      <c r="E4013" s="6" t="str">
        <f>HYPERLINK("https://twitter.com/sergio_fajardo/status/1471545005626081287","1471545005626081287")</f>
        <v>1471545005626081287</v>
      </c>
      <c r="F4013" s="7" t="s">
        <v>23</v>
      </c>
      <c r="G4013" s="7">
        <v>1602526</v>
      </c>
      <c r="H4013" s="7">
        <v>638</v>
      </c>
      <c r="I4013" s="7">
        <v>51</v>
      </c>
      <c r="J4013" s="7">
        <v>234</v>
      </c>
      <c r="K4013" s="7" t="s">
        <v>18</v>
      </c>
      <c r="L4013" s="8">
        <v>39891.213356481479</v>
      </c>
      <c r="M4013" s="9" t="s">
        <v>19</v>
      </c>
      <c r="N4013" s="9" t="s">
        <v>4017</v>
      </c>
      <c r="O4013" s="6" t="str">
        <f>HYPERLINK("https://pbs.twimg.com/profile_images/1433591977631748099/wuGDIimB_normal.jpg","View")</f>
        <v>View</v>
      </c>
      <c r="P4013" s="7"/>
    </row>
    <row r="4014" spans="1:16">
      <c r="A4014" s="3">
        <v>44546.998761574076</v>
      </c>
      <c r="B4014" s="4" t="str">
        <f>HYPERLINK("https://twitter.com/sergio_fajardo","@sergio_fajardo")</f>
        <v>@sergio_fajardo</v>
      </c>
      <c r="C4014" s="5" t="s">
        <v>16</v>
      </c>
      <c r="D4014" s="5" t="s">
        <v>4034</v>
      </c>
      <c r="E4014" s="6" t="str">
        <f>HYPERLINK("https://twitter.com/sergio_fajardo/status/1471547729792929793","1471547729792929793")</f>
        <v>1471547729792929793</v>
      </c>
      <c r="F4014" s="7" t="s">
        <v>23</v>
      </c>
      <c r="G4014" s="7">
        <v>1602526</v>
      </c>
      <c r="H4014" s="7">
        <v>638</v>
      </c>
      <c r="I4014" s="7">
        <v>6</v>
      </c>
      <c r="J4014" s="7">
        <v>0</v>
      </c>
      <c r="K4014" s="7" t="s">
        <v>18</v>
      </c>
      <c r="L4014" s="8">
        <v>39891.213356481479</v>
      </c>
      <c r="M4014" s="9" t="s">
        <v>19</v>
      </c>
      <c r="N4014" s="9" t="s">
        <v>4017</v>
      </c>
      <c r="O4014" s="6" t="str">
        <f>HYPERLINK("https://pbs.twimg.com/profile_images/1433591977631748099/wuGDIimB_normal.jpg","View")</f>
        <v>View</v>
      </c>
      <c r="P4014" s="7"/>
    </row>
    <row r="4015" spans="1:16">
      <c r="A4015" s="3">
        <v>44547.008784722224</v>
      </c>
      <c r="B4015" s="4" t="str">
        <f>HYPERLINK("https://twitter.com/sergio_fajardo","@sergio_fajardo")</f>
        <v>@sergio_fajardo</v>
      </c>
      <c r="C4015" s="5" t="s">
        <v>16</v>
      </c>
      <c r="D4015" s="5" t="s">
        <v>4035</v>
      </c>
      <c r="E4015" s="6" t="str">
        <f>HYPERLINK("https://twitter.com/sergio_fajardo/status/1471551362408329222","1471551362408329222")</f>
        <v>1471551362408329222</v>
      </c>
      <c r="F4015" s="7" t="s">
        <v>17</v>
      </c>
      <c r="G4015" s="7">
        <v>1602526</v>
      </c>
      <c r="H4015" s="7">
        <v>638</v>
      </c>
      <c r="I4015" s="7">
        <v>4</v>
      </c>
      <c r="J4015" s="7">
        <v>15</v>
      </c>
      <c r="K4015" s="7" t="s">
        <v>18</v>
      </c>
      <c r="L4015" s="8">
        <v>39891.213356481479</v>
      </c>
      <c r="M4015" s="9" t="s">
        <v>19</v>
      </c>
      <c r="N4015" s="9" t="s">
        <v>4017</v>
      </c>
      <c r="O4015" s="6" t="str">
        <f>HYPERLINK("https://pbs.twimg.com/profile_images/1433591977631748099/wuGDIimB_normal.jpg","View")</f>
        <v>View</v>
      </c>
      <c r="P4015" s="7"/>
    </row>
    <row r="4016" spans="1:16">
      <c r="A4016" s="3">
        <v>44547.170659722222</v>
      </c>
      <c r="B4016" s="4" t="str">
        <f>HYPERLINK("https://twitter.com/sergio_fajardo","@sergio_fajardo")</f>
        <v>@sergio_fajardo</v>
      </c>
      <c r="C4016" s="5" t="s">
        <v>16</v>
      </c>
      <c r="D4016" s="5" t="s">
        <v>4036</v>
      </c>
      <c r="E4016" s="6" t="str">
        <f>HYPERLINK("https://twitter.com/sergio_fajardo/status/1471610024585834506","1471610024585834506")</f>
        <v>1471610024585834506</v>
      </c>
      <c r="F4016" s="7" t="s">
        <v>17</v>
      </c>
      <c r="G4016" s="7">
        <v>1602517</v>
      </c>
      <c r="H4016" s="7">
        <v>638</v>
      </c>
      <c r="I4016" s="7">
        <v>22</v>
      </c>
      <c r="J4016" s="7">
        <v>142</v>
      </c>
      <c r="K4016" s="7" t="s">
        <v>18</v>
      </c>
      <c r="L4016" s="8">
        <v>39891.213356481479</v>
      </c>
      <c r="M4016" s="9" t="s">
        <v>19</v>
      </c>
      <c r="N4016" s="9" t="s">
        <v>4017</v>
      </c>
      <c r="O4016" s="6" t="str">
        <f>HYPERLINK("https://pbs.twimg.com/profile_images/1433591977631748099/wuGDIimB_normal.jpg","View")</f>
        <v>View</v>
      </c>
      <c r="P4016" s="7"/>
    </row>
    <row r="4017" spans="1:16">
      <c r="A4017" s="3">
        <v>44547.689699074079</v>
      </c>
      <c r="B4017" s="4" t="str">
        <f>HYPERLINK("https://twitter.com/sergio_fajardo","@sergio_fajardo")</f>
        <v>@sergio_fajardo</v>
      </c>
      <c r="C4017" s="5" t="s">
        <v>16</v>
      </c>
      <c r="D4017" s="5" t="s">
        <v>4037</v>
      </c>
      <c r="E4017" s="6" t="str">
        <f>HYPERLINK("https://twitter.com/sergio_fajardo/status/1471798116584198155","1471798116584198155")</f>
        <v>1471798116584198155</v>
      </c>
      <c r="F4017" s="7" t="s">
        <v>17</v>
      </c>
      <c r="G4017" s="7">
        <v>1602544</v>
      </c>
      <c r="H4017" s="7">
        <v>638</v>
      </c>
      <c r="I4017" s="7">
        <v>3</v>
      </c>
      <c r="J4017" s="7">
        <v>0</v>
      </c>
      <c r="K4017" s="7" t="s">
        <v>18</v>
      </c>
      <c r="L4017" s="8">
        <v>39891.213356481479</v>
      </c>
      <c r="M4017" s="9" t="s">
        <v>19</v>
      </c>
      <c r="N4017" s="9" t="s">
        <v>4017</v>
      </c>
      <c r="O4017" s="6" t="str">
        <f>HYPERLINK("https://pbs.twimg.com/profile_images/1433591977631748099/wuGDIimB_normal.jpg","View")</f>
        <v>View</v>
      </c>
      <c r="P4017" s="7"/>
    </row>
    <row r="4018" spans="1:16">
      <c r="A4018" s="3">
        <v>44547.712442129632</v>
      </c>
      <c r="B4018" s="4" t="str">
        <f>HYPERLINK("https://twitter.com/sergio_fajardo","@sergio_fajardo")</f>
        <v>@sergio_fajardo</v>
      </c>
      <c r="C4018" s="5" t="s">
        <v>16</v>
      </c>
      <c r="D4018" s="5" t="s">
        <v>4038</v>
      </c>
      <c r="E4018" s="6" t="str">
        <f>HYPERLINK("https://twitter.com/sergio_fajardo/status/1471806360782360583","1471806360782360583")</f>
        <v>1471806360782360583</v>
      </c>
      <c r="F4018" s="7" t="s">
        <v>17</v>
      </c>
      <c r="G4018" s="7">
        <v>1602547</v>
      </c>
      <c r="H4018" s="7">
        <v>638</v>
      </c>
      <c r="I4018" s="7">
        <v>12</v>
      </c>
      <c r="J4018" s="7">
        <v>70</v>
      </c>
      <c r="K4018" s="7" t="s">
        <v>18</v>
      </c>
      <c r="L4018" s="8">
        <v>39891.213356481479</v>
      </c>
      <c r="M4018" s="9" t="s">
        <v>19</v>
      </c>
      <c r="N4018" s="9" t="s">
        <v>4017</v>
      </c>
      <c r="O4018" s="6" t="str">
        <f>HYPERLINK("https://pbs.twimg.com/profile_images/1433591977631748099/wuGDIimB_normal.jpg","View")</f>
        <v>View</v>
      </c>
      <c r="P4018" s="7"/>
    </row>
    <row r="4019" spans="1:16">
      <c r="A4019" s="3">
        <v>44547.748298611114</v>
      </c>
      <c r="B4019" s="4" t="str">
        <f>HYPERLINK("https://twitter.com/sergio_fajardo","@sergio_fajardo")</f>
        <v>@sergio_fajardo</v>
      </c>
      <c r="C4019" s="5" t="s">
        <v>16</v>
      </c>
      <c r="D4019" s="5" t="s">
        <v>4039</v>
      </c>
      <c r="E4019" s="6" t="str">
        <f>HYPERLINK("https://twitter.com/sergio_fajardo/status/1471819351422550016","1471819351422550016")</f>
        <v>1471819351422550016</v>
      </c>
      <c r="F4019" s="7" t="s">
        <v>17</v>
      </c>
      <c r="G4019" s="7">
        <v>1602552</v>
      </c>
      <c r="H4019" s="7">
        <v>638</v>
      </c>
      <c r="I4019" s="7">
        <v>5</v>
      </c>
      <c r="J4019" s="7">
        <v>0</v>
      </c>
      <c r="K4019" s="7" t="s">
        <v>18</v>
      </c>
      <c r="L4019" s="8">
        <v>39891.213356481479</v>
      </c>
      <c r="M4019" s="9" t="s">
        <v>19</v>
      </c>
      <c r="N4019" s="9" t="s">
        <v>4017</v>
      </c>
      <c r="O4019" s="6" t="str">
        <f>HYPERLINK("https://pbs.twimg.com/profile_images/1433591977631748099/wuGDIimB_normal.jpg","View")</f>
        <v>View</v>
      </c>
      <c r="P4019" s="7"/>
    </row>
    <row r="4020" spans="1:16">
      <c r="A4020" s="3">
        <v>44547.748333333337</v>
      </c>
      <c r="B4020" s="4" t="str">
        <f>HYPERLINK("https://twitter.com/sergio_fajardo","@sergio_fajardo")</f>
        <v>@sergio_fajardo</v>
      </c>
      <c r="C4020" s="5" t="s">
        <v>16</v>
      </c>
      <c r="D4020" s="5" t="s">
        <v>4040</v>
      </c>
      <c r="E4020" s="6" t="str">
        <f>HYPERLINK("https://twitter.com/sergio_fajardo/status/1471819366861873154","1471819366861873154")</f>
        <v>1471819366861873154</v>
      </c>
      <c r="F4020" s="7" t="s">
        <v>17</v>
      </c>
      <c r="G4020" s="7">
        <v>1602552</v>
      </c>
      <c r="H4020" s="7">
        <v>638</v>
      </c>
      <c r="I4020" s="7">
        <v>5</v>
      </c>
      <c r="J4020" s="7">
        <v>0</v>
      </c>
      <c r="K4020" s="7" t="s">
        <v>18</v>
      </c>
      <c r="L4020" s="8">
        <v>39891.213356481479</v>
      </c>
      <c r="M4020" s="9" t="s">
        <v>19</v>
      </c>
      <c r="N4020" s="9" t="s">
        <v>4017</v>
      </c>
      <c r="O4020" s="6" t="str">
        <f>HYPERLINK("https://pbs.twimg.com/profile_images/1433591977631748099/wuGDIimB_normal.jpg","View")</f>
        <v>View</v>
      </c>
      <c r="P4020" s="7"/>
    </row>
    <row r="4021" spans="1:16">
      <c r="A4021" s="3">
        <v>44547.777384259258</v>
      </c>
      <c r="B4021" s="4" t="str">
        <f>HYPERLINK("https://twitter.com/sergio_fajardo","@sergio_fajardo")</f>
        <v>@sergio_fajardo</v>
      </c>
      <c r="C4021" s="5" t="s">
        <v>16</v>
      </c>
      <c r="D4021" s="5" t="s">
        <v>4041</v>
      </c>
      <c r="E4021" s="6" t="str">
        <f>HYPERLINK("https://twitter.com/sergio_fajardo/status/1471829892639641602","1471829892639641602")</f>
        <v>1471829892639641602</v>
      </c>
      <c r="F4021" s="7" t="s">
        <v>17</v>
      </c>
      <c r="G4021" s="7">
        <v>1602557</v>
      </c>
      <c r="H4021" s="7">
        <v>638</v>
      </c>
      <c r="I4021" s="7">
        <v>6</v>
      </c>
      <c r="J4021" s="7">
        <v>0</v>
      </c>
      <c r="K4021" s="7" t="s">
        <v>18</v>
      </c>
      <c r="L4021" s="8">
        <v>39891.213356481479</v>
      </c>
      <c r="M4021" s="9" t="s">
        <v>19</v>
      </c>
      <c r="N4021" s="9" t="s">
        <v>4017</v>
      </c>
      <c r="O4021" s="6" t="str">
        <f>HYPERLINK("https://pbs.twimg.com/profile_images/1433591977631748099/wuGDIimB_normal.jpg","View")</f>
        <v>View</v>
      </c>
      <c r="P4021" s="7"/>
    </row>
    <row r="4022" spans="1:16">
      <c r="A4022" s="3">
        <v>44547.782384259262</v>
      </c>
      <c r="B4022" s="4" t="str">
        <f>HYPERLINK("https://twitter.com/sergio_fajardo","@sergio_fajardo")</f>
        <v>@sergio_fajardo</v>
      </c>
      <c r="C4022" s="5" t="s">
        <v>16</v>
      </c>
      <c r="D4022" s="5" t="s">
        <v>4042</v>
      </c>
      <c r="E4022" s="6" t="str">
        <f>HYPERLINK("https://twitter.com/sergio_fajardo/status/1471831706059649030","1471831706059649030")</f>
        <v>1471831706059649030</v>
      </c>
      <c r="F4022" s="7" t="s">
        <v>17</v>
      </c>
      <c r="G4022" s="7">
        <v>1602557</v>
      </c>
      <c r="H4022" s="7">
        <v>638</v>
      </c>
      <c r="I4022" s="7">
        <v>3</v>
      </c>
      <c r="J4022" s="7">
        <v>0</v>
      </c>
      <c r="K4022" s="7" t="s">
        <v>18</v>
      </c>
      <c r="L4022" s="8">
        <v>39891.213356481479</v>
      </c>
      <c r="M4022" s="9" t="s">
        <v>19</v>
      </c>
      <c r="N4022" s="9" t="s">
        <v>4017</v>
      </c>
      <c r="O4022" s="6" t="str">
        <f>HYPERLINK("https://pbs.twimg.com/profile_images/1433591977631748099/wuGDIimB_normal.jpg","View")</f>
        <v>View</v>
      </c>
      <c r="P4022" s="7"/>
    </row>
    <row r="4023" spans="1:16">
      <c r="A4023" s="3">
        <v>44547.800520833334</v>
      </c>
      <c r="B4023" s="4" t="str">
        <f>HYPERLINK("https://twitter.com/sergio_fajardo","@sergio_fajardo")</f>
        <v>@sergio_fajardo</v>
      </c>
      <c r="C4023" s="5" t="s">
        <v>16</v>
      </c>
      <c r="D4023" s="5" t="s">
        <v>4043</v>
      </c>
      <c r="E4023" s="6" t="str">
        <f>HYPERLINK("https://twitter.com/sergio_fajardo/status/1471838276373913600","1471838276373913600")</f>
        <v>1471838276373913600</v>
      </c>
      <c r="F4023" s="7" t="s">
        <v>17</v>
      </c>
      <c r="G4023" s="7">
        <v>1602565</v>
      </c>
      <c r="H4023" s="7">
        <v>638</v>
      </c>
      <c r="I4023" s="7">
        <v>4</v>
      </c>
      <c r="J4023" s="7">
        <v>0</v>
      </c>
      <c r="K4023" s="7" t="s">
        <v>18</v>
      </c>
      <c r="L4023" s="8">
        <v>39891.213356481479</v>
      </c>
      <c r="M4023" s="9" t="s">
        <v>19</v>
      </c>
      <c r="N4023" s="9" t="s">
        <v>4017</v>
      </c>
      <c r="O4023" s="6" t="str">
        <f>HYPERLINK("https://pbs.twimg.com/profile_images/1433591977631748099/wuGDIimB_normal.jpg","View")</f>
        <v>View</v>
      </c>
      <c r="P4023" s="7"/>
    </row>
    <row r="4024" spans="1:16">
      <c r="A4024" s="3">
        <v>44547.800625000003</v>
      </c>
      <c r="B4024" s="4" t="str">
        <f>HYPERLINK("https://twitter.com/sergio_fajardo","@sergio_fajardo")</f>
        <v>@sergio_fajardo</v>
      </c>
      <c r="C4024" s="5" t="s">
        <v>16</v>
      </c>
      <c r="D4024" s="5" t="s">
        <v>4044</v>
      </c>
      <c r="E4024" s="6" t="str">
        <f>HYPERLINK("https://twitter.com/sergio_fajardo/status/1471838316093972484","1471838316093972484")</f>
        <v>1471838316093972484</v>
      </c>
      <c r="F4024" s="7" t="s">
        <v>17</v>
      </c>
      <c r="G4024" s="7">
        <v>1602565</v>
      </c>
      <c r="H4024" s="7">
        <v>638</v>
      </c>
      <c r="I4024" s="7">
        <v>6</v>
      </c>
      <c r="J4024" s="7">
        <v>0</v>
      </c>
      <c r="K4024" s="7" t="s">
        <v>18</v>
      </c>
      <c r="L4024" s="8">
        <v>39891.213356481479</v>
      </c>
      <c r="M4024" s="9" t="s">
        <v>19</v>
      </c>
      <c r="N4024" s="9" t="s">
        <v>4017</v>
      </c>
      <c r="O4024" s="6" t="str">
        <f>HYPERLINK("https://pbs.twimg.com/profile_images/1433591977631748099/wuGDIimB_normal.jpg","View")</f>
        <v>View</v>
      </c>
      <c r="P4024" s="7"/>
    </row>
    <row r="4025" spans="1:16">
      <c r="A4025" s="3">
        <v>44547.800856481481</v>
      </c>
      <c r="B4025" s="4" t="str">
        <f>HYPERLINK("https://twitter.com/sergio_fajardo","@sergio_fajardo")</f>
        <v>@sergio_fajardo</v>
      </c>
      <c r="C4025" s="5" t="s">
        <v>16</v>
      </c>
      <c r="D4025" s="5" t="s">
        <v>4045</v>
      </c>
      <c r="E4025" s="6" t="str">
        <f>HYPERLINK("https://twitter.com/sergio_fajardo/status/1471838399476736017","1471838399476736017")</f>
        <v>1471838399476736017</v>
      </c>
      <c r="F4025" s="7" t="s">
        <v>17</v>
      </c>
      <c r="G4025" s="7">
        <v>1602565</v>
      </c>
      <c r="H4025" s="7">
        <v>638</v>
      </c>
      <c r="I4025" s="7">
        <v>7</v>
      </c>
      <c r="J4025" s="7">
        <v>0</v>
      </c>
      <c r="K4025" s="7" t="s">
        <v>18</v>
      </c>
      <c r="L4025" s="8">
        <v>39891.213356481479</v>
      </c>
      <c r="M4025" s="9" t="s">
        <v>19</v>
      </c>
      <c r="N4025" s="9" t="s">
        <v>4017</v>
      </c>
      <c r="O4025" s="6" t="str">
        <f>HYPERLINK("https://pbs.twimg.com/profile_images/1433591977631748099/wuGDIimB_normal.jpg","View")</f>
        <v>View</v>
      </c>
      <c r="P4025" s="7"/>
    </row>
    <row r="4026" spans="1:16">
      <c r="A4026" s="3">
        <v>44547.936550925922</v>
      </c>
      <c r="B4026" s="4" t="str">
        <f>HYPERLINK("https://twitter.com/sergio_fajardo","@sergio_fajardo")</f>
        <v>@sergio_fajardo</v>
      </c>
      <c r="C4026" s="5" t="s">
        <v>16</v>
      </c>
      <c r="D4026" s="5" t="s">
        <v>4046</v>
      </c>
      <c r="E4026" s="6" t="str">
        <f>HYPERLINK("https://twitter.com/sergio_fajardo/status/1471887571554902031","1471887571554902031")</f>
        <v>1471887571554902031</v>
      </c>
      <c r="F4026" s="7" t="s">
        <v>17</v>
      </c>
      <c r="G4026" s="7">
        <v>1602587</v>
      </c>
      <c r="H4026" s="7">
        <v>638</v>
      </c>
      <c r="I4026" s="7">
        <v>4</v>
      </c>
      <c r="J4026" s="7">
        <v>0</v>
      </c>
      <c r="K4026" s="7" t="s">
        <v>18</v>
      </c>
      <c r="L4026" s="8">
        <v>39891.213356481479</v>
      </c>
      <c r="M4026" s="9" t="s">
        <v>19</v>
      </c>
      <c r="N4026" s="9" t="s">
        <v>4017</v>
      </c>
      <c r="O4026" s="6" t="str">
        <f>HYPERLINK("https://pbs.twimg.com/profile_images/1433591977631748099/wuGDIimB_normal.jpg","View")</f>
        <v>View</v>
      </c>
      <c r="P4026" s="7"/>
    </row>
    <row r="4027" spans="1:16">
      <c r="A4027" s="3">
        <v>44548.171423611115</v>
      </c>
      <c r="B4027" s="4" t="str">
        <f>HYPERLINK("https://twitter.com/sergio_fajardo","@sergio_fajardo")</f>
        <v>@sergio_fajardo</v>
      </c>
      <c r="C4027" s="5" t="s">
        <v>16</v>
      </c>
      <c r="D4027" s="5" t="s">
        <v>4047</v>
      </c>
      <c r="E4027" s="6" t="str">
        <f>HYPERLINK("https://twitter.com/sergio_fajardo/status/1471972688704978949","1471972688704978949")</f>
        <v>1471972688704978949</v>
      </c>
      <c r="F4027" s="7" t="s">
        <v>17</v>
      </c>
      <c r="G4027" s="7">
        <v>1602606</v>
      </c>
      <c r="H4027" s="7">
        <v>638</v>
      </c>
      <c r="I4027" s="7">
        <v>5</v>
      </c>
      <c r="J4027" s="7">
        <v>0</v>
      </c>
      <c r="K4027" s="7" t="s">
        <v>18</v>
      </c>
      <c r="L4027" s="8">
        <v>39891.213356481479</v>
      </c>
      <c r="M4027" s="9" t="s">
        <v>19</v>
      </c>
      <c r="N4027" s="9" t="s">
        <v>4017</v>
      </c>
      <c r="O4027" s="6" t="str">
        <f>HYPERLINK("https://pbs.twimg.com/profile_images/1433591977631748099/wuGDIimB_normal.jpg","View")</f>
        <v>View</v>
      </c>
      <c r="P4027" s="7"/>
    </row>
    <row r="4028" spans="1:16">
      <c r="A4028" s="3">
        <v>44548.176990740743</v>
      </c>
      <c r="B4028" s="4" t="str">
        <f>HYPERLINK("https://twitter.com/sergio_fajardo","@sergio_fajardo")</f>
        <v>@sergio_fajardo</v>
      </c>
      <c r="C4028" s="5" t="s">
        <v>16</v>
      </c>
      <c r="D4028" s="5" t="s">
        <v>4048</v>
      </c>
      <c r="E4028" s="6" t="str">
        <f>HYPERLINK("https://twitter.com/sergio_fajardo/status/1471974705284460550","1471974705284460550")</f>
        <v>1471974705284460550</v>
      </c>
      <c r="F4028" s="7" t="s">
        <v>2329</v>
      </c>
      <c r="G4028" s="7">
        <v>1602606</v>
      </c>
      <c r="H4028" s="7">
        <v>638</v>
      </c>
      <c r="I4028" s="7">
        <v>7</v>
      </c>
      <c r="J4028" s="7">
        <v>12</v>
      </c>
      <c r="K4028" s="7" t="s">
        <v>18</v>
      </c>
      <c r="L4028" s="8">
        <v>39891.213356481479</v>
      </c>
      <c r="M4028" s="9" t="s">
        <v>19</v>
      </c>
      <c r="N4028" s="9" t="s">
        <v>4017</v>
      </c>
      <c r="O4028" s="6" t="str">
        <f>HYPERLINK("https://pbs.twimg.com/profile_images/1433591977631748099/wuGDIimB_normal.jpg","View")</f>
        <v>View</v>
      </c>
      <c r="P4028" s="7"/>
    </row>
    <row r="4029" spans="1:16">
      <c r="A4029" s="3">
        <v>44548.232754629629</v>
      </c>
      <c r="B4029" s="4" t="str">
        <f>HYPERLINK("https://twitter.com/sergio_fajardo","@sergio_fajardo")</f>
        <v>@sergio_fajardo</v>
      </c>
      <c r="C4029" s="5" t="s">
        <v>16</v>
      </c>
      <c r="D4029" s="5" t="s">
        <v>4049</v>
      </c>
      <c r="E4029" s="6" t="str">
        <f>HYPERLINK("https://twitter.com/sergio_fajardo/status/1471994913453715461","1471994913453715461")</f>
        <v>1471994913453715461</v>
      </c>
      <c r="F4029" s="7" t="s">
        <v>2329</v>
      </c>
      <c r="G4029" s="7">
        <v>1602611</v>
      </c>
      <c r="H4029" s="7">
        <v>638</v>
      </c>
      <c r="I4029" s="7">
        <v>4</v>
      </c>
      <c r="J4029" s="7">
        <v>17</v>
      </c>
      <c r="K4029" s="7" t="s">
        <v>18</v>
      </c>
      <c r="L4029" s="8">
        <v>39891.213356481479</v>
      </c>
      <c r="M4029" s="9" t="s">
        <v>19</v>
      </c>
      <c r="N4029" s="9" t="s">
        <v>4017</v>
      </c>
      <c r="O4029" s="6" t="str">
        <f>HYPERLINK("https://pbs.twimg.com/profile_images/1433591977631748099/wuGDIimB_normal.jpg","View")</f>
        <v>View</v>
      </c>
      <c r="P4029" s="7"/>
    </row>
    <row r="4030" spans="1:16">
      <c r="A4030" s="3">
        <v>44548.791666666672</v>
      </c>
      <c r="B4030" s="4" t="str">
        <f>HYPERLINK("https://twitter.com/sergio_fajardo","@sergio_fajardo")</f>
        <v>@sergio_fajardo</v>
      </c>
      <c r="C4030" s="5" t="s">
        <v>16</v>
      </c>
      <c r="D4030" s="5" t="s">
        <v>4050</v>
      </c>
      <c r="E4030" s="6" t="str">
        <f>HYPERLINK("https://twitter.com/sergio_fajardo/status/1472197456892936196","1472197456892936196")</f>
        <v>1472197456892936196</v>
      </c>
      <c r="F4030" s="7" t="s">
        <v>2329</v>
      </c>
      <c r="G4030" s="7">
        <v>1602648</v>
      </c>
      <c r="H4030" s="7">
        <v>638</v>
      </c>
      <c r="I4030" s="7">
        <v>11</v>
      </c>
      <c r="J4030" s="7">
        <v>43</v>
      </c>
      <c r="K4030" s="7" t="s">
        <v>18</v>
      </c>
      <c r="L4030" s="8">
        <v>39891.213356481479</v>
      </c>
      <c r="M4030" s="9" t="s">
        <v>19</v>
      </c>
      <c r="N4030" s="9" t="s">
        <v>4017</v>
      </c>
      <c r="O4030" s="6" t="str">
        <f>HYPERLINK("https://pbs.twimg.com/profile_images/1433591977631748099/wuGDIimB_normal.jpg","View")</f>
        <v>View</v>
      </c>
      <c r="P4030" s="7"/>
    </row>
    <row r="4031" spans="1:16">
      <c r="A4031" s="3">
        <v>44548.833333333328</v>
      </c>
      <c r="B4031" s="4" t="str">
        <f>HYPERLINK("https://twitter.com/sergio_fajardo","@sergio_fajardo")</f>
        <v>@sergio_fajardo</v>
      </c>
      <c r="C4031" s="5" t="s">
        <v>16</v>
      </c>
      <c r="D4031" s="5" t="s">
        <v>4051</v>
      </c>
      <c r="E4031" s="6" t="str">
        <f>HYPERLINK("https://twitter.com/sergio_fajardo/status/1472212556559306752","1472212556559306752")</f>
        <v>1472212556559306752</v>
      </c>
      <c r="F4031" s="7" t="s">
        <v>2329</v>
      </c>
      <c r="G4031" s="7">
        <v>1602655</v>
      </c>
      <c r="H4031" s="7">
        <v>638</v>
      </c>
      <c r="I4031" s="7">
        <v>2</v>
      </c>
      <c r="J4031" s="7">
        <v>15</v>
      </c>
      <c r="K4031" s="7" t="s">
        <v>18</v>
      </c>
      <c r="L4031" s="8">
        <v>39891.213356481479</v>
      </c>
      <c r="M4031" s="9" t="s">
        <v>19</v>
      </c>
      <c r="N4031" s="9" t="s">
        <v>4017</v>
      </c>
      <c r="O4031" s="6" t="str">
        <f>HYPERLINK("https://pbs.twimg.com/profile_images/1433591977631748099/wuGDIimB_normal.jpg","View")</f>
        <v>View</v>
      </c>
      <c r="P4031" s="7"/>
    </row>
    <row r="4032" spans="1:16">
      <c r="A4032" s="3">
        <v>44549.053148148145</v>
      </c>
      <c r="B4032" s="4" t="str">
        <f>HYPERLINK("https://twitter.com/sergio_fajardo","@sergio_fajardo")</f>
        <v>@sergio_fajardo</v>
      </c>
      <c r="C4032" s="5" t="s">
        <v>16</v>
      </c>
      <c r="D4032" s="5" t="s">
        <v>4052</v>
      </c>
      <c r="E4032" s="6" t="str">
        <f>HYPERLINK("https://twitter.com/sergio_fajardo/status/1472292216437723140","1472292216437723140")</f>
        <v>1472292216437723140</v>
      </c>
      <c r="F4032" s="7" t="s">
        <v>17</v>
      </c>
      <c r="G4032" s="7">
        <v>1602666</v>
      </c>
      <c r="H4032" s="7">
        <v>638</v>
      </c>
      <c r="I4032" s="7">
        <v>0</v>
      </c>
      <c r="J4032" s="7">
        <v>3</v>
      </c>
      <c r="K4032" s="7" t="s">
        <v>18</v>
      </c>
      <c r="L4032" s="8">
        <v>39891.213356481479</v>
      </c>
      <c r="M4032" s="9" t="s">
        <v>19</v>
      </c>
      <c r="N4032" s="9" t="s">
        <v>4017</v>
      </c>
      <c r="O4032" s="6" t="str">
        <f>HYPERLINK("https://pbs.twimg.com/profile_images/1433591977631748099/wuGDIimB_normal.jpg","View")</f>
        <v>View</v>
      </c>
      <c r="P4032" s="7"/>
    </row>
    <row r="4033" spans="1:16">
      <c r="A4033" s="3">
        <v>44549.669189814813</v>
      </c>
      <c r="B4033" s="4" t="str">
        <f>HYPERLINK("https://twitter.com/sergio_fajardo","@sergio_fajardo")</f>
        <v>@sergio_fajardo</v>
      </c>
      <c r="C4033" s="5" t="s">
        <v>16</v>
      </c>
      <c r="D4033" s="5" t="s">
        <v>4053</v>
      </c>
      <c r="E4033" s="6" t="str">
        <f>HYPERLINK("https://twitter.com/sergio_fajardo/status/1472515460407173123","1472515460407173123")</f>
        <v>1472515460407173123</v>
      </c>
      <c r="F4033" s="7" t="s">
        <v>17</v>
      </c>
      <c r="G4033" s="7">
        <v>1602686</v>
      </c>
      <c r="H4033" s="7">
        <v>638</v>
      </c>
      <c r="I4033" s="7">
        <v>1</v>
      </c>
      <c r="J4033" s="7">
        <v>6</v>
      </c>
      <c r="K4033" s="7" t="s">
        <v>18</v>
      </c>
      <c r="L4033" s="8">
        <v>39891.213356481479</v>
      </c>
      <c r="M4033" s="9" t="s">
        <v>19</v>
      </c>
      <c r="N4033" s="9" t="s">
        <v>4017</v>
      </c>
      <c r="O4033" s="6" t="str">
        <f>HYPERLINK("https://pbs.twimg.com/profile_images/1433591977631748099/wuGDIimB_normal.jpg","View")</f>
        <v>View</v>
      </c>
      <c r="P4033" s="7"/>
    </row>
    <row r="4034" spans="1:16">
      <c r="A4034" s="3">
        <v>44549.685277777782</v>
      </c>
      <c r="B4034" s="4" t="str">
        <f>HYPERLINK("https://twitter.com/sergio_fajardo","@sergio_fajardo")</f>
        <v>@sergio_fajardo</v>
      </c>
      <c r="C4034" s="5" t="s">
        <v>16</v>
      </c>
      <c r="D4034" s="5" t="s">
        <v>4054</v>
      </c>
      <c r="E4034" s="6" t="str">
        <f>HYPERLINK("https://twitter.com/sergio_fajardo/status/1472521290921779200","1472521290921779200")</f>
        <v>1472521290921779200</v>
      </c>
      <c r="F4034" s="7" t="s">
        <v>17</v>
      </c>
      <c r="G4034" s="7">
        <v>1602686</v>
      </c>
      <c r="H4034" s="7">
        <v>638</v>
      </c>
      <c r="I4034" s="7">
        <v>0</v>
      </c>
      <c r="J4034" s="7">
        <v>1</v>
      </c>
      <c r="K4034" s="7" t="s">
        <v>18</v>
      </c>
      <c r="L4034" s="8">
        <v>39891.213356481479</v>
      </c>
      <c r="M4034" s="9" t="s">
        <v>19</v>
      </c>
      <c r="N4034" s="9" t="s">
        <v>4017</v>
      </c>
      <c r="O4034" s="6" t="str">
        <f>HYPERLINK("https://pbs.twimg.com/profile_images/1433591977631748099/wuGDIimB_normal.jpg","View")</f>
        <v>View</v>
      </c>
      <c r="P4034" s="7"/>
    </row>
    <row r="4035" spans="1:16">
      <c r="A4035" s="3">
        <v>44549.886111111111</v>
      </c>
      <c r="B4035" s="4" t="str">
        <f>HYPERLINK("https://twitter.com/sergio_fajardo","@sergio_fajardo")</f>
        <v>@sergio_fajardo</v>
      </c>
      <c r="C4035" s="5" t="s">
        <v>16</v>
      </c>
      <c r="D4035" s="5" t="s">
        <v>4055</v>
      </c>
      <c r="E4035" s="6" t="str">
        <f>HYPERLINK("https://twitter.com/sergio_fajardo/status/1472594070283374593","1472594070283374593")</f>
        <v>1472594070283374593</v>
      </c>
      <c r="F4035" s="7" t="s">
        <v>17</v>
      </c>
      <c r="G4035" s="7">
        <v>1602713</v>
      </c>
      <c r="H4035" s="7">
        <v>638</v>
      </c>
      <c r="I4035" s="7">
        <v>56</v>
      </c>
      <c r="J4035" s="7">
        <v>250</v>
      </c>
      <c r="K4035" s="7" t="s">
        <v>18</v>
      </c>
      <c r="L4035" s="8">
        <v>39891.213356481479</v>
      </c>
      <c r="M4035" s="9" t="s">
        <v>19</v>
      </c>
      <c r="N4035" s="9" t="s">
        <v>4017</v>
      </c>
      <c r="O4035" s="6" t="str">
        <f>HYPERLINK("https://pbs.twimg.com/profile_images/1433591977631748099/wuGDIimB_normal.jpg","View")</f>
        <v>View</v>
      </c>
      <c r="P4035" s="7"/>
    </row>
    <row r="4036" spans="1:16">
      <c r="A4036" s="3">
        <v>44550.315625000003</v>
      </c>
      <c r="B4036" s="4" t="str">
        <f>HYPERLINK("https://twitter.com/sergio_fajardo","@sergio_fajardo")</f>
        <v>@sergio_fajardo</v>
      </c>
      <c r="C4036" s="5" t="s">
        <v>16</v>
      </c>
      <c r="D4036" s="5" t="s">
        <v>4056</v>
      </c>
      <c r="E4036" s="6" t="str">
        <f>HYPERLINK("https://twitter.com/sergio_fajardo/status/1472749721798295555","1472749721798295555")</f>
        <v>1472749721798295555</v>
      </c>
      <c r="F4036" s="7" t="s">
        <v>23</v>
      </c>
      <c r="G4036" s="7">
        <v>1602785</v>
      </c>
      <c r="H4036" s="7">
        <v>638</v>
      </c>
      <c r="I4036" s="7">
        <v>67</v>
      </c>
      <c r="J4036" s="7">
        <v>529</v>
      </c>
      <c r="K4036" s="7" t="s">
        <v>18</v>
      </c>
      <c r="L4036" s="8">
        <v>39891.213356481479</v>
      </c>
      <c r="M4036" s="9" t="s">
        <v>19</v>
      </c>
      <c r="N4036" s="9" t="s">
        <v>4017</v>
      </c>
      <c r="O4036" s="6" t="str">
        <f>HYPERLINK("https://pbs.twimg.com/profile_images/1433591977631748099/wuGDIimB_normal.jpg","View")</f>
        <v>View</v>
      </c>
      <c r="P4036" s="7"/>
    </row>
    <row r="4037" spans="1:16">
      <c r="A4037" s="3">
        <v>44551.387418981481</v>
      </c>
      <c r="B4037" s="4" t="str">
        <f>HYPERLINK("https://twitter.com/sergio_fajardo","@sergio_fajardo")</f>
        <v>@sergio_fajardo</v>
      </c>
      <c r="C4037" s="5" t="s">
        <v>16</v>
      </c>
      <c r="D4037" s="5" t="s">
        <v>4057</v>
      </c>
      <c r="E4037" s="6" t="str">
        <f>HYPERLINK("https://twitter.com/sergio_fajardo/status/1473138126893768707","1473138126893768707")</f>
        <v>1473138126893768707</v>
      </c>
      <c r="F4037" s="7" t="s">
        <v>17</v>
      </c>
      <c r="G4037" s="7">
        <v>1602925</v>
      </c>
      <c r="H4037" s="7">
        <v>638</v>
      </c>
      <c r="I4037" s="7">
        <v>24</v>
      </c>
      <c r="J4037" s="7">
        <v>258</v>
      </c>
      <c r="K4037" s="7" t="s">
        <v>18</v>
      </c>
      <c r="L4037" s="8">
        <v>39891.213356481479</v>
      </c>
      <c r="M4037" s="9" t="s">
        <v>19</v>
      </c>
      <c r="N4037" s="9" t="s">
        <v>4017</v>
      </c>
      <c r="O4037" s="6" t="str">
        <f>HYPERLINK("https://pbs.twimg.com/profile_images/1433591977631748099/wuGDIimB_normal.jpg","View")</f>
        <v>View</v>
      </c>
      <c r="P4037" s="7"/>
    </row>
    <row r="4038" spans="1:16">
      <c r="A4038" s="3">
        <v>44551.779780092591</v>
      </c>
      <c r="B4038" s="4" t="str">
        <f>HYPERLINK("https://twitter.com/sergio_fajardo","@sergio_fajardo")</f>
        <v>@sergio_fajardo</v>
      </c>
      <c r="C4038" s="5" t="s">
        <v>16</v>
      </c>
      <c r="D4038" s="5" t="s">
        <v>4058</v>
      </c>
      <c r="E4038" s="6" t="str">
        <f>HYPERLINK("https://twitter.com/sergio_fajardo/status/1473280312771764225","1473280312771764225")</f>
        <v>1473280312771764225</v>
      </c>
      <c r="F4038" s="7" t="s">
        <v>17</v>
      </c>
      <c r="G4038" s="7">
        <v>1602947</v>
      </c>
      <c r="H4038" s="7">
        <v>638</v>
      </c>
      <c r="I4038" s="7">
        <v>340</v>
      </c>
      <c r="J4038" s="7">
        <v>0</v>
      </c>
      <c r="K4038" s="7" t="s">
        <v>18</v>
      </c>
      <c r="L4038" s="8">
        <v>39891.213356481479</v>
      </c>
      <c r="M4038" s="9" t="s">
        <v>19</v>
      </c>
      <c r="N4038" s="9" t="s">
        <v>4017</v>
      </c>
      <c r="O4038" s="6" t="str">
        <f>HYPERLINK("https://pbs.twimg.com/profile_images/1433591977631748099/wuGDIimB_normal.jpg","View")</f>
        <v>View</v>
      </c>
      <c r="P4038" s="7"/>
    </row>
    <row r="4039" spans="1:16">
      <c r="A4039" s="3">
        <v>44552.006076388891</v>
      </c>
      <c r="B4039" s="4" t="str">
        <f>HYPERLINK("https://twitter.com/sergio_fajardo","@sergio_fajardo")</f>
        <v>@sergio_fajardo</v>
      </c>
      <c r="C4039" s="5" t="s">
        <v>16</v>
      </c>
      <c r="D4039" s="5" t="s">
        <v>4059</v>
      </c>
      <c r="E4039" s="6" t="str">
        <f>HYPERLINK("https://twitter.com/sergio_fajardo/status/1473362318042046464","1473362318042046464")</f>
        <v>1473362318042046464</v>
      </c>
      <c r="F4039" s="7" t="s">
        <v>17</v>
      </c>
      <c r="G4039" s="7">
        <v>1603010</v>
      </c>
      <c r="H4039" s="7">
        <v>638</v>
      </c>
      <c r="I4039" s="7">
        <v>60</v>
      </c>
      <c r="J4039" s="7">
        <v>238</v>
      </c>
      <c r="K4039" s="7" t="s">
        <v>18</v>
      </c>
      <c r="L4039" s="8">
        <v>39891.213356481479</v>
      </c>
      <c r="M4039" s="9" t="s">
        <v>19</v>
      </c>
      <c r="N4039" s="9" t="s">
        <v>4017</v>
      </c>
      <c r="O4039" s="6" t="str">
        <f>HYPERLINK("https://pbs.twimg.com/profile_images/1433591977631748099/wuGDIimB_normal.jpg","View")</f>
        <v>View</v>
      </c>
      <c r="P4039" s="7"/>
    </row>
    <row r="4040" spans="1:16">
      <c r="A4040" s="3">
        <v>44552.221585648149</v>
      </c>
      <c r="B4040" s="4" t="str">
        <f>HYPERLINK("https://twitter.com/sergio_fajardo","@sergio_fajardo")</f>
        <v>@sergio_fajardo</v>
      </c>
      <c r="C4040" s="5" t="s">
        <v>16</v>
      </c>
      <c r="D4040" s="5" t="s">
        <v>4060</v>
      </c>
      <c r="E4040" s="6" t="str">
        <f>HYPERLINK("https://twitter.com/sergio_fajardo/status/1473440417765105664","1473440417765105664")</f>
        <v>1473440417765105664</v>
      </c>
      <c r="F4040" s="7" t="s">
        <v>17</v>
      </c>
      <c r="G4040" s="7">
        <v>1603062</v>
      </c>
      <c r="H4040" s="7">
        <v>638</v>
      </c>
      <c r="I4040" s="7">
        <v>44</v>
      </c>
      <c r="J4040" s="7">
        <v>242</v>
      </c>
      <c r="K4040" s="7" t="s">
        <v>18</v>
      </c>
      <c r="L4040" s="8">
        <v>39891.213356481479</v>
      </c>
      <c r="M4040" s="9" t="s">
        <v>19</v>
      </c>
      <c r="N4040" s="9" t="s">
        <v>4017</v>
      </c>
      <c r="O4040" s="6" t="str">
        <f>HYPERLINK("https://pbs.twimg.com/profile_images/1433591977631748099/wuGDIimB_normal.jpg","View")</f>
        <v>View</v>
      </c>
      <c r="P4040" s="7"/>
    </row>
    <row r="4041" spans="1:16">
      <c r="A4041" s="3">
        <v>44552.878240740742</v>
      </c>
      <c r="B4041" s="4" t="str">
        <f>HYPERLINK("https://twitter.com/sergio_fajardo","@sergio_fajardo")</f>
        <v>@sergio_fajardo</v>
      </c>
      <c r="C4041" s="5" t="s">
        <v>16</v>
      </c>
      <c r="D4041" s="5" t="s">
        <v>4061</v>
      </c>
      <c r="E4041" s="6" t="str">
        <f>HYPERLINK("https://twitter.com/sergio_fajardo/status/1473678381711609860","1473678381711609860")</f>
        <v>1473678381711609860</v>
      </c>
      <c r="F4041" s="7" t="s">
        <v>17</v>
      </c>
      <c r="G4041" s="7">
        <v>1603165</v>
      </c>
      <c r="H4041" s="7">
        <v>638</v>
      </c>
      <c r="I4041" s="7">
        <v>104</v>
      </c>
      <c r="J4041" s="7">
        <v>576</v>
      </c>
      <c r="K4041" s="7" t="s">
        <v>18</v>
      </c>
      <c r="L4041" s="8">
        <v>39891.213356481479</v>
      </c>
      <c r="M4041" s="9" t="s">
        <v>19</v>
      </c>
      <c r="N4041" s="9" t="s">
        <v>4017</v>
      </c>
      <c r="O4041" s="6" t="str">
        <f>HYPERLINK("https://pbs.twimg.com/profile_images/1433591977631748099/wuGDIimB_normal.jpg","View")</f>
        <v>View</v>
      </c>
      <c r="P4041" s="7"/>
    </row>
    <row r="4042" spans="1:16">
      <c r="A4042" s="3">
        <v>44553.342349537037</v>
      </c>
      <c r="B4042" s="4" t="str">
        <f>HYPERLINK("https://twitter.com/sergio_fajardo","@sergio_fajardo")</f>
        <v>@sergio_fajardo</v>
      </c>
      <c r="C4042" s="5" t="s">
        <v>16</v>
      </c>
      <c r="D4042" s="5" t="s">
        <v>4062</v>
      </c>
      <c r="E4042" s="6" t="str">
        <f>HYPERLINK("https://twitter.com/sergio_fajardo/status/1473846569065762822","1473846569065762822")</f>
        <v>1473846569065762822</v>
      </c>
      <c r="F4042" s="7" t="s">
        <v>17</v>
      </c>
      <c r="G4042" s="7">
        <v>1603254</v>
      </c>
      <c r="H4042" s="7">
        <v>638</v>
      </c>
      <c r="I4042" s="7">
        <v>30</v>
      </c>
      <c r="J4042" s="7">
        <v>213</v>
      </c>
      <c r="K4042" s="7" t="s">
        <v>18</v>
      </c>
      <c r="L4042" s="8">
        <v>39891.213356481479</v>
      </c>
      <c r="M4042" s="9" t="s">
        <v>19</v>
      </c>
      <c r="N4042" s="9" t="s">
        <v>4017</v>
      </c>
      <c r="O4042" s="6" t="str">
        <f>HYPERLINK("https://pbs.twimg.com/profile_images/1433591977631748099/wuGDIimB_normal.jpg","View")</f>
        <v>View</v>
      </c>
      <c r="P4042" s="7"/>
    </row>
    <row r="4043" spans="1:16">
      <c r="A4043" s="3">
        <v>44553.917002314818</v>
      </c>
      <c r="B4043" s="4" t="str">
        <f>HYPERLINK("https://twitter.com/sergio_fajardo","@sergio_fajardo")</f>
        <v>@sergio_fajardo</v>
      </c>
      <c r="C4043" s="5" t="s">
        <v>16</v>
      </c>
      <c r="D4043" s="5" t="s">
        <v>4063</v>
      </c>
      <c r="E4043" s="6" t="str">
        <f>HYPERLINK("https://twitter.com/sergio_fajardo/status/1474054814623580185","1474054814623580185")</f>
        <v>1474054814623580185</v>
      </c>
      <c r="F4043" s="7" t="s">
        <v>17</v>
      </c>
      <c r="G4043" s="7">
        <v>1603325</v>
      </c>
      <c r="H4043" s="7">
        <v>638</v>
      </c>
      <c r="I4043" s="7">
        <v>45</v>
      </c>
      <c r="J4043" s="7">
        <v>286</v>
      </c>
      <c r="K4043" s="7" t="s">
        <v>18</v>
      </c>
      <c r="L4043" s="8">
        <v>39891.213356481479</v>
      </c>
      <c r="M4043" s="9" t="s">
        <v>19</v>
      </c>
      <c r="N4043" s="9" t="s">
        <v>4017</v>
      </c>
      <c r="O4043" s="6" t="str">
        <f>HYPERLINK("https://pbs.twimg.com/profile_images/1433591977631748099/wuGDIimB_normal.jpg","View")</f>
        <v>View</v>
      </c>
      <c r="P4043" s="7"/>
    </row>
    <row r="4044" spans="1:16">
      <c r="A4044" s="3">
        <v>44554.153981481482</v>
      </c>
      <c r="B4044" s="4" t="str">
        <f>HYPERLINK("https://twitter.com/sergio_fajardo","@sergio_fajardo")</f>
        <v>@sergio_fajardo</v>
      </c>
      <c r="C4044" s="5" t="s">
        <v>16</v>
      </c>
      <c r="D4044" s="5" t="s">
        <v>4064</v>
      </c>
      <c r="E4044" s="6" t="str">
        <f>HYPERLINK("https://twitter.com/sergio_fajardo/status/1474140696240181260","1474140696240181260")</f>
        <v>1474140696240181260</v>
      </c>
      <c r="F4044" s="7" t="s">
        <v>2329</v>
      </c>
      <c r="G4044" s="7">
        <v>1603338</v>
      </c>
      <c r="H4044" s="7">
        <v>638</v>
      </c>
      <c r="I4044" s="7">
        <v>15</v>
      </c>
      <c r="J4044" s="7">
        <v>73</v>
      </c>
      <c r="K4044" s="7" t="s">
        <v>18</v>
      </c>
      <c r="L4044" s="8">
        <v>39891.213356481479</v>
      </c>
      <c r="M4044" s="9" t="s">
        <v>19</v>
      </c>
      <c r="N4044" s="9" t="s">
        <v>4017</v>
      </c>
      <c r="O4044" s="6" t="str">
        <f>HYPERLINK("https://pbs.twimg.com/profile_images/1433591977631748099/wuGDIimB_normal.jpg","View")</f>
        <v>View</v>
      </c>
      <c r="P4044" s="7"/>
    </row>
    <row r="4045" spans="1:16">
      <c r="A4045" s="3">
        <v>44554.711851851855</v>
      </c>
      <c r="B4045" s="4" t="str">
        <f>HYPERLINK("https://twitter.com/sergio_fajardo","@sergio_fajardo")</f>
        <v>@sergio_fajardo</v>
      </c>
      <c r="C4045" s="5" t="s">
        <v>16</v>
      </c>
      <c r="D4045" s="5" t="s">
        <v>4065</v>
      </c>
      <c r="E4045" s="6" t="str">
        <f>HYPERLINK("https://twitter.com/sergio_fajardo/status/1474342861869096976","1474342861869096976")</f>
        <v>1474342861869096976</v>
      </c>
      <c r="F4045" s="7" t="s">
        <v>17</v>
      </c>
      <c r="G4045" s="7">
        <v>1603380</v>
      </c>
      <c r="H4045" s="7">
        <v>638</v>
      </c>
      <c r="I4045" s="7">
        <v>25</v>
      </c>
      <c r="J4045" s="7">
        <v>0</v>
      </c>
      <c r="K4045" s="7" t="s">
        <v>18</v>
      </c>
      <c r="L4045" s="8">
        <v>39891.213356481479</v>
      </c>
      <c r="M4045" s="9" t="s">
        <v>19</v>
      </c>
      <c r="N4045" s="9" t="s">
        <v>4017</v>
      </c>
      <c r="O4045" s="6" t="str">
        <f>HYPERLINK("https://pbs.twimg.com/profile_images/1433591977631748099/wuGDIimB_normal.jpg","View")</f>
        <v>View</v>
      </c>
      <c r="P4045" s="7"/>
    </row>
    <row r="4046" spans="1:16">
      <c r="A4046" s="3">
        <v>44557.139768518522</v>
      </c>
      <c r="B4046" s="4" t="str">
        <f>HYPERLINK("https://twitter.com/sergio_fajardo","@sergio_fajardo")</f>
        <v>@sergio_fajardo</v>
      </c>
      <c r="C4046" s="5" t="s">
        <v>16</v>
      </c>
      <c r="D4046" s="5" t="s">
        <v>4066</v>
      </c>
      <c r="E4046" s="6" t="str">
        <f>HYPERLINK("https://twitter.com/sergio_fajardo/status/1475222709005131789","1475222709005131789")</f>
        <v>1475222709005131789</v>
      </c>
      <c r="F4046" s="7" t="s">
        <v>17</v>
      </c>
      <c r="G4046" s="7">
        <v>1603630</v>
      </c>
      <c r="H4046" s="7">
        <v>638</v>
      </c>
      <c r="I4046" s="7">
        <v>3</v>
      </c>
      <c r="J4046" s="7">
        <v>10</v>
      </c>
      <c r="K4046" s="7" t="s">
        <v>18</v>
      </c>
      <c r="L4046" s="8">
        <v>39891.213356481479</v>
      </c>
      <c r="M4046" s="9" t="s">
        <v>19</v>
      </c>
      <c r="N4046" s="9" t="s">
        <v>4017</v>
      </c>
      <c r="O4046" s="6" t="str">
        <f>HYPERLINK("https://pbs.twimg.com/profile_images/1433591977631748099/wuGDIimB_normal.jpg","View")</f>
        <v>View</v>
      </c>
      <c r="P4046" s="7"/>
    </row>
    <row r="4047" spans="1:16">
      <c r="A4047" s="3">
        <v>44558.417847222227</v>
      </c>
      <c r="B4047" s="4" t="str">
        <f>HYPERLINK("https://twitter.com/sergio_fajardo","@sergio_fajardo")</f>
        <v>@sergio_fajardo</v>
      </c>
      <c r="C4047" s="5" t="s">
        <v>16</v>
      </c>
      <c r="D4047" s="5" t="s">
        <v>4067</v>
      </c>
      <c r="E4047" s="6" t="str">
        <f>HYPERLINK("https://twitter.com/sergio_fajardo/status/1475685869063389187","1475685869063389187")</f>
        <v>1475685869063389187</v>
      </c>
      <c r="F4047" s="7" t="s">
        <v>17</v>
      </c>
      <c r="G4047" s="7">
        <v>1603780</v>
      </c>
      <c r="H4047" s="7">
        <v>638</v>
      </c>
      <c r="I4047" s="7">
        <v>300</v>
      </c>
      <c r="J4047" s="7">
        <v>0</v>
      </c>
      <c r="K4047" s="7" t="s">
        <v>18</v>
      </c>
      <c r="L4047" s="8">
        <v>39891.213356481479</v>
      </c>
      <c r="M4047" s="9" t="s">
        <v>19</v>
      </c>
      <c r="N4047" s="9" t="s">
        <v>4017</v>
      </c>
      <c r="O4047" s="6" t="str">
        <f>HYPERLINK("https://pbs.twimg.com/profile_images/1433591977631748099/wuGDIimB_normal.jpg","View")</f>
        <v>View</v>
      </c>
      <c r="P4047" s="7"/>
    </row>
    <row r="4048" spans="1:16">
      <c r="A4048" s="3">
        <v>44559.679537037038</v>
      </c>
      <c r="B4048" s="4" t="str">
        <f>HYPERLINK("https://twitter.com/sergio_fajardo","@sergio_fajardo")</f>
        <v>@sergio_fajardo</v>
      </c>
      <c r="C4048" s="5" t="s">
        <v>16</v>
      </c>
      <c r="D4048" s="5" t="s">
        <v>4068</v>
      </c>
      <c r="E4048" s="6" t="str">
        <f>HYPERLINK("https://twitter.com/sergio_fajardo/status/1476143087399407616","1476143087399407616")</f>
        <v>1476143087399407616</v>
      </c>
      <c r="F4048" s="7" t="s">
        <v>17</v>
      </c>
      <c r="G4048" s="7">
        <v>1603913</v>
      </c>
      <c r="H4048" s="7">
        <v>638</v>
      </c>
      <c r="I4048" s="7">
        <v>8</v>
      </c>
      <c r="J4048" s="7">
        <v>0</v>
      </c>
      <c r="K4048" s="7" t="s">
        <v>18</v>
      </c>
      <c r="L4048" s="8">
        <v>39891.213356481479</v>
      </c>
      <c r="M4048" s="9" t="s">
        <v>19</v>
      </c>
      <c r="N4048" s="9" t="s">
        <v>4017</v>
      </c>
      <c r="O4048" s="6" t="str">
        <f>HYPERLINK("https://pbs.twimg.com/profile_images/1433591977631748099/wuGDIimB_normal.jpg","View")</f>
        <v>View</v>
      </c>
      <c r="P4048" s="7"/>
    </row>
    <row r="4049" spans="1:16">
      <c r="A4049" s="3">
        <v>44560.168854166666</v>
      </c>
      <c r="B4049" s="4" t="str">
        <f>HYPERLINK("https://twitter.com/sergio_fajardo","@sergio_fajardo")</f>
        <v>@sergio_fajardo</v>
      </c>
      <c r="C4049" s="5" t="s">
        <v>16</v>
      </c>
      <c r="D4049" s="5" t="s">
        <v>4069</v>
      </c>
      <c r="E4049" s="6" t="str">
        <f>HYPERLINK("https://twitter.com/sergio_fajardo/status/1476320411155668992","1476320411155668992")</f>
        <v>1476320411155668992</v>
      </c>
      <c r="F4049" s="7" t="s">
        <v>17</v>
      </c>
      <c r="G4049" s="7">
        <v>1603988</v>
      </c>
      <c r="H4049" s="7">
        <v>638</v>
      </c>
      <c r="I4049" s="7">
        <v>14</v>
      </c>
      <c r="J4049" s="7">
        <v>30</v>
      </c>
      <c r="K4049" s="7" t="s">
        <v>18</v>
      </c>
      <c r="L4049" s="8">
        <v>39891.213356481479</v>
      </c>
      <c r="M4049" s="9" t="s">
        <v>19</v>
      </c>
      <c r="N4049" s="9" t="s">
        <v>4017</v>
      </c>
      <c r="O4049" s="6" t="str">
        <f>HYPERLINK("https://pbs.twimg.com/profile_images/1433591977631748099/wuGDIimB_normal.jpg","View")</f>
        <v>View</v>
      </c>
      <c r="P4049" s="7"/>
    </row>
    <row r="4050" spans="1:16">
      <c r="A4050" s="3">
        <v>44563.641099537039</v>
      </c>
      <c r="B4050" s="4" t="str">
        <f>HYPERLINK("https://twitter.com/sergio_fajardo","@sergio_fajardo")</f>
        <v>@sergio_fajardo</v>
      </c>
      <c r="C4050" s="5" t="s">
        <v>16</v>
      </c>
      <c r="D4050" s="5" t="s">
        <v>4070</v>
      </c>
      <c r="E4050" s="6" t="str">
        <f>HYPERLINK("https://twitter.com/sergio_fajardo/status/1477578710505058304","1477578710505058304")</f>
        <v>1477578710505058304</v>
      </c>
      <c r="F4050" s="7" t="s">
        <v>20</v>
      </c>
      <c r="G4050" s="7">
        <v>1604246</v>
      </c>
      <c r="H4050" s="7">
        <v>638</v>
      </c>
      <c r="I4050" s="7">
        <v>977</v>
      </c>
      <c r="J4050" s="7">
        <v>0</v>
      </c>
      <c r="K4050" s="7" t="s">
        <v>18</v>
      </c>
      <c r="L4050" s="8">
        <v>39891.213356481479</v>
      </c>
      <c r="M4050" s="9" t="s">
        <v>19</v>
      </c>
      <c r="N4050" s="9" t="s">
        <v>4017</v>
      </c>
      <c r="O4050" s="6" t="str">
        <f>HYPERLINK("https://pbs.twimg.com/profile_images/1433591977631748099/wuGDIimB_normal.jpg","View")</f>
        <v>View</v>
      </c>
      <c r="P4050" s="7"/>
    </row>
    <row r="4051" spans="1:16">
      <c r="A4051" s="3">
        <v>44563.941805555558</v>
      </c>
      <c r="B4051" s="4" t="str">
        <f>HYPERLINK("https://twitter.com/sergio_fajardo","@sergio_fajardo")</f>
        <v>@sergio_fajardo</v>
      </c>
      <c r="C4051" s="5" t="s">
        <v>16</v>
      </c>
      <c r="D4051" s="5" t="s">
        <v>4071</v>
      </c>
      <c r="E4051" s="6" t="str">
        <f>HYPERLINK("https://twitter.com/sergio_fajardo/status/1477687684680331271","1477687684680331271")</f>
        <v>1477687684680331271</v>
      </c>
      <c r="F4051" s="7" t="s">
        <v>17</v>
      </c>
      <c r="G4051" s="7">
        <v>1604282</v>
      </c>
      <c r="H4051" s="7">
        <v>638</v>
      </c>
      <c r="I4051" s="7">
        <v>4</v>
      </c>
      <c r="J4051" s="7">
        <v>0</v>
      </c>
      <c r="K4051" s="7" t="s">
        <v>18</v>
      </c>
      <c r="L4051" s="8">
        <v>39891.213356481479</v>
      </c>
      <c r="M4051" s="9" t="s">
        <v>19</v>
      </c>
      <c r="N4051" s="9" t="s">
        <v>4017</v>
      </c>
      <c r="O4051" s="6" t="str">
        <f>HYPERLINK("https://pbs.twimg.com/profile_images/1433591977631748099/wuGDIimB_normal.jpg","View")</f>
        <v>View</v>
      </c>
      <c r="P4051" s="7"/>
    </row>
    <row r="4052" spans="1:16">
      <c r="A4052" s="3">
        <v>44565.00335648148</v>
      </c>
      <c r="B4052" s="4" t="str">
        <f>HYPERLINK("https://twitter.com/sergio_fajardo","@sergio_fajardo")</f>
        <v>@sergio_fajardo</v>
      </c>
      <c r="C4052" s="5" t="s">
        <v>16</v>
      </c>
      <c r="D4052" s="5" t="s">
        <v>4072</v>
      </c>
      <c r="E4052" s="6" t="str">
        <f>HYPERLINK("https://twitter.com/sergio_fajardo/status/1478072377619668995","1478072377619668995")</f>
        <v>1478072377619668995</v>
      </c>
      <c r="F4052" s="7" t="s">
        <v>17</v>
      </c>
      <c r="G4052" s="7">
        <v>1604411</v>
      </c>
      <c r="H4052" s="7">
        <v>638</v>
      </c>
      <c r="I4052" s="7">
        <v>224</v>
      </c>
      <c r="J4052" s="7">
        <v>0</v>
      </c>
      <c r="K4052" s="7" t="s">
        <v>18</v>
      </c>
      <c r="L4052" s="8">
        <v>39891.213356481479</v>
      </c>
      <c r="M4052" s="9" t="s">
        <v>19</v>
      </c>
      <c r="N4052" s="9" t="s">
        <v>4017</v>
      </c>
      <c r="O4052" s="6" t="str">
        <f>HYPERLINK("https://pbs.twimg.com/profile_images/1433591977631748099/wuGDIimB_normal.jpg","View")</f>
        <v>View</v>
      </c>
      <c r="P4052" s="7"/>
    </row>
    <row r="4053" spans="1:16">
      <c r="A4053" s="3">
        <v>44565.035879629635</v>
      </c>
      <c r="B4053" s="4" t="str">
        <f>HYPERLINK("https://twitter.com/sergio_fajardo","@sergio_fajardo")</f>
        <v>@sergio_fajardo</v>
      </c>
      <c r="C4053" s="5" t="s">
        <v>16</v>
      </c>
      <c r="D4053" s="5" t="s">
        <v>4073</v>
      </c>
      <c r="E4053" s="6" t="str">
        <f>HYPERLINK("https://twitter.com/sergio_fajardo/status/1478084161055436804","1478084161055436804")</f>
        <v>1478084161055436804</v>
      </c>
      <c r="F4053" s="7" t="s">
        <v>17</v>
      </c>
      <c r="G4053" s="7">
        <v>1604406</v>
      </c>
      <c r="H4053" s="7">
        <v>638</v>
      </c>
      <c r="I4053" s="7">
        <v>17</v>
      </c>
      <c r="J4053" s="7">
        <v>107</v>
      </c>
      <c r="K4053" s="7" t="s">
        <v>18</v>
      </c>
      <c r="L4053" s="8">
        <v>39891.213356481479</v>
      </c>
      <c r="M4053" s="9" t="s">
        <v>19</v>
      </c>
      <c r="N4053" s="9" t="s">
        <v>4017</v>
      </c>
      <c r="O4053" s="6" t="str">
        <f>HYPERLINK("https://pbs.twimg.com/profile_images/1433591977631748099/wuGDIimB_normal.jpg","View")</f>
        <v>View</v>
      </c>
      <c r="P4053" s="7"/>
    </row>
    <row r="4054" spans="1:16">
      <c r="A4054" s="3">
        <v>44565.773310185185</v>
      </c>
      <c r="B4054" s="4" t="str">
        <f>HYPERLINK("https://twitter.com/sergio_fajardo","@sergio_fajardo")</f>
        <v>@sergio_fajardo</v>
      </c>
      <c r="C4054" s="5" t="s">
        <v>16</v>
      </c>
      <c r="D4054" s="5" t="s">
        <v>4074</v>
      </c>
      <c r="E4054" s="6" t="str">
        <f>HYPERLINK("https://twitter.com/sergio_fajardo/status/1478351398551097349","1478351398551097349")</f>
        <v>1478351398551097349</v>
      </c>
      <c r="F4054" s="7" t="s">
        <v>17</v>
      </c>
      <c r="G4054" s="7">
        <v>1604498</v>
      </c>
      <c r="H4054" s="7">
        <v>639</v>
      </c>
      <c r="I4054" s="7">
        <v>2</v>
      </c>
      <c r="J4054" s="7">
        <v>8</v>
      </c>
      <c r="K4054" s="7" t="s">
        <v>18</v>
      </c>
      <c r="L4054" s="8">
        <v>39891.213356481479</v>
      </c>
      <c r="M4054" s="9" t="s">
        <v>19</v>
      </c>
      <c r="N4054" s="9" t="s">
        <v>4017</v>
      </c>
      <c r="O4054" s="6" t="str">
        <f>HYPERLINK("https://pbs.twimg.com/profile_images/1433591977631748099/wuGDIimB_normal.jpg","View")</f>
        <v>View</v>
      </c>
      <c r="P4054" s="7"/>
    </row>
    <row r="4055" spans="1:16">
      <c r="A4055" s="3">
        <v>44566.193541666667</v>
      </c>
      <c r="B4055" s="4" t="str">
        <f>HYPERLINK("https://twitter.com/sergio_fajardo","@sergio_fajardo")</f>
        <v>@sergio_fajardo</v>
      </c>
      <c r="C4055" s="5" t="s">
        <v>16</v>
      </c>
      <c r="D4055" s="5" t="s">
        <v>4075</v>
      </c>
      <c r="E4055" s="6" t="str">
        <f>HYPERLINK("https://twitter.com/sergio_fajardo/status/1478503684929687568","1478503684929687568")</f>
        <v>1478503684929687568</v>
      </c>
      <c r="F4055" s="7" t="s">
        <v>17</v>
      </c>
      <c r="G4055" s="7">
        <v>1604578</v>
      </c>
      <c r="H4055" s="7">
        <v>639</v>
      </c>
      <c r="I4055" s="7">
        <v>7</v>
      </c>
      <c r="J4055" s="7">
        <v>89</v>
      </c>
      <c r="K4055" s="7" t="s">
        <v>18</v>
      </c>
      <c r="L4055" s="8">
        <v>39891.213356481479</v>
      </c>
      <c r="M4055" s="9" t="s">
        <v>19</v>
      </c>
      <c r="N4055" s="9" t="s">
        <v>4017</v>
      </c>
      <c r="O4055" s="6" t="str">
        <f>HYPERLINK("https://pbs.twimg.com/profile_images/1433591977631748099/wuGDIimB_normal.jpg","View")</f>
        <v>View</v>
      </c>
      <c r="P4055" s="7"/>
    </row>
    <row r="4056" spans="1:16">
      <c r="A4056" s="3">
        <v>44567.373171296298</v>
      </c>
      <c r="B4056" s="4" t="str">
        <f>HYPERLINK("https://twitter.com/sergio_fajardo","@sergio_fajardo")</f>
        <v>@sergio_fajardo</v>
      </c>
      <c r="C4056" s="5" t="s">
        <v>16</v>
      </c>
      <c r="D4056" s="5" t="s">
        <v>4076</v>
      </c>
      <c r="E4056" s="6" t="str">
        <f>HYPERLINK("https://twitter.com/sergio_fajardo/status/1478931169920139269","1478931169920139269")</f>
        <v>1478931169920139269</v>
      </c>
      <c r="F4056" s="7" t="s">
        <v>17</v>
      </c>
      <c r="G4056" s="7">
        <v>1604775</v>
      </c>
      <c r="H4056" s="7">
        <v>639</v>
      </c>
      <c r="I4056" s="7">
        <v>12</v>
      </c>
      <c r="J4056" s="7">
        <v>21</v>
      </c>
      <c r="K4056" s="7" t="s">
        <v>18</v>
      </c>
      <c r="L4056" s="8">
        <v>39891.213356481479</v>
      </c>
      <c r="M4056" s="9" t="s">
        <v>19</v>
      </c>
      <c r="N4056" s="9" t="s">
        <v>4017</v>
      </c>
      <c r="O4056" s="6" t="str">
        <f>HYPERLINK("https://pbs.twimg.com/profile_images/1433591977631748099/wuGDIimB_normal.jpg","View")</f>
        <v>View</v>
      </c>
      <c r="P4056" s="7"/>
    </row>
    <row r="4057" spans="1:16">
      <c r="A4057" s="3">
        <v>44567.421157407407</v>
      </c>
      <c r="B4057" s="4" t="str">
        <f>HYPERLINK("https://twitter.com/sergio_fajardo","@sergio_fajardo")</f>
        <v>@sergio_fajardo</v>
      </c>
      <c r="C4057" s="5" t="s">
        <v>16</v>
      </c>
      <c r="D4057" s="5" t="s">
        <v>4077</v>
      </c>
      <c r="E4057" s="6" t="str">
        <f>HYPERLINK("https://twitter.com/sergio_fajardo/status/1478948557843578885","1478948557843578885")</f>
        <v>1478948557843578885</v>
      </c>
      <c r="F4057" s="7" t="s">
        <v>17</v>
      </c>
      <c r="G4057" s="7">
        <v>1604784</v>
      </c>
      <c r="H4057" s="7">
        <v>639</v>
      </c>
      <c r="I4057" s="7">
        <v>18</v>
      </c>
      <c r="J4057" s="7">
        <v>101</v>
      </c>
      <c r="K4057" s="7" t="s">
        <v>18</v>
      </c>
      <c r="L4057" s="8">
        <v>39891.213356481479</v>
      </c>
      <c r="M4057" s="9" t="s">
        <v>19</v>
      </c>
      <c r="N4057" s="9" t="s">
        <v>4017</v>
      </c>
      <c r="O4057" s="6" t="str">
        <f>HYPERLINK("https://pbs.twimg.com/profile_images/1433591977631748099/wuGDIimB_normal.jpg","View")</f>
        <v>View</v>
      </c>
      <c r="P4057" s="7"/>
    </row>
    <row r="4058" spans="1:16">
      <c r="A4058" s="3">
        <v>44568.045532407406</v>
      </c>
      <c r="B4058" s="4" t="str">
        <f>HYPERLINK("https://twitter.com/sergio_fajardo","@sergio_fajardo")</f>
        <v>@sergio_fajardo</v>
      </c>
      <c r="C4058" s="5" t="s">
        <v>16</v>
      </c>
      <c r="D4058" s="5" t="s">
        <v>4078</v>
      </c>
      <c r="E4058" s="6" t="str">
        <f>HYPERLINK("https://twitter.com/sergio_fajardo/status/1479174825205809158","1479174825205809158")</f>
        <v>1479174825205809158</v>
      </c>
      <c r="F4058" s="7" t="s">
        <v>17</v>
      </c>
      <c r="G4058" s="7">
        <v>1604882</v>
      </c>
      <c r="H4058" s="7">
        <v>639</v>
      </c>
      <c r="I4058" s="7">
        <v>4</v>
      </c>
      <c r="J4058" s="7">
        <v>8</v>
      </c>
      <c r="K4058" s="7" t="s">
        <v>18</v>
      </c>
      <c r="L4058" s="8">
        <v>39891.213356481479</v>
      </c>
      <c r="M4058" s="9" t="s">
        <v>19</v>
      </c>
      <c r="N4058" s="9" t="s">
        <v>4017</v>
      </c>
      <c r="O4058" s="6" t="str">
        <f>HYPERLINK("https://pbs.twimg.com/profile_images/1433591977631748099/wuGDIimB_normal.jpg","View")</f>
        <v>View</v>
      </c>
      <c r="P4058" s="7"/>
    </row>
    <row r="4059" spans="1:16">
      <c r="A4059" s="3">
        <v>44568.241331018522</v>
      </c>
      <c r="B4059" s="4" t="str">
        <f>HYPERLINK("https://twitter.com/sergio_fajardo","@sergio_fajardo")</f>
        <v>@sergio_fajardo</v>
      </c>
      <c r="C4059" s="5" t="s">
        <v>16</v>
      </c>
      <c r="D4059" s="5" t="s">
        <v>4079</v>
      </c>
      <c r="E4059" s="6" t="str">
        <f>HYPERLINK("https://twitter.com/sergio_fajardo/status/1479245778858266634","1479245778858266634")</f>
        <v>1479245778858266634</v>
      </c>
      <c r="F4059" s="7" t="s">
        <v>17</v>
      </c>
      <c r="G4059" s="7">
        <v>1604908</v>
      </c>
      <c r="H4059" s="7">
        <v>639</v>
      </c>
      <c r="I4059" s="7">
        <v>42</v>
      </c>
      <c r="J4059" s="7">
        <v>0</v>
      </c>
      <c r="K4059" s="7" t="s">
        <v>18</v>
      </c>
      <c r="L4059" s="8">
        <v>39891.213356481479</v>
      </c>
      <c r="M4059" s="9" t="s">
        <v>19</v>
      </c>
      <c r="N4059" s="9" t="s">
        <v>4017</v>
      </c>
      <c r="O4059" s="6" t="str">
        <f>HYPERLINK("https://pbs.twimg.com/profile_images/1433591977631748099/wuGDIimB_normal.jpg","View")</f>
        <v>View</v>
      </c>
      <c r="P4059" s="7"/>
    </row>
    <row r="4060" spans="1:16">
      <c r="A4060" s="3">
        <v>44569.846701388888</v>
      </c>
      <c r="B4060" s="4" t="str">
        <f>HYPERLINK("https://twitter.com/sergio_fajardo","@sergio_fajardo")</f>
        <v>@sergio_fajardo</v>
      </c>
      <c r="C4060" s="5" t="s">
        <v>16</v>
      </c>
      <c r="D4060" s="5" t="s">
        <v>4080</v>
      </c>
      <c r="E4060" s="6" t="str">
        <f>HYPERLINK("https://twitter.com/sergio_fajardo/status/1479827544060874753","1479827544060874753")</f>
        <v>1479827544060874753</v>
      </c>
      <c r="F4060" s="7" t="s">
        <v>20</v>
      </c>
      <c r="G4060" s="7">
        <v>1605106</v>
      </c>
      <c r="H4060" s="7">
        <v>640</v>
      </c>
      <c r="I4060" s="7">
        <v>19</v>
      </c>
      <c r="J4060" s="7">
        <v>118</v>
      </c>
      <c r="K4060" s="7" t="s">
        <v>18</v>
      </c>
      <c r="L4060" s="8">
        <v>39891.213356481479</v>
      </c>
      <c r="M4060" s="9" t="s">
        <v>19</v>
      </c>
      <c r="N4060" s="9" t="s">
        <v>4017</v>
      </c>
      <c r="O4060" s="6" t="str">
        <f>HYPERLINK("https://pbs.twimg.com/profile_images/1433591977631748099/wuGDIimB_normal.jpg","View")</f>
        <v>View</v>
      </c>
      <c r="P4060" s="7"/>
    </row>
    <row r="4061" spans="1:16">
      <c r="A4061" s="3">
        <v>44570.059178240743</v>
      </c>
      <c r="B4061" s="4" t="str">
        <f>HYPERLINK("https://twitter.com/sergio_fajardo","@sergio_fajardo")</f>
        <v>@sergio_fajardo</v>
      </c>
      <c r="C4061" s="5" t="s">
        <v>16</v>
      </c>
      <c r="D4061" s="5" t="s">
        <v>4081</v>
      </c>
      <c r="E4061" s="6" t="str">
        <f>HYPERLINK("https://twitter.com/sergio_fajardo/status/1479904547149598720","1479904547149598720")</f>
        <v>1479904547149598720</v>
      </c>
      <c r="F4061" s="7" t="s">
        <v>20</v>
      </c>
      <c r="G4061" s="7">
        <v>1605137</v>
      </c>
      <c r="H4061" s="7">
        <v>640</v>
      </c>
      <c r="I4061" s="7">
        <v>10</v>
      </c>
      <c r="J4061" s="7">
        <v>65</v>
      </c>
      <c r="K4061" s="7" t="s">
        <v>18</v>
      </c>
      <c r="L4061" s="8">
        <v>39891.213356481479</v>
      </c>
      <c r="M4061" s="9" t="s">
        <v>19</v>
      </c>
      <c r="N4061" s="9" t="s">
        <v>4017</v>
      </c>
      <c r="O4061" s="6" t="str">
        <f>HYPERLINK("https://pbs.twimg.com/profile_images/1433591977631748099/wuGDIimB_normal.jpg","View")</f>
        <v>View</v>
      </c>
      <c r="P4061" s="7"/>
    </row>
    <row r="4062" spans="1:16">
      <c r="A4062" s="3">
        <v>44570.255046296297</v>
      </c>
      <c r="B4062" s="4" t="str">
        <f>HYPERLINK("https://twitter.com/sergio_fajardo","@sergio_fajardo")</f>
        <v>@sergio_fajardo</v>
      </c>
      <c r="C4062" s="5" t="s">
        <v>16</v>
      </c>
      <c r="D4062" s="5" t="s">
        <v>4082</v>
      </c>
      <c r="E4062" s="6" t="str">
        <f>HYPERLINK("https://twitter.com/sergio_fajardo/status/1479975525741473795","1479975525741473795")</f>
        <v>1479975525741473795</v>
      </c>
      <c r="F4062" s="7" t="s">
        <v>17</v>
      </c>
      <c r="G4062" s="7">
        <v>1605184</v>
      </c>
      <c r="H4062" s="7">
        <v>640</v>
      </c>
      <c r="I4062" s="7">
        <v>7</v>
      </c>
      <c r="J4062" s="7">
        <v>35</v>
      </c>
      <c r="K4062" s="7" t="s">
        <v>18</v>
      </c>
      <c r="L4062" s="8">
        <v>39891.213356481479</v>
      </c>
      <c r="M4062" s="9" t="s">
        <v>19</v>
      </c>
      <c r="N4062" s="9" t="s">
        <v>4017</v>
      </c>
      <c r="O4062" s="6" t="str">
        <f>HYPERLINK("https://pbs.twimg.com/profile_images/1433591977631748099/wuGDIimB_normal.jpg","View")</f>
        <v>View</v>
      </c>
      <c r="P4062" s="7"/>
    </row>
    <row r="4063" spans="1:16">
      <c r="A4063" s="3">
        <v>44570.934386574074</v>
      </c>
      <c r="B4063" s="4" t="str">
        <f>HYPERLINK("https://twitter.com/sergio_fajardo","@sergio_fajardo")</f>
        <v>@sergio_fajardo</v>
      </c>
      <c r="C4063" s="5" t="s">
        <v>16</v>
      </c>
      <c r="D4063" s="5" t="s">
        <v>4083</v>
      </c>
      <c r="E4063" s="6" t="str">
        <f>HYPERLINK("https://twitter.com/sergio_fajardo/status/1480221711966613506","1480221711966613506")</f>
        <v>1480221711966613506</v>
      </c>
      <c r="F4063" s="7" t="s">
        <v>17</v>
      </c>
      <c r="G4063" s="7">
        <v>1605252</v>
      </c>
      <c r="H4063" s="7">
        <v>640</v>
      </c>
      <c r="I4063" s="7">
        <v>14</v>
      </c>
      <c r="J4063" s="7">
        <v>40</v>
      </c>
      <c r="K4063" s="7" t="s">
        <v>18</v>
      </c>
      <c r="L4063" s="8">
        <v>39891.213356481479</v>
      </c>
      <c r="M4063" s="9" t="s">
        <v>19</v>
      </c>
      <c r="N4063" s="9" t="s">
        <v>4017</v>
      </c>
      <c r="O4063" s="6" t="str">
        <f>HYPERLINK("https://pbs.twimg.com/profile_images/1433591977631748099/wuGDIimB_normal.jpg","View")</f>
        <v>View</v>
      </c>
      <c r="P4063" s="7"/>
    </row>
    <row r="4064" spans="1:16">
      <c r="A4064" s="3">
        <v>44571.104456018518</v>
      </c>
      <c r="B4064" s="4" t="str">
        <f>HYPERLINK("https://twitter.com/sergio_fajardo","@sergio_fajardo")</f>
        <v>@sergio_fajardo</v>
      </c>
      <c r="C4064" s="5" t="s">
        <v>16</v>
      </c>
      <c r="D4064" s="5" t="s">
        <v>4084</v>
      </c>
      <c r="E4064" s="6" t="str">
        <f>HYPERLINK("https://twitter.com/sergio_fajardo/status/1480283339483455490","1480283339483455490")</f>
        <v>1480283339483455490</v>
      </c>
      <c r="F4064" s="7" t="s">
        <v>17</v>
      </c>
      <c r="G4064" s="7">
        <v>1605282</v>
      </c>
      <c r="H4064" s="7">
        <v>640</v>
      </c>
      <c r="I4064" s="7">
        <v>15</v>
      </c>
      <c r="J4064" s="7">
        <v>0</v>
      </c>
      <c r="K4064" s="7" t="s">
        <v>18</v>
      </c>
      <c r="L4064" s="8">
        <v>39891.213356481479</v>
      </c>
      <c r="M4064" s="9" t="s">
        <v>19</v>
      </c>
      <c r="N4064" s="9" t="s">
        <v>4017</v>
      </c>
      <c r="O4064" s="6" t="str">
        <f>HYPERLINK("https://pbs.twimg.com/profile_images/1433591977631748099/wuGDIimB_normal.jpg","View")</f>
        <v>View</v>
      </c>
      <c r="P4064" s="7"/>
    </row>
    <row r="4065" spans="1:16">
      <c r="A4065" s="3">
        <v>44571.30059027778</v>
      </c>
      <c r="B4065" s="4" t="str">
        <f>HYPERLINK("https://twitter.com/sergio_fajardo","@sergio_fajardo")</f>
        <v>@sergio_fajardo</v>
      </c>
      <c r="C4065" s="5" t="s">
        <v>16</v>
      </c>
      <c r="D4065" s="5" t="s">
        <v>4085</v>
      </c>
      <c r="E4065" s="6" t="str">
        <f>HYPERLINK("https://twitter.com/sergio_fajardo/status/1480354419548069889","1480354419548069889")</f>
        <v>1480354419548069889</v>
      </c>
      <c r="F4065" s="7" t="s">
        <v>17</v>
      </c>
      <c r="G4065" s="7">
        <v>1605324</v>
      </c>
      <c r="H4065" s="7">
        <v>640</v>
      </c>
      <c r="I4065" s="7">
        <v>4</v>
      </c>
      <c r="J4065" s="7">
        <v>0</v>
      </c>
      <c r="K4065" s="7" t="s">
        <v>18</v>
      </c>
      <c r="L4065" s="8">
        <v>39891.213356481479</v>
      </c>
      <c r="M4065" s="9" t="s">
        <v>19</v>
      </c>
      <c r="N4065" s="9" t="s">
        <v>4017</v>
      </c>
      <c r="O4065" s="6" t="str">
        <f>HYPERLINK("https://pbs.twimg.com/profile_images/1433591977631748099/wuGDIimB_normal.jpg","View")</f>
        <v>View</v>
      </c>
      <c r="P4065" s="7"/>
    </row>
  </sheetData>
  <autoFilter ref="A1:P4065" xr:uid="{D637535D-C575-4129-AAEB-375B79A04E80}"/>
  <sortState xmlns:xlrd2="http://schemas.microsoft.com/office/spreadsheetml/2017/richdata2" ref="A2:P4065">
    <sortCondition ref="A2:A4065"/>
  </sortState>
  <hyperlinks>
    <hyperlink ref="D780" r:id="rId1" xr:uid="{D5760A25-4698-4403-8A97-3AC618B6301B}"/>
    <hyperlink ref="D787" r:id="rId2" xr:uid="{90E2A9F2-187D-40FF-8939-426EF3EE6C1B}"/>
    <hyperlink ref="D901" r:id="rId3" xr:uid="{87C78E22-8E7A-4931-9274-0E904B1685CF}"/>
    <hyperlink ref="D980" r:id="rId4" xr:uid="{D9584CEF-DD5D-4B57-BBCC-9C430F662D0E}"/>
    <hyperlink ref="D1238" r:id="rId5" xr:uid="{41D1BD0A-B6D6-4FD5-80AB-0A30E69BC250}"/>
    <hyperlink ref="D1249" r:id="rId6" xr:uid="{2DE53D3A-DD4E-4829-918A-B851145060EF}"/>
    <hyperlink ref="D1256" r:id="rId7" xr:uid="{1F41B94D-2C3A-41F7-9094-010C05B82387}"/>
    <hyperlink ref="D1294" r:id="rId8" xr:uid="{D62D7729-860C-44F8-BCE6-D7BC7388D902}"/>
    <hyperlink ref="D1295" r:id="rId9" xr:uid="{0FCF5A13-14CE-4F99-B4AC-8958D5385011}"/>
    <hyperlink ref="D1573" r:id="rId10" xr:uid="{EEBBBAB2-842F-4B99-8C93-881623A81FA4}"/>
    <hyperlink ref="D1662" r:id="rId11" xr:uid="{DBAB93EF-AAEE-4A62-84FF-65F0A57AF76E}"/>
    <hyperlink ref="D1683" r:id="rId12" xr:uid="{012237DB-7FFB-43F7-A87D-97D34840EE1F}"/>
    <hyperlink ref="D1688" r:id="rId13" xr:uid="{48BF6456-C401-4D1B-B5F5-9C47BBF13D74}"/>
    <hyperlink ref="D1781" r:id="rId14" xr:uid="{A048C2AF-5764-4F94-9B6B-D48ED085B03E}"/>
    <hyperlink ref="D1795" r:id="rId15" xr:uid="{F0A0800D-E79A-4CF8-8D02-50B8819BB8D0}"/>
    <hyperlink ref="D1817" r:id="rId16" xr:uid="{7AFFFE3A-E778-406C-A694-D829E396C651}"/>
    <hyperlink ref="D1824" r:id="rId17" xr:uid="{CD61E428-A32B-4AF2-BEDF-4792E81DDCF3}"/>
    <hyperlink ref="D1825" r:id="rId18" xr:uid="{8FA59C01-F527-43AB-95DB-953C92F8E6CD}"/>
    <hyperlink ref="D2018" r:id="rId19" xr:uid="{D268330B-2085-4290-B5FC-1CB166503001}"/>
    <hyperlink ref="D2061" r:id="rId20" xr:uid="{4512BDE2-D266-4AF9-AD65-E4CAE21CE857}"/>
    <hyperlink ref="D2227" r:id="rId21" xr:uid="{E2E449A3-F892-43B8-B5EA-3B941AA01298}"/>
    <hyperlink ref="D2274" r:id="rId22" xr:uid="{772A9248-7CF0-42EB-A069-321FFD4CE98C}"/>
    <hyperlink ref="D2366" r:id="rId23" xr:uid="{39AA6C90-70C7-4EA9-BD55-C9FCCEEE7263}"/>
    <hyperlink ref="D2442" r:id="rId24" xr:uid="{41B1FA90-3907-47D3-A0E4-8F9CE6C22B63}"/>
    <hyperlink ref="D2888" r:id="rId25" xr:uid="{07354D17-B33B-4D67-986C-2EECA39A50F7}"/>
    <hyperlink ref="D2889" r:id="rId26" xr:uid="{4E8CFC7D-4715-423F-A1AF-25AA70D3158B}"/>
    <hyperlink ref="D2993" r:id="rId27" xr:uid="{C6BC7700-9FA5-47FE-A95B-39241F5FFE0A}"/>
    <hyperlink ref="D3124" r:id="rId28" xr:uid="{717CCA05-12E6-4DB8-981A-4CF026E0B359}"/>
    <hyperlink ref="D3423" r:id="rId29" xr:uid="{BB8197A3-4723-449D-A491-D3E56F7236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Gamboa</dc:creator>
  <cp:lastModifiedBy>Andrea Gamboa</cp:lastModifiedBy>
  <dcterms:created xsi:type="dcterms:W3CDTF">2022-01-10T11:58:32Z</dcterms:created>
  <dcterms:modified xsi:type="dcterms:W3CDTF">2022-01-10T12:01:41Z</dcterms:modified>
</cp:coreProperties>
</file>