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NIST CSF 2.0 Gap Analysis" sheetId="2" r:id="rId5"/>
    <sheet state="visible" name="Reference" sheetId="3" r:id="rId6"/>
  </sheets>
  <definedNames/>
  <calcPr/>
</workbook>
</file>

<file path=xl/sharedStrings.xml><?xml version="1.0" encoding="utf-8"?>
<sst xmlns="http://schemas.openxmlformats.org/spreadsheetml/2006/main" count="542" uniqueCount="297">
  <si>
    <t>CSF 2.0 Dashboard</t>
  </si>
  <si>
    <t>Compliance Status</t>
  </si>
  <si>
    <t>Count</t>
  </si>
  <si>
    <t>Compliant</t>
  </si>
  <si>
    <t>Not Compliant</t>
  </si>
  <si>
    <t>Partially Compliant</t>
  </si>
  <si>
    <t>Total</t>
  </si>
  <si>
    <t>Target Remediation</t>
  </si>
  <si>
    <t>Percentage</t>
  </si>
  <si>
    <t>Category</t>
  </si>
  <si>
    <t>Q1</t>
  </si>
  <si>
    <t>Q2</t>
  </si>
  <si>
    <t>Q3</t>
  </si>
  <si>
    <t>Q4</t>
  </si>
  <si>
    <t>GV</t>
  </si>
  <si>
    <t>ID</t>
  </si>
  <si>
    <t>PR</t>
  </si>
  <si>
    <t>DE</t>
  </si>
  <si>
    <t>RS</t>
  </si>
  <si>
    <t>RC</t>
  </si>
  <si>
    <t>Total Controls Count</t>
  </si>
  <si>
    <t>Function</t>
  </si>
  <si>
    <t>Category Identifier</t>
  </si>
  <si>
    <t>Subcategory</t>
  </si>
  <si>
    <t>Compliance</t>
  </si>
  <si>
    <t>Current Status</t>
  </si>
  <si>
    <t>Action Plan</t>
  </si>
  <si>
    <t>Priority</t>
  </si>
  <si>
    <t>Current Tier</t>
  </si>
  <si>
    <t>Target Tier</t>
  </si>
  <si>
    <t>Comments</t>
  </si>
  <si>
    <t>GV.OC</t>
  </si>
  <si>
    <t>The organizational mission is understood and informs cybersecurity risk
management</t>
  </si>
  <si>
    <t>GV.OC-01</t>
  </si>
  <si>
    <t>N/A</t>
  </si>
  <si>
    <t>Internal and external stakeholders are understood, and their needs and
expectations regarding cybersecurity risk management are understood and considered</t>
  </si>
  <si>
    <t>GV.OC-02</t>
  </si>
  <si>
    <t>Legal, regulatory, and contractual requirements regarding cybersecurity —
including privacy and civil liberties obligations — are understood and managed</t>
  </si>
  <si>
    <t>GV.OC-03</t>
  </si>
  <si>
    <t>Critical objectives, capabilities, and services that external stakeholders
depend on or expect from the organization are understood and communicated</t>
  </si>
  <si>
    <t>GV.OC-04</t>
  </si>
  <si>
    <t>Outcomes, capabilities, and services that the organization depends on are
understood and communicated</t>
  </si>
  <si>
    <t>GV.OC-05</t>
  </si>
  <si>
    <t>GV.RM</t>
  </si>
  <si>
    <t>Risk management objectives are established and agreed to by organizational
stakeholders</t>
  </si>
  <si>
    <t>GV.RM-01</t>
  </si>
  <si>
    <t>Risk appetite and risk tolerance statements are established, communicated,
and maintained</t>
  </si>
  <si>
    <t>GV.RM-02</t>
  </si>
  <si>
    <t>Cybersecurity risk management activities and outcomes are included in
enterprise risk management processes</t>
  </si>
  <si>
    <t>GV.RM-03</t>
  </si>
  <si>
    <t>Strategic direction that describes appropriate risk response options is
established and communicated</t>
  </si>
  <si>
    <t>GV.RM-04</t>
  </si>
  <si>
    <t>Lines of communication across the organization are established for
cybersecurity risks, including risks from suppliers and other third parties</t>
  </si>
  <si>
    <t>GV.RM-05</t>
  </si>
  <si>
    <t>A standardized method for calculating, documenting, categorizing, and
prioritizing cybersecurity risks is established and communicated</t>
  </si>
  <si>
    <t>GV.RM-06</t>
  </si>
  <si>
    <t>Strategic opportunities (i.e., positive risks) are characterized and are
included in organizational cybersecurity risk discussions</t>
  </si>
  <si>
    <t>GV.RM-07</t>
  </si>
  <si>
    <t>GV.RR</t>
  </si>
  <si>
    <t>Organizational leadership is responsible and accountable for cybersecurity
risk and fosters a culture that is risk-aware, ethical, and continually improving</t>
  </si>
  <si>
    <t>GV.RR-01</t>
  </si>
  <si>
    <t>Roles, responsibilities, and authorities related to cybersecurity risk
management are established, communicated, understood, and enforced</t>
  </si>
  <si>
    <t>GV.RR-02</t>
  </si>
  <si>
    <t>Adequate resources are allocated commensurate with the cybersecurity risk
strategy, roles, responsibilities, and policies</t>
  </si>
  <si>
    <t>GV.RR-03</t>
  </si>
  <si>
    <t>Cybersecurity is included in human resources practices</t>
  </si>
  <si>
    <t>GV.RR-04</t>
  </si>
  <si>
    <t>GV.PO</t>
  </si>
  <si>
    <t>Policy for managing cybersecurity risks is established based on organizational
context, cybersecurity strategy, and priorities and is communicated and enforced</t>
  </si>
  <si>
    <t>GV.PO-01</t>
  </si>
  <si>
    <t>Policy for managing cybersecurity risks is reviewed, updated, communicated,
and enforced to reflect changes in requirements, threats, technology, and
organizational mission</t>
  </si>
  <si>
    <t>GV.PO-02</t>
  </si>
  <si>
    <t>GV.OV</t>
  </si>
  <si>
    <t>Cybersecurity risk management strategy outcomes are reviewed to inform
and adjust strategy and direction</t>
  </si>
  <si>
    <t>GV.OV-01</t>
  </si>
  <si>
    <t>The cybersecurity risk management strategy is reviewed and adjusted to
ensure coverage of organizational requirements and risks</t>
  </si>
  <si>
    <t>GV.OV-02</t>
  </si>
  <si>
    <t>Organizational cybersecurity risk management performance is evaluated and
reviewed for adjustments needed</t>
  </si>
  <si>
    <t>GV.OV-03</t>
  </si>
  <si>
    <t>GV.SC</t>
  </si>
  <si>
    <t>A cybersecurity supply chain risk management program, strategy, objectives,
policies, and processes are established and agreed to by organizational stakeholders</t>
  </si>
  <si>
    <t>GV.SC-01</t>
  </si>
  <si>
    <t>Cybersecurity roles and responsibilities for suppliers, customers, and partners
are established, communicated, and coordinated internally and externally</t>
  </si>
  <si>
    <t>GV.SC-02</t>
  </si>
  <si>
    <t>Cybersecurity supply chain risk management is integrated into cybersecurity
and enterprise risk management, risk assessment, and improvement processes</t>
  </si>
  <si>
    <t>GV.SC-03</t>
  </si>
  <si>
    <t>Suppliers are known and prioritized by criticality</t>
  </si>
  <si>
    <t>GV.SC-04</t>
  </si>
  <si>
    <t>Requirements to address cybersecurity risks in supply chains are established,
prioritized, and integrated into contracts and other types of agreements with suppliers
and other relevant third parties</t>
  </si>
  <si>
    <t>GV.SC-05</t>
  </si>
  <si>
    <t>Planning and due diligence are performed to reduce risks before entering into
formal supplier or other third-party relationships</t>
  </si>
  <si>
    <t>GV.SC-06</t>
  </si>
  <si>
    <t>The risks posed by a supplier, their products and services, and other third
parties are understood, recorded, prioritized, assessed, responded to, and monitored
over the course of the relationship</t>
  </si>
  <si>
    <t>GV.SC-07</t>
  </si>
  <si>
    <t>Relevant suppliers and other third parties are included in incident planning,
response, and recovery activities</t>
  </si>
  <si>
    <t>GV.SC-08</t>
  </si>
  <si>
    <t>Supply chain security practices are integrated into cybersecurity and
enterprise risk management programs, and their performance is monitored throughout
the technology product and service life cycle</t>
  </si>
  <si>
    <t>GV.SC-09</t>
  </si>
  <si>
    <t>Cybersecurity supply chain risk management plans include provisions for
activities that occur after the conclusion of a partnership or service agreement</t>
  </si>
  <si>
    <t>GV.SC-10</t>
  </si>
  <si>
    <t>ID.AM</t>
  </si>
  <si>
    <t>Inventories of hardware managed by the organization are maintained</t>
  </si>
  <si>
    <t>ID.AM-01</t>
  </si>
  <si>
    <t>Inventories of software, services, and systems managed by the organization
are maintained</t>
  </si>
  <si>
    <t>ID.AM-02</t>
  </si>
  <si>
    <t>Representations of the organization’s authorized network communication
and internal and external network data flows are maintained</t>
  </si>
  <si>
    <t>ID.AM-03</t>
  </si>
  <si>
    <t>Inventories of services provided by suppliers are maintained</t>
  </si>
  <si>
    <t>ID.AM-04</t>
  </si>
  <si>
    <t>Assets are prioritized based on classification, criticality, resources, and
impact on the mission</t>
  </si>
  <si>
    <t>ID.AM-05</t>
  </si>
  <si>
    <t>Inventories of data and corresponding metadata for designated data types
are maintained</t>
  </si>
  <si>
    <t>ID.AM-07</t>
  </si>
  <si>
    <t>Systems, hardware, software, services, and data are managed throughout
their life cycles</t>
  </si>
  <si>
    <t>ID.AM-08</t>
  </si>
  <si>
    <t>ID.RA</t>
  </si>
  <si>
    <t>Vulnerabilities in assets are identified, validated, and recorded</t>
  </si>
  <si>
    <t>ID.RA-01</t>
  </si>
  <si>
    <t>Cyber threat intelligence is received from information sharing forums and
sources</t>
  </si>
  <si>
    <t>ID.RA-02</t>
  </si>
  <si>
    <t>Internal and external threats to the organization are identified and recorded</t>
  </si>
  <si>
    <t>ID.RA-03</t>
  </si>
  <si>
    <t>Potential impacts and likelihoods of threats exploiting vulnerabilities are
identified and recorded</t>
  </si>
  <si>
    <t>ID.RA-04</t>
  </si>
  <si>
    <t>Threats, vulnerabilities, likelihoods, and impacts are used to understand
inherent risk and inform risk response prioritization</t>
  </si>
  <si>
    <t>ID.RA-05</t>
  </si>
  <si>
    <t>Risk responses are chosen, prioritized, planned, tracked, and communicated</t>
  </si>
  <si>
    <t>ID.RA-06</t>
  </si>
  <si>
    <t>Changes and exceptions are managed, assessed for risk impact, recorded, and
tracked</t>
  </si>
  <si>
    <t>ID.RA-07</t>
  </si>
  <si>
    <t>Processes for receiving, analyzing, and responding to vulnerability disclosures
are established</t>
  </si>
  <si>
    <t>ID.RA-08</t>
  </si>
  <si>
    <t>The authenticity and integrity of hardware and software are assessed prior to
acquisition and use</t>
  </si>
  <si>
    <t>ID.RA-09</t>
  </si>
  <si>
    <t>Critical suppliers are assessed prior to acquisition</t>
  </si>
  <si>
    <t>ID.RA-10</t>
  </si>
  <si>
    <t>ID.IM</t>
  </si>
  <si>
    <t>Improvements are identified from evaluations</t>
  </si>
  <si>
    <t>ID.IM-01</t>
  </si>
  <si>
    <t>Improvements are identified from security tests and exercises, including those
done in coordination with suppliers and relevant third parties</t>
  </si>
  <si>
    <t>ID.IM-02</t>
  </si>
  <si>
    <t>Improvements are identified from execution of operational processes,
procedures, and activities</t>
  </si>
  <si>
    <t>ID.IM-03</t>
  </si>
  <si>
    <t>Incident response plans and other cybersecurity plans that affect operations
are established, communicated, maintained, and improved</t>
  </si>
  <si>
    <t>ID.IM-04</t>
  </si>
  <si>
    <t>PR.AA</t>
  </si>
  <si>
    <t>Identities and credentials for authorized users, services, and hardware are
managed by the organization</t>
  </si>
  <si>
    <t>PR.AA-01</t>
  </si>
  <si>
    <t>Identities are proofed and bound to credentials based on the context of
interactions</t>
  </si>
  <si>
    <t>PR.AA-02</t>
  </si>
  <si>
    <t>Users, services, and hardware are authenticated</t>
  </si>
  <si>
    <t>PR.AA-03</t>
  </si>
  <si>
    <t>Identity assertions are protected, conveyed, and verified</t>
  </si>
  <si>
    <t>PR.AA-04</t>
  </si>
  <si>
    <t>Access permissions, entitlements, and authorizations are defined in a policy,
managed, enforced, and reviewed, and incorporate the principles of least privilege and
separation of duties</t>
  </si>
  <si>
    <t>PR.AA-05</t>
  </si>
  <si>
    <t>Physical access to assets is managed, monitored, and enforced
commensurate with risk</t>
  </si>
  <si>
    <t>PR.AA-06</t>
  </si>
  <si>
    <t>PR.AT</t>
  </si>
  <si>
    <t>Personnel are provided with awareness and training so that they possess the
knowledge and skills to perform general tasks with cybersecurity risks in mind</t>
  </si>
  <si>
    <t>PR.AT-01</t>
  </si>
  <si>
    <t>Individuals in specialized roles are provided with awareness and training so
that they possess the knowledge and skills to perform relevant tasks with cybersecurity
risks in mind</t>
  </si>
  <si>
    <t>PR.AT-02</t>
  </si>
  <si>
    <t>PR.DS</t>
  </si>
  <si>
    <t>The confidentiality, integrity, and availability of data-at-rest are protected</t>
  </si>
  <si>
    <t>PR.DS-01</t>
  </si>
  <si>
    <t>The confidentiality, integrity, and availability of data-in-transit are protected</t>
  </si>
  <si>
    <t>PR.DS-02</t>
  </si>
  <si>
    <t>The confidentiality, integrity, and availability of data-in-use are protected</t>
  </si>
  <si>
    <t>PR.DS-10</t>
  </si>
  <si>
    <t>Backups of data are created, protected, maintained, and tested</t>
  </si>
  <si>
    <t>PR.DS-11</t>
  </si>
  <si>
    <t>PR.PS</t>
  </si>
  <si>
    <t>Configuration management practices are established and applied</t>
  </si>
  <si>
    <t>PR.PS-01</t>
  </si>
  <si>
    <t>Software is maintained, replaced, and removed commensurate with risk</t>
  </si>
  <si>
    <t>PR.PS-02</t>
  </si>
  <si>
    <t>Hardware is maintained, replaced, and removed commensurate with risk</t>
  </si>
  <si>
    <t>PR.PS-03</t>
  </si>
  <si>
    <t>Log records are generated and made available for continuous monitoring</t>
  </si>
  <si>
    <t>PR.PS-04</t>
  </si>
  <si>
    <t>Installation and execution of unauthorized software are prevented</t>
  </si>
  <si>
    <t>PR.PS-05</t>
  </si>
  <si>
    <t>Secure software development practices are integrated, and their performance
is monitored throughout the software development life cycle</t>
  </si>
  <si>
    <t>PR.PS-06</t>
  </si>
  <si>
    <t>PR.IR</t>
  </si>
  <si>
    <t>Networks and environments are protected from unauthorized logical access
and usage</t>
  </si>
  <si>
    <t>PR.IR-01</t>
  </si>
  <si>
    <t>The organization’s technology assets are protected from environmental
threats</t>
  </si>
  <si>
    <t>PR.IR-02</t>
  </si>
  <si>
    <t>Mechanisms are implemented to achieve resilience requirements in normal
and adverse situations</t>
  </si>
  <si>
    <t>PR.IR-03</t>
  </si>
  <si>
    <t>Adequate resource capacity to ensure availability is maintained</t>
  </si>
  <si>
    <t>PR.IR-04</t>
  </si>
  <si>
    <t>DE.CM</t>
  </si>
  <si>
    <t>Networks and network services are monitored to find potentially adverse
events</t>
  </si>
  <si>
    <t>DE.CM-01</t>
  </si>
  <si>
    <t>The physical environment is monitored to find potentially adverse events</t>
  </si>
  <si>
    <t>DE.CM-02</t>
  </si>
  <si>
    <t>Personnel activity and technology usage are monitored to find potentially
adverse events</t>
  </si>
  <si>
    <t>DE.CM-03</t>
  </si>
  <si>
    <t>External service provider activities and services are monitored to find
potentially adverse events</t>
  </si>
  <si>
    <t>DE.CM-06</t>
  </si>
  <si>
    <t>Computing hardware and software, runtime environments, and their data
are monitored to find potentially adverse events</t>
  </si>
  <si>
    <t>DE.CM-09</t>
  </si>
  <si>
    <t>DE.AE</t>
  </si>
  <si>
    <t>Potentially adverse events are analyzed to better understand associated
activities</t>
  </si>
  <si>
    <t>DE.AE-02</t>
  </si>
  <si>
    <t>Information is correlated from multiple sources</t>
  </si>
  <si>
    <t>DE.AE-03</t>
  </si>
  <si>
    <t>The estimated impact and scope of adverse events are understood</t>
  </si>
  <si>
    <t>DE.AE-04</t>
  </si>
  <si>
    <t>Information on adverse events is provided to authorized staff and tools</t>
  </si>
  <si>
    <t>DE.AE-06</t>
  </si>
  <si>
    <t>Cyber threat intelligence and other contextual information are integrated into
the analysis</t>
  </si>
  <si>
    <t>DE.AE-07</t>
  </si>
  <si>
    <t>Incidents are declared when adverse events meet the defined incident
criteria</t>
  </si>
  <si>
    <t>DE.AE-08</t>
  </si>
  <si>
    <t>RS.MA</t>
  </si>
  <si>
    <t>The incident response plan is executed in coordination with relevant third
parties once an incident is declared</t>
  </si>
  <si>
    <t>RS.MA-01</t>
  </si>
  <si>
    <t>Incident reports are triaged and validated</t>
  </si>
  <si>
    <t>RS.MA-02</t>
  </si>
  <si>
    <t>Incidents are categorized and prioritized</t>
  </si>
  <si>
    <t>RS.MA-03</t>
  </si>
  <si>
    <t>Incidents are escalated or elevated as needed</t>
  </si>
  <si>
    <t>RS.MA-04</t>
  </si>
  <si>
    <t>The criteria for initiating incident recovery are applied</t>
  </si>
  <si>
    <t>RS.MA-05</t>
  </si>
  <si>
    <t>RS.AN</t>
  </si>
  <si>
    <t>Analysis is performed to establish what has taken place during an incident
and the root cause of the incident</t>
  </si>
  <si>
    <t>RS.AN-03</t>
  </si>
  <si>
    <t>Actions performed during an investigation are recorded, and the records’
integrity and provenance are preserved</t>
  </si>
  <si>
    <t>RS.AN-06</t>
  </si>
  <si>
    <t>Incident data and metadata are collected, and their integrity and provenance
are preserved</t>
  </si>
  <si>
    <t>RS.AN-07</t>
  </si>
  <si>
    <t>An incident’s magnitude is estimated and validated</t>
  </si>
  <si>
    <t>RS.AN-08</t>
  </si>
  <si>
    <t>RS.CO</t>
  </si>
  <si>
    <t>Internal and external stakeholders are notified of incidents</t>
  </si>
  <si>
    <t>RS.CO-02</t>
  </si>
  <si>
    <t>Information is shared with designated internal and external stakeholders</t>
  </si>
  <si>
    <t>RS.CO-03</t>
  </si>
  <si>
    <t>RS.MI</t>
  </si>
  <si>
    <t>Incidents are contained</t>
  </si>
  <si>
    <t>RS.MI-01</t>
  </si>
  <si>
    <t>Incidents are eradicated</t>
  </si>
  <si>
    <t>RS.MI-02</t>
  </si>
  <si>
    <t>RC.RP</t>
  </si>
  <si>
    <t>The recovery portion of the incident response plan is executed once initiated
from the incident response process</t>
  </si>
  <si>
    <t>RC.RP-01</t>
  </si>
  <si>
    <t>Recovery actions are selected, scoped, prioritized, and performed</t>
  </si>
  <si>
    <t>RC.RP-02</t>
  </si>
  <si>
    <t>The integrity of backups and other restoration assets is verified before using
them for restoration</t>
  </si>
  <si>
    <t>RC.RP-03</t>
  </si>
  <si>
    <t>Critical mission functions and cybersecurity risk management are considered
to establish post-incident operational norms</t>
  </si>
  <si>
    <t>RC.RP-04</t>
  </si>
  <si>
    <t>The integrity of restored assets is verified, systems and services are restored,
and normal operating status is confirmed</t>
  </si>
  <si>
    <t>RC.RP-05</t>
  </si>
  <si>
    <t>The end of incident recovery is declared based on criteria, and incident-
related documentation is completed</t>
  </si>
  <si>
    <t>RC.RP-06</t>
  </si>
  <si>
    <t>RC.CO</t>
  </si>
  <si>
    <t>Recovery activities and progress in restoring operational capabilities are
communicated to designated internal and external stakeholders</t>
  </si>
  <si>
    <t>RC.CO-03</t>
  </si>
  <si>
    <t>Public updates on incident recovery are shared using approved methods and
messaging</t>
  </si>
  <si>
    <t>RC.CO-04</t>
  </si>
  <si>
    <t>Reference</t>
  </si>
  <si>
    <t>Govern (GV)</t>
  </si>
  <si>
    <t>Organizational Context</t>
  </si>
  <si>
    <t>https://nvlpubs.nist.gov/nistpubs/CSWP/NIST.CSWP.29.pdf</t>
  </si>
  <si>
    <t>Risk Management Strategy</t>
  </si>
  <si>
    <t>https://csrc.nist.gov/Projects/Cybersecurity-Framework/Filters#/csf/filters</t>
  </si>
  <si>
    <t>Roles, Responsibilities, and Authorities</t>
  </si>
  <si>
    <t>Policy</t>
  </si>
  <si>
    <t>Oversight</t>
  </si>
  <si>
    <t>Cybersecurity Supply Chain Risk Management</t>
  </si>
  <si>
    <t>Identify (ID)</t>
  </si>
  <si>
    <t>Asset Management</t>
  </si>
  <si>
    <t>Risk Assessment</t>
  </si>
  <si>
    <t>Improvement</t>
  </si>
  <si>
    <t>Protect (PR)</t>
  </si>
  <si>
    <t>Identity Management, Authentication, and Access Control</t>
  </si>
  <si>
    <t>Awareness and Training</t>
  </si>
  <si>
    <t>Data Security</t>
  </si>
  <si>
    <t>Platform Security</t>
  </si>
  <si>
    <t>Technology Infrastructure Resilience</t>
  </si>
  <si>
    <t>Detect (DE)</t>
  </si>
  <si>
    <t>Continuous Monitoring</t>
  </si>
  <si>
    <t>Adverse Event Analysis</t>
  </si>
  <si>
    <t>Respond (RE)</t>
  </si>
  <si>
    <t>Incident Management</t>
  </si>
  <si>
    <t>Incident Analysis</t>
  </si>
  <si>
    <t>Incident Response Reporting and Communication</t>
  </si>
  <si>
    <t>Incident Mitigation</t>
  </si>
  <si>
    <t>Recovery (RC)</t>
  </si>
  <si>
    <t>Incident Recovery Plan Execution</t>
  </si>
  <si>
    <t>Incident Recovery 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</si>
</sst>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24.0"/>
      <color rgb="FFCFE2F3"/>
      <name val="Arial"/>
      <scheme val="minor"/>
    </font>
    <font>
      <b/>
      <sz val="18.0"/>
      <color rgb="FF073763"/>
      <name val="Arial"/>
      <scheme val="minor"/>
    </font>
    <font>
      <sz val="30.0"/>
      <color rgb="FF073763"/>
      <name val="Arial"/>
      <scheme val="minor"/>
    </font>
    <font>
      <color rgb="FF073763"/>
      <name val="Arial"/>
      <scheme val="minor"/>
    </font>
    <font>
      <sz val="9.0"/>
      <color rgb="FFF7981D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32.0"/>
      <color rgb="FF073763"/>
      <name val="Arial"/>
      <scheme val="minor"/>
    </font>
    <font>
      <b/>
      <sz val="12.0"/>
      <color rgb="FF000000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2F3"/>
        <bgColor rgb="FFD9E2F3"/>
      </patternFill>
    </fill>
    <fill>
      <patternFill patternType="solid">
        <fgColor rgb="FFF9F49D"/>
        <bgColor rgb="FFF9F49D"/>
      </patternFill>
    </fill>
    <fill>
      <patternFill patternType="solid">
        <fgColor rgb="FF4BB2E0"/>
        <bgColor rgb="FF4BB2E0"/>
      </patternFill>
    </fill>
    <fill>
      <patternFill patternType="solid">
        <fgColor rgb="FF9292EA"/>
        <bgColor rgb="FF9292EA"/>
      </patternFill>
    </fill>
    <fill>
      <patternFill patternType="solid">
        <fgColor rgb="FFFAB746"/>
        <bgColor rgb="FFFAB746"/>
      </patternFill>
    </fill>
    <fill>
      <patternFill patternType="solid">
        <fgColor rgb="FFF97367"/>
        <bgColor rgb="FFF97367"/>
      </patternFill>
    </fill>
    <fill>
      <patternFill patternType="solid">
        <fgColor rgb="FF7DF49F"/>
        <bgColor rgb="FF7DF49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4" numFmtId="0" xfId="0" applyFill="1" applyFont="1"/>
    <xf borderId="0" fillId="3" fontId="4" numFmtId="0" xfId="0" applyFont="1"/>
    <xf borderId="0" fillId="3" fontId="4" numFmtId="10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5" numFmtId="0" xfId="0" applyFont="1"/>
    <xf borderId="0" fillId="3" fontId="4" numFmtId="10" xfId="0" applyFont="1" applyNumberFormat="1"/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10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4" fontId="9" numFmtId="0" xfId="0" applyFill="1" applyFont="1"/>
    <xf borderId="0" fillId="3" fontId="6" numFmtId="0" xfId="0" applyFont="1"/>
    <xf borderId="0" fillId="5" fontId="10" numFmtId="0" xfId="0" applyAlignment="1" applyFill="1" applyFont="1">
      <alignment readingOrder="0"/>
    </xf>
    <xf borderId="0" fillId="6" fontId="11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6" fontId="10" numFmtId="0" xfId="0" applyFont="1"/>
    <xf borderId="0" fillId="6" fontId="6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readingOrder="0"/>
    </xf>
    <xf borderId="0" fillId="7" fontId="10" numFmtId="0" xfId="0" applyFont="1"/>
    <xf borderId="0" fillId="8" fontId="13" numFmtId="0" xfId="0" applyAlignment="1" applyFill="1" applyFont="1">
      <alignment readingOrder="0"/>
    </xf>
    <xf borderId="0" fillId="8" fontId="6" numFmtId="0" xfId="0" applyAlignment="1" applyFont="1">
      <alignment readingOrder="0"/>
    </xf>
    <xf borderId="0" fillId="8" fontId="10" numFmtId="0" xfId="0" applyFont="1"/>
    <xf borderId="0" fillId="8" fontId="6" numFmtId="0" xfId="0" applyAlignment="1" applyFont="1">
      <alignment readingOrder="0"/>
    </xf>
    <xf borderId="0" fillId="9" fontId="14" numFmtId="0" xfId="0" applyAlignment="1" applyFill="1" applyFont="1">
      <alignment readingOrder="0"/>
    </xf>
    <xf borderId="0" fillId="9" fontId="6" numFmtId="0" xfId="0" applyAlignment="1" applyFont="1">
      <alignment readingOrder="0"/>
    </xf>
    <xf borderId="0" fillId="9" fontId="6" numFmtId="0" xfId="0" applyAlignment="1" applyFont="1">
      <alignment readingOrder="0"/>
    </xf>
    <xf borderId="0" fillId="9" fontId="10" numFmtId="0" xfId="0" applyFont="1"/>
    <xf borderId="0" fillId="10" fontId="15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10" fontId="6" numFmtId="0" xfId="0" applyAlignment="1" applyFont="1">
      <alignment readingOrder="0"/>
    </xf>
    <xf borderId="0" fillId="10" fontId="10" numFmtId="0" xfId="0" applyFont="1"/>
    <xf borderId="0" fillId="11" fontId="16" numFmtId="0" xfId="0" applyAlignment="1" applyFill="1" applyFont="1">
      <alignment readingOrder="0"/>
    </xf>
    <xf borderId="0" fillId="11" fontId="6" numFmtId="0" xfId="0" applyAlignment="1" applyFont="1">
      <alignment readingOrder="0"/>
    </xf>
    <xf borderId="0" fillId="11" fontId="10" numFmtId="0" xfId="0" applyFont="1"/>
    <xf borderId="0" fillId="11" fontId="6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Compliance Status Distribution</a:t>
            </a:r>
          </a:p>
        </c:rich>
      </c:tx>
      <c:overlay val="0"/>
    </c:title>
    <c:plotArea>
      <c:layout>
        <c:manualLayout>
          <c:xMode val="edge"/>
          <c:yMode val="edge"/>
          <c:x val="0.02925"/>
          <c:y val="0.1372416891284816"/>
          <c:w val="0.9381666666666668"/>
          <c:h val="0.8127583108715183"/>
        </c:manualLayout>
      </c:layout>
      <c:pieChart>
        <c:varyColors val="1"/>
        <c:ser>
          <c:idx val="0"/>
          <c:order val="0"/>
          <c:tx>
            <c:strRef>
              <c:f>Dashboard!$H$1:$H$3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Dashboard!$G$4:$G$5</c:f>
            </c:strRef>
          </c:cat>
          <c:val>
            <c:numRef>
              <c:f>Dashboard!$H$4:$H$5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73763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Applicable Controls by Category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Dashboard!$F$1:$F$2</c:f>
            </c:strRef>
          </c:tx>
          <c:dPt>
            <c:idx val="0"/>
            <c:spPr>
              <a:solidFill>
                <a:srgbClr val="FAB746"/>
              </a:solidFill>
            </c:spPr>
          </c:dPt>
          <c:dPt>
            <c:idx val="1"/>
            <c:spPr>
              <a:solidFill>
                <a:srgbClr val="F9F49D"/>
              </a:solidFill>
            </c:spPr>
          </c:dPt>
          <c:dPt>
            <c:idx val="2"/>
            <c:spPr>
              <a:solidFill>
                <a:srgbClr val="4BB2E0"/>
              </a:solidFill>
            </c:spPr>
          </c:dPt>
          <c:dPt>
            <c:idx val="3"/>
            <c:spPr>
              <a:solidFill>
                <a:srgbClr val="9292EA"/>
              </a:solidFill>
            </c:spPr>
          </c:dPt>
          <c:dPt>
            <c:idx val="4"/>
            <c:spPr>
              <a:solidFill>
                <a:srgbClr val="7DF49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Dashboard!$D$3:$D$7</c:f>
            </c:strRef>
          </c:cat>
          <c:val>
            <c:numRef>
              <c:f>Dashboard!$F$3:$F$7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73763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rPr b="0">
                <a:solidFill>
                  <a:srgbClr val="073763"/>
                </a:solidFill>
                <a:latin typeface="+mn-lt"/>
              </a:rPr>
              <a:t>Target Remediation Distribution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27583333333333335"/>
          <c:y val="0.052695417789757414"/>
          <c:w val="0.9381666666666668"/>
          <c:h val="0.899999999999999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274E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Dashboard!$A$16:$A$19</c:f>
            </c:strRef>
          </c:cat>
          <c:val>
            <c:numRef>
              <c:f>Dashboard!$C$16:$C$19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rPr b="0">
                <a:solidFill>
                  <a:srgbClr val="073763"/>
                </a:solidFill>
                <a:latin typeface="+mn-lt"/>
              </a:rPr>
              <a:t>Target Control Categories per Quarter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Dashboard!$D$16</c:f>
            </c:strRef>
          </c:tx>
          <c:spPr>
            <a:solidFill>
              <a:srgbClr val="F9F49D"/>
            </a:solidFill>
            <a:ln cmpd="sng">
              <a:solidFill>
                <a:srgbClr val="000000"/>
              </a:solidFill>
            </a:ln>
          </c:spPr>
          <c:cat>
            <c:strRef>
              <c:f>Dashboard!$E$15:$H$15</c:f>
            </c:strRef>
          </c:cat>
          <c:val>
            <c:numRef>
              <c:f>Dashboard!$E$16:$H$16</c:f>
              <c:numCache/>
            </c:numRef>
          </c:val>
        </c:ser>
        <c:ser>
          <c:idx val="1"/>
          <c:order val="1"/>
          <c:tx>
            <c:strRef>
              <c:f>Dashboard!$D$17</c:f>
            </c:strRef>
          </c:tx>
          <c:spPr>
            <a:solidFill>
              <a:srgbClr val="4BB2E0"/>
            </a:solidFill>
            <a:ln cmpd="sng">
              <a:solidFill>
                <a:srgbClr val="000000"/>
              </a:solidFill>
            </a:ln>
          </c:spPr>
          <c:cat>
            <c:strRef>
              <c:f>Dashboard!$E$15:$H$15</c:f>
            </c:strRef>
          </c:cat>
          <c:val>
            <c:numRef>
              <c:f>Dashboard!$E$17:$H$17</c:f>
              <c:numCache/>
            </c:numRef>
          </c:val>
        </c:ser>
        <c:ser>
          <c:idx val="2"/>
          <c:order val="2"/>
          <c:tx>
            <c:strRef>
              <c:f>Dashboard!$D$18</c:f>
            </c:strRef>
          </c:tx>
          <c:spPr>
            <a:solidFill>
              <a:srgbClr val="9292E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Dashboard!$E$15:$H$15</c:f>
            </c:strRef>
          </c:cat>
          <c:val>
            <c:numRef>
              <c:f>Dashboard!$E$18:$H$18</c:f>
              <c:numCache/>
            </c:numRef>
          </c:val>
        </c:ser>
        <c:ser>
          <c:idx val="3"/>
          <c:order val="3"/>
          <c:tx>
            <c:strRef>
              <c:f>Dashboard!$D$19</c:f>
            </c:strRef>
          </c:tx>
          <c:spPr>
            <a:solidFill>
              <a:srgbClr val="FAB746"/>
            </a:solidFill>
            <a:ln cmpd="sng">
              <a:solidFill>
                <a:srgbClr val="000000"/>
              </a:solidFill>
            </a:ln>
          </c:spPr>
          <c:cat>
            <c:strRef>
              <c:f>Dashboard!$E$15:$H$15</c:f>
            </c:strRef>
          </c:cat>
          <c:val>
            <c:numRef>
              <c:f>Dashboard!$E$19:$H$19</c:f>
              <c:numCache/>
            </c:numRef>
          </c:val>
        </c:ser>
        <c:ser>
          <c:idx val="4"/>
          <c:order val="4"/>
          <c:tx>
            <c:strRef>
              <c:f>Dashboard!$D$20</c:f>
            </c:strRef>
          </c:tx>
          <c:spPr>
            <a:solidFill>
              <a:srgbClr val="F97367"/>
            </a:solidFill>
            <a:ln cmpd="sng">
              <a:solidFill>
                <a:srgbClr val="000000"/>
              </a:solidFill>
            </a:ln>
          </c:spPr>
          <c:cat>
            <c:strRef>
              <c:f>Dashboard!$E$15:$H$15</c:f>
            </c:strRef>
          </c:cat>
          <c:val>
            <c:numRef>
              <c:f>Dashboard!$E$20:$H$20</c:f>
              <c:numCache/>
            </c:numRef>
          </c:val>
        </c:ser>
        <c:ser>
          <c:idx val="5"/>
          <c:order val="5"/>
          <c:tx>
            <c:strRef>
              <c:f>Dashboard!$D$21</c:f>
            </c:strRef>
          </c:tx>
          <c:spPr>
            <a:solidFill>
              <a:srgbClr val="7DF49F"/>
            </a:solidFill>
            <a:ln cmpd="sng">
              <a:solidFill>
                <a:srgbClr val="000000"/>
              </a:solidFill>
            </a:ln>
          </c:spPr>
          <c:cat>
            <c:strRef>
              <c:f>Dashboard!$E$15:$H$15</c:f>
            </c:strRef>
          </c:cat>
          <c:val>
            <c:numRef>
              <c:f>Dashboard!$E$21:$H$21</c:f>
              <c:numCache/>
            </c:numRef>
          </c:val>
        </c:ser>
        <c:overlap val="100"/>
        <c:axId val="630260856"/>
        <c:axId val="1870188288"/>
      </c:barChart>
      <c:catAx>
        <c:axId val="63026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188288"/>
      </c:catAx>
      <c:valAx>
        <c:axId val="1870188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260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1809750</xdr:colOff>
      <xdr:row>1</xdr:row>
      <xdr:rowOff>0</xdr:rowOff>
    </xdr:from>
    <xdr:ext cx="9372600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400050</xdr:rowOff>
    </xdr:from>
    <xdr:ext cx="12239625" cy="4800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190500</xdr:rowOff>
    </xdr:from>
    <xdr:ext cx="9505950" cy="4610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781050</xdr:colOff>
      <xdr:row>23</xdr:row>
      <xdr:rowOff>190500</xdr:rowOff>
    </xdr:from>
    <xdr:ext cx="956310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vlpubs.nist.gov/nistpubs/CSWP/NIST.CSWP.29.pdf" TargetMode="External"/><Relationship Id="rId2" Type="http://schemas.openxmlformats.org/officeDocument/2006/relationships/hyperlink" Target="https://csrc.nist.gov/Projects/Cybersecurity-Framework/Filters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25"/>
    <col customWidth="1" min="2" max="2" width="22.13"/>
    <col customWidth="1" min="3" max="3" width="27.25"/>
    <col customWidth="1" min="4" max="4" width="22.25"/>
    <col customWidth="1" min="5" max="5" width="25.13"/>
    <col customWidth="1" min="6" max="6" width="13.63"/>
    <col customWidth="1" min="7" max="7" width="55.75"/>
    <col customWidth="1" min="8" max="8" width="19.38"/>
    <col customWidth="1" min="9" max="9" width="33.13"/>
  </cols>
  <sheetData>
    <row r="1">
      <c r="A1" s="1" t="s">
        <v>0</v>
      </c>
      <c r="K1" s="2"/>
    </row>
    <row r="2">
      <c r="A2" s="3"/>
      <c r="B2" s="4" t="str">
        <f>IFERROR(__xludf.DUMMYFUNCTION("sort(unique('NIST CSF 2.0 Gap Analysis'!A2:A1570))"),"Detect (DE) (8,5/11)")</f>
        <v>Detect (DE) (8,5/11)</v>
      </c>
      <c r="C2" s="5"/>
      <c r="D2" s="5" t="str">
        <f>IFERROR(__xludf.DUMMYFUNCTION("IFERROR(REGEXEXTRACT(B2, ""^(.*) \(""), NA())"),"Detect (DE)")</f>
        <v>Detect (DE)</v>
      </c>
      <c r="E2" s="5">
        <f>IFERROR(__xludf.DUMMYFUNCTION("IFERROR(VALUE(REGEXEXTRACT(B2, ""\((\d+,\d+|\d+)\/(\d+,\d+|\d+)\)"")))"),8.5)</f>
        <v>8.5</v>
      </c>
      <c r="F2" s="6">
        <f>E2/E8</f>
        <v>0.1416666667</v>
      </c>
      <c r="G2" s="7" t="s">
        <v>1</v>
      </c>
      <c r="H2" s="7" t="s">
        <v>2</v>
      </c>
      <c r="K2" s="8"/>
    </row>
    <row r="3">
      <c r="A3" s="3"/>
      <c r="B3" s="4" t="str">
        <f>IFERROR(__xludf.DUMMYFUNCTION("""COMPUTED_VALUE"""),"Govern (GV) (17/27)")</f>
        <v>Govern (GV) (17/27)</v>
      </c>
      <c r="C3" s="5"/>
      <c r="D3" s="5" t="str">
        <f>IFERROR(__xludf.DUMMYFUNCTION("IFERROR(REGEXEXTRACT(B3, ""^(.*) \(""), NA())"),"Govern (GV)")</f>
        <v>Govern (GV)</v>
      </c>
      <c r="E3" s="5">
        <f>IFERROR(__xludf.DUMMYFUNCTION("IFERROR(VALUE(REGEXEXTRACT(B3, ""\((\d+,\d+|\d+)\/(\d+,\d+|\d+)\)"")))"),17.0)</f>
        <v>17</v>
      </c>
      <c r="F3" s="6">
        <f>E3/E8</f>
        <v>0.2833333333</v>
      </c>
      <c r="G3" s="7" t="s">
        <v>3</v>
      </c>
      <c r="H3" s="4">
        <f>COUNTIF('NIST CSF 2.0 Gap Analysis'!F:F, "Compliant")</f>
        <v>46</v>
      </c>
    </row>
    <row r="4">
      <c r="A4" s="3"/>
      <c r="B4" s="4" t="str">
        <f>IFERROR(__xludf.DUMMYFUNCTION("""COMPUTED_VALUE"""),"Identify (ID) (6/15)")</f>
        <v>Identify (ID) (6/15)</v>
      </c>
      <c r="C4" s="5"/>
      <c r="D4" s="5" t="str">
        <f>IFERROR(__xludf.DUMMYFUNCTION("IFERROR(REGEXEXTRACT(B4, ""^(.*) \(""), NA())"),"Identify (ID)")</f>
        <v>Identify (ID)</v>
      </c>
      <c r="E4" s="5">
        <f>IFERROR(__xludf.DUMMYFUNCTION("IFERROR(VALUE(REGEXEXTRACT(B4, ""\((\d+,\d+|\d+)\/(\d+,\d+|\d+)\)"")))"),6.0)</f>
        <v>6</v>
      </c>
      <c r="F4" s="6">
        <f>E4/E8</f>
        <v>0.1</v>
      </c>
      <c r="G4" s="7" t="s">
        <v>4</v>
      </c>
      <c r="H4" s="4">
        <f>COUNTIF('NIST CSF 2.0 Gap Analysis'!F:F, "Not Compliant")</f>
        <v>16</v>
      </c>
    </row>
    <row r="5">
      <c r="A5" s="3"/>
      <c r="B5" s="4" t="str">
        <f>IFERROR(__xludf.DUMMYFUNCTION("""COMPUTED_VALUE"""),"Protect (PR) (8,5/17)")</f>
        <v>Protect (PR) (8,5/17)</v>
      </c>
      <c r="C5" s="5"/>
      <c r="D5" s="5" t="str">
        <f>IFERROR(__xludf.DUMMYFUNCTION("IFERROR(REGEXEXTRACT(B5, ""^(.*) \(""), NA())"),"Protect (PR)")</f>
        <v>Protect (PR)</v>
      </c>
      <c r="E5" s="5">
        <f>IFERROR(__xludf.DUMMYFUNCTION("IFERROR(VALUE(REGEXEXTRACT(B5, ""\((\d+,\d+|\d+)\/(\d+,\d+|\d+)\)"")))"),8.5)</f>
        <v>8.5</v>
      </c>
      <c r="F5" s="6">
        <f>E5/E8</f>
        <v>0.1416666667</v>
      </c>
      <c r="G5" s="7" t="s">
        <v>5</v>
      </c>
      <c r="H5" s="4">
        <f>COUNTIF('NIST CSF 2.0 Gap Analysis'!F:F, "Partially Compliant")</f>
        <v>28</v>
      </c>
    </row>
    <row r="6">
      <c r="A6" s="3"/>
      <c r="B6" s="4" t="str">
        <f>IFERROR(__xludf.DUMMYFUNCTION("""COMPUTED_VALUE"""),"Recovery (RC) (7/7)")</f>
        <v>Recovery (RC) (7/7)</v>
      </c>
      <c r="C6" s="5"/>
      <c r="D6" s="5" t="str">
        <f>IFERROR(__xludf.DUMMYFUNCTION("IFERROR(REGEXEXTRACT(B6, ""^(.*) \(""), NA())"),"Recovery (RC)")</f>
        <v>Recovery (RC)</v>
      </c>
      <c r="E6" s="5">
        <f>IFERROR(__xludf.DUMMYFUNCTION("IFERROR(VALUE(REGEXEXTRACT(B6, ""\((\d+,\d+|\d+)\/(\d+,\d+|\d+)\)"")))"),7.0)</f>
        <v>7</v>
      </c>
      <c r="F6" s="6">
        <f>E6/E8</f>
        <v>0.1166666667</v>
      </c>
      <c r="G6" s="7" t="s">
        <v>6</v>
      </c>
      <c r="H6" s="4">
        <f>SUM(H3:H5)</f>
        <v>90</v>
      </c>
    </row>
    <row r="7">
      <c r="A7" s="3"/>
      <c r="B7" s="4" t="str">
        <f>IFERROR(__xludf.DUMMYFUNCTION("""COMPUTED_VALUE"""),"Respond (RE) (13/13)")</f>
        <v>Respond (RE) (13/13)</v>
      </c>
      <c r="C7" s="5"/>
      <c r="D7" s="5" t="str">
        <f>IFERROR(__xludf.DUMMYFUNCTION("IFERROR(REGEXEXTRACT(B7, ""^(.*) \(""), NA())"),"Respond (RE)")</f>
        <v>Respond (RE)</v>
      </c>
      <c r="E7" s="5">
        <f>IFERROR(__xludf.DUMMYFUNCTION("IFERROR(VALUE(REGEXEXTRACT(B7, ""\((\d+,\d+|\d+)\/(\d+,\d+|\d+)\)"")))"),13.0)</f>
        <v>13</v>
      </c>
      <c r="F7" s="9">
        <f>E7/E8</f>
        <v>0.2166666667</v>
      </c>
      <c r="G7" s="4"/>
      <c r="H7" s="4"/>
    </row>
    <row r="8">
      <c r="A8" s="3"/>
      <c r="B8" s="10"/>
      <c r="E8" s="10">
        <f>SUM(E2:E7)</f>
        <v>60</v>
      </c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11" t="s">
        <v>7</v>
      </c>
      <c r="B15" s="11" t="s">
        <v>2</v>
      </c>
      <c r="C15" s="11" t="s">
        <v>8</v>
      </c>
      <c r="D15" s="11" t="s">
        <v>9</v>
      </c>
      <c r="E15" s="11" t="s">
        <v>10</v>
      </c>
      <c r="F15" s="11" t="s">
        <v>11</v>
      </c>
      <c r="G15" s="11" t="s">
        <v>12</v>
      </c>
      <c r="H15" s="11" t="s">
        <v>13</v>
      </c>
      <c r="I15" s="2"/>
    </row>
    <row r="16">
      <c r="A16" s="11" t="s">
        <v>10</v>
      </c>
      <c r="B16" s="10">
        <f>COUNTIF('NIST CSF 2.0 Gap Analysis'!G:G, "Q1")</f>
        <v>17</v>
      </c>
      <c r="C16" s="12">
        <f>B16/B20</f>
        <v>0.1603773585</v>
      </c>
      <c r="D16" s="13" t="s">
        <v>14</v>
      </c>
      <c r="E16" s="10">
        <f>COUNTIFS('NIST CSF 2.0 Gap Analysis'!E2:E1570, D16 &amp; "*", 'NIST CSF 2.0 Gap Analysis'!G2:G1570, "Q1")</f>
        <v>5</v>
      </c>
      <c r="F16" s="11">
        <f>COUNTIFS('NIST CSF 2.0 Gap Analysis'!E2:E1570, D16 &amp; "*", 'NIST CSF 2.0 Gap Analysis'!G2:G1570, "Q2")</f>
        <v>7</v>
      </c>
      <c r="G16" s="10">
        <f>COUNTIFS('NIST CSF 2.0 Gap Analysis'!E2:E1570, D16 &amp; "*", 'NIST CSF 2.0 Gap Analysis'!G2:G1570, "Q3")</f>
        <v>6</v>
      </c>
      <c r="H16" s="10">
        <f>COUNTIFS('NIST CSF 2.0 Gap Analysis'!E2:E1570, D16 &amp; "*", 'NIST CSF 2.0 Gap Analysis'!G2:G1570, "Q4")</f>
        <v>13</v>
      </c>
      <c r="I16" s="14"/>
    </row>
    <row r="17">
      <c r="A17" s="11" t="s">
        <v>11</v>
      </c>
      <c r="B17" s="10">
        <f>COUNTIF('NIST CSF 2.0 Gap Analysis'!G:G, "Q2")</f>
        <v>34</v>
      </c>
      <c r="C17" s="12">
        <f>B17/B20</f>
        <v>0.320754717</v>
      </c>
      <c r="D17" s="13" t="s">
        <v>15</v>
      </c>
      <c r="E17" s="10">
        <f>COUNTIFS('NIST CSF 2.0 Gap Analysis'!E3:E1570, D17 &amp; "*", 'NIST CSF 2.0 Gap Analysis'!G3:G1570, "Q1")</f>
        <v>4</v>
      </c>
      <c r="F17" s="11">
        <f>COUNTIFS('NIST CSF 2.0 Gap Analysis'!E3:E1570, D17 &amp; "*", 'NIST CSF 2.0 Gap Analysis'!G3:G1570, "Q2")</f>
        <v>11</v>
      </c>
      <c r="G17" s="10">
        <f>COUNTIFS('NIST CSF 2.0 Gap Analysis'!E3:E1570, D17 &amp; "*", 'NIST CSF 2.0 Gap Analysis'!G3:G1570, "Q3")</f>
        <v>6</v>
      </c>
      <c r="H17" s="10">
        <f>COUNTIFS('NIST CSF 2.0 Gap Analysis'!E3:E1570, D17 &amp; "*", 'NIST CSF 2.0 Gap Analysis'!G3:G1570, "Q4")</f>
        <v>0</v>
      </c>
      <c r="I17" s="14"/>
    </row>
    <row r="18">
      <c r="A18" s="11" t="s">
        <v>12</v>
      </c>
      <c r="B18" s="10">
        <f>COUNTIF('NIST CSF 2.0 Gap Analysis'!G:G, "Q3")</f>
        <v>29</v>
      </c>
      <c r="C18" s="12">
        <f>B18/B20</f>
        <v>0.2735849057</v>
      </c>
      <c r="D18" s="13" t="s">
        <v>16</v>
      </c>
      <c r="E18" s="10">
        <f>COUNTIFS('NIST CSF 2.0 Gap Analysis'!E4:E1570, D18 &amp; "*", 'NIST CSF 2.0 Gap Analysis'!G4:G1570, "Q1")</f>
        <v>8</v>
      </c>
      <c r="F18" s="11">
        <f>COUNTIFS('NIST CSF 2.0 Gap Analysis'!E4:E1570, D18 &amp; "*", 'NIST CSF 2.0 Gap Analysis'!G4:G1570, "Q2")</f>
        <v>12</v>
      </c>
      <c r="G18" s="10">
        <f>COUNTIFS('NIST CSF 2.0 Gap Analysis'!E4:E1570, D18 &amp; "*", 'NIST CSF 2.0 Gap Analysis'!G4:G1570, "Q3")</f>
        <v>2</v>
      </c>
      <c r="H18" s="10">
        <f>COUNTIFS('NIST CSF 2.0 Gap Analysis'!E4:E1570, D18 &amp; "*", 'NIST CSF 2.0 Gap Analysis'!G4:G1570, "Q4")</f>
        <v>0</v>
      </c>
      <c r="I18" s="14"/>
    </row>
    <row r="19">
      <c r="A19" s="11" t="s">
        <v>13</v>
      </c>
      <c r="B19" s="10">
        <f>COUNTIF('NIST CSF 2.0 Gap Analysis'!G:G, "Q4")</f>
        <v>26</v>
      </c>
      <c r="C19" s="12">
        <f>B19/B20</f>
        <v>0.2452830189</v>
      </c>
      <c r="D19" s="13" t="s">
        <v>17</v>
      </c>
      <c r="E19" s="10">
        <f>COUNTIFS('NIST CSF 2.0 Gap Analysis'!E5:E1570, D19 &amp; "*", 'NIST CSF 2.0 Gap Analysis'!G5:G1570, "Q1")</f>
        <v>0</v>
      </c>
      <c r="F19" s="11">
        <f>COUNTIFS('NIST CSF 2.0 Gap Analysis'!E5:E1570, D19 &amp; "*", 'NIST CSF 2.0 Gap Analysis'!G5:G1570, "Q2")</f>
        <v>4</v>
      </c>
      <c r="G19" s="10">
        <f>COUNTIFS('NIST CSF 2.0 Gap Analysis'!E5:E1570, D19 &amp; "*", 'NIST CSF 2.0 Gap Analysis'!G5:G1570, "Q3")</f>
        <v>7</v>
      </c>
      <c r="H19" s="10">
        <f>COUNTIFS('NIST CSF 2.0 Gap Analysis'!E5:E1570, D19 &amp; "*", 'NIST CSF 2.0 Gap Analysis'!G5:G1570, "Q4")</f>
        <v>0</v>
      </c>
      <c r="I19" s="14"/>
    </row>
    <row r="20">
      <c r="A20" s="11" t="s">
        <v>6</v>
      </c>
      <c r="B20" s="10">
        <f>SUM(B16:B19)</f>
        <v>106</v>
      </c>
      <c r="D20" s="13" t="s">
        <v>18</v>
      </c>
      <c r="E20" s="10">
        <f>COUNTIFS('NIST CSF 2.0 Gap Analysis'!E6:E1570, D20 &amp; "*", 'NIST CSF 2.0 Gap Analysis'!G6:G1570, "Q1")</f>
        <v>0</v>
      </c>
      <c r="F20" s="11">
        <f>COUNTIFS('NIST CSF 2.0 Gap Analysis'!E6:E1570, D20 &amp; "*", 'NIST CSF 2.0 Gap Analysis'!G6:G1570, "Q2")</f>
        <v>0</v>
      </c>
      <c r="G20" s="10">
        <f>COUNTIFS('NIST CSF 2.0 Gap Analysis'!E6:E1570, D20 &amp; "*", 'NIST CSF 2.0 Gap Analysis'!G6:G1570, "Q3")</f>
        <v>0</v>
      </c>
      <c r="H20" s="10">
        <f>COUNTIFS('NIST CSF 2.0 Gap Analysis'!E6:E1570, D20 &amp; "*", 'NIST CSF 2.0 Gap Analysis'!G6:G1570, "Q4")</f>
        <v>13</v>
      </c>
      <c r="I20" s="14"/>
    </row>
    <row r="21">
      <c r="D21" s="13" t="s">
        <v>19</v>
      </c>
      <c r="E21" s="10">
        <f>COUNTIFS('NIST CSF 2.0 Gap Analysis'!E7:E1570, D21 &amp; "*", 'NIST CSF 2.0 Gap Analysis'!G7:G1570, "Q1")</f>
        <v>0</v>
      </c>
      <c r="F21" s="11">
        <f>COUNTIFS('NIST CSF 2.0 Gap Analysis'!E7:E1570, D21 &amp; "*", 'NIST CSF 2.0 Gap Analysis'!G7:G1570, "Q2")</f>
        <v>0</v>
      </c>
      <c r="G21" s="10">
        <f>COUNTIFS('NIST CSF 2.0 Gap Analysis'!E7:E1570, D21 &amp; "*", 'NIST CSF 2.0 Gap Analysis'!G7:G1570, "Q3")</f>
        <v>8</v>
      </c>
      <c r="H21" s="10">
        <f>COUNTIFS('NIST CSF 2.0 Gap Analysis'!E7:E1570, D21 &amp; "*", 'NIST CSF 2.0 Gap Analysis'!G7:G1570, "Q4")</f>
        <v>0</v>
      </c>
      <c r="I21" s="14"/>
    </row>
    <row r="25">
      <c r="I25" s="15" t="s">
        <v>20</v>
      </c>
    </row>
    <row r="26">
      <c r="I26" s="16">
        <f>COUNTA('NIST CSF 2.0 Gap Analysis'!F:F) - COUNTIF('NIST CSF 2.0 Gap Analysis'!F:F, "N/A")</f>
        <v>91</v>
      </c>
    </row>
    <row r="49">
      <c r="A49" s="17" t="str">
        <f>IFERROR(__xludf.DUMMYFUNCTION("QUERY(
    'NIST CSF 2.0 Gap Analysis'!D:J,
    ""SELECT D, E, F, G, J 
     WHERE UPPER(F) &lt;&gt; 'N/A' AND UPPER(F) &lt;&gt; 'COMPLIANT'
     AND G &lt;&gt; '' 
     ORDER BY G ASC, J DESC"", 
    1
)"),"Subcategory")</f>
        <v>Subcategory</v>
      </c>
      <c r="B49" s="17" t="str">
        <f>IFERROR(__xludf.DUMMYFUNCTION("""COMPUTED_VALUE"""),"Category Identifier")</f>
        <v>Category Identifier</v>
      </c>
      <c r="C49" s="17" t="str">
        <f>IFERROR(__xludf.DUMMYFUNCTION("""COMPUTED_VALUE"""),"Compliance")</f>
        <v>Compliance</v>
      </c>
      <c r="D49" s="17" t="str">
        <f>IFERROR(__xludf.DUMMYFUNCTION("""COMPUTED_VALUE"""),"Target Remediation")</f>
        <v>Target Remediation</v>
      </c>
      <c r="E49" s="17" t="str">
        <f>IFERROR(__xludf.DUMMYFUNCTION("""COMPUTED_VALUE"""),"Priority")</f>
        <v>Priority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>
      <c r="A50" s="18" t="str">
        <f>IFERROR(__xludf.DUMMYFUNCTION("""COMPUTED_VALUE"""),"Personnel are provided with awareness and training so that they possess the
knowledge and skills to perform general tasks with cybersecurity risks in mind")</f>
        <v>Personnel are provided with awareness and training so that they possess the
knowledge and skills to perform general tasks with cybersecurity risks in mind</v>
      </c>
      <c r="B50" s="18" t="str">
        <f>IFERROR(__xludf.DUMMYFUNCTION("""COMPUTED_VALUE"""),"PR.AT-01")</f>
        <v>PR.AT-01</v>
      </c>
      <c r="C50" s="18" t="str">
        <f>IFERROR(__xludf.DUMMYFUNCTION("""COMPUTED_VALUE"""),"Not Compliant")</f>
        <v>Not Compliant</v>
      </c>
      <c r="D50" s="18" t="str">
        <f>IFERROR(__xludf.DUMMYFUNCTION("""COMPUTED_VALUE"""),"Q1")</f>
        <v>Q1</v>
      </c>
      <c r="E50" s="18">
        <f>IFERROR(__xludf.DUMMYFUNCTION("""COMPUTED_VALUE"""),9.0)</f>
        <v>9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18" t="str">
        <f>IFERROR(__xludf.DUMMYFUNCTION("""COMPUTED_VALUE"""),"Risk responses are chosen, prioritized, planned, tracked, and communicated")</f>
        <v>Risk responses are chosen, prioritized, planned, tracked, and communicated</v>
      </c>
      <c r="B51" s="18" t="str">
        <f>IFERROR(__xludf.DUMMYFUNCTION("""COMPUTED_VALUE"""),"ID.RA-06")</f>
        <v>ID.RA-06</v>
      </c>
      <c r="C51" s="18" t="str">
        <f>IFERROR(__xludf.DUMMYFUNCTION("""COMPUTED_VALUE"""),"Partially Compliant")</f>
        <v>Partially Compliant</v>
      </c>
      <c r="D51" s="18" t="str">
        <f>IFERROR(__xludf.DUMMYFUNCTION("""COMPUTED_VALUE"""),"Q1")</f>
        <v>Q1</v>
      </c>
      <c r="E51" s="18">
        <f>IFERROR(__xludf.DUMMYFUNCTION("""COMPUTED_VALUE"""),8.0)</f>
        <v>8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8" t="str">
        <f>IFERROR(__xludf.DUMMYFUNCTION("""COMPUTED_VALUE"""),"Processes for receiving, analyzing, and responding to vulnerability disclosures
are established")</f>
        <v>Processes for receiving, analyzing, and responding to vulnerability disclosures
are established</v>
      </c>
      <c r="B52" s="18" t="str">
        <f>IFERROR(__xludf.DUMMYFUNCTION("""COMPUTED_VALUE"""),"ID.RA-08")</f>
        <v>ID.RA-08</v>
      </c>
      <c r="C52" s="18" t="str">
        <f>IFERROR(__xludf.DUMMYFUNCTION("""COMPUTED_VALUE"""),"Partially Compliant")</f>
        <v>Partially Compliant</v>
      </c>
      <c r="D52" s="18" t="str">
        <f>IFERROR(__xludf.DUMMYFUNCTION("""COMPUTED_VALUE"""),"Q1")</f>
        <v>Q1</v>
      </c>
      <c r="E52" s="18">
        <f>IFERROR(__xludf.DUMMYFUNCTION("""COMPUTED_VALUE"""),7.0)</f>
        <v>7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18" t="str">
        <f>IFERROR(__xludf.DUMMYFUNCTION("""COMPUTED_VALUE"""),"Outcomes, capabilities, and services that the organization depends on are
understood and communicated")</f>
        <v>Outcomes, capabilities, and services that the organization depends on are
understood and communicated</v>
      </c>
      <c r="B53" s="18" t="str">
        <f>IFERROR(__xludf.DUMMYFUNCTION("""COMPUTED_VALUE"""),"GV.OC-05")</f>
        <v>GV.OC-05</v>
      </c>
      <c r="C53" s="18" t="str">
        <f>IFERROR(__xludf.DUMMYFUNCTION("""COMPUTED_VALUE"""),"Partially Compliant")</f>
        <v>Partially Compliant</v>
      </c>
      <c r="D53" s="18" t="str">
        <f>IFERROR(__xludf.DUMMYFUNCTION("""COMPUTED_VALUE"""),"Q1")</f>
        <v>Q1</v>
      </c>
      <c r="E53" s="18">
        <f>IFERROR(__xludf.DUMMYFUNCTION("""COMPUTED_VALUE"""),5.0)</f>
        <v>5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18" t="str">
        <f>IFERROR(__xludf.DUMMYFUNCTION("""COMPUTED_VALUE"""),"Threats, vulnerabilities, likelihoods, and impacts are used to understand
inherent risk and inform risk response prioritization")</f>
        <v>Threats, vulnerabilities, likelihoods, and impacts are used to understand
inherent risk and inform risk response prioritization</v>
      </c>
      <c r="B54" s="18" t="str">
        <f>IFERROR(__xludf.DUMMYFUNCTION("""COMPUTED_VALUE"""),"ID.RA-05")</f>
        <v>ID.RA-05</v>
      </c>
      <c r="C54" s="18" t="str">
        <f>IFERROR(__xludf.DUMMYFUNCTION("""COMPUTED_VALUE"""),"Partially Compliant")</f>
        <v>Partially Compliant</v>
      </c>
      <c r="D54" s="18" t="str">
        <f>IFERROR(__xludf.DUMMYFUNCTION("""COMPUTED_VALUE"""),"Q1")</f>
        <v>Q1</v>
      </c>
      <c r="E54" s="18">
        <f>IFERROR(__xludf.DUMMYFUNCTION("""COMPUTED_VALUE"""),5.0)</f>
        <v>5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18" t="str">
        <f>IFERROR(__xludf.DUMMYFUNCTION("""COMPUTED_VALUE"""),"Internal and external stakeholders are understood, and their needs and
expectations regarding cybersecurity risk management are understood and considered")</f>
        <v>Internal and external stakeholders are understood, and their needs and
expectations regarding cybersecurity risk management are understood and considered</v>
      </c>
      <c r="B55" s="18" t="str">
        <f>IFERROR(__xludf.DUMMYFUNCTION("""COMPUTED_VALUE"""),"GV.OC-02")</f>
        <v>GV.OC-02</v>
      </c>
      <c r="C55" s="18" t="str">
        <f>IFERROR(__xludf.DUMMYFUNCTION("""COMPUTED_VALUE"""),"Not Compliant")</f>
        <v>Not Compliant</v>
      </c>
      <c r="D55" s="18" t="str">
        <f>IFERROR(__xludf.DUMMYFUNCTION("""COMPUTED_VALUE"""),"Q1")</f>
        <v>Q1</v>
      </c>
      <c r="E55" s="18">
        <f>IFERROR(__xludf.DUMMYFUNCTION("""COMPUTED_VALUE"""),3.0)</f>
        <v>3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18" t="str">
        <f>IFERROR(__xludf.DUMMYFUNCTION("""COMPUTED_VALUE"""),"Changes and exceptions are managed, assessed for risk impact, recorded, and
tracked")</f>
        <v>Changes and exceptions are managed, assessed for risk impact, recorded, and
tracked</v>
      </c>
      <c r="B56" s="18" t="str">
        <f>IFERROR(__xludf.DUMMYFUNCTION("""COMPUTED_VALUE"""),"ID.RA-07")</f>
        <v>ID.RA-07</v>
      </c>
      <c r="C56" s="18" t="str">
        <f>IFERROR(__xludf.DUMMYFUNCTION("""COMPUTED_VALUE"""),"Partially Compliant")</f>
        <v>Partially Compliant</v>
      </c>
      <c r="D56" s="18" t="str">
        <f>IFERROR(__xludf.DUMMYFUNCTION("""COMPUTED_VALUE"""),"Q1")</f>
        <v>Q1</v>
      </c>
      <c r="E56" s="18">
        <f>IFERROR(__xludf.DUMMYFUNCTION("""COMPUTED_VALUE"""),1.0)</f>
        <v>1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18" t="str">
        <f>IFERROR(__xludf.DUMMYFUNCTION("""COMPUTED_VALUE"""),"Inventories of hardware managed by the organization are maintained")</f>
        <v>Inventories of hardware managed by the organization are maintained</v>
      </c>
      <c r="B57" s="18" t="str">
        <f>IFERROR(__xludf.DUMMYFUNCTION("""COMPUTED_VALUE"""),"ID.AM-01")</f>
        <v>ID.AM-01</v>
      </c>
      <c r="C57" s="18" t="str">
        <f>IFERROR(__xludf.DUMMYFUNCTION("""COMPUTED_VALUE"""),"Not Compliant")</f>
        <v>Not Compliant</v>
      </c>
      <c r="D57" s="18" t="str">
        <f>IFERROR(__xludf.DUMMYFUNCTION("""COMPUTED_VALUE"""),"Q2")</f>
        <v>Q2</v>
      </c>
      <c r="E57" s="18">
        <f>IFERROR(__xludf.DUMMYFUNCTION("""COMPUTED_VALUE"""),10.0)</f>
        <v>10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8" t="str">
        <f>IFERROR(__xludf.DUMMYFUNCTION("""COMPUTED_VALUE"""),"Internal and external threats to the organization are identified and recorded")</f>
        <v>Internal and external threats to the organization are identified and recorded</v>
      </c>
      <c r="B58" s="18" t="str">
        <f>IFERROR(__xludf.DUMMYFUNCTION("""COMPUTED_VALUE"""),"ID.RA-03")</f>
        <v>ID.RA-03</v>
      </c>
      <c r="C58" s="18" t="str">
        <f>IFERROR(__xludf.DUMMYFUNCTION("""COMPUTED_VALUE"""),"Partially Compliant")</f>
        <v>Partially Compliant</v>
      </c>
      <c r="D58" s="18" t="str">
        <f>IFERROR(__xludf.DUMMYFUNCTION("""COMPUTED_VALUE"""),"Q2")</f>
        <v>Q2</v>
      </c>
      <c r="E58" s="18">
        <f>IFERROR(__xludf.DUMMYFUNCTION("""COMPUTED_VALUE"""),10.0)</f>
        <v>10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 t="str">
        <f>IFERROR(__xludf.DUMMYFUNCTION("""COMPUTED_VALUE"""),"Networks and network services are monitored to find potentially adverse
events")</f>
        <v>Networks and network services are monitored to find potentially adverse
events</v>
      </c>
      <c r="B59" s="18" t="str">
        <f>IFERROR(__xludf.DUMMYFUNCTION("""COMPUTED_VALUE"""),"DE.CM-01")</f>
        <v>DE.CM-01</v>
      </c>
      <c r="C59" s="18" t="str">
        <f>IFERROR(__xludf.DUMMYFUNCTION("""COMPUTED_VALUE"""),"Partially Compliant")</f>
        <v>Partially Compliant</v>
      </c>
      <c r="D59" s="18" t="str">
        <f>IFERROR(__xludf.DUMMYFUNCTION("""COMPUTED_VALUE"""),"Q2")</f>
        <v>Q2</v>
      </c>
      <c r="E59" s="18">
        <f>IFERROR(__xludf.DUMMYFUNCTION("""COMPUTED_VALUE"""),10.0)</f>
        <v>10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 t="str">
        <f>IFERROR(__xludf.DUMMYFUNCTION("""COMPUTED_VALUE"""),"The confidentiality, integrity, and availability of data-at-rest are protected")</f>
        <v>The confidentiality, integrity, and availability of data-at-rest are protected</v>
      </c>
      <c r="B60" s="18" t="str">
        <f>IFERROR(__xludf.DUMMYFUNCTION("""COMPUTED_VALUE"""),"PR.DS-01")</f>
        <v>PR.DS-01</v>
      </c>
      <c r="C60" s="18" t="str">
        <f>IFERROR(__xludf.DUMMYFUNCTION("""COMPUTED_VALUE"""),"Not Compliant")</f>
        <v>Not Compliant</v>
      </c>
      <c r="D60" s="18" t="str">
        <f>IFERROR(__xludf.DUMMYFUNCTION("""COMPUTED_VALUE"""),"Q2")</f>
        <v>Q2</v>
      </c>
      <c r="E60" s="18">
        <f>IFERROR(__xludf.DUMMYFUNCTION("""COMPUTED_VALUE"""),8.0)</f>
        <v>8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 t="str">
        <f>IFERROR(__xludf.DUMMYFUNCTION("""COMPUTED_VALUE"""),"Mechanisms are implemented to achieve resilience requirements in normal
and adverse situations")</f>
        <v>Mechanisms are implemented to achieve resilience requirements in normal
and adverse situations</v>
      </c>
      <c r="B61" s="18" t="str">
        <f>IFERROR(__xludf.DUMMYFUNCTION("""COMPUTED_VALUE"""),"PR.IR-03")</f>
        <v>PR.IR-03</v>
      </c>
      <c r="C61" s="18" t="str">
        <f>IFERROR(__xludf.DUMMYFUNCTION("""COMPUTED_VALUE"""),"Partially Compliant")</f>
        <v>Partially Compliant</v>
      </c>
      <c r="D61" s="18" t="str">
        <f>IFERROR(__xludf.DUMMYFUNCTION("""COMPUTED_VALUE"""),"Q2")</f>
        <v>Q2</v>
      </c>
      <c r="E61" s="18">
        <f>IFERROR(__xludf.DUMMYFUNCTION("""COMPUTED_VALUE"""),8.0)</f>
        <v>8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 t="str">
        <f>IFERROR(__xludf.DUMMYFUNCTION("""COMPUTED_VALUE"""),"Cybersecurity supply chain risk management plans include provisions for
activities that occur after the conclusion of a partnership or service agreement")</f>
        <v>Cybersecurity supply chain risk management plans include provisions for
activities that occur after the conclusion of a partnership or service agreement</v>
      </c>
      <c r="B62" s="18" t="str">
        <f>IFERROR(__xludf.DUMMYFUNCTION("""COMPUTED_VALUE"""),"GV.SC-10")</f>
        <v>GV.SC-10</v>
      </c>
      <c r="C62" s="18" t="str">
        <f>IFERROR(__xludf.DUMMYFUNCTION("""COMPUTED_VALUE"""),"Not Compliant")</f>
        <v>Not Compliant</v>
      </c>
      <c r="D62" s="18" t="str">
        <f>IFERROR(__xludf.DUMMYFUNCTION("""COMPUTED_VALUE"""),"Q2")</f>
        <v>Q2</v>
      </c>
      <c r="E62" s="18">
        <f>IFERROR(__xludf.DUMMYFUNCTION("""COMPUTED_VALUE"""),7.0)</f>
        <v>7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8" t="str">
        <f>IFERROR(__xludf.DUMMYFUNCTION("""COMPUTED_VALUE"""),"The confidentiality, integrity, and availability of data-in-transit are protected")</f>
        <v>The confidentiality, integrity, and availability of data-in-transit are protected</v>
      </c>
      <c r="B63" s="18" t="str">
        <f>IFERROR(__xludf.DUMMYFUNCTION("""COMPUTED_VALUE"""),"PR.DS-02")</f>
        <v>PR.DS-02</v>
      </c>
      <c r="C63" s="18" t="str">
        <f>IFERROR(__xludf.DUMMYFUNCTION("""COMPUTED_VALUE"""),"Not Compliant")</f>
        <v>Not Compliant</v>
      </c>
      <c r="D63" s="18" t="str">
        <f>IFERROR(__xludf.DUMMYFUNCTION("""COMPUTED_VALUE"""),"Q2")</f>
        <v>Q2</v>
      </c>
      <c r="E63" s="18">
        <f>IFERROR(__xludf.DUMMYFUNCTION("""COMPUTED_VALUE"""),7.0)</f>
        <v>7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8" t="str">
        <f>IFERROR(__xludf.DUMMYFUNCTION("""COMPUTED_VALUE"""),"The physical environment is monitored to find potentially adverse events")</f>
        <v>The physical environment is monitored to find potentially adverse events</v>
      </c>
      <c r="B64" s="18" t="str">
        <f>IFERROR(__xludf.DUMMYFUNCTION("""COMPUTED_VALUE"""),"DE.CM-02")</f>
        <v>DE.CM-02</v>
      </c>
      <c r="C64" s="18" t="str">
        <f>IFERROR(__xludf.DUMMYFUNCTION("""COMPUTED_VALUE"""),"Partially Compliant")</f>
        <v>Partially Compliant</v>
      </c>
      <c r="D64" s="18" t="str">
        <f>IFERROR(__xludf.DUMMYFUNCTION("""COMPUTED_VALUE"""),"Q2")</f>
        <v>Q2</v>
      </c>
      <c r="E64" s="18">
        <f>IFERROR(__xludf.DUMMYFUNCTION("""COMPUTED_VALUE"""),7.0)</f>
        <v>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8" t="str">
        <f>IFERROR(__xludf.DUMMYFUNCTION("""COMPUTED_VALUE"""),"Inventories of software, services, and systems managed by the organization
are maintained")</f>
        <v>Inventories of software, services, and systems managed by the organization
are maintained</v>
      </c>
      <c r="B65" s="18" t="str">
        <f>IFERROR(__xludf.DUMMYFUNCTION("""COMPUTED_VALUE"""),"ID.AM-02")</f>
        <v>ID.AM-02</v>
      </c>
      <c r="C65" s="18" t="str">
        <f>IFERROR(__xludf.DUMMYFUNCTION("""COMPUTED_VALUE"""),"Not Compliant")</f>
        <v>Not Compliant</v>
      </c>
      <c r="D65" s="18" t="str">
        <f>IFERROR(__xludf.DUMMYFUNCTION("""COMPUTED_VALUE"""),"Q2")</f>
        <v>Q2</v>
      </c>
      <c r="E65" s="18">
        <f>IFERROR(__xludf.DUMMYFUNCTION("""COMPUTED_VALUE"""),6.0)</f>
        <v>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8" t="str">
        <f>IFERROR(__xludf.DUMMYFUNCTION("""COMPUTED_VALUE"""),"Individuals in specialized roles are provided with awareness and training so
that they possess the knowledge and skills to perform relevant tasks with cybersecurity
risks in mind")</f>
        <v>Individuals in specialized roles are provided with awareness and training so
that they possess the knowledge and skills to perform relevant tasks with cybersecurity
risks in mind</v>
      </c>
      <c r="B66" s="18" t="str">
        <f>IFERROR(__xludf.DUMMYFUNCTION("""COMPUTED_VALUE"""),"PR.AT-02")</f>
        <v>PR.AT-02</v>
      </c>
      <c r="C66" s="18" t="str">
        <f>IFERROR(__xludf.DUMMYFUNCTION("""COMPUTED_VALUE"""),"Not Compliant")</f>
        <v>Not Compliant</v>
      </c>
      <c r="D66" s="18" t="str">
        <f>IFERROR(__xludf.DUMMYFUNCTION("""COMPUTED_VALUE"""),"Q2")</f>
        <v>Q2</v>
      </c>
      <c r="E66" s="18">
        <f>IFERROR(__xludf.DUMMYFUNCTION("""COMPUTED_VALUE"""),6.0)</f>
        <v>6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8" t="str">
        <f>IFERROR(__xludf.DUMMYFUNCTION("""COMPUTED_VALUE"""),"Networks and environments are protected from unauthorized logical access
and usage")</f>
        <v>Networks and environments are protected from unauthorized logical access
and usage</v>
      </c>
      <c r="B67" s="18" t="str">
        <f>IFERROR(__xludf.DUMMYFUNCTION("""COMPUTED_VALUE"""),"PR.IR-01")</f>
        <v>PR.IR-01</v>
      </c>
      <c r="C67" s="18" t="str">
        <f>IFERROR(__xludf.DUMMYFUNCTION("""COMPUTED_VALUE"""),"Partially Compliant")</f>
        <v>Partially Compliant</v>
      </c>
      <c r="D67" s="18" t="str">
        <f>IFERROR(__xludf.DUMMYFUNCTION("""COMPUTED_VALUE"""),"Q2")</f>
        <v>Q2</v>
      </c>
      <c r="E67" s="18">
        <f>IFERROR(__xludf.DUMMYFUNCTION("""COMPUTED_VALUE"""),6.0)</f>
        <v>6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8" t="str">
        <f>IFERROR(__xludf.DUMMYFUNCTION("""COMPUTED_VALUE"""),"Backups of data are created, protected, maintained, and tested")</f>
        <v>Backups of data are created, protected, maintained, and tested</v>
      </c>
      <c r="B68" s="18" t="str">
        <f>IFERROR(__xludf.DUMMYFUNCTION("""COMPUTED_VALUE"""),"PR.DS-11")</f>
        <v>PR.DS-11</v>
      </c>
      <c r="C68" s="18" t="str">
        <f>IFERROR(__xludf.DUMMYFUNCTION("""COMPUTED_VALUE"""),"Not Compliant")</f>
        <v>Not Compliant</v>
      </c>
      <c r="D68" s="18" t="str">
        <f>IFERROR(__xludf.DUMMYFUNCTION("""COMPUTED_VALUE"""),"Q2")</f>
        <v>Q2</v>
      </c>
      <c r="E68" s="18">
        <f>IFERROR(__xludf.DUMMYFUNCTION("""COMPUTED_VALUE"""),5.0)</f>
        <v>5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8" t="str">
        <f>IFERROR(__xludf.DUMMYFUNCTION("""COMPUTED_VALUE"""),"External service provider activities and services are monitored to find
potentially adverse events")</f>
        <v>External service provider activities and services are monitored to find
potentially adverse events</v>
      </c>
      <c r="B69" s="18" t="str">
        <f>IFERROR(__xludf.DUMMYFUNCTION("""COMPUTED_VALUE"""),"DE.CM-06")</f>
        <v>DE.CM-06</v>
      </c>
      <c r="C69" s="18" t="str">
        <f>IFERROR(__xludf.DUMMYFUNCTION("""COMPUTED_VALUE"""),"Partially Compliant")</f>
        <v>Partially Compliant</v>
      </c>
      <c r="D69" s="18" t="str">
        <f>IFERROR(__xludf.DUMMYFUNCTION("""COMPUTED_VALUE"""),"Q2")</f>
        <v>Q2</v>
      </c>
      <c r="E69" s="18">
        <f>IFERROR(__xludf.DUMMYFUNCTION("""COMPUTED_VALUE"""),5.0)</f>
        <v>5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8" t="str">
        <f>IFERROR(__xludf.DUMMYFUNCTION("""COMPUTED_VALUE"""),"Supply chain security practices are integrated into cybersecurity and
enterprise risk management programs, and their performance is monitored throughout
the technology product and service life cycle")</f>
        <v>Supply chain security practices are integrated into cybersecurity and
enterprise risk management programs, and their performance is monitored throughout
the technology product and service life cycle</v>
      </c>
      <c r="B70" s="18" t="str">
        <f>IFERROR(__xludf.DUMMYFUNCTION("""COMPUTED_VALUE"""),"GV.SC-09")</f>
        <v>GV.SC-09</v>
      </c>
      <c r="C70" s="18" t="str">
        <f>IFERROR(__xludf.DUMMYFUNCTION("""COMPUTED_VALUE"""),"Not Compliant")</f>
        <v>Not Compliant</v>
      </c>
      <c r="D70" s="18" t="str">
        <f>IFERROR(__xludf.DUMMYFUNCTION("""COMPUTED_VALUE"""),"Q2")</f>
        <v>Q2</v>
      </c>
      <c r="E70" s="18">
        <f>IFERROR(__xludf.DUMMYFUNCTION("""COMPUTED_VALUE"""),4.0)</f>
        <v>4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8" t="str">
        <f>IFERROR(__xludf.DUMMYFUNCTION("""COMPUTED_VALUE"""),"The organization’s technology assets are protected from environmental
threats")</f>
        <v>The organization’s technology assets are protected from environmental
threats</v>
      </c>
      <c r="B71" s="18" t="str">
        <f>IFERROR(__xludf.DUMMYFUNCTION("""COMPUTED_VALUE"""),"PR.IR-02")</f>
        <v>PR.IR-02</v>
      </c>
      <c r="C71" s="18" t="str">
        <f>IFERROR(__xludf.DUMMYFUNCTION("""COMPUTED_VALUE"""),"Partially Compliant")</f>
        <v>Partially Compliant</v>
      </c>
      <c r="D71" s="18" t="str">
        <f>IFERROR(__xludf.DUMMYFUNCTION("""COMPUTED_VALUE"""),"Q2")</f>
        <v>Q2</v>
      </c>
      <c r="E71" s="18">
        <f>IFERROR(__xludf.DUMMYFUNCTION("""COMPUTED_VALUE"""),4.0)</f>
        <v>4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8" t="str">
        <f>IFERROR(__xludf.DUMMYFUNCTION("""COMPUTED_VALUE"""),"Personnel activity and technology usage are monitored to find potentially
adverse events")</f>
        <v>Personnel activity and technology usage are monitored to find potentially
adverse events</v>
      </c>
      <c r="B72" s="18" t="str">
        <f>IFERROR(__xludf.DUMMYFUNCTION("""COMPUTED_VALUE"""),"DE.CM-03")</f>
        <v>DE.CM-03</v>
      </c>
      <c r="C72" s="18" t="str">
        <f>IFERROR(__xludf.DUMMYFUNCTION("""COMPUTED_VALUE"""),"Partially Compliant")</f>
        <v>Partially Compliant</v>
      </c>
      <c r="D72" s="18" t="str">
        <f>IFERROR(__xludf.DUMMYFUNCTION("""COMPUTED_VALUE"""),"Q2")</f>
        <v>Q2</v>
      </c>
      <c r="E72" s="18">
        <f>IFERROR(__xludf.DUMMYFUNCTION("""COMPUTED_VALUE"""),3.0)</f>
        <v>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8" t="str">
        <f>IFERROR(__xludf.DUMMYFUNCTION("""COMPUTED_VALUE"""),"Potential impacts and likelihoods of threats exploiting vulnerabilities are
identified and recorded")</f>
        <v>Potential impacts and likelihoods of threats exploiting vulnerabilities are
identified and recorded</v>
      </c>
      <c r="B73" s="18" t="str">
        <f>IFERROR(__xludf.DUMMYFUNCTION("""COMPUTED_VALUE"""),"ID.RA-04")</f>
        <v>ID.RA-04</v>
      </c>
      <c r="C73" s="18" t="str">
        <f>IFERROR(__xludf.DUMMYFUNCTION("""COMPUTED_VALUE"""),"Partially Compliant")</f>
        <v>Partially Compliant</v>
      </c>
      <c r="D73" s="18" t="str">
        <f>IFERROR(__xludf.DUMMYFUNCTION("""COMPUTED_VALUE"""),"Q2")</f>
        <v>Q2</v>
      </c>
      <c r="E73" s="18">
        <f>IFERROR(__xludf.DUMMYFUNCTION("""COMPUTED_VALUE"""),2.0)</f>
        <v>2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8" t="str">
        <f>IFERROR(__xludf.DUMMYFUNCTION("""COMPUTED_VALUE"""),"Secure software development practices are integrated, and their performance
is monitored throughout the software development life cycle")</f>
        <v>Secure software development practices are integrated, and their performance
is monitored throughout the software development life cycle</v>
      </c>
      <c r="B74" s="18" t="str">
        <f>IFERROR(__xludf.DUMMYFUNCTION("""COMPUTED_VALUE"""),"PR.PS-06")</f>
        <v>PR.PS-06</v>
      </c>
      <c r="C74" s="18" t="str">
        <f>IFERROR(__xludf.DUMMYFUNCTION("""COMPUTED_VALUE"""),"Partially Compliant")</f>
        <v>Partially Compliant</v>
      </c>
      <c r="D74" s="18" t="str">
        <f>IFERROR(__xludf.DUMMYFUNCTION("""COMPUTED_VALUE"""),"Q2")</f>
        <v>Q2</v>
      </c>
      <c r="E74" s="18">
        <f>IFERROR(__xludf.DUMMYFUNCTION("""COMPUTED_VALUE"""),2.0)</f>
        <v>2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8" t="str">
        <f>IFERROR(__xludf.DUMMYFUNCTION("""COMPUTED_VALUE"""),"Adequate resource capacity to ensure availability is maintained")</f>
        <v>Adequate resource capacity to ensure availability is maintained</v>
      </c>
      <c r="B75" s="18" t="str">
        <f>IFERROR(__xludf.DUMMYFUNCTION("""COMPUTED_VALUE"""),"PR.IR-04")</f>
        <v>PR.IR-04</v>
      </c>
      <c r="C75" s="18" t="str">
        <f>IFERROR(__xludf.DUMMYFUNCTION("""COMPUTED_VALUE"""),"Partially Compliant")</f>
        <v>Partially Compliant</v>
      </c>
      <c r="D75" s="18" t="str">
        <f>IFERROR(__xludf.DUMMYFUNCTION("""COMPUTED_VALUE"""),"Q2")</f>
        <v>Q2</v>
      </c>
      <c r="E75" s="18">
        <f>IFERROR(__xludf.DUMMYFUNCTION("""COMPUTED_VALUE"""),2.0)</f>
        <v>2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8" t="str">
        <f>IFERROR(__xludf.DUMMYFUNCTION("""COMPUTED_VALUE"""),"Representations of the organization’s authorized network communication
and internal and external network data flows are maintained")</f>
        <v>Representations of the organization’s authorized network communication
and internal and external network data flows are maintained</v>
      </c>
      <c r="B76" s="18" t="str">
        <f>IFERROR(__xludf.DUMMYFUNCTION("""COMPUTED_VALUE"""),"ID.AM-03")</f>
        <v>ID.AM-03</v>
      </c>
      <c r="C76" s="18" t="str">
        <f>IFERROR(__xludf.DUMMYFUNCTION("""COMPUTED_VALUE"""),"Not Compliant")</f>
        <v>Not Compliant</v>
      </c>
      <c r="D76" s="18" t="str">
        <f>IFERROR(__xludf.DUMMYFUNCTION("""COMPUTED_VALUE"""),"Q2")</f>
        <v>Q2</v>
      </c>
      <c r="E76" s="18">
        <f>IFERROR(__xludf.DUMMYFUNCTION("""COMPUTED_VALUE"""),1.0)</f>
        <v>1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8" t="str">
        <f>IFERROR(__xludf.DUMMYFUNCTION("""COMPUTED_VALUE"""),"The confidentiality, integrity, and availability of data-in-use are protected")</f>
        <v>The confidentiality, integrity, and availability of data-in-use are protected</v>
      </c>
      <c r="B77" s="18" t="str">
        <f>IFERROR(__xludf.DUMMYFUNCTION("""COMPUTED_VALUE"""),"PR.DS-10")</f>
        <v>PR.DS-10</v>
      </c>
      <c r="C77" s="18" t="str">
        <f>IFERROR(__xludf.DUMMYFUNCTION("""COMPUTED_VALUE"""),"Not Compliant")</f>
        <v>Not Compliant</v>
      </c>
      <c r="D77" s="18" t="str">
        <f>IFERROR(__xludf.DUMMYFUNCTION("""COMPUTED_VALUE"""),"Q2")</f>
        <v>Q2</v>
      </c>
      <c r="E77" s="18">
        <f>IFERROR(__xludf.DUMMYFUNCTION("""COMPUTED_VALUE"""),1.0)</f>
        <v>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8" t="str">
        <f>IFERROR(__xludf.DUMMYFUNCTION("""COMPUTED_VALUE"""),"Risk management objectives are established and agreed to by organizational
stakeholders")</f>
        <v>Risk management objectives are established and agreed to by organizational
stakeholders</v>
      </c>
      <c r="B78" s="18" t="str">
        <f>IFERROR(__xludf.DUMMYFUNCTION("""COMPUTED_VALUE"""),"GV.RM-01")</f>
        <v>GV.RM-01</v>
      </c>
      <c r="C78" s="18" t="str">
        <f>IFERROR(__xludf.DUMMYFUNCTION("""COMPUTED_VALUE"""),"Not Compliant")</f>
        <v>Not Compliant</v>
      </c>
      <c r="D78" s="18" t="str">
        <f>IFERROR(__xludf.DUMMYFUNCTION("""COMPUTED_VALUE"""),"Q3")</f>
        <v>Q3</v>
      </c>
      <c r="E78" s="18">
        <f>IFERROR(__xludf.DUMMYFUNCTION("""COMPUTED_VALUE"""),10.0)</f>
        <v>10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8" t="str">
        <f>IFERROR(__xludf.DUMMYFUNCTION("""COMPUTED_VALUE"""),"Improvements are identified from security tests and exercises, including those
done in coordination with suppliers and relevant third parties")</f>
        <v>Improvements are identified from security tests and exercises, including those
done in coordination with suppliers and relevant third parties</v>
      </c>
      <c r="B79" s="18" t="str">
        <f>IFERROR(__xludf.DUMMYFUNCTION("""COMPUTED_VALUE"""),"ID.IM-02")</f>
        <v>ID.IM-02</v>
      </c>
      <c r="C79" s="18" t="str">
        <f>IFERROR(__xludf.DUMMYFUNCTION("""COMPUTED_VALUE"""),"Partially Compliant")</f>
        <v>Partially Compliant</v>
      </c>
      <c r="D79" s="18" t="str">
        <f>IFERROR(__xludf.DUMMYFUNCTION("""COMPUTED_VALUE"""),"Q3")</f>
        <v>Q3</v>
      </c>
      <c r="E79" s="18">
        <f>IFERROR(__xludf.DUMMYFUNCTION("""COMPUTED_VALUE"""),9.0)</f>
        <v>9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8" t="str">
        <f>IFERROR(__xludf.DUMMYFUNCTION("""COMPUTED_VALUE"""),"Cybersecurity roles and responsibilities for suppliers, customers, and partners
are established, communicated, and coordinated internally and externally")</f>
        <v>Cybersecurity roles and responsibilities for suppliers, customers, and partners
are established, communicated, and coordinated internally and externally</v>
      </c>
      <c r="B80" s="18" t="str">
        <f>IFERROR(__xludf.DUMMYFUNCTION("""COMPUTED_VALUE"""),"GV.SC-02")</f>
        <v>GV.SC-02</v>
      </c>
      <c r="C80" s="18" t="str">
        <f>IFERROR(__xludf.DUMMYFUNCTION("""COMPUTED_VALUE"""),"Not Compliant")</f>
        <v>Not Compliant</v>
      </c>
      <c r="D80" s="18" t="str">
        <f>IFERROR(__xludf.DUMMYFUNCTION("""COMPUTED_VALUE"""),"Q3")</f>
        <v>Q3</v>
      </c>
      <c r="E80" s="18">
        <f>IFERROR(__xludf.DUMMYFUNCTION("""COMPUTED_VALUE"""),7.0)</f>
        <v>7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8" t="str">
        <f>IFERROR(__xludf.DUMMYFUNCTION("""COMPUTED_VALUE"""),"The authenticity and integrity of hardware and software are assessed prior to
acquisition and use")</f>
        <v>The authenticity and integrity of hardware and software are assessed prior to
acquisition and use</v>
      </c>
      <c r="B81" s="18" t="str">
        <f>IFERROR(__xludf.DUMMYFUNCTION("""COMPUTED_VALUE"""),"ID.RA-09")</f>
        <v>ID.RA-09</v>
      </c>
      <c r="C81" s="18" t="str">
        <f>IFERROR(__xludf.DUMMYFUNCTION("""COMPUTED_VALUE"""),"Partially Compliant")</f>
        <v>Partially Compliant</v>
      </c>
      <c r="D81" s="18" t="str">
        <f>IFERROR(__xludf.DUMMYFUNCTION("""COMPUTED_VALUE"""),"Q3")</f>
        <v>Q3</v>
      </c>
      <c r="E81" s="18">
        <f>IFERROR(__xludf.DUMMYFUNCTION("""COMPUTED_VALUE"""),6.0)</f>
        <v>6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8" t="str">
        <f>IFERROR(__xludf.DUMMYFUNCTION("""COMPUTED_VALUE"""),"Incident response plans and other cybersecurity plans that affect operations
are established, communicated, maintained, and improved")</f>
        <v>Incident response plans and other cybersecurity plans that affect operations
are established, communicated, maintained, and improved</v>
      </c>
      <c r="B82" s="18" t="str">
        <f>IFERROR(__xludf.DUMMYFUNCTION("""COMPUTED_VALUE"""),"ID.IM-04")</f>
        <v>ID.IM-04</v>
      </c>
      <c r="C82" s="18" t="str">
        <f>IFERROR(__xludf.DUMMYFUNCTION("""COMPUTED_VALUE"""),"Partially Compliant")</f>
        <v>Partially Compliant</v>
      </c>
      <c r="D82" s="18" t="str">
        <f>IFERROR(__xludf.DUMMYFUNCTION("""COMPUTED_VALUE"""),"Q3")</f>
        <v>Q3</v>
      </c>
      <c r="E82" s="18">
        <f>IFERROR(__xludf.DUMMYFUNCTION("""COMPUTED_VALUE"""),5.0)</f>
        <v>5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 t="str">
        <f>IFERROR(__xludf.DUMMYFUNCTION("""COMPUTED_VALUE"""),"Improvements are identified from evaluations")</f>
        <v>Improvements are identified from evaluations</v>
      </c>
      <c r="B83" s="18" t="str">
        <f>IFERROR(__xludf.DUMMYFUNCTION("""COMPUTED_VALUE"""),"ID.IM-01")</f>
        <v>ID.IM-01</v>
      </c>
      <c r="C83" s="18" t="str">
        <f>IFERROR(__xludf.DUMMYFUNCTION("""COMPUTED_VALUE"""),"Partially Compliant")</f>
        <v>Partially Compliant</v>
      </c>
      <c r="D83" s="18" t="str">
        <f>IFERROR(__xludf.DUMMYFUNCTION("""COMPUTED_VALUE"""),"Q3")</f>
        <v>Q3</v>
      </c>
      <c r="E83" s="18">
        <f>IFERROR(__xludf.DUMMYFUNCTION("""COMPUTED_VALUE"""),4.0)</f>
        <v>4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 t="str">
        <f>IFERROR(__xludf.DUMMYFUNCTION("""COMPUTED_VALUE"""),"Critical suppliers are assessed prior to acquisition")</f>
        <v>Critical suppliers are assessed prior to acquisition</v>
      </c>
      <c r="B84" s="18" t="str">
        <f>IFERROR(__xludf.DUMMYFUNCTION("""COMPUTED_VALUE"""),"ID.RA-10")</f>
        <v>ID.RA-10</v>
      </c>
      <c r="C84" s="18" t="str">
        <f>IFERROR(__xludf.DUMMYFUNCTION("""COMPUTED_VALUE"""),"Partially Compliant")</f>
        <v>Partially Compliant</v>
      </c>
      <c r="D84" s="18" t="str">
        <f>IFERROR(__xludf.DUMMYFUNCTION("""COMPUTED_VALUE"""),"Q3")</f>
        <v>Q3</v>
      </c>
      <c r="E84" s="18">
        <f>IFERROR(__xludf.DUMMYFUNCTION("""COMPUTED_VALUE"""),3.0)</f>
        <v>3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 t="str">
        <f>IFERROR(__xludf.DUMMYFUNCTION("""COMPUTED_VALUE"""),"Improvements are identified from execution of operational processes,
procedures, and activities")</f>
        <v>Improvements are identified from execution of operational processes,
procedures, and activities</v>
      </c>
      <c r="B85" s="18" t="str">
        <f>IFERROR(__xludf.DUMMYFUNCTION("""COMPUTED_VALUE"""),"ID.IM-03")</f>
        <v>ID.IM-03</v>
      </c>
      <c r="C85" s="18" t="str">
        <f>IFERROR(__xludf.DUMMYFUNCTION("""COMPUTED_VALUE"""),"Partially Compliant")</f>
        <v>Partially Compliant</v>
      </c>
      <c r="D85" s="18" t="str">
        <f>IFERROR(__xludf.DUMMYFUNCTION("""COMPUTED_VALUE"""),"Q3")</f>
        <v>Q3</v>
      </c>
      <c r="E85" s="18">
        <f>IFERROR(__xludf.DUMMYFUNCTION("""COMPUTED_VALUE"""),1.0)</f>
        <v>1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 t="str">
        <f>IFERROR(__xludf.DUMMYFUNCTION("""COMPUTED_VALUE"""),"Computing hardware and software, runtime environments, and their data
are monitored to find potentially adverse events")</f>
        <v>Computing hardware and software, runtime environments, and their data
are monitored to find potentially adverse events</v>
      </c>
      <c r="B86" s="18" t="str">
        <f>IFERROR(__xludf.DUMMYFUNCTION("""COMPUTED_VALUE"""),"DE.CM-09")</f>
        <v>DE.CM-09</v>
      </c>
      <c r="C86" s="18" t="str">
        <f>IFERROR(__xludf.DUMMYFUNCTION("""COMPUTED_VALUE"""),"Partially Compliant")</f>
        <v>Partially Compliant</v>
      </c>
      <c r="D86" s="18" t="str">
        <f>IFERROR(__xludf.DUMMYFUNCTION("""COMPUTED_VALUE"""),"Q3")</f>
        <v>Q3</v>
      </c>
      <c r="E86" s="18">
        <f>IFERROR(__xludf.DUMMYFUNCTION("""COMPUTED_VALUE"""),1.0)</f>
        <v>1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 t="str">
        <f>IFERROR(__xludf.DUMMYFUNCTION("""COMPUTED_VALUE"""),"Lines of communication across the organization are established for
cybersecurity risks, including risks from suppliers and other third parties")</f>
        <v>Lines of communication across the organization are established for
cybersecurity risks, including risks from suppliers and other third parties</v>
      </c>
      <c r="B87" s="18" t="str">
        <f>IFERROR(__xludf.DUMMYFUNCTION("""COMPUTED_VALUE"""),"GV.RM-05")</f>
        <v>GV.RM-05</v>
      </c>
      <c r="C87" s="18" t="str">
        <f>IFERROR(__xludf.DUMMYFUNCTION("""COMPUTED_VALUE"""),"Partially Compliant")</f>
        <v>Partially Compliant</v>
      </c>
      <c r="D87" s="18" t="str">
        <f>IFERROR(__xludf.DUMMYFUNCTION("""COMPUTED_VALUE"""),"Q4")</f>
        <v>Q4</v>
      </c>
      <c r="E87" s="18">
        <f>IFERROR(__xludf.DUMMYFUNCTION("""COMPUTED_VALUE"""),8.0)</f>
        <v>8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 t="str">
        <f>IFERROR(__xludf.DUMMYFUNCTION("""COMPUTED_VALUE"""),"Cybersecurity risk management strategy outcomes are reviewed to inform
and adjust strategy and direction")</f>
        <v>Cybersecurity risk management strategy outcomes are reviewed to inform
and adjust strategy and direction</v>
      </c>
      <c r="B88" s="18" t="str">
        <f>IFERROR(__xludf.DUMMYFUNCTION("""COMPUTED_VALUE"""),"GV.OV-01")</f>
        <v>GV.OV-01</v>
      </c>
      <c r="C88" s="18" t="str">
        <f>IFERROR(__xludf.DUMMYFUNCTION("""COMPUTED_VALUE"""),"Partially Compliant")</f>
        <v>Partially Compliant</v>
      </c>
      <c r="D88" s="18" t="str">
        <f>IFERROR(__xludf.DUMMYFUNCTION("""COMPUTED_VALUE"""),"Q4")</f>
        <v>Q4</v>
      </c>
      <c r="E88" s="18">
        <f>IFERROR(__xludf.DUMMYFUNCTION("""COMPUTED_VALUE"""),8.0)</f>
        <v>8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 t="str">
        <f>IFERROR(__xludf.DUMMYFUNCTION("""COMPUTED_VALUE"""),"Adequate resources are allocated commensurate with the cybersecurity risk
strategy, roles, responsibilities, and policies")</f>
        <v>Adequate resources are allocated commensurate with the cybersecurity risk
strategy, roles, responsibilities, and policies</v>
      </c>
      <c r="B89" s="18" t="str">
        <f>IFERROR(__xludf.DUMMYFUNCTION("""COMPUTED_VALUE"""),"GV.RR-03")</f>
        <v>GV.RR-03</v>
      </c>
      <c r="C89" s="18" t="str">
        <f>IFERROR(__xludf.DUMMYFUNCTION("""COMPUTED_VALUE"""),"Partially Compliant")</f>
        <v>Partially Compliant</v>
      </c>
      <c r="D89" s="18" t="str">
        <f>IFERROR(__xludf.DUMMYFUNCTION("""COMPUTED_VALUE"""),"Q4")</f>
        <v>Q4</v>
      </c>
      <c r="E89" s="18">
        <f>IFERROR(__xludf.DUMMYFUNCTION("""COMPUTED_VALUE"""),6.0)</f>
        <v>6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 t="str">
        <f>IFERROR(__xludf.DUMMYFUNCTION("""COMPUTED_VALUE"""),"The cybersecurity risk management strategy is reviewed and adjusted to
ensure coverage of organizational requirements and risks")</f>
        <v>The cybersecurity risk management strategy is reviewed and adjusted to
ensure coverage of organizational requirements and risks</v>
      </c>
      <c r="B90" s="18" t="str">
        <f>IFERROR(__xludf.DUMMYFUNCTION("""COMPUTED_VALUE"""),"GV.OV-02")</f>
        <v>GV.OV-02</v>
      </c>
      <c r="C90" s="18" t="str">
        <f>IFERROR(__xludf.DUMMYFUNCTION("""COMPUTED_VALUE"""),"Partially Compliant")</f>
        <v>Partially Compliant</v>
      </c>
      <c r="D90" s="18" t="str">
        <f>IFERROR(__xludf.DUMMYFUNCTION("""COMPUTED_VALUE"""),"Q4")</f>
        <v>Q4</v>
      </c>
      <c r="E90" s="18">
        <f>IFERROR(__xludf.DUMMYFUNCTION("""COMPUTED_VALUE"""),4.0)</f>
        <v>4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 t="str">
        <f>IFERROR(__xludf.DUMMYFUNCTION("""COMPUTED_VALUE"""),"A standardized method for calculating, documenting, categorizing, and
prioritizing cybersecurity risks is established and communicated")</f>
        <v>A standardized method for calculating, documenting, categorizing, and
prioritizing cybersecurity risks is established and communicated</v>
      </c>
      <c r="B91" s="18" t="str">
        <f>IFERROR(__xludf.DUMMYFUNCTION("""COMPUTED_VALUE"""),"GV.RM-06")</f>
        <v>GV.RM-06</v>
      </c>
      <c r="C91" s="18" t="str">
        <f>IFERROR(__xludf.DUMMYFUNCTION("""COMPUTED_VALUE"""),"Partially Compliant")</f>
        <v>Partially Compliant</v>
      </c>
      <c r="D91" s="18" t="str">
        <f>IFERROR(__xludf.DUMMYFUNCTION("""COMPUTED_VALUE"""),"Q4")</f>
        <v>Q4</v>
      </c>
      <c r="E91" s="18">
        <f>IFERROR(__xludf.DUMMYFUNCTION("""COMPUTED_VALUE"""),3.0)</f>
        <v>3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 t="str">
        <f>IFERROR(__xludf.DUMMYFUNCTION("""COMPUTED_VALUE"""),"Policy for managing cybersecurity risks is reviewed, updated, communicated,
and enforced to reflect changes in requirements, threats, technology, and
organizational mission")</f>
        <v>Policy for managing cybersecurity risks is reviewed, updated, communicated,
and enforced to reflect changes in requirements, threats, technology, and
organizational mission</v>
      </c>
      <c r="B92" s="18" t="str">
        <f>IFERROR(__xludf.DUMMYFUNCTION("""COMPUTED_VALUE"""),"GV.PO-02")</f>
        <v>GV.PO-02</v>
      </c>
      <c r="C92" s="18" t="str">
        <f>IFERROR(__xludf.DUMMYFUNCTION("""COMPUTED_VALUE"""),"Not Compliant")</f>
        <v>Not Compliant</v>
      </c>
      <c r="D92" s="18" t="str">
        <f>IFERROR(__xludf.DUMMYFUNCTION("""COMPUTED_VALUE"""),"Q4")</f>
        <v>Q4</v>
      </c>
      <c r="E92" s="18">
        <f>IFERROR(__xludf.DUMMYFUNCTION("""COMPUTED_VALUE"""),2.0)</f>
        <v>2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 t="str">
        <f>IFERROR(__xludf.DUMMYFUNCTION("""COMPUTED_VALUE"""),"Organizational leadership is responsible and accountable for cybersecurity
risk and fosters a culture that is risk-aware, ethical, and continually improving")</f>
        <v>Organizational leadership is responsible and accountable for cybersecurity
risk and fosters a culture that is risk-aware, ethical, and continually improving</v>
      </c>
      <c r="B93" s="18" t="str">
        <f>IFERROR(__xludf.DUMMYFUNCTION("""COMPUTED_VALUE"""),"GV.RR-01")</f>
        <v>GV.RR-01</v>
      </c>
      <c r="C93" s="18" t="str">
        <f>IFERROR(__xludf.DUMMYFUNCTION("""COMPUTED_VALUE"""),"Not Compliant")</f>
        <v>Not Compliant</v>
      </c>
      <c r="D93" s="18" t="str">
        <f>IFERROR(__xludf.DUMMYFUNCTION("""COMPUTED_VALUE"""),"Q4")</f>
        <v>Q4</v>
      </c>
      <c r="E93" s="18">
        <f>IFERROR(__xludf.DUMMYFUNCTION("""COMPUTED_VALUE"""),1.0)</f>
        <v>1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</sheetData>
  <mergeCells count="2">
    <mergeCell ref="A1:I1"/>
    <mergeCell ref="I26:I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45.13"/>
    <col customWidth="1" min="3" max="3" width="18.88"/>
    <col customWidth="1" min="4" max="4" width="27.25"/>
    <col customWidth="1" min="5" max="5" width="22.5"/>
    <col customWidth="1" min="6" max="6" width="16.63"/>
    <col customWidth="1" min="7" max="7" width="17.63"/>
  </cols>
  <sheetData>
    <row r="1">
      <c r="A1" s="19" t="s">
        <v>21</v>
      </c>
      <c r="B1" s="19" t="s">
        <v>9</v>
      </c>
      <c r="C1" s="19" t="s">
        <v>22</v>
      </c>
      <c r="D1" s="19" t="s">
        <v>23</v>
      </c>
      <c r="E1" s="19" t="s">
        <v>22</v>
      </c>
      <c r="F1" s="19" t="s">
        <v>24</v>
      </c>
      <c r="G1" s="19" t="s">
        <v>7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</row>
    <row r="2">
      <c r="A2" s="20" t="str">
        <f>"Govern (GV) (" &amp; 
(COUNTIF($F2:$F32, "Compliant") + COUNTIF($F2:$F32, "Partially Compliant")*0.5) &amp; 
"/" &amp; 
(COUNTA($F2:$F32) - COUNTIF($F2:$F32, "N/A")) &amp; 
")"</f>
        <v>Govern (GV) (17/27)</v>
      </c>
      <c r="B2" s="21" t="str">
        <f>"Organizational Context (" &amp; 
(COUNTIF($F2:$F6, "Compliant") + COUNTIF($F2:$F6, "Partially Compliant")*0.5) &amp; 
"/" &amp; 
(COUNTA($F2:$F6) - COUNTIF($F2:$F6, "N/A")) &amp; 
")"</f>
        <v>Organizational Context (2,5/4)</v>
      </c>
      <c r="C2" s="21" t="s">
        <v>31</v>
      </c>
      <c r="D2" s="21" t="s">
        <v>32</v>
      </c>
      <c r="E2" s="21" t="s">
        <v>33</v>
      </c>
      <c r="F2" s="22" t="s">
        <v>34</v>
      </c>
      <c r="G2" s="22" t="s">
        <v>11</v>
      </c>
      <c r="J2" s="11">
        <v>7.0</v>
      </c>
      <c r="K2" s="10"/>
      <c r="L2" s="10"/>
    </row>
    <row r="3">
      <c r="A3" s="23"/>
      <c r="B3" s="21"/>
      <c r="C3" s="21"/>
      <c r="D3" s="21" t="s">
        <v>35</v>
      </c>
      <c r="E3" s="21" t="s">
        <v>36</v>
      </c>
      <c r="F3" s="22" t="s">
        <v>4</v>
      </c>
      <c r="G3" s="22" t="s">
        <v>10</v>
      </c>
      <c r="J3" s="11">
        <v>3.0</v>
      </c>
      <c r="K3" s="10"/>
      <c r="L3" s="10"/>
    </row>
    <row r="4">
      <c r="A4" s="23"/>
      <c r="B4" s="21"/>
      <c r="C4" s="21"/>
      <c r="D4" s="21" t="s">
        <v>37</v>
      </c>
      <c r="E4" s="21" t="s">
        <v>38</v>
      </c>
      <c r="F4" s="22" t="s">
        <v>3</v>
      </c>
      <c r="G4" s="22" t="s">
        <v>10</v>
      </c>
      <c r="J4" s="11">
        <v>6.0</v>
      </c>
      <c r="K4" s="10"/>
      <c r="L4" s="10"/>
    </row>
    <row r="5">
      <c r="A5" s="23"/>
      <c r="B5" s="21"/>
      <c r="C5" s="21"/>
      <c r="D5" s="21" t="s">
        <v>39</v>
      </c>
      <c r="E5" s="21" t="s">
        <v>40</v>
      </c>
      <c r="F5" s="22" t="s">
        <v>3</v>
      </c>
      <c r="G5" s="22" t="s">
        <v>10</v>
      </c>
      <c r="J5" s="11">
        <v>1.0</v>
      </c>
      <c r="K5" s="10"/>
      <c r="L5" s="10"/>
    </row>
    <row r="6">
      <c r="A6" s="23"/>
      <c r="B6" s="21"/>
      <c r="C6" s="21"/>
      <c r="D6" s="21" t="s">
        <v>41</v>
      </c>
      <c r="E6" s="21" t="s">
        <v>42</v>
      </c>
      <c r="F6" s="22" t="s">
        <v>5</v>
      </c>
      <c r="G6" s="22" t="s">
        <v>10</v>
      </c>
      <c r="J6" s="11">
        <v>5.0</v>
      </c>
      <c r="K6" s="10"/>
      <c r="L6" s="10"/>
    </row>
    <row r="7">
      <c r="A7" s="23"/>
      <c r="B7" s="21" t="str">
        <f>"Risk Management Strategy (" &amp; 
(COUNTIF($F7:$F13, "Compliant") + COUNTIF($F7:$F13, "Partially Compliant")*0.5) &amp; 
"/" &amp; 
(COUNTA($F7:$F13) - COUNTIF($F7:$F13, "N/A")) &amp; 
")"</f>
        <v>Risk Management Strategy (4/6)</v>
      </c>
      <c r="C7" s="21" t="s">
        <v>43</v>
      </c>
      <c r="D7" s="21" t="s">
        <v>44</v>
      </c>
      <c r="E7" s="21" t="s">
        <v>45</v>
      </c>
      <c r="F7" s="22" t="s">
        <v>4</v>
      </c>
      <c r="G7" s="22" t="s">
        <v>12</v>
      </c>
      <c r="J7" s="11">
        <v>10.0</v>
      </c>
      <c r="K7" s="10"/>
      <c r="L7" s="10"/>
    </row>
    <row r="8">
      <c r="A8" s="23"/>
      <c r="B8" s="21"/>
      <c r="C8" s="21"/>
      <c r="D8" s="21" t="s">
        <v>46</v>
      </c>
      <c r="E8" s="21" t="s">
        <v>47</v>
      </c>
      <c r="F8" s="22" t="s">
        <v>3</v>
      </c>
      <c r="G8" s="22" t="s">
        <v>12</v>
      </c>
      <c r="J8" s="11">
        <v>2.0</v>
      </c>
      <c r="K8" s="10"/>
      <c r="L8" s="10"/>
    </row>
    <row r="9">
      <c r="A9" s="23"/>
      <c r="B9" s="21"/>
      <c r="C9" s="21"/>
      <c r="D9" s="21" t="s">
        <v>48</v>
      </c>
      <c r="E9" s="21" t="s">
        <v>49</v>
      </c>
      <c r="F9" s="22" t="s">
        <v>3</v>
      </c>
      <c r="G9" s="22" t="s">
        <v>12</v>
      </c>
      <c r="J9" s="11">
        <v>9.0</v>
      </c>
      <c r="K9" s="10"/>
      <c r="L9" s="10"/>
    </row>
    <row r="10">
      <c r="A10" s="23"/>
      <c r="B10" s="21"/>
      <c r="C10" s="21"/>
      <c r="D10" s="21" t="s">
        <v>50</v>
      </c>
      <c r="E10" s="21" t="s">
        <v>51</v>
      </c>
      <c r="F10" s="22" t="s">
        <v>3</v>
      </c>
      <c r="G10" s="22" t="s">
        <v>12</v>
      </c>
      <c r="J10" s="11">
        <v>4.0</v>
      </c>
      <c r="K10" s="10"/>
      <c r="L10" s="10"/>
    </row>
    <row r="11">
      <c r="A11" s="23"/>
      <c r="B11" s="21"/>
      <c r="C11" s="21"/>
      <c r="D11" s="21" t="s">
        <v>52</v>
      </c>
      <c r="E11" s="21" t="s">
        <v>53</v>
      </c>
      <c r="F11" s="22" t="s">
        <v>5</v>
      </c>
      <c r="G11" s="22" t="s">
        <v>13</v>
      </c>
      <c r="J11" s="11">
        <v>8.0</v>
      </c>
      <c r="K11" s="10"/>
      <c r="L11" s="10"/>
    </row>
    <row r="12">
      <c r="A12" s="23"/>
      <c r="B12" s="21"/>
      <c r="C12" s="21"/>
      <c r="D12" s="21" t="s">
        <v>54</v>
      </c>
      <c r="E12" s="21" t="s">
        <v>55</v>
      </c>
      <c r="F12" s="22" t="s">
        <v>5</v>
      </c>
      <c r="G12" s="22" t="s">
        <v>13</v>
      </c>
      <c r="J12" s="11">
        <v>3.0</v>
      </c>
      <c r="K12" s="10"/>
      <c r="L12" s="10"/>
    </row>
    <row r="13">
      <c r="A13" s="23"/>
      <c r="B13" s="21"/>
      <c r="C13" s="21"/>
      <c r="D13" s="21" t="s">
        <v>56</v>
      </c>
      <c r="E13" s="21" t="s">
        <v>57</v>
      </c>
      <c r="F13" s="22" t="s">
        <v>34</v>
      </c>
      <c r="G13" s="22" t="s">
        <v>13</v>
      </c>
      <c r="J13" s="11">
        <v>5.0</v>
      </c>
      <c r="K13" s="10"/>
      <c r="L13" s="10"/>
    </row>
    <row r="14">
      <c r="A14" s="23"/>
      <c r="B14" s="21" t="str">
        <f>"Roles, Responsibilities, and Authorities (" &amp; 
(COUNTIF($F14:$F17, "Compliant") + COUNTIF($F14:$F17, "Partially Compliant")*0.5) &amp; 
"/" &amp; 
(COUNTA($F14:$F17) - COUNTIF($F14:$F17, "N/A")) &amp; 
")"</f>
        <v>Roles, Responsibilities, and Authorities (2,5/4)</v>
      </c>
      <c r="C14" s="21" t="s">
        <v>58</v>
      </c>
      <c r="D14" s="21" t="s">
        <v>59</v>
      </c>
      <c r="E14" s="21" t="s">
        <v>60</v>
      </c>
      <c r="F14" s="22" t="s">
        <v>4</v>
      </c>
      <c r="G14" s="22" t="s">
        <v>13</v>
      </c>
      <c r="J14" s="11">
        <v>1.0</v>
      </c>
      <c r="K14" s="10"/>
      <c r="L14" s="10"/>
    </row>
    <row r="15">
      <c r="A15" s="23"/>
      <c r="B15" s="21"/>
      <c r="C15" s="21"/>
      <c r="D15" s="21" t="s">
        <v>61</v>
      </c>
      <c r="E15" s="21" t="s">
        <v>62</v>
      </c>
      <c r="F15" s="22" t="s">
        <v>3</v>
      </c>
      <c r="G15" s="22" t="s">
        <v>13</v>
      </c>
      <c r="J15" s="11">
        <v>7.0</v>
      </c>
      <c r="K15" s="10"/>
      <c r="L15" s="10"/>
    </row>
    <row r="16">
      <c r="A16" s="23"/>
      <c r="B16" s="21"/>
      <c r="C16" s="21"/>
      <c r="D16" s="21" t="s">
        <v>63</v>
      </c>
      <c r="E16" s="21" t="s">
        <v>64</v>
      </c>
      <c r="F16" s="22" t="s">
        <v>5</v>
      </c>
      <c r="G16" s="22" t="s">
        <v>13</v>
      </c>
      <c r="J16" s="11">
        <v>6.0</v>
      </c>
      <c r="K16" s="10"/>
      <c r="L16" s="10"/>
    </row>
    <row r="17">
      <c r="A17" s="23"/>
      <c r="B17" s="21"/>
      <c r="C17" s="21"/>
      <c r="D17" s="21" t="s">
        <v>65</v>
      </c>
      <c r="E17" s="21" t="s">
        <v>66</v>
      </c>
      <c r="F17" s="22" t="s">
        <v>3</v>
      </c>
      <c r="G17" s="22" t="s">
        <v>13</v>
      </c>
      <c r="J17" s="11">
        <v>9.0</v>
      </c>
      <c r="K17" s="10"/>
      <c r="L17" s="10"/>
    </row>
    <row r="18">
      <c r="A18" s="23"/>
      <c r="B18" s="21" t="str">
        <f>"Policy (" &amp; 
(COUNTIF($F18:$F19, "Compliant") + COUNTIF($F18:$F19, "Partially Compliant")*0.5) &amp; 
"/" &amp; 
(COUNTA($F18:$F19) - COUNTIF($F18:$F19, "N/A")) &amp; 
")"</f>
        <v>Policy (1/2)</v>
      </c>
      <c r="C18" s="21" t="s">
        <v>67</v>
      </c>
      <c r="D18" s="21" t="s">
        <v>68</v>
      </c>
      <c r="E18" s="21" t="s">
        <v>69</v>
      </c>
      <c r="F18" s="22" t="s">
        <v>3</v>
      </c>
      <c r="G18" s="22" t="s">
        <v>13</v>
      </c>
      <c r="J18" s="11">
        <v>10.0</v>
      </c>
      <c r="K18" s="10"/>
      <c r="L18" s="10"/>
    </row>
    <row r="19">
      <c r="A19" s="23"/>
      <c r="B19" s="21"/>
      <c r="C19" s="21"/>
      <c r="D19" s="21" t="s">
        <v>70</v>
      </c>
      <c r="E19" s="21" t="s">
        <v>71</v>
      </c>
      <c r="F19" s="22" t="s">
        <v>4</v>
      </c>
      <c r="G19" s="22" t="s">
        <v>13</v>
      </c>
      <c r="J19" s="11">
        <v>2.0</v>
      </c>
      <c r="K19" s="10"/>
      <c r="L19" s="10"/>
    </row>
    <row r="20">
      <c r="A20" s="23"/>
      <c r="B20" s="21" t="str">
        <f>"Oversight (" &amp; 
(COUNTIF($F20:$F22, "Compliant") + COUNTIF($F20:$F22, "Partially Compliant")*0.5) &amp; 
"/" &amp; 
(COUNTA($F20:$F22) - COUNTIF($F20:$F22, "N/A")) &amp; 
")"</f>
        <v>Oversight (1/2)</v>
      </c>
      <c r="C20" s="21" t="s">
        <v>72</v>
      </c>
      <c r="D20" s="21" t="s">
        <v>73</v>
      </c>
      <c r="E20" s="21" t="s">
        <v>74</v>
      </c>
      <c r="F20" s="22" t="s">
        <v>5</v>
      </c>
      <c r="G20" s="22" t="s">
        <v>13</v>
      </c>
      <c r="J20" s="11">
        <v>8.0</v>
      </c>
      <c r="K20" s="10"/>
      <c r="L20" s="10"/>
    </row>
    <row r="21">
      <c r="A21" s="23"/>
      <c r="B21" s="21"/>
      <c r="C21" s="24"/>
      <c r="D21" s="24" t="s">
        <v>75</v>
      </c>
      <c r="E21" s="21" t="s">
        <v>76</v>
      </c>
      <c r="F21" s="22" t="s">
        <v>5</v>
      </c>
      <c r="G21" s="22" t="s">
        <v>13</v>
      </c>
      <c r="J21" s="11">
        <v>4.0</v>
      </c>
      <c r="K21" s="10"/>
      <c r="L21" s="10"/>
    </row>
    <row r="22">
      <c r="A22" s="23"/>
      <c r="B22" s="21"/>
      <c r="C22" s="24"/>
      <c r="D22" s="24" t="s">
        <v>77</v>
      </c>
      <c r="E22" s="21" t="s">
        <v>78</v>
      </c>
      <c r="F22" s="22" t="s">
        <v>34</v>
      </c>
      <c r="G22" s="22" t="s">
        <v>13</v>
      </c>
      <c r="J22" s="11">
        <v>6.0</v>
      </c>
      <c r="K22" s="10"/>
      <c r="L22" s="10"/>
    </row>
    <row r="23">
      <c r="A23" s="23"/>
      <c r="B23" s="21" t="str">
        <f>"Cybersecurity Supply Chain Risk Management (" &amp; 
(COUNTIF($F23:$F32, "Compliant") + COUNTIF($F23:$F32, "Partially Compliant")*0.5) &amp; 
"/" &amp; 
(COUNTA($F23:$F32) - COUNTIF($F23:$F32, "N/A")) &amp; 
")"</f>
        <v>Cybersecurity Supply Chain Risk Management (6/9)</v>
      </c>
      <c r="C23" s="24" t="s">
        <v>79</v>
      </c>
      <c r="D23" s="24" t="s">
        <v>80</v>
      </c>
      <c r="E23" s="24" t="s">
        <v>81</v>
      </c>
      <c r="F23" s="22" t="s">
        <v>34</v>
      </c>
      <c r="G23" s="22" t="s">
        <v>13</v>
      </c>
      <c r="J23" s="11">
        <v>3.0</v>
      </c>
      <c r="K23" s="10"/>
      <c r="L23" s="10"/>
    </row>
    <row r="24">
      <c r="A24" s="23"/>
      <c r="B24" s="21"/>
      <c r="C24" s="24"/>
      <c r="D24" s="24" t="s">
        <v>82</v>
      </c>
      <c r="E24" s="24" t="s">
        <v>83</v>
      </c>
      <c r="F24" s="22" t="s">
        <v>4</v>
      </c>
      <c r="G24" s="22" t="s">
        <v>12</v>
      </c>
      <c r="J24" s="11">
        <v>7.0</v>
      </c>
      <c r="K24" s="10"/>
      <c r="L24" s="10"/>
    </row>
    <row r="25">
      <c r="A25" s="23"/>
      <c r="B25" s="21"/>
      <c r="C25" s="24"/>
      <c r="D25" s="24" t="s">
        <v>84</v>
      </c>
      <c r="E25" s="24" t="s">
        <v>85</v>
      </c>
      <c r="F25" s="22" t="s">
        <v>3</v>
      </c>
      <c r="G25" s="22" t="s">
        <v>12</v>
      </c>
      <c r="J25" s="11">
        <v>10.0</v>
      </c>
      <c r="K25" s="10"/>
      <c r="L25" s="10"/>
    </row>
    <row r="26">
      <c r="A26" s="23"/>
      <c r="B26" s="21"/>
      <c r="C26" s="24"/>
      <c r="D26" s="24" t="s">
        <v>86</v>
      </c>
      <c r="E26" s="24" t="s">
        <v>87</v>
      </c>
      <c r="F26" s="22" t="s">
        <v>3</v>
      </c>
      <c r="G26" s="22" t="s">
        <v>10</v>
      </c>
      <c r="J26" s="11">
        <v>1.0</v>
      </c>
      <c r="K26" s="10"/>
      <c r="L26" s="10"/>
    </row>
    <row r="27">
      <c r="A27" s="23"/>
      <c r="B27" s="21"/>
      <c r="C27" s="24"/>
      <c r="D27" s="24" t="s">
        <v>88</v>
      </c>
      <c r="E27" s="24" t="s">
        <v>89</v>
      </c>
      <c r="F27" s="22" t="s">
        <v>3</v>
      </c>
      <c r="G27" s="22" t="s">
        <v>11</v>
      </c>
      <c r="J27" s="11">
        <v>5.0</v>
      </c>
      <c r="K27" s="10"/>
      <c r="L27" s="10"/>
    </row>
    <row r="28">
      <c r="A28" s="23"/>
      <c r="B28" s="21"/>
      <c r="C28" s="24"/>
      <c r="D28" s="24" t="s">
        <v>90</v>
      </c>
      <c r="E28" s="24" t="s">
        <v>91</v>
      </c>
      <c r="F28" s="22" t="s">
        <v>3</v>
      </c>
      <c r="G28" s="22" t="s">
        <v>11</v>
      </c>
      <c r="J28" s="11">
        <v>2.0</v>
      </c>
      <c r="K28" s="10"/>
      <c r="L28" s="10"/>
    </row>
    <row r="29">
      <c r="A29" s="23"/>
      <c r="B29" s="21"/>
      <c r="C29" s="24"/>
      <c r="D29" s="24" t="s">
        <v>92</v>
      </c>
      <c r="E29" s="24" t="s">
        <v>93</v>
      </c>
      <c r="F29" s="22" t="s">
        <v>3</v>
      </c>
      <c r="G29" s="22" t="s">
        <v>11</v>
      </c>
      <c r="J29" s="11">
        <v>9.0</v>
      </c>
      <c r="K29" s="10"/>
      <c r="L29" s="10"/>
    </row>
    <row r="30">
      <c r="A30" s="23"/>
      <c r="B30" s="21"/>
      <c r="C30" s="24"/>
      <c r="D30" s="24" t="s">
        <v>94</v>
      </c>
      <c r="E30" s="24" t="s">
        <v>95</v>
      </c>
      <c r="F30" s="22" t="s">
        <v>3</v>
      </c>
      <c r="G30" s="22" t="s">
        <v>11</v>
      </c>
      <c r="J30" s="11">
        <v>8.0</v>
      </c>
      <c r="K30" s="10"/>
      <c r="L30" s="10"/>
    </row>
    <row r="31">
      <c r="A31" s="23"/>
      <c r="B31" s="21"/>
      <c r="C31" s="24"/>
      <c r="D31" s="24" t="s">
        <v>96</v>
      </c>
      <c r="E31" s="24" t="s">
        <v>97</v>
      </c>
      <c r="F31" s="22" t="s">
        <v>4</v>
      </c>
      <c r="G31" s="22" t="s">
        <v>11</v>
      </c>
      <c r="J31" s="11">
        <v>4.0</v>
      </c>
      <c r="K31" s="10"/>
      <c r="L31" s="10"/>
    </row>
    <row r="32">
      <c r="A32" s="23"/>
      <c r="B32" s="21"/>
      <c r="C32" s="24"/>
      <c r="D32" s="24" t="s">
        <v>98</v>
      </c>
      <c r="E32" s="24" t="s">
        <v>99</v>
      </c>
      <c r="F32" s="22" t="s">
        <v>4</v>
      </c>
      <c r="G32" s="22" t="s">
        <v>11</v>
      </c>
      <c r="J32" s="11">
        <v>7.0</v>
      </c>
      <c r="K32" s="10"/>
      <c r="L32" s="10"/>
    </row>
    <row r="33">
      <c r="A33" s="25" t="str">
        <f>"Identify (ID) (" &amp; 
(COUNTIF($F33:$F53, "Compliant") + COUNTIF($F33:$F53, "Partially Compliant")*0.5) &amp; 
"/" &amp; 
(COUNTA($F33:$F53) - COUNTIF($F33:$F53, "N/A")) &amp; 
")"</f>
        <v>Identify (ID) (6/15)</v>
      </c>
      <c r="B33" s="26" t="str">
        <f>"Asset Management (" &amp; 
(COUNTIF($F33:$F39, "Compliant") + COUNTIF($F33:$F39, "Partially Compliant")*0.5) &amp; 
"/" &amp; 
(COUNTA($F33:$F39) - COUNTIF($F33:$F39, "N/A")) &amp; 
")"</f>
        <v>Asset Management (0/3)</v>
      </c>
      <c r="C33" s="27" t="s">
        <v>100</v>
      </c>
      <c r="D33" s="27" t="s">
        <v>101</v>
      </c>
      <c r="E33" s="27" t="s">
        <v>102</v>
      </c>
      <c r="F33" s="22" t="s">
        <v>4</v>
      </c>
      <c r="G33" s="22" t="s">
        <v>11</v>
      </c>
      <c r="J33" s="11">
        <v>10.0</v>
      </c>
      <c r="K33" s="10"/>
      <c r="L33" s="10"/>
    </row>
    <row r="34">
      <c r="A34" s="28"/>
      <c r="B34" s="26"/>
      <c r="C34" s="27"/>
      <c r="D34" s="27" t="s">
        <v>103</v>
      </c>
      <c r="E34" s="27" t="s">
        <v>104</v>
      </c>
      <c r="F34" s="22" t="s">
        <v>4</v>
      </c>
      <c r="G34" s="22" t="s">
        <v>11</v>
      </c>
      <c r="J34" s="11">
        <v>6.0</v>
      </c>
      <c r="K34" s="10"/>
      <c r="L34" s="10"/>
    </row>
    <row r="35">
      <c r="A35" s="28"/>
      <c r="B35" s="26"/>
      <c r="C35" s="27"/>
      <c r="D35" s="27" t="s">
        <v>105</v>
      </c>
      <c r="E35" s="27" t="s">
        <v>106</v>
      </c>
      <c r="F35" s="22" t="s">
        <v>4</v>
      </c>
      <c r="G35" s="22" t="s">
        <v>11</v>
      </c>
      <c r="J35" s="11">
        <v>1.0</v>
      </c>
      <c r="K35" s="10"/>
      <c r="L35" s="10"/>
    </row>
    <row r="36">
      <c r="A36" s="28"/>
      <c r="B36" s="26"/>
      <c r="C36" s="27"/>
      <c r="D36" s="27" t="s">
        <v>107</v>
      </c>
      <c r="E36" s="27" t="s">
        <v>108</v>
      </c>
      <c r="F36" s="22" t="s">
        <v>34</v>
      </c>
      <c r="G36" s="22" t="s">
        <v>11</v>
      </c>
      <c r="J36" s="11">
        <v>3.0</v>
      </c>
      <c r="K36" s="10"/>
      <c r="L36" s="10"/>
    </row>
    <row r="37">
      <c r="A37" s="28"/>
      <c r="B37" s="26"/>
      <c r="C37" s="27"/>
      <c r="D37" s="27" t="s">
        <v>109</v>
      </c>
      <c r="E37" s="27" t="s">
        <v>110</v>
      </c>
      <c r="F37" s="22" t="s">
        <v>34</v>
      </c>
      <c r="G37" s="22" t="s">
        <v>11</v>
      </c>
      <c r="J37" s="11">
        <v>5.0</v>
      </c>
      <c r="K37" s="10"/>
      <c r="L37" s="10"/>
    </row>
    <row r="38">
      <c r="A38" s="28"/>
      <c r="B38" s="26"/>
      <c r="C38" s="27"/>
      <c r="D38" s="27" t="s">
        <v>111</v>
      </c>
      <c r="E38" s="27" t="s">
        <v>112</v>
      </c>
      <c r="F38" s="22" t="s">
        <v>34</v>
      </c>
      <c r="G38" s="22" t="s">
        <v>11</v>
      </c>
      <c r="J38" s="11">
        <v>2.0</v>
      </c>
      <c r="K38" s="10"/>
      <c r="L38" s="10"/>
    </row>
    <row r="39">
      <c r="A39" s="28"/>
      <c r="B39" s="26"/>
      <c r="C39" s="27"/>
      <c r="D39" s="27" t="s">
        <v>113</v>
      </c>
      <c r="E39" s="27" t="s">
        <v>114</v>
      </c>
      <c r="F39" s="22" t="s">
        <v>34</v>
      </c>
      <c r="G39" s="22" t="s">
        <v>11</v>
      </c>
      <c r="J39" s="11">
        <v>9.0</v>
      </c>
      <c r="K39" s="10"/>
      <c r="L39" s="10"/>
    </row>
    <row r="40">
      <c r="A40" s="28"/>
      <c r="B40" s="26" t="str">
        <f>"Risk Assessment (" &amp; 
(COUNTIF($F40:$F49, "Compliant") + COUNTIF($F40:$F49, "Partially Compliant")*0.5) &amp; 
"/" &amp; 
(COUNTA($F40:$F49) - COUNTIF($F40:$F49, "N/A")) &amp; 
")"</f>
        <v>Risk Assessment (4/8)</v>
      </c>
      <c r="C40" s="27" t="s">
        <v>115</v>
      </c>
      <c r="D40" s="27" t="s">
        <v>116</v>
      </c>
      <c r="E40" s="27" t="s">
        <v>117</v>
      </c>
      <c r="F40" s="22" t="s">
        <v>34</v>
      </c>
      <c r="G40" s="22" t="s">
        <v>11</v>
      </c>
      <c r="J40" s="11">
        <v>8.0</v>
      </c>
      <c r="K40" s="10"/>
      <c r="L40" s="10"/>
    </row>
    <row r="41">
      <c r="A41" s="28"/>
      <c r="B41" s="26"/>
      <c r="C41" s="27"/>
      <c r="D41" s="27" t="s">
        <v>118</v>
      </c>
      <c r="E41" s="27" t="s">
        <v>119</v>
      </c>
      <c r="F41" s="22" t="s">
        <v>34</v>
      </c>
      <c r="G41" s="22" t="s">
        <v>11</v>
      </c>
      <c r="J41" s="11">
        <v>4.0</v>
      </c>
      <c r="K41" s="10"/>
      <c r="L41" s="10"/>
    </row>
    <row r="42">
      <c r="A42" s="28"/>
      <c r="B42" s="26"/>
      <c r="C42" s="27"/>
      <c r="D42" s="27" t="s">
        <v>120</v>
      </c>
      <c r="E42" s="27" t="s">
        <v>121</v>
      </c>
      <c r="F42" s="22" t="s">
        <v>5</v>
      </c>
      <c r="G42" s="22" t="s">
        <v>11</v>
      </c>
      <c r="J42" s="11">
        <v>10.0</v>
      </c>
      <c r="K42" s="10"/>
      <c r="L42" s="10"/>
    </row>
    <row r="43">
      <c r="A43" s="28"/>
      <c r="B43" s="26"/>
      <c r="C43" s="27"/>
      <c r="D43" s="27" t="s">
        <v>122</v>
      </c>
      <c r="E43" s="27" t="s">
        <v>123</v>
      </c>
      <c r="F43" s="22" t="s">
        <v>5</v>
      </c>
      <c r="G43" s="22" t="s">
        <v>11</v>
      </c>
      <c r="J43" s="11">
        <v>2.0</v>
      </c>
      <c r="K43" s="10"/>
      <c r="L43" s="10"/>
    </row>
    <row r="44">
      <c r="A44" s="28"/>
      <c r="B44" s="26"/>
      <c r="C44" s="27"/>
      <c r="D44" s="27" t="s">
        <v>124</v>
      </c>
      <c r="E44" s="27" t="s">
        <v>125</v>
      </c>
      <c r="F44" s="22" t="s">
        <v>5</v>
      </c>
      <c r="G44" s="22" t="s">
        <v>10</v>
      </c>
      <c r="J44" s="11">
        <v>5.0</v>
      </c>
      <c r="K44" s="10"/>
      <c r="L44" s="10"/>
    </row>
    <row r="45">
      <c r="A45" s="28"/>
      <c r="B45" s="26"/>
      <c r="C45" s="27"/>
      <c r="D45" s="27" t="s">
        <v>126</v>
      </c>
      <c r="E45" s="27" t="s">
        <v>127</v>
      </c>
      <c r="F45" s="22" t="s">
        <v>5</v>
      </c>
      <c r="G45" s="22" t="s">
        <v>10</v>
      </c>
      <c r="J45" s="11">
        <v>8.0</v>
      </c>
      <c r="K45" s="10"/>
      <c r="L45" s="10"/>
    </row>
    <row r="46">
      <c r="A46" s="28"/>
      <c r="B46" s="26"/>
      <c r="C46" s="27"/>
      <c r="D46" s="27" t="s">
        <v>128</v>
      </c>
      <c r="E46" s="27" t="s">
        <v>129</v>
      </c>
      <c r="F46" s="22" t="s">
        <v>5</v>
      </c>
      <c r="G46" s="22" t="s">
        <v>10</v>
      </c>
      <c r="J46" s="11">
        <v>1.0</v>
      </c>
      <c r="K46" s="10"/>
      <c r="L46" s="10"/>
    </row>
    <row r="47">
      <c r="A47" s="28"/>
      <c r="B47" s="26"/>
      <c r="C47" s="27"/>
      <c r="D47" s="27" t="s">
        <v>130</v>
      </c>
      <c r="E47" s="27" t="s">
        <v>131</v>
      </c>
      <c r="F47" s="22" t="s">
        <v>5</v>
      </c>
      <c r="G47" s="22" t="s">
        <v>10</v>
      </c>
      <c r="J47" s="11">
        <v>7.0</v>
      </c>
      <c r="K47" s="10"/>
      <c r="L47" s="10"/>
    </row>
    <row r="48">
      <c r="A48" s="28"/>
      <c r="B48" s="26"/>
      <c r="C48" s="27"/>
      <c r="D48" s="27" t="s">
        <v>132</v>
      </c>
      <c r="E48" s="27" t="s">
        <v>133</v>
      </c>
      <c r="F48" s="22" t="s">
        <v>5</v>
      </c>
      <c r="G48" s="22" t="s">
        <v>12</v>
      </c>
      <c r="J48" s="11">
        <v>6.0</v>
      </c>
      <c r="K48" s="10"/>
      <c r="L48" s="10"/>
    </row>
    <row r="49">
      <c r="A49" s="28"/>
      <c r="B49" s="26"/>
      <c r="C49" s="27"/>
      <c r="D49" s="27" t="s">
        <v>134</v>
      </c>
      <c r="E49" s="27" t="s">
        <v>135</v>
      </c>
      <c r="F49" s="22" t="s">
        <v>5</v>
      </c>
      <c r="G49" s="22" t="s">
        <v>12</v>
      </c>
      <c r="J49" s="11">
        <v>3.0</v>
      </c>
      <c r="K49" s="10"/>
      <c r="L49" s="10"/>
    </row>
    <row r="50">
      <c r="A50" s="28"/>
      <c r="B50" s="26" t="str">
        <f>"Improvement (" &amp; 
(COUNTIF($F50:$F53, "Compliant") + COUNTIF($F50:$F53, "Partially Compliant")*0.5) &amp; 
"/" &amp; 
(COUNTA($F50:$F53) - COUNTIF($F50:$F53, "N/A")) &amp; 
")"</f>
        <v>Improvement (2/4)</v>
      </c>
      <c r="C50" s="27" t="s">
        <v>136</v>
      </c>
      <c r="D50" s="27" t="s">
        <v>137</v>
      </c>
      <c r="E50" s="27" t="s">
        <v>138</v>
      </c>
      <c r="F50" s="22" t="s">
        <v>5</v>
      </c>
      <c r="G50" s="22" t="s">
        <v>12</v>
      </c>
      <c r="J50" s="11">
        <v>4.0</v>
      </c>
      <c r="K50" s="10"/>
      <c r="L50" s="10"/>
    </row>
    <row r="51">
      <c r="A51" s="28"/>
      <c r="B51" s="26"/>
      <c r="C51" s="27"/>
      <c r="D51" s="27" t="s">
        <v>139</v>
      </c>
      <c r="E51" s="27" t="s">
        <v>140</v>
      </c>
      <c r="F51" s="22" t="s">
        <v>5</v>
      </c>
      <c r="G51" s="22" t="s">
        <v>12</v>
      </c>
      <c r="J51" s="11">
        <v>9.0</v>
      </c>
      <c r="K51" s="10"/>
      <c r="L51" s="10"/>
    </row>
    <row r="52">
      <c r="A52" s="28"/>
      <c r="B52" s="26"/>
      <c r="C52" s="27"/>
      <c r="D52" s="27" t="s">
        <v>141</v>
      </c>
      <c r="E52" s="27" t="s">
        <v>142</v>
      </c>
      <c r="F52" s="22" t="s">
        <v>5</v>
      </c>
      <c r="G52" s="22" t="s">
        <v>12</v>
      </c>
      <c r="J52" s="11">
        <v>1.0</v>
      </c>
      <c r="K52" s="10"/>
      <c r="L52" s="10"/>
    </row>
    <row r="53">
      <c r="A53" s="28"/>
      <c r="B53" s="26"/>
      <c r="C53" s="27"/>
      <c r="D53" s="27" t="s">
        <v>143</v>
      </c>
      <c r="E53" s="27" t="s">
        <v>144</v>
      </c>
      <c r="F53" s="22" t="s">
        <v>5</v>
      </c>
      <c r="G53" s="22" t="s">
        <v>12</v>
      </c>
      <c r="J53" s="11">
        <v>5.0</v>
      </c>
      <c r="K53" s="10"/>
      <c r="L53" s="10"/>
    </row>
    <row r="54">
      <c r="A54" s="29" t="str">
        <f>"Protect (PR) (" &amp; 
(COUNTIF($F54:$F75, "Compliant") + COUNTIF($F54:$F75, "Partially Compliant")*0.5) &amp; 
"/" &amp; 
(COUNTA($F54:$F75) - COUNTIF($F54:$F75, "N/A")) &amp; 
")"</f>
        <v>Protect (PR) (8,5/17)</v>
      </c>
      <c r="B54" s="30" t="str">
        <f>"Identity Management, Authentication, and Access Control (" &amp; 
(COUNTIF($F54:$F59, "Compliant") + COUNTIF($F54:$F59, "Partially Compliant")*0.5) &amp; 
"/" &amp; 
(COUNTA($F54:$F59) - COUNTIF($F54:$F59, "N/A")) &amp; 
")"</f>
        <v>Identity Management, Authentication, and Access Control (6/6)</v>
      </c>
      <c r="C54" s="30" t="s">
        <v>145</v>
      </c>
      <c r="D54" s="30" t="s">
        <v>146</v>
      </c>
      <c r="E54" s="30" t="s">
        <v>147</v>
      </c>
      <c r="F54" s="22" t="s">
        <v>3</v>
      </c>
      <c r="G54" s="22" t="s">
        <v>12</v>
      </c>
      <c r="J54" s="11">
        <v>10.0</v>
      </c>
      <c r="K54" s="10"/>
      <c r="L54" s="10"/>
    </row>
    <row r="55">
      <c r="A55" s="31"/>
      <c r="B55" s="30"/>
      <c r="C55" s="32"/>
      <c r="D55" s="32" t="s">
        <v>148</v>
      </c>
      <c r="E55" s="30" t="s">
        <v>149</v>
      </c>
      <c r="F55" s="22" t="s">
        <v>3</v>
      </c>
      <c r="G55" s="22" t="s">
        <v>12</v>
      </c>
      <c r="J55" s="11">
        <v>3.0</v>
      </c>
      <c r="K55" s="10"/>
      <c r="L55" s="10"/>
    </row>
    <row r="56">
      <c r="A56" s="31"/>
      <c r="B56" s="30"/>
      <c r="C56" s="32"/>
      <c r="D56" s="32" t="s">
        <v>150</v>
      </c>
      <c r="E56" s="30" t="s">
        <v>151</v>
      </c>
      <c r="F56" s="22" t="s">
        <v>3</v>
      </c>
      <c r="G56" s="22" t="s">
        <v>10</v>
      </c>
      <c r="J56" s="11">
        <v>7.0</v>
      </c>
      <c r="K56" s="10"/>
      <c r="L56" s="10"/>
    </row>
    <row r="57">
      <c r="A57" s="31"/>
      <c r="B57" s="30"/>
      <c r="C57" s="32"/>
      <c r="D57" s="32" t="s">
        <v>152</v>
      </c>
      <c r="E57" s="30" t="s">
        <v>153</v>
      </c>
      <c r="F57" s="22" t="s">
        <v>3</v>
      </c>
      <c r="G57" s="22" t="s">
        <v>10</v>
      </c>
      <c r="J57" s="11">
        <v>2.0</v>
      </c>
      <c r="K57" s="10"/>
      <c r="L57" s="10"/>
    </row>
    <row r="58">
      <c r="A58" s="31"/>
      <c r="B58" s="30"/>
      <c r="C58" s="32"/>
      <c r="D58" s="32" t="s">
        <v>154</v>
      </c>
      <c r="E58" s="30" t="s">
        <v>155</v>
      </c>
      <c r="F58" s="22" t="s">
        <v>3</v>
      </c>
      <c r="G58" s="22" t="s">
        <v>10</v>
      </c>
      <c r="J58" s="11">
        <v>8.0</v>
      </c>
      <c r="K58" s="10"/>
      <c r="L58" s="10"/>
    </row>
    <row r="59">
      <c r="A59" s="31"/>
      <c r="B59" s="30"/>
      <c r="C59" s="32"/>
      <c r="D59" s="32" t="s">
        <v>156</v>
      </c>
      <c r="E59" s="30" t="s">
        <v>157</v>
      </c>
      <c r="F59" s="22" t="s">
        <v>3</v>
      </c>
      <c r="G59" s="22" t="s">
        <v>10</v>
      </c>
      <c r="J59" s="11">
        <v>4.0</v>
      </c>
      <c r="K59" s="10"/>
      <c r="L59" s="10"/>
    </row>
    <row r="60">
      <c r="A60" s="31"/>
      <c r="B60" s="30" t="str">
        <f>"Awareness and Training (" &amp; 
(COUNTIF($F60:$F61, "Compliant") + COUNTIF($F60:$F61, "Partially Compliant")*0.5) &amp; 
"/" &amp; 
(COUNTA($F60:$F61) - COUNTIF($F60:$F61, "N/A")) &amp; 
")"</f>
        <v>Awareness and Training (0/2)</v>
      </c>
      <c r="C60" s="32" t="s">
        <v>158</v>
      </c>
      <c r="D60" s="32" t="s">
        <v>159</v>
      </c>
      <c r="E60" s="32" t="s">
        <v>160</v>
      </c>
      <c r="F60" s="22" t="s">
        <v>4</v>
      </c>
      <c r="G60" s="22" t="s">
        <v>10</v>
      </c>
      <c r="J60" s="11">
        <v>9.0</v>
      </c>
      <c r="K60" s="10"/>
      <c r="L60" s="10"/>
    </row>
    <row r="61">
      <c r="A61" s="31"/>
      <c r="B61" s="30"/>
      <c r="C61" s="30"/>
      <c r="D61" s="30" t="s">
        <v>161</v>
      </c>
      <c r="E61" s="32" t="s">
        <v>162</v>
      </c>
      <c r="F61" s="22" t="s">
        <v>4</v>
      </c>
      <c r="G61" s="22" t="s">
        <v>11</v>
      </c>
      <c r="J61" s="11">
        <v>6.0</v>
      </c>
      <c r="K61" s="10"/>
      <c r="L61" s="10"/>
    </row>
    <row r="62">
      <c r="A62" s="31"/>
      <c r="B62" s="30" t="str">
        <f>"Data Security (" &amp; 
(COUNTIF($F62:$F65, "Compliant") + COUNTIF($F62:$F65, "Partially Compliant")*0.5) &amp; 
"/" &amp; 
(COUNTA($F62:$F65) - COUNTIF($F62:$F65, "N/A")) &amp; 
")"</f>
        <v>Data Security (0/4)</v>
      </c>
      <c r="C62" s="30" t="s">
        <v>163</v>
      </c>
      <c r="D62" s="30" t="s">
        <v>164</v>
      </c>
      <c r="E62" s="30" t="s">
        <v>165</v>
      </c>
      <c r="F62" s="22" t="s">
        <v>4</v>
      </c>
      <c r="G62" s="22" t="s">
        <v>11</v>
      </c>
      <c r="J62" s="11">
        <v>8.0</v>
      </c>
      <c r="K62" s="10"/>
      <c r="L62" s="10"/>
    </row>
    <row r="63">
      <c r="A63" s="31"/>
      <c r="B63" s="30"/>
      <c r="C63" s="32"/>
      <c r="D63" s="32" t="s">
        <v>166</v>
      </c>
      <c r="E63" s="30" t="s">
        <v>167</v>
      </c>
      <c r="F63" s="22" t="s">
        <v>4</v>
      </c>
      <c r="G63" s="22" t="s">
        <v>11</v>
      </c>
      <c r="J63" s="11">
        <v>7.0</v>
      </c>
      <c r="K63" s="10"/>
      <c r="L63" s="10"/>
    </row>
    <row r="64">
      <c r="A64" s="31"/>
      <c r="B64" s="30"/>
      <c r="C64" s="32"/>
      <c r="D64" s="32" t="s">
        <v>168</v>
      </c>
      <c r="E64" s="30" t="s">
        <v>169</v>
      </c>
      <c r="F64" s="22" t="s">
        <v>4</v>
      </c>
      <c r="G64" s="22" t="s">
        <v>11</v>
      </c>
      <c r="J64" s="11">
        <v>1.0</v>
      </c>
      <c r="K64" s="10"/>
      <c r="L64" s="10"/>
    </row>
    <row r="65">
      <c r="A65" s="31"/>
      <c r="B65" s="30"/>
      <c r="C65" s="32"/>
      <c r="D65" s="32" t="s">
        <v>170</v>
      </c>
      <c r="E65" s="30" t="s">
        <v>171</v>
      </c>
      <c r="F65" s="22" t="s">
        <v>4</v>
      </c>
      <c r="G65" s="22" t="s">
        <v>11</v>
      </c>
      <c r="J65" s="11">
        <v>5.0</v>
      </c>
      <c r="K65" s="10"/>
      <c r="L65" s="10"/>
    </row>
    <row r="66">
      <c r="A66" s="31"/>
      <c r="B66" s="30" t="str">
        <f>"Platform Security (" &amp; 
(COUNTIF($F66:$F71, "Compliant") + COUNTIF($F66:$F71, "Partially Compliant")*0.5) &amp; 
"/" &amp; 
(COUNTA($F66:$F71) - COUNTIF($F66:$F71, "N/A")) &amp; 
")"</f>
        <v>Platform Security (0,5/1)</v>
      </c>
      <c r="C66" s="32" t="s">
        <v>172</v>
      </c>
      <c r="D66" s="32" t="s">
        <v>173</v>
      </c>
      <c r="E66" s="32" t="s">
        <v>174</v>
      </c>
      <c r="F66" s="22" t="s">
        <v>34</v>
      </c>
      <c r="G66" s="22" t="s">
        <v>11</v>
      </c>
      <c r="J66" s="11">
        <v>9.0</v>
      </c>
      <c r="K66" s="10"/>
      <c r="L66" s="10"/>
    </row>
    <row r="67">
      <c r="A67" s="31"/>
      <c r="B67" s="30"/>
      <c r="C67" s="32"/>
      <c r="D67" s="32" t="s">
        <v>175</v>
      </c>
      <c r="E67" s="32" t="s">
        <v>176</v>
      </c>
      <c r="F67" s="22" t="s">
        <v>34</v>
      </c>
      <c r="G67" s="22" t="s">
        <v>11</v>
      </c>
      <c r="J67" s="11">
        <v>4.0</v>
      </c>
      <c r="K67" s="10"/>
      <c r="L67" s="10"/>
    </row>
    <row r="68">
      <c r="A68" s="31"/>
      <c r="B68" s="30"/>
      <c r="C68" s="32"/>
      <c r="D68" s="32" t="s">
        <v>177</v>
      </c>
      <c r="E68" s="32" t="s">
        <v>178</v>
      </c>
      <c r="F68" s="22" t="s">
        <v>34</v>
      </c>
      <c r="G68" s="22" t="s">
        <v>10</v>
      </c>
      <c r="J68" s="11">
        <v>3.0</v>
      </c>
      <c r="K68" s="10"/>
      <c r="L68" s="10"/>
    </row>
    <row r="69">
      <c r="A69" s="31"/>
      <c r="B69" s="30"/>
      <c r="C69" s="32"/>
      <c r="D69" s="32" t="s">
        <v>179</v>
      </c>
      <c r="E69" s="32" t="s">
        <v>180</v>
      </c>
      <c r="F69" s="22" t="s">
        <v>34</v>
      </c>
      <c r="G69" s="22" t="s">
        <v>10</v>
      </c>
      <c r="J69" s="11">
        <v>6.0</v>
      </c>
      <c r="K69" s="10"/>
      <c r="L69" s="10"/>
    </row>
    <row r="70">
      <c r="A70" s="31"/>
      <c r="B70" s="30"/>
      <c r="C70" s="32"/>
      <c r="D70" s="32" t="s">
        <v>181</v>
      </c>
      <c r="E70" s="32" t="s">
        <v>182</v>
      </c>
      <c r="F70" s="22" t="s">
        <v>34</v>
      </c>
      <c r="G70" s="22" t="s">
        <v>10</v>
      </c>
      <c r="J70" s="11">
        <v>10.0</v>
      </c>
      <c r="K70" s="10"/>
      <c r="L70" s="10"/>
    </row>
    <row r="71">
      <c r="A71" s="31"/>
      <c r="B71" s="30"/>
      <c r="C71" s="32"/>
      <c r="D71" s="32" t="s">
        <v>183</v>
      </c>
      <c r="E71" s="32" t="s">
        <v>184</v>
      </c>
      <c r="F71" s="22" t="s">
        <v>5</v>
      </c>
      <c r="G71" s="22" t="s">
        <v>11</v>
      </c>
      <c r="J71" s="11">
        <v>2.0</v>
      </c>
      <c r="K71" s="10"/>
      <c r="L71" s="10"/>
    </row>
    <row r="72">
      <c r="A72" s="31"/>
      <c r="B72" s="30" t="str">
        <f>"Technology Infrastructure Resilience (" &amp; 
(COUNTIF($F72:$F75, "Compliant") + COUNTIF($F72:$F75, "Partially Compliant")*0.5) &amp; 
"/" &amp; 
(COUNTA($F72:$F75) - COUNTIF($F72:$F75, "N/A")) &amp; 
")"</f>
        <v>Technology Infrastructure Resilience (2/4)</v>
      </c>
      <c r="C72" s="32" t="s">
        <v>185</v>
      </c>
      <c r="D72" s="32" t="s">
        <v>186</v>
      </c>
      <c r="E72" s="32" t="s">
        <v>187</v>
      </c>
      <c r="F72" s="22" t="s">
        <v>5</v>
      </c>
      <c r="G72" s="22" t="s">
        <v>11</v>
      </c>
      <c r="J72" s="11">
        <v>6.0</v>
      </c>
      <c r="K72" s="10"/>
      <c r="L72" s="10"/>
    </row>
    <row r="73">
      <c r="A73" s="31"/>
      <c r="B73" s="30"/>
      <c r="C73" s="32"/>
      <c r="D73" s="32" t="s">
        <v>188</v>
      </c>
      <c r="E73" s="32" t="s">
        <v>189</v>
      </c>
      <c r="F73" s="22" t="s">
        <v>5</v>
      </c>
      <c r="G73" s="22" t="s">
        <v>11</v>
      </c>
      <c r="J73" s="11">
        <v>4.0</v>
      </c>
      <c r="K73" s="10"/>
      <c r="L73" s="10"/>
    </row>
    <row r="74">
      <c r="A74" s="31"/>
      <c r="B74" s="30"/>
      <c r="C74" s="32"/>
      <c r="D74" s="32" t="s">
        <v>190</v>
      </c>
      <c r="E74" s="32" t="s">
        <v>191</v>
      </c>
      <c r="F74" s="22" t="s">
        <v>5</v>
      </c>
      <c r="G74" s="22" t="s">
        <v>11</v>
      </c>
      <c r="J74" s="11">
        <v>8.0</v>
      </c>
      <c r="K74" s="10"/>
      <c r="L74" s="10"/>
    </row>
    <row r="75">
      <c r="A75" s="31"/>
      <c r="B75" s="30"/>
      <c r="C75" s="32"/>
      <c r="D75" s="32" t="s">
        <v>192</v>
      </c>
      <c r="E75" s="32" t="s">
        <v>193</v>
      </c>
      <c r="F75" s="22" t="s">
        <v>5</v>
      </c>
      <c r="G75" s="22" t="s">
        <v>11</v>
      </c>
      <c r="J75" s="11">
        <v>2.0</v>
      </c>
      <c r="K75" s="10"/>
      <c r="L75" s="10"/>
    </row>
    <row r="76">
      <c r="A76" s="33" t="str">
        <f>"Detect (DE) (" &amp; 
(COUNTIF($F76:$F86, "Compliant") + COUNTIF($F76:$F86, "Partially Compliant")*0.5) &amp; 
"/" &amp; 
(COUNTA($F76:$F86) - COUNTIF($F76:$F86, "N/A")) &amp; 
")"</f>
        <v>Detect (DE) (8,5/11)</v>
      </c>
      <c r="B76" s="34" t="str">
        <f>"Continuous Monitoring (" &amp; 
(COUNTIF($F76:$F80, "Compliant") + COUNTIF($F76:$F80, "Partially Compliant")*0.5) &amp; 
"/" &amp; 
(COUNTA($F76:$F80) - COUNTIF($F76:$F80, "N/A")) &amp; 
")"</f>
        <v>Continuous Monitoring (2,5/5)</v>
      </c>
      <c r="C76" s="35" t="s">
        <v>194</v>
      </c>
      <c r="D76" s="35" t="s">
        <v>195</v>
      </c>
      <c r="E76" s="35" t="s">
        <v>196</v>
      </c>
      <c r="F76" s="22" t="s">
        <v>5</v>
      </c>
      <c r="G76" s="22" t="s">
        <v>11</v>
      </c>
      <c r="J76" s="11">
        <v>10.0</v>
      </c>
      <c r="K76" s="10"/>
      <c r="L76" s="10"/>
    </row>
    <row r="77">
      <c r="A77" s="36"/>
      <c r="B77" s="34"/>
      <c r="C77" s="35"/>
      <c r="D77" s="35" t="s">
        <v>197</v>
      </c>
      <c r="E77" s="35" t="s">
        <v>198</v>
      </c>
      <c r="F77" s="22" t="s">
        <v>5</v>
      </c>
      <c r="G77" s="22" t="s">
        <v>11</v>
      </c>
      <c r="J77" s="11">
        <v>7.0</v>
      </c>
      <c r="K77" s="10"/>
      <c r="L77" s="10"/>
    </row>
    <row r="78">
      <c r="A78" s="36"/>
      <c r="B78" s="34"/>
      <c r="C78" s="35"/>
      <c r="D78" s="35" t="s">
        <v>199</v>
      </c>
      <c r="E78" s="35" t="s">
        <v>200</v>
      </c>
      <c r="F78" s="22" t="s">
        <v>5</v>
      </c>
      <c r="G78" s="22" t="s">
        <v>11</v>
      </c>
      <c r="J78" s="11">
        <v>3.0</v>
      </c>
      <c r="K78" s="10"/>
      <c r="L78" s="10"/>
    </row>
    <row r="79">
      <c r="A79" s="36"/>
      <c r="B79" s="34"/>
      <c r="C79" s="35"/>
      <c r="D79" s="35" t="s">
        <v>201</v>
      </c>
      <c r="E79" s="35" t="s">
        <v>202</v>
      </c>
      <c r="F79" s="22" t="s">
        <v>5</v>
      </c>
      <c r="G79" s="22" t="s">
        <v>11</v>
      </c>
      <c r="J79" s="11">
        <v>5.0</v>
      </c>
      <c r="K79" s="10"/>
      <c r="L79" s="10"/>
    </row>
    <row r="80">
      <c r="A80" s="36"/>
      <c r="B80" s="34"/>
      <c r="C80" s="35"/>
      <c r="D80" s="35" t="s">
        <v>203</v>
      </c>
      <c r="E80" s="35" t="s">
        <v>204</v>
      </c>
      <c r="F80" s="22" t="s">
        <v>5</v>
      </c>
      <c r="G80" s="22" t="s">
        <v>12</v>
      </c>
      <c r="J80" s="11">
        <v>1.0</v>
      </c>
      <c r="K80" s="10"/>
      <c r="L80" s="10"/>
    </row>
    <row r="81">
      <c r="A81" s="36"/>
      <c r="B81" s="34" t="str">
        <f>"Adverse Event Analysis (" &amp; 
(COUNTIF($F81:$F86, "Compliant") + COUNTIF($F81:$F86, "Partially Compliant")*0.5) &amp; 
"/" &amp; 
(COUNTA($F81:$F86) - COUNTIF($F81:$F86, "N/A")) &amp; 
")"</f>
        <v>Adverse Event Analysis (6/6)</v>
      </c>
      <c r="C81" s="35" t="s">
        <v>205</v>
      </c>
      <c r="D81" s="35" t="s">
        <v>206</v>
      </c>
      <c r="E81" s="35" t="s">
        <v>207</v>
      </c>
      <c r="F81" s="22" t="s">
        <v>3</v>
      </c>
      <c r="G81" s="22" t="s">
        <v>12</v>
      </c>
      <c r="J81" s="11">
        <v>9.0</v>
      </c>
      <c r="K81" s="10"/>
      <c r="L81" s="10"/>
    </row>
    <row r="82">
      <c r="A82" s="36"/>
      <c r="B82" s="34"/>
      <c r="C82" s="35"/>
      <c r="D82" s="35" t="s">
        <v>208</v>
      </c>
      <c r="E82" s="35" t="s">
        <v>209</v>
      </c>
      <c r="F82" s="22" t="s">
        <v>3</v>
      </c>
      <c r="G82" s="22" t="s">
        <v>12</v>
      </c>
      <c r="J82" s="11">
        <v>5.0</v>
      </c>
      <c r="K82" s="10"/>
      <c r="L82" s="10"/>
    </row>
    <row r="83">
      <c r="A83" s="36"/>
      <c r="B83" s="34"/>
      <c r="C83" s="35"/>
      <c r="D83" s="35" t="s">
        <v>210</v>
      </c>
      <c r="E83" s="35" t="s">
        <v>211</v>
      </c>
      <c r="F83" s="22" t="s">
        <v>3</v>
      </c>
      <c r="G83" s="22" t="s">
        <v>12</v>
      </c>
      <c r="J83" s="11">
        <v>2.0</v>
      </c>
      <c r="K83" s="10"/>
      <c r="L83" s="10"/>
    </row>
    <row r="84">
      <c r="A84" s="36"/>
      <c r="B84" s="34"/>
      <c r="C84" s="35"/>
      <c r="D84" s="35" t="s">
        <v>212</v>
      </c>
      <c r="E84" s="35" t="s">
        <v>213</v>
      </c>
      <c r="F84" s="22" t="s">
        <v>3</v>
      </c>
      <c r="G84" s="22" t="s">
        <v>12</v>
      </c>
      <c r="J84" s="11">
        <v>8.0</v>
      </c>
      <c r="K84" s="10"/>
      <c r="L84" s="10"/>
    </row>
    <row r="85">
      <c r="A85" s="36"/>
      <c r="B85" s="34"/>
      <c r="C85" s="35"/>
      <c r="D85" s="35" t="s">
        <v>214</v>
      </c>
      <c r="E85" s="35" t="s">
        <v>215</v>
      </c>
      <c r="F85" s="22" t="s">
        <v>3</v>
      </c>
      <c r="G85" s="22" t="s">
        <v>12</v>
      </c>
      <c r="J85" s="11">
        <v>1.0</v>
      </c>
      <c r="K85" s="10"/>
      <c r="L85" s="10"/>
    </row>
    <row r="86">
      <c r="A86" s="36"/>
      <c r="B86" s="34"/>
      <c r="C86" s="35"/>
      <c r="D86" s="35" t="s">
        <v>216</v>
      </c>
      <c r="E86" s="35" t="s">
        <v>217</v>
      </c>
      <c r="F86" s="22" t="s">
        <v>3</v>
      </c>
      <c r="G86" s="22" t="s">
        <v>12</v>
      </c>
      <c r="J86" s="11">
        <v>10.0</v>
      </c>
      <c r="K86" s="10"/>
      <c r="L86" s="10"/>
    </row>
    <row r="87">
      <c r="A87" s="37" t="str">
        <f>"Respond (RE) (" &amp; 
(COUNTIF($F87:$F99, "Compliant") + COUNTIF($F87:$F99, "Partially Compliant")*0.5) &amp; 
"/" &amp; 
(COUNTA($F87:$F99) - COUNTIF($F87:$F99, "N/A")) &amp; 
")"</f>
        <v>Respond (RE) (13/13)</v>
      </c>
      <c r="B87" s="38" t="str">
        <f>"Incident Management (" &amp; 
(COUNTIF($F87:$F91, "Compliant") + COUNTIF($F87:$F91, "Partially Compliant")*0.5) &amp; 
"/" &amp; 
(COUNTA($F87:$F91) - COUNTIF($F87:$F91, "N/A")) &amp; 
")"</f>
        <v>Incident Management (5/5)</v>
      </c>
      <c r="C87" s="39" t="s">
        <v>218</v>
      </c>
      <c r="D87" s="39" t="s">
        <v>219</v>
      </c>
      <c r="E87" s="39" t="s">
        <v>220</v>
      </c>
      <c r="F87" s="22" t="s">
        <v>3</v>
      </c>
      <c r="G87" s="22" t="s">
        <v>13</v>
      </c>
      <c r="J87" s="11">
        <v>3.0</v>
      </c>
      <c r="K87" s="10"/>
      <c r="L87" s="10"/>
    </row>
    <row r="88">
      <c r="A88" s="40"/>
      <c r="B88" s="38"/>
      <c r="C88" s="38"/>
      <c r="D88" s="38" t="s">
        <v>221</v>
      </c>
      <c r="E88" s="39" t="s">
        <v>222</v>
      </c>
      <c r="F88" s="22" t="s">
        <v>3</v>
      </c>
      <c r="G88" s="22" t="s">
        <v>13</v>
      </c>
      <c r="J88" s="11">
        <v>4.0</v>
      </c>
      <c r="K88" s="10"/>
      <c r="L88" s="10"/>
    </row>
    <row r="89">
      <c r="A89" s="40"/>
      <c r="B89" s="38"/>
      <c r="C89" s="38"/>
      <c r="D89" s="38" t="s">
        <v>223</v>
      </c>
      <c r="E89" s="39" t="s">
        <v>224</v>
      </c>
      <c r="F89" s="22" t="s">
        <v>3</v>
      </c>
      <c r="G89" s="22" t="s">
        <v>13</v>
      </c>
      <c r="J89" s="11">
        <v>9.0</v>
      </c>
      <c r="K89" s="10"/>
      <c r="L89" s="10"/>
    </row>
    <row r="90">
      <c r="A90" s="40"/>
      <c r="B90" s="38"/>
      <c r="C90" s="38"/>
      <c r="D90" s="38" t="s">
        <v>225</v>
      </c>
      <c r="E90" s="39" t="s">
        <v>226</v>
      </c>
      <c r="F90" s="22" t="s">
        <v>3</v>
      </c>
      <c r="G90" s="22" t="s">
        <v>13</v>
      </c>
      <c r="J90" s="11">
        <v>7.0</v>
      </c>
      <c r="K90" s="10"/>
      <c r="L90" s="10"/>
    </row>
    <row r="91">
      <c r="A91" s="40"/>
      <c r="B91" s="38"/>
      <c r="C91" s="38"/>
      <c r="D91" s="38" t="s">
        <v>227</v>
      </c>
      <c r="E91" s="39" t="s">
        <v>228</v>
      </c>
      <c r="F91" s="22" t="s">
        <v>3</v>
      </c>
      <c r="G91" s="22" t="s">
        <v>13</v>
      </c>
      <c r="J91" s="11">
        <v>6.0</v>
      </c>
      <c r="K91" s="10"/>
      <c r="L91" s="10"/>
    </row>
    <row r="92">
      <c r="A92" s="40"/>
      <c r="B92" s="38" t="str">
        <f>"Incident Analysis (" &amp; 
(COUNTIF($F92:$F95, "Compliant") + COUNTIF($F92:$F95, "Partially Compliant")*0.5) &amp; 
"/" &amp; 
(COUNTA($F92:$F95) - COUNTIF($F92:$F95, "N/A")) &amp; 
")"</f>
        <v>Incident Analysis (4/4)</v>
      </c>
      <c r="C92" s="38" t="s">
        <v>229</v>
      </c>
      <c r="D92" s="38" t="s">
        <v>230</v>
      </c>
      <c r="E92" s="38" t="s">
        <v>231</v>
      </c>
      <c r="F92" s="22" t="s">
        <v>3</v>
      </c>
      <c r="G92" s="22" t="s">
        <v>13</v>
      </c>
      <c r="J92" s="11">
        <v>3.0</v>
      </c>
      <c r="K92" s="10"/>
      <c r="L92" s="10"/>
    </row>
    <row r="93">
      <c r="A93" s="40"/>
      <c r="B93" s="38"/>
      <c r="C93" s="39"/>
      <c r="D93" s="39" t="s">
        <v>232</v>
      </c>
      <c r="E93" s="39" t="s">
        <v>233</v>
      </c>
      <c r="F93" s="22" t="s">
        <v>3</v>
      </c>
      <c r="G93" s="22" t="s">
        <v>13</v>
      </c>
      <c r="J93" s="11">
        <v>1.0</v>
      </c>
      <c r="K93" s="10"/>
      <c r="L93" s="10"/>
    </row>
    <row r="94">
      <c r="A94" s="40"/>
      <c r="B94" s="38"/>
      <c r="C94" s="39"/>
      <c r="D94" s="39" t="s">
        <v>234</v>
      </c>
      <c r="E94" s="39" t="s">
        <v>235</v>
      </c>
      <c r="F94" s="22" t="s">
        <v>3</v>
      </c>
      <c r="G94" s="22" t="s">
        <v>13</v>
      </c>
      <c r="J94" s="11">
        <v>6.0</v>
      </c>
      <c r="K94" s="10"/>
      <c r="L94" s="10"/>
    </row>
    <row r="95">
      <c r="A95" s="40"/>
      <c r="B95" s="38"/>
      <c r="C95" s="39"/>
      <c r="D95" s="39" t="s">
        <v>236</v>
      </c>
      <c r="E95" s="39" t="s">
        <v>237</v>
      </c>
      <c r="F95" s="22" t="s">
        <v>3</v>
      </c>
      <c r="G95" s="22" t="s">
        <v>13</v>
      </c>
      <c r="J95" s="11">
        <v>5.0</v>
      </c>
      <c r="K95" s="10"/>
      <c r="L95" s="10"/>
    </row>
    <row r="96">
      <c r="A96" s="40"/>
      <c r="B96" s="38" t="str">
        <f>"Incident Response Reporting and Communication (" &amp; 
(COUNTIF($F96:$F97, "Compliant") + COUNTIF($F96:$F97, "Partially Compliant")*0.5) &amp; 
"/" &amp; 
(COUNTA($F96:$F97) - COUNTIF($F96:$F97, "N/A")) &amp; 
")"</f>
        <v>Incident Response Reporting and Communication (2/2)</v>
      </c>
      <c r="C96" s="39" t="s">
        <v>238</v>
      </c>
      <c r="D96" s="39" t="s">
        <v>239</v>
      </c>
      <c r="E96" s="39" t="s">
        <v>240</v>
      </c>
      <c r="F96" s="22" t="s">
        <v>3</v>
      </c>
      <c r="G96" s="22" t="s">
        <v>13</v>
      </c>
      <c r="J96" s="11">
        <v>9.0</v>
      </c>
      <c r="K96" s="10"/>
      <c r="L96" s="10"/>
    </row>
    <row r="97">
      <c r="A97" s="40"/>
      <c r="B97" s="38"/>
      <c r="C97" s="38"/>
      <c r="D97" s="38" t="s">
        <v>241</v>
      </c>
      <c r="E97" s="39" t="s">
        <v>242</v>
      </c>
      <c r="F97" s="22" t="s">
        <v>3</v>
      </c>
      <c r="G97" s="22" t="s">
        <v>13</v>
      </c>
      <c r="J97" s="11">
        <v>8.0</v>
      </c>
      <c r="K97" s="10"/>
      <c r="L97" s="10"/>
    </row>
    <row r="98">
      <c r="A98" s="40"/>
      <c r="B98" s="38" t="str">
        <f>"Incident Mitigation (" &amp; 
(COUNTIF($F98:$F99, "Compliant") + COUNTIF($F98:$F99, "Partially Compliant")*0.5) &amp; 
"/" &amp; 
(COUNTA($F98:$F99) - COUNTIF($F98:$F99, "N/A")) &amp; 
")"</f>
        <v>Incident Mitigation (2/2)</v>
      </c>
      <c r="C98" s="38" t="s">
        <v>243</v>
      </c>
      <c r="D98" s="38" t="s">
        <v>244</v>
      </c>
      <c r="E98" s="38" t="s">
        <v>245</v>
      </c>
      <c r="F98" s="22" t="s">
        <v>3</v>
      </c>
      <c r="G98" s="22" t="s">
        <v>13</v>
      </c>
      <c r="J98" s="11">
        <v>2.0</v>
      </c>
      <c r="K98" s="10"/>
      <c r="L98" s="10"/>
    </row>
    <row r="99">
      <c r="A99" s="40"/>
      <c r="B99" s="38"/>
      <c r="C99" s="38"/>
      <c r="D99" s="38" t="s">
        <v>246</v>
      </c>
      <c r="E99" s="38" t="s">
        <v>247</v>
      </c>
      <c r="F99" s="22" t="s">
        <v>3</v>
      </c>
      <c r="G99" s="22" t="s">
        <v>13</v>
      </c>
      <c r="J99" s="11">
        <v>10.0</v>
      </c>
      <c r="K99" s="10"/>
      <c r="L99" s="10"/>
    </row>
    <row r="100">
      <c r="A100" s="41" t="str">
        <f>"Recovery (RC) (" &amp; 
(COUNTIF($F100:$F107, "Compliant") + COUNTIF($F100:$F107, "Partially Compliant")*0.5) &amp; 
"/" &amp; 
(COUNTA($F100:$F107) - COUNTIF($F100:$F107, "N/A")) &amp; 
")"</f>
        <v>Recovery (RC) (7/7)</v>
      </c>
      <c r="B100" s="42" t="str">
        <f>"Incident Recovery Plan Execution (" &amp; 
(COUNTIF($F100:$F105, "Compliant") + COUNTIF($F100:$F105, "Partially Compliant")*0.5) &amp; 
"/" &amp; 
(COUNTA($F100:$F105) - COUNTIF($F100:$F105, "N/A")) &amp; 
")"</f>
        <v>Incident Recovery Plan Execution (6/6)</v>
      </c>
      <c r="C100" s="42" t="s">
        <v>248</v>
      </c>
      <c r="D100" s="42" t="s">
        <v>249</v>
      </c>
      <c r="E100" s="42" t="s">
        <v>250</v>
      </c>
      <c r="F100" s="22" t="s">
        <v>3</v>
      </c>
      <c r="G100" s="22" t="s">
        <v>12</v>
      </c>
      <c r="J100" s="11">
        <v>7.0</v>
      </c>
      <c r="K100" s="10"/>
      <c r="L100" s="10"/>
    </row>
    <row r="101">
      <c r="A101" s="43"/>
      <c r="B101" s="42"/>
      <c r="C101" s="44"/>
      <c r="D101" s="44" t="s">
        <v>251</v>
      </c>
      <c r="E101" s="42" t="s">
        <v>252</v>
      </c>
      <c r="F101" s="22" t="s">
        <v>3</v>
      </c>
      <c r="G101" s="22" t="s">
        <v>12</v>
      </c>
      <c r="J101" s="11">
        <v>4.0</v>
      </c>
      <c r="K101" s="10"/>
      <c r="L101" s="10"/>
    </row>
    <row r="102">
      <c r="A102" s="43"/>
      <c r="B102" s="42"/>
      <c r="C102" s="44"/>
      <c r="D102" s="44" t="s">
        <v>253</v>
      </c>
      <c r="E102" s="42" t="s">
        <v>254</v>
      </c>
      <c r="F102" s="22" t="s">
        <v>3</v>
      </c>
      <c r="G102" s="22" t="s">
        <v>12</v>
      </c>
      <c r="J102" s="11">
        <v>4.0</v>
      </c>
      <c r="K102" s="10"/>
      <c r="L102" s="10"/>
    </row>
    <row r="103">
      <c r="A103" s="43"/>
      <c r="B103" s="42"/>
      <c r="C103" s="44"/>
      <c r="D103" s="44" t="s">
        <v>255</v>
      </c>
      <c r="E103" s="42" t="s">
        <v>256</v>
      </c>
      <c r="F103" s="22" t="s">
        <v>3</v>
      </c>
      <c r="G103" s="22" t="s">
        <v>12</v>
      </c>
      <c r="J103" s="11">
        <v>2.0</v>
      </c>
      <c r="K103" s="10"/>
      <c r="L103" s="10"/>
    </row>
    <row r="104">
      <c r="A104" s="43"/>
      <c r="B104" s="42"/>
      <c r="C104" s="44"/>
      <c r="D104" s="44" t="s">
        <v>257</v>
      </c>
      <c r="E104" s="42" t="s">
        <v>258</v>
      </c>
      <c r="F104" s="22" t="s">
        <v>3</v>
      </c>
      <c r="G104" s="22" t="s">
        <v>12</v>
      </c>
      <c r="J104" s="11">
        <v>9.0</v>
      </c>
      <c r="K104" s="10"/>
      <c r="L104" s="10"/>
    </row>
    <row r="105">
      <c r="A105" s="43"/>
      <c r="B105" s="42"/>
      <c r="C105" s="44"/>
      <c r="D105" s="44" t="s">
        <v>259</v>
      </c>
      <c r="E105" s="42" t="s">
        <v>260</v>
      </c>
      <c r="F105" s="22" t="s">
        <v>3</v>
      </c>
      <c r="G105" s="22" t="s">
        <v>12</v>
      </c>
      <c r="J105" s="11">
        <v>6.0</v>
      </c>
      <c r="K105" s="10"/>
      <c r="L105" s="10"/>
    </row>
    <row r="106">
      <c r="A106" s="43"/>
      <c r="B106" s="42" t="str">
        <f>"Incident Recovery Communication (" &amp; 
(COUNTIF($F106:$F107, "Compliant") + COUNTIF($F106:$F107, "Partially Compliant")*0.5) &amp; 
"/" &amp; 
(COUNTA($F106:$F107) - COUNTIF($F106:$F107, "N/A")) &amp; 
")"</f>
        <v>Incident Recovery Communication (1/1)</v>
      </c>
      <c r="C106" s="44" t="s">
        <v>261</v>
      </c>
      <c r="D106" s="44" t="s">
        <v>262</v>
      </c>
      <c r="E106" s="44" t="s">
        <v>263</v>
      </c>
      <c r="F106" s="22" t="s">
        <v>3</v>
      </c>
      <c r="G106" s="22" t="s">
        <v>12</v>
      </c>
      <c r="J106" s="11">
        <v>7.0</v>
      </c>
      <c r="K106" s="10"/>
      <c r="L106" s="10"/>
    </row>
    <row r="107">
      <c r="A107" s="43"/>
      <c r="B107" s="42"/>
      <c r="C107" s="44"/>
      <c r="D107" s="44" t="s">
        <v>264</v>
      </c>
      <c r="E107" s="44" t="s">
        <v>265</v>
      </c>
      <c r="F107" s="22" t="s">
        <v>34</v>
      </c>
      <c r="G107" s="22" t="s">
        <v>12</v>
      </c>
      <c r="J107" s="11">
        <v>5.0</v>
      </c>
      <c r="K107" s="10"/>
      <c r="L107" s="10"/>
    </row>
    <row r="108">
      <c r="F108" s="10"/>
      <c r="K108" s="10"/>
      <c r="L108" s="10"/>
    </row>
    <row r="109">
      <c r="K109" s="10"/>
      <c r="L109" s="10"/>
    </row>
    <row r="110">
      <c r="K110" s="10"/>
      <c r="L110" s="10"/>
    </row>
    <row r="111">
      <c r="K111" s="10"/>
      <c r="L111" s="10"/>
    </row>
    <row r="112">
      <c r="K112" s="10"/>
      <c r="L112" s="10"/>
    </row>
    <row r="113">
      <c r="K113" s="10"/>
      <c r="L113" s="10"/>
    </row>
    <row r="114">
      <c r="K114" s="10"/>
      <c r="L114" s="10"/>
    </row>
    <row r="115">
      <c r="F115" s="10"/>
      <c r="G115" s="10"/>
      <c r="K115" s="10"/>
      <c r="L115" s="10"/>
    </row>
    <row r="116">
      <c r="F116" s="10"/>
      <c r="G116" s="10"/>
      <c r="K116" s="10"/>
      <c r="L116" s="10"/>
    </row>
    <row r="117">
      <c r="F117" s="10"/>
      <c r="G117" s="10"/>
      <c r="K117" s="10"/>
      <c r="L117" s="10"/>
    </row>
    <row r="118">
      <c r="F118" s="10"/>
      <c r="G118" s="10"/>
      <c r="K118" s="10"/>
      <c r="L118" s="10"/>
    </row>
    <row r="119">
      <c r="F119" s="10"/>
      <c r="G119" s="10"/>
      <c r="K119" s="10"/>
      <c r="L119" s="10"/>
    </row>
    <row r="120">
      <c r="F120" s="10"/>
      <c r="G120" s="10"/>
      <c r="K120" s="10"/>
      <c r="L120" s="10"/>
    </row>
    <row r="121">
      <c r="F121" s="10"/>
      <c r="G121" s="10"/>
      <c r="K121" s="10"/>
      <c r="L121" s="10"/>
    </row>
    <row r="122">
      <c r="F122" s="10"/>
      <c r="G122" s="10"/>
      <c r="K122" s="10"/>
      <c r="L122" s="10"/>
    </row>
    <row r="123">
      <c r="F123" s="10"/>
      <c r="G123" s="10"/>
      <c r="K123" s="10"/>
      <c r="L123" s="10"/>
    </row>
    <row r="124">
      <c r="F124" s="10"/>
      <c r="G124" s="10"/>
      <c r="K124" s="10"/>
      <c r="L124" s="10"/>
    </row>
    <row r="125">
      <c r="F125" s="10"/>
      <c r="G125" s="10"/>
      <c r="K125" s="10"/>
      <c r="L125" s="10"/>
    </row>
    <row r="126">
      <c r="F126" s="10"/>
      <c r="G126" s="10"/>
      <c r="K126" s="10"/>
      <c r="L126" s="10"/>
    </row>
    <row r="127">
      <c r="F127" s="10"/>
      <c r="G127" s="10"/>
      <c r="K127" s="10"/>
      <c r="L127" s="10"/>
    </row>
    <row r="128">
      <c r="F128" s="10"/>
      <c r="G128" s="10"/>
      <c r="K128" s="10"/>
      <c r="L128" s="10"/>
    </row>
    <row r="129">
      <c r="F129" s="10"/>
      <c r="G129" s="10"/>
      <c r="K129" s="10"/>
      <c r="L129" s="10"/>
    </row>
    <row r="130">
      <c r="F130" s="10"/>
      <c r="G130" s="10"/>
      <c r="K130" s="10"/>
      <c r="L130" s="10"/>
    </row>
    <row r="131">
      <c r="F131" s="10"/>
      <c r="G131" s="10"/>
      <c r="K131" s="10"/>
      <c r="L131" s="10"/>
    </row>
    <row r="132">
      <c r="F132" s="10"/>
      <c r="G132" s="10"/>
      <c r="K132" s="10"/>
      <c r="L132" s="10"/>
    </row>
    <row r="133">
      <c r="F133" s="10"/>
      <c r="G133" s="10"/>
      <c r="K133" s="10"/>
      <c r="L133" s="10"/>
    </row>
    <row r="134">
      <c r="F134" s="10"/>
      <c r="G134" s="10"/>
      <c r="K134" s="10"/>
      <c r="L134" s="10"/>
    </row>
    <row r="135">
      <c r="F135" s="10"/>
      <c r="G135" s="10"/>
      <c r="K135" s="10"/>
      <c r="L135" s="10"/>
    </row>
    <row r="136">
      <c r="F136" s="10"/>
      <c r="G136" s="10"/>
      <c r="K136" s="10"/>
      <c r="L136" s="10"/>
    </row>
    <row r="137">
      <c r="F137" s="10"/>
      <c r="G137" s="10"/>
      <c r="K137" s="10"/>
      <c r="L137" s="10"/>
    </row>
    <row r="138">
      <c r="F138" s="10"/>
      <c r="G138" s="10"/>
      <c r="K138" s="10"/>
      <c r="L138" s="10"/>
    </row>
    <row r="139">
      <c r="F139" s="10"/>
      <c r="G139" s="10"/>
      <c r="K139" s="10"/>
      <c r="L139" s="10"/>
    </row>
    <row r="140">
      <c r="F140" s="10"/>
      <c r="G140" s="10"/>
      <c r="K140" s="10"/>
      <c r="L140" s="10"/>
    </row>
    <row r="141">
      <c r="F141" s="10"/>
      <c r="G141" s="10"/>
      <c r="K141" s="10"/>
      <c r="L141" s="10"/>
    </row>
    <row r="142">
      <c r="F142" s="10"/>
      <c r="G142" s="10"/>
      <c r="K142" s="10"/>
      <c r="L142" s="10"/>
    </row>
    <row r="143">
      <c r="F143" s="10"/>
      <c r="G143" s="10"/>
      <c r="K143" s="10"/>
      <c r="L143" s="10"/>
    </row>
    <row r="144">
      <c r="F144" s="10"/>
      <c r="G144" s="10"/>
      <c r="K144" s="10"/>
      <c r="L144" s="10"/>
    </row>
    <row r="145">
      <c r="F145" s="10"/>
      <c r="G145" s="10"/>
      <c r="K145" s="10"/>
      <c r="L145" s="10"/>
    </row>
    <row r="146">
      <c r="F146" s="10"/>
      <c r="G146" s="10"/>
      <c r="K146" s="10"/>
      <c r="L146" s="10"/>
    </row>
    <row r="147">
      <c r="F147" s="10"/>
      <c r="G147" s="10"/>
      <c r="K147" s="10"/>
      <c r="L147" s="10"/>
    </row>
    <row r="148">
      <c r="F148" s="10"/>
      <c r="G148" s="10"/>
      <c r="K148" s="10"/>
      <c r="L148" s="10"/>
    </row>
    <row r="149">
      <c r="F149" s="10"/>
      <c r="G149" s="10"/>
      <c r="K149" s="10"/>
      <c r="L149" s="10"/>
    </row>
    <row r="150">
      <c r="F150" s="10"/>
      <c r="G150" s="10"/>
      <c r="K150" s="10"/>
      <c r="L150" s="10"/>
    </row>
    <row r="151">
      <c r="F151" s="10"/>
      <c r="G151" s="10"/>
      <c r="K151" s="10"/>
      <c r="L151" s="10"/>
    </row>
    <row r="152">
      <c r="F152" s="10"/>
      <c r="G152" s="10"/>
      <c r="K152" s="10"/>
      <c r="L152" s="10"/>
    </row>
    <row r="153">
      <c r="F153" s="10"/>
      <c r="G153" s="10"/>
      <c r="K153" s="10"/>
      <c r="L153" s="10"/>
    </row>
    <row r="154">
      <c r="F154" s="10"/>
      <c r="G154" s="10"/>
      <c r="K154" s="10"/>
      <c r="L154" s="10"/>
    </row>
    <row r="155">
      <c r="F155" s="10"/>
      <c r="G155" s="10"/>
      <c r="K155" s="10"/>
      <c r="L155" s="10"/>
    </row>
    <row r="156">
      <c r="F156" s="10"/>
      <c r="G156" s="10"/>
      <c r="K156" s="10"/>
      <c r="L156" s="10"/>
    </row>
    <row r="157">
      <c r="F157" s="10"/>
      <c r="G157" s="10"/>
      <c r="K157" s="10"/>
      <c r="L157" s="10"/>
    </row>
    <row r="158">
      <c r="F158" s="10"/>
      <c r="G158" s="10"/>
      <c r="K158" s="10"/>
      <c r="L158" s="10"/>
    </row>
    <row r="159">
      <c r="F159" s="10"/>
      <c r="G159" s="10"/>
      <c r="K159" s="10"/>
      <c r="L159" s="10"/>
    </row>
    <row r="160">
      <c r="F160" s="10"/>
      <c r="G160" s="10"/>
      <c r="K160" s="10"/>
      <c r="L160" s="10"/>
    </row>
    <row r="161">
      <c r="F161" s="10"/>
      <c r="G161" s="10"/>
      <c r="K161" s="10"/>
      <c r="L161" s="10"/>
    </row>
    <row r="162">
      <c r="F162" s="10"/>
      <c r="G162" s="10"/>
      <c r="K162" s="10"/>
      <c r="L162" s="10"/>
    </row>
    <row r="163">
      <c r="F163" s="10"/>
      <c r="G163" s="10"/>
      <c r="K163" s="10"/>
      <c r="L163" s="10"/>
    </row>
    <row r="164">
      <c r="F164" s="10"/>
      <c r="G164" s="10"/>
      <c r="K164" s="10"/>
      <c r="L164" s="10"/>
    </row>
    <row r="165">
      <c r="F165" s="10"/>
      <c r="G165" s="10"/>
      <c r="K165" s="10"/>
      <c r="L165" s="10"/>
    </row>
    <row r="166">
      <c r="F166" s="10"/>
      <c r="G166" s="10"/>
      <c r="K166" s="10"/>
      <c r="L166" s="10"/>
    </row>
    <row r="167">
      <c r="F167" s="10"/>
      <c r="G167" s="10"/>
      <c r="K167" s="10"/>
      <c r="L167" s="10"/>
    </row>
    <row r="168">
      <c r="F168" s="10"/>
      <c r="G168" s="10"/>
      <c r="K168" s="10"/>
      <c r="L168" s="10"/>
    </row>
    <row r="169">
      <c r="F169" s="10"/>
      <c r="G169" s="10"/>
      <c r="K169" s="10"/>
      <c r="L169" s="10"/>
    </row>
    <row r="170">
      <c r="F170" s="10"/>
      <c r="G170" s="10"/>
      <c r="K170" s="10"/>
      <c r="L170" s="10"/>
    </row>
    <row r="171">
      <c r="F171" s="10"/>
      <c r="G171" s="10"/>
      <c r="K171" s="10"/>
      <c r="L171" s="10"/>
    </row>
    <row r="172">
      <c r="F172" s="10"/>
      <c r="G172" s="10"/>
      <c r="K172" s="10"/>
      <c r="L172" s="10"/>
    </row>
    <row r="173">
      <c r="F173" s="10"/>
      <c r="G173" s="10"/>
      <c r="K173" s="10"/>
      <c r="L173" s="10"/>
    </row>
    <row r="174">
      <c r="F174" s="10"/>
      <c r="G174" s="10"/>
      <c r="K174" s="10"/>
      <c r="L174" s="10"/>
    </row>
    <row r="175">
      <c r="F175" s="10"/>
      <c r="G175" s="10"/>
      <c r="K175" s="10"/>
      <c r="L175" s="10"/>
    </row>
    <row r="176">
      <c r="F176" s="10"/>
      <c r="G176" s="10"/>
      <c r="K176" s="10"/>
      <c r="L176" s="10"/>
    </row>
    <row r="177">
      <c r="F177" s="10"/>
      <c r="G177" s="10"/>
      <c r="K177" s="10"/>
      <c r="L177" s="10"/>
    </row>
    <row r="178">
      <c r="F178" s="10"/>
      <c r="G178" s="10"/>
      <c r="K178" s="10"/>
      <c r="L178" s="10"/>
    </row>
    <row r="179">
      <c r="F179" s="10"/>
      <c r="G179" s="10"/>
      <c r="K179" s="10"/>
      <c r="L179" s="10"/>
    </row>
    <row r="180">
      <c r="F180" s="10"/>
      <c r="G180" s="10"/>
      <c r="K180" s="10"/>
      <c r="L180" s="10"/>
    </row>
    <row r="181">
      <c r="F181" s="10"/>
      <c r="G181" s="10"/>
      <c r="K181" s="10"/>
      <c r="L181" s="10"/>
    </row>
    <row r="182">
      <c r="F182" s="10"/>
      <c r="G182" s="10"/>
      <c r="K182" s="10"/>
      <c r="L182" s="10"/>
    </row>
    <row r="183">
      <c r="F183" s="10"/>
      <c r="G183" s="10"/>
      <c r="K183" s="10"/>
      <c r="L183" s="10"/>
    </row>
    <row r="184">
      <c r="F184" s="10"/>
      <c r="G184" s="10"/>
      <c r="K184" s="10"/>
      <c r="L184" s="10"/>
    </row>
    <row r="185">
      <c r="F185" s="10"/>
      <c r="G185" s="10"/>
      <c r="K185" s="10"/>
      <c r="L185" s="10"/>
    </row>
    <row r="186">
      <c r="F186" s="10"/>
      <c r="G186" s="10"/>
      <c r="K186" s="10"/>
      <c r="L186" s="10"/>
    </row>
    <row r="187">
      <c r="F187" s="10"/>
      <c r="G187" s="10"/>
      <c r="K187" s="10"/>
      <c r="L187" s="10"/>
    </row>
    <row r="188">
      <c r="F188" s="10"/>
      <c r="G188" s="10"/>
      <c r="K188" s="10"/>
      <c r="L188" s="10"/>
    </row>
    <row r="189">
      <c r="F189" s="10"/>
      <c r="G189" s="10"/>
      <c r="K189" s="10"/>
      <c r="L189" s="10"/>
    </row>
    <row r="190">
      <c r="F190" s="10"/>
      <c r="G190" s="10"/>
      <c r="K190" s="10"/>
      <c r="L190" s="10"/>
    </row>
    <row r="191">
      <c r="F191" s="10"/>
      <c r="G191" s="10"/>
      <c r="K191" s="10"/>
      <c r="L191" s="10"/>
    </row>
    <row r="192">
      <c r="F192" s="10"/>
      <c r="G192" s="10"/>
      <c r="K192" s="10"/>
      <c r="L192" s="10"/>
    </row>
    <row r="193">
      <c r="F193" s="10"/>
      <c r="G193" s="10"/>
      <c r="K193" s="10"/>
      <c r="L193" s="10"/>
    </row>
    <row r="194">
      <c r="F194" s="10"/>
      <c r="G194" s="10"/>
      <c r="K194" s="10"/>
      <c r="L194" s="10"/>
    </row>
    <row r="195">
      <c r="F195" s="10"/>
      <c r="G195" s="10"/>
      <c r="K195" s="10"/>
      <c r="L195" s="10"/>
    </row>
    <row r="196">
      <c r="F196" s="10"/>
      <c r="G196" s="10"/>
      <c r="K196" s="10"/>
      <c r="L196" s="10"/>
    </row>
    <row r="197">
      <c r="F197" s="10"/>
      <c r="G197" s="10"/>
      <c r="K197" s="10"/>
      <c r="L197" s="10"/>
    </row>
    <row r="198">
      <c r="F198" s="10"/>
      <c r="G198" s="10"/>
      <c r="K198" s="10"/>
      <c r="L198" s="10"/>
    </row>
    <row r="199">
      <c r="F199" s="10"/>
      <c r="G199" s="10"/>
      <c r="K199" s="10"/>
      <c r="L199" s="10"/>
    </row>
    <row r="200">
      <c r="F200" s="10"/>
      <c r="G200" s="10"/>
      <c r="K200" s="10"/>
      <c r="L200" s="10"/>
    </row>
    <row r="201">
      <c r="F201" s="10"/>
      <c r="G201" s="10"/>
      <c r="K201" s="10"/>
      <c r="L201" s="10"/>
    </row>
    <row r="202">
      <c r="F202" s="10"/>
      <c r="G202" s="10"/>
      <c r="K202" s="10"/>
      <c r="L202" s="10"/>
    </row>
    <row r="203">
      <c r="F203" s="10"/>
      <c r="G203" s="10"/>
      <c r="K203" s="10"/>
      <c r="L203" s="10"/>
    </row>
    <row r="204">
      <c r="F204" s="10"/>
      <c r="G204" s="10"/>
      <c r="K204" s="10"/>
      <c r="L204" s="10"/>
    </row>
    <row r="205">
      <c r="F205" s="10"/>
      <c r="G205" s="10"/>
      <c r="K205" s="10"/>
      <c r="L205" s="10"/>
    </row>
    <row r="206">
      <c r="F206" s="10"/>
      <c r="G206" s="10"/>
      <c r="K206" s="10"/>
      <c r="L206" s="10"/>
    </row>
    <row r="207">
      <c r="F207" s="10"/>
      <c r="G207" s="10"/>
      <c r="K207" s="10"/>
      <c r="L207" s="10"/>
    </row>
    <row r="208">
      <c r="F208" s="10"/>
      <c r="G208" s="10"/>
      <c r="K208" s="10"/>
      <c r="L208" s="10"/>
    </row>
    <row r="209">
      <c r="F209" s="10"/>
      <c r="G209" s="10"/>
      <c r="K209" s="10"/>
      <c r="L209" s="10"/>
    </row>
    <row r="210">
      <c r="F210" s="10"/>
      <c r="G210" s="10"/>
      <c r="K210" s="10"/>
      <c r="L210" s="10"/>
    </row>
    <row r="211">
      <c r="F211" s="10"/>
      <c r="G211" s="10"/>
      <c r="K211" s="10"/>
      <c r="L211" s="10"/>
    </row>
    <row r="212">
      <c r="F212" s="10"/>
      <c r="G212" s="10"/>
      <c r="K212" s="10"/>
      <c r="L212" s="10"/>
    </row>
    <row r="213">
      <c r="F213" s="10"/>
      <c r="G213" s="10"/>
      <c r="K213" s="10"/>
      <c r="L213" s="10"/>
    </row>
    <row r="214">
      <c r="F214" s="10"/>
      <c r="G214" s="10"/>
      <c r="K214" s="10"/>
      <c r="L214" s="10"/>
    </row>
    <row r="215">
      <c r="F215" s="10"/>
      <c r="G215" s="10"/>
      <c r="K215" s="10"/>
      <c r="L215" s="10"/>
    </row>
    <row r="216">
      <c r="F216" s="10"/>
      <c r="G216" s="10"/>
      <c r="K216" s="10"/>
      <c r="L216" s="10"/>
    </row>
    <row r="217">
      <c r="F217" s="10"/>
      <c r="G217" s="10"/>
      <c r="K217" s="10"/>
      <c r="L217" s="10"/>
    </row>
    <row r="218">
      <c r="F218" s="10"/>
      <c r="G218" s="10"/>
      <c r="K218" s="10"/>
      <c r="L218" s="10"/>
    </row>
    <row r="219">
      <c r="F219" s="10"/>
      <c r="G219" s="10"/>
      <c r="K219" s="10"/>
      <c r="L219" s="10"/>
    </row>
    <row r="220">
      <c r="F220" s="10"/>
      <c r="G220" s="10"/>
      <c r="K220" s="10"/>
      <c r="L220" s="10"/>
    </row>
    <row r="221">
      <c r="F221" s="10"/>
      <c r="G221" s="10"/>
      <c r="K221" s="10"/>
      <c r="L221" s="10"/>
    </row>
    <row r="222">
      <c r="F222" s="10"/>
      <c r="G222" s="10"/>
      <c r="K222" s="10"/>
      <c r="L222" s="10"/>
    </row>
    <row r="223">
      <c r="F223" s="10"/>
      <c r="G223" s="10"/>
      <c r="K223" s="10"/>
      <c r="L223" s="10"/>
    </row>
    <row r="224">
      <c r="F224" s="10"/>
      <c r="G224" s="10"/>
      <c r="K224" s="10"/>
      <c r="L224" s="10"/>
    </row>
    <row r="225">
      <c r="F225" s="10"/>
      <c r="G225" s="10"/>
      <c r="K225" s="10"/>
      <c r="L225" s="10"/>
    </row>
    <row r="226">
      <c r="F226" s="10"/>
      <c r="G226" s="10"/>
      <c r="K226" s="10"/>
      <c r="L226" s="10"/>
    </row>
    <row r="227">
      <c r="F227" s="10"/>
      <c r="G227" s="10"/>
      <c r="K227" s="10"/>
      <c r="L227" s="10"/>
    </row>
    <row r="228">
      <c r="F228" s="10"/>
      <c r="G228" s="10"/>
      <c r="K228" s="10"/>
      <c r="L228" s="10"/>
    </row>
    <row r="229">
      <c r="F229" s="10"/>
      <c r="G229" s="10"/>
      <c r="K229" s="10"/>
      <c r="L229" s="10"/>
    </row>
    <row r="230">
      <c r="F230" s="10"/>
      <c r="G230" s="10"/>
      <c r="K230" s="10"/>
      <c r="L230" s="10"/>
    </row>
    <row r="231">
      <c r="F231" s="10"/>
      <c r="G231" s="10"/>
      <c r="K231" s="10"/>
      <c r="L231" s="10"/>
    </row>
    <row r="232">
      <c r="F232" s="10"/>
      <c r="G232" s="10"/>
      <c r="K232" s="10"/>
      <c r="L232" s="10"/>
    </row>
    <row r="233">
      <c r="F233" s="10"/>
      <c r="G233" s="10"/>
      <c r="K233" s="10"/>
      <c r="L233" s="10"/>
    </row>
    <row r="234">
      <c r="F234" s="10"/>
      <c r="G234" s="10"/>
      <c r="K234" s="10"/>
      <c r="L234" s="10"/>
    </row>
    <row r="235">
      <c r="F235" s="10"/>
      <c r="G235" s="10"/>
      <c r="K235" s="10"/>
      <c r="L235" s="10"/>
    </row>
    <row r="236">
      <c r="F236" s="10"/>
      <c r="G236" s="10"/>
      <c r="K236" s="10"/>
      <c r="L236" s="10"/>
    </row>
    <row r="237">
      <c r="F237" s="10"/>
      <c r="G237" s="10"/>
      <c r="K237" s="10"/>
      <c r="L237" s="10"/>
    </row>
    <row r="238">
      <c r="F238" s="10"/>
      <c r="G238" s="10"/>
      <c r="K238" s="10"/>
      <c r="L238" s="10"/>
    </row>
    <row r="239">
      <c r="F239" s="10"/>
      <c r="G239" s="10"/>
      <c r="K239" s="10"/>
      <c r="L239" s="10"/>
    </row>
    <row r="240">
      <c r="F240" s="10"/>
      <c r="G240" s="10"/>
      <c r="K240" s="10"/>
      <c r="L240" s="10"/>
    </row>
    <row r="241">
      <c r="F241" s="10"/>
      <c r="G241" s="10"/>
      <c r="K241" s="10"/>
      <c r="L241" s="10"/>
    </row>
    <row r="242">
      <c r="F242" s="10"/>
      <c r="G242" s="10"/>
      <c r="K242" s="10"/>
      <c r="L242" s="10"/>
    </row>
    <row r="243">
      <c r="F243" s="10"/>
      <c r="G243" s="10"/>
      <c r="K243" s="10"/>
      <c r="L243" s="10"/>
    </row>
    <row r="244">
      <c r="F244" s="10"/>
      <c r="G244" s="10"/>
      <c r="K244" s="10"/>
      <c r="L244" s="10"/>
    </row>
    <row r="245">
      <c r="F245" s="10"/>
      <c r="G245" s="10"/>
      <c r="K245" s="10"/>
      <c r="L245" s="10"/>
    </row>
    <row r="246">
      <c r="F246" s="10"/>
      <c r="G246" s="10"/>
      <c r="K246" s="10"/>
      <c r="L246" s="10"/>
    </row>
    <row r="247">
      <c r="F247" s="10"/>
      <c r="G247" s="10"/>
      <c r="K247" s="10"/>
      <c r="L247" s="10"/>
    </row>
    <row r="248">
      <c r="F248" s="10"/>
      <c r="G248" s="10"/>
      <c r="K248" s="10"/>
      <c r="L248" s="10"/>
    </row>
    <row r="249">
      <c r="F249" s="10"/>
      <c r="G249" s="10"/>
      <c r="K249" s="10"/>
      <c r="L249" s="10"/>
    </row>
    <row r="250">
      <c r="F250" s="10"/>
      <c r="G250" s="10"/>
      <c r="K250" s="10"/>
      <c r="L250" s="10"/>
    </row>
    <row r="251">
      <c r="F251" s="10"/>
      <c r="G251" s="10"/>
      <c r="K251" s="10"/>
      <c r="L251" s="10"/>
    </row>
    <row r="252">
      <c r="F252" s="10"/>
      <c r="G252" s="10"/>
      <c r="K252" s="10"/>
      <c r="L252" s="10"/>
    </row>
    <row r="253">
      <c r="F253" s="10"/>
      <c r="G253" s="10"/>
      <c r="K253" s="10"/>
      <c r="L253" s="10"/>
    </row>
    <row r="254">
      <c r="F254" s="10"/>
      <c r="G254" s="10"/>
      <c r="K254" s="10"/>
      <c r="L254" s="10"/>
    </row>
    <row r="255">
      <c r="F255" s="10"/>
      <c r="G255" s="10"/>
      <c r="K255" s="10"/>
      <c r="L255" s="10"/>
    </row>
    <row r="256">
      <c r="F256" s="10"/>
      <c r="G256" s="10"/>
      <c r="K256" s="10"/>
      <c r="L256" s="10"/>
    </row>
    <row r="257">
      <c r="F257" s="10"/>
      <c r="G257" s="10"/>
      <c r="K257" s="10"/>
      <c r="L257" s="10"/>
    </row>
    <row r="258">
      <c r="F258" s="10"/>
      <c r="G258" s="10"/>
      <c r="K258" s="10"/>
      <c r="L258" s="10"/>
    </row>
    <row r="259">
      <c r="F259" s="10"/>
      <c r="G259" s="10"/>
      <c r="K259" s="10"/>
      <c r="L259" s="10"/>
    </row>
    <row r="260">
      <c r="F260" s="10"/>
      <c r="G260" s="10"/>
      <c r="K260" s="10"/>
      <c r="L260" s="10"/>
    </row>
    <row r="261">
      <c r="F261" s="10"/>
      <c r="G261" s="10"/>
      <c r="K261" s="10"/>
      <c r="L261" s="10"/>
    </row>
    <row r="262">
      <c r="F262" s="10"/>
      <c r="G262" s="10"/>
      <c r="K262" s="10"/>
      <c r="L262" s="10"/>
    </row>
    <row r="263">
      <c r="F263" s="10"/>
      <c r="G263" s="10"/>
      <c r="K263" s="10"/>
      <c r="L263" s="10"/>
    </row>
    <row r="264">
      <c r="F264" s="10"/>
      <c r="G264" s="10"/>
      <c r="K264" s="10"/>
      <c r="L264" s="10"/>
    </row>
    <row r="265">
      <c r="F265" s="10"/>
      <c r="G265" s="10"/>
      <c r="K265" s="10"/>
      <c r="L265" s="10"/>
    </row>
    <row r="266">
      <c r="F266" s="10"/>
      <c r="G266" s="10"/>
      <c r="K266" s="10"/>
      <c r="L266" s="10"/>
    </row>
    <row r="267">
      <c r="F267" s="10"/>
      <c r="G267" s="10"/>
      <c r="K267" s="10"/>
      <c r="L267" s="10"/>
    </row>
    <row r="268">
      <c r="F268" s="10"/>
      <c r="G268" s="10"/>
      <c r="K268" s="10"/>
      <c r="L268" s="10"/>
    </row>
    <row r="269">
      <c r="F269" s="10"/>
      <c r="G269" s="10"/>
      <c r="K269" s="10"/>
      <c r="L269" s="10"/>
    </row>
    <row r="270">
      <c r="F270" s="10"/>
      <c r="G270" s="10"/>
      <c r="K270" s="10"/>
      <c r="L270" s="10"/>
    </row>
    <row r="271">
      <c r="F271" s="10"/>
      <c r="G271" s="10"/>
      <c r="K271" s="10"/>
      <c r="L271" s="10"/>
    </row>
    <row r="272">
      <c r="F272" s="10"/>
      <c r="G272" s="10"/>
      <c r="K272" s="10"/>
      <c r="L272" s="10"/>
    </row>
    <row r="273">
      <c r="F273" s="10"/>
      <c r="G273" s="10"/>
      <c r="K273" s="10"/>
      <c r="L273" s="10"/>
    </row>
    <row r="274">
      <c r="F274" s="10"/>
      <c r="G274" s="10"/>
      <c r="K274" s="10"/>
      <c r="L274" s="10"/>
    </row>
    <row r="275">
      <c r="F275" s="10"/>
      <c r="G275" s="10"/>
      <c r="K275" s="10"/>
      <c r="L275" s="10"/>
    </row>
    <row r="276">
      <c r="F276" s="10"/>
      <c r="G276" s="10"/>
      <c r="K276" s="10"/>
      <c r="L276" s="10"/>
    </row>
    <row r="277">
      <c r="F277" s="10"/>
      <c r="G277" s="10"/>
      <c r="K277" s="10"/>
      <c r="L277" s="10"/>
    </row>
    <row r="278">
      <c r="F278" s="10"/>
      <c r="G278" s="10"/>
      <c r="K278" s="10"/>
      <c r="L278" s="10"/>
    </row>
    <row r="279">
      <c r="F279" s="10"/>
      <c r="G279" s="10"/>
      <c r="K279" s="10"/>
      <c r="L279" s="10"/>
    </row>
    <row r="280">
      <c r="F280" s="10"/>
      <c r="G280" s="10"/>
      <c r="K280" s="10"/>
      <c r="L280" s="10"/>
    </row>
    <row r="281">
      <c r="F281" s="10"/>
      <c r="G281" s="10"/>
      <c r="K281" s="10"/>
      <c r="L281" s="10"/>
    </row>
    <row r="282">
      <c r="F282" s="10"/>
      <c r="G282" s="10"/>
      <c r="K282" s="10"/>
      <c r="L282" s="10"/>
    </row>
    <row r="283">
      <c r="F283" s="10"/>
      <c r="G283" s="10"/>
      <c r="K283" s="10"/>
      <c r="L283" s="10"/>
    </row>
    <row r="284">
      <c r="F284" s="10"/>
      <c r="G284" s="10"/>
      <c r="K284" s="10"/>
      <c r="L284" s="10"/>
    </row>
    <row r="285">
      <c r="F285" s="10"/>
      <c r="G285" s="10"/>
      <c r="K285" s="10"/>
      <c r="L285" s="10"/>
    </row>
    <row r="286">
      <c r="F286" s="10"/>
      <c r="G286" s="10"/>
      <c r="K286" s="10"/>
      <c r="L286" s="10"/>
    </row>
    <row r="287">
      <c r="F287" s="10"/>
      <c r="G287" s="10"/>
      <c r="K287" s="10"/>
      <c r="L287" s="10"/>
    </row>
    <row r="288">
      <c r="F288" s="10"/>
      <c r="G288" s="10"/>
      <c r="K288" s="10"/>
      <c r="L288" s="10"/>
    </row>
    <row r="289">
      <c r="F289" s="10"/>
      <c r="G289" s="10"/>
      <c r="K289" s="10"/>
      <c r="L289" s="10"/>
    </row>
    <row r="290">
      <c r="F290" s="10"/>
      <c r="G290" s="10"/>
      <c r="K290" s="10"/>
      <c r="L290" s="10"/>
    </row>
    <row r="291">
      <c r="F291" s="10"/>
      <c r="G291" s="10"/>
      <c r="K291" s="10"/>
      <c r="L291" s="10"/>
    </row>
    <row r="292">
      <c r="F292" s="10"/>
      <c r="G292" s="10"/>
      <c r="K292" s="10"/>
      <c r="L292" s="10"/>
    </row>
    <row r="293">
      <c r="F293" s="10"/>
      <c r="G293" s="10"/>
      <c r="K293" s="10"/>
      <c r="L293" s="10"/>
    </row>
    <row r="294">
      <c r="F294" s="10"/>
      <c r="G294" s="10"/>
      <c r="K294" s="10"/>
      <c r="L294" s="10"/>
    </row>
    <row r="295">
      <c r="F295" s="10"/>
      <c r="G295" s="10"/>
      <c r="K295" s="10"/>
      <c r="L295" s="10"/>
    </row>
    <row r="296">
      <c r="F296" s="10"/>
      <c r="G296" s="10"/>
      <c r="K296" s="10"/>
      <c r="L296" s="10"/>
    </row>
    <row r="297">
      <c r="F297" s="10"/>
      <c r="G297" s="10"/>
      <c r="K297" s="10"/>
      <c r="L297" s="10"/>
    </row>
    <row r="298">
      <c r="F298" s="10"/>
      <c r="G298" s="10"/>
      <c r="K298" s="10"/>
      <c r="L298" s="10"/>
    </row>
    <row r="299">
      <c r="F299" s="10"/>
      <c r="G299" s="10"/>
      <c r="K299" s="10"/>
      <c r="L299" s="10"/>
    </row>
    <row r="300">
      <c r="F300" s="10"/>
      <c r="G300" s="10"/>
      <c r="K300" s="10"/>
      <c r="L300" s="10"/>
    </row>
    <row r="301">
      <c r="F301" s="10"/>
      <c r="G301" s="10"/>
      <c r="K301" s="10"/>
      <c r="L301" s="10"/>
    </row>
    <row r="302">
      <c r="F302" s="10"/>
      <c r="G302" s="10"/>
      <c r="K302" s="10"/>
      <c r="L302" s="10"/>
    </row>
    <row r="303">
      <c r="F303" s="10"/>
      <c r="G303" s="10"/>
      <c r="K303" s="10"/>
      <c r="L303" s="10"/>
    </row>
    <row r="304">
      <c r="F304" s="10"/>
      <c r="G304" s="10"/>
      <c r="K304" s="10"/>
      <c r="L304" s="10"/>
    </row>
    <row r="305">
      <c r="F305" s="10"/>
      <c r="G305" s="10"/>
      <c r="K305" s="10"/>
      <c r="L305" s="10"/>
    </row>
    <row r="306">
      <c r="F306" s="10"/>
      <c r="G306" s="10"/>
      <c r="K306" s="10"/>
      <c r="L306" s="10"/>
    </row>
    <row r="307">
      <c r="F307" s="10"/>
      <c r="G307" s="10"/>
      <c r="K307" s="10"/>
      <c r="L307" s="10"/>
    </row>
    <row r="308">
      <c r="F308" s="10"/>
      <c r="G308" s="10"/>
      <c r="K308" s="10"/>
      <c r="L308" s="10"/>
    </row>
    <row r="309">
      <c r="F309" s="10"/>
      <c r="G309" s="10"/>
      <c r="K309" s="10"/>
      <c r="L309" s="10"/>
    </row>
    <row r="310">
      <c r="F310" s="10"/>
      <c r="G310" s="10"/>
      <c r="K310" s="10"/>
      <c r="L310" s="10"/>
    </row>
    <row r="311">
      <c r="F311" s="10"/>
      <c r="G311" s="10"/>
      <c r="K311" s="10"/>
      <c r="L311" s="10"/>
    </row>
    <row r="312">
      <c r="F312" s="10"/>
      <c r="G312" s="10"/>
      <c r="K312" s="10"/>
      <c r="L312" s="10"/>
    </row>
    <row r="313">
      <c r="F313" s="10"/>
      <c r="G313" s="10"/>
      <c r="K313" s="10"/>
      <c r="L313" s="10"/>
    </row>
    <row r="314">
      <c r="F314" s="10"/>
      <c r="G314" s="10"/>
      <c r="K314" s="10"/>
      <c r="L314" s="10"/>
    </row>
    <row r="315">
      <c r="F315" s="10"/>
      <c r="G315" s="10"/>
      <c r="K315" s="10"/>
      <c r="L315" s="10"/>
    </row>
    <row r="316">
      <c r="F316" s="10"/>
      <c r="G316" s="10"/>
      <c r="K316" s="10"/>
      <c r="L316" s="10"/>
    </row>
    <row r="317">
      <c r="F317" s="10"/>
      <c r="G317" s="10"/>
      <c r="K317" s="10"/>
      <c r="L317" s="10"/>
    </row>
    <row r="318">
      <c r="F318" s="10"/>
      <c r="G318" s="10"/>
      <c r="K318" s="10"/>
      <c r="L318" s="10"/>
    </row>
    <row r="319">
      <c r="F319" s="10"/>
      <c r="G319" s="10"/>
      <c r="K319" s="10"/>
      <c r="L319" s="10"/>
    </row>
    <row r="320">
      <c r="F320" s="10"/>
      <c r="G320" s="10"/>
      <c r="K320" s="10"/>
      <c r="L320" s="10"/>
    </row>
    <row r="321">
      <c r="F321" s="10"/>
      <c r="G321" s="10"/>
      <c r="K321" s="10"/>
      <c r="L321" s="10"/>
    </row>
    <row r="322">
      <c r="F322" s="10"/>
      <c r="G322" s="10"/>
      <c r="K322" s="10"/>
      <c r="L322" s="10"/>
    </row>
    <row r="323">
      <c r="F323" s="10"/>
      <c r="G323" s="10"/>
      <c r="K323" s="10"/>
      <c r="L323" s="10"/>
    </row>
    <row r="324">
      <c r="F324" s="10"/>
      <c r="G324" s="10"/>
      <c r="K324" s="10"/>
      <c r="L324" s="10"/>
    </row>
    <row r="325">
      <c r="F325" s="10"/>
      <c r="G325" s="10"/>
      <c r="K325" s="10"/>
      <c r="L325" s="10"/>
    </row>
    <row r="326">
      <c r="F326" s="10"/>
      <c r="G326" s="10"/>
      <c r="K326" s="10"/>
      <c r="L326" s="10"/>
    </row>
    <row r="327">
      <c r="F327" s="10"/>
      <c r="G327" s="10"/>
      <c r="K327" s="10"/>
      <c r="L327" s="10"/>
    </row>
    <row r="328">
      <c r="F328" s="10"/>
      <c r="G328" s="10"/>
      <c r="K328" s="10"/>
      <c r="L328" s="10"/>
    </row>
    <row r="329">
      <c r="F329" s="10"/>
      <c r="G329" s="10"/>
      <c r="K329" s="10"/>
      <c r="L329" s="10"/>
    </row>
    <row r="330">
      <c r="F330" s="10"/>
      <c r="G330" s="10"/>
      <c r="K330" s="10"/>
      <c r="L330" s="10"/>
    </row>
    <row r="331">
      <c r="F331" s="10"/>
      <c r="G331" s="10"/>
      <c r="K331" s="10"/>
      <c r="L331" s="10"/>
    </row>
    <row r="332">
      <c r="F332" s="10"/>
      <c r="G332" s="10"/>
      <c r="K332" s="10"/>
      <c r="L332" s="10"/>
    </row>
    <row r="333">
      <c r="F333" s="10"/>
      <c r="G333" s="10"/>
      <c r="K333" s="10"/>
      <c r="L333" s="10"/>
    </row>
    <row r="334">
      <c r="F334" s="10"/>
      <c r="G334" s="10"/>
      <c r="K334" s="10"/>
      <c r="L334" s="10"/>
    </row>
    <row r="335">
      <c r="F335" s="10"/>
      <c r="G335" s="10"/>
      <c r="K335" s="10"/>
      <c r="L335" s="10"/>
    </row>
    <row r="336">
      <c r="F336" s="10"/>
      <c r="G336" s="10"/>
      <c r="K336" s="10"/>
      <c r="L336" s="10"/>
    </row>
    <row r="337">
      <c r="F337" s="10"/>
      <c r="G337" s="10"/>
      <c r="K337" s="10"/>
      <c r="L337" s="10"/>
    </row>
    <row r="338">
      <c r="F338" s="10"/>
      <c r="G338" s="10"/>
      <c r="K338" s="10"/>
      <c r="L338" s="10"/>
    </row>
    <row r="339">
      <c r="F339" s="10"/>
      <c r="G339" s="10"/>
      <c r="K339" s="10"/>
      <c r="L339" s="10"/>
    </row>
    <row r="340">
      <c r="F340" s="10"/>
      <c r="G340" s="10"/>
      <c r="K340" s="10"/>
      <c r="L340" s="10"/>
    </row>
    <row r="341">
      <c r="F341" s="10"/>
      <c r="G341" s="10"/>
      <c r="K341" s="10"/>
      <c r="L341" s="10"/>
    </row>
    <row r="342">
      <c r="F342" s="10"/>
      <c r="G342" s="10"/>
      <c r="K342" s="10"/>
      <c r="L342" s="10"/>
    </row>
    <row r="343">
      <c r="F343" s="10"/>
      <c r="G343" s="10"/>
      <c r="K343" s="10"/>
      <c r="L343" s="10"/>
    </row>
    <row r="344">
      <c r="F344" s="10"/>
      <c r="G344" s="10"/>
      <c r="K344" s="10"/>
      <c r="L344" s="10"/>
    </row>
    <row r="345">
      <c r="F345" s="10"/>
      <c r="G345" s="10"/>
      <c r="K345" s="10"/>
      <c r="L345" s="10"/>
    </row>
    <row r="346">
      <c r="F346" s="10"/>
      <c r="G346" s="10"/>
      <c r="K346" s="10"/>
      <c r="L346" s="10"/>
    </row>
    <row r="347">
      <c r="F347" s="10"/>
      <c r="G347" s="10"/>
      <c r="K347" s="10"/>
      <c r="L347" s="10"/>
    </row>
    <row r="348">
      <c r="F348" s="10"/>
      <c r="G348" s="10"/>
      <c r="K348" s="10"/>
      <c r="L348" s="10"/>
    </row>
    <row r="349">
      <c r="F349" s="10"/>
      <c r="G349" s="10"/>
      <c r="K349" s="10"/>
      <c r="L349" s="10"/>
    </row>
    <row r="350">
      <c r="F350" s="10"/>
      <c r="G350" s="10"/>
      <c r="K350" s="10"/>
      <c r="L350" s="10"/>
    </row>
    <row r="351">
      <c r="F351" s="10"/>
      <c r="G351" s="10"/>
      <c r="K351" s="10"/>
      <c r="L351" s="10"/>
    </row>
    <row r="352">
      <c r="F352" s="10"/>
      <c r="G352" s="10"/>
      <c r="K352" s="10"/>
      <c r="L352" s="10"/>
    </row>
    <row r="353">
      <c r="F353" s="10"/>
      <c r="G353" s="10"/>
      <c r="K353" s="10"/>
      <c r="L353" s="10"/>
    </row>
    <row r="354">
      <c r="F354" s="10"/>
      <c r="G354" s="10"/>
      <c r="K354" s="10"/>
      <c r="L354" s="10"/>
    </row>
    <row r="355">
      <c r="F355" s="10"/>
      <c r="G355" s="10"/>
      <c r="K355" s="10"/>
      <c r="L355" s="10"/>
    </row>
    <row r="356">
      <c r="F356" s="10"/>
      <c r="G356" s="10"/>
      <c r="K356" s="10"/>
      <c r="L356" s="10"/>
    </row>
    <row r="357">
      <c r="F357" s="10"/>
      <c r="G357" s="10"/>
      <c r="K357" s="10"/>
      <c r="L357" s="10"/>
    </row>
    <row r="358">
      <c r="F358" s="10"/>
      <c r="G358" s="10"/>
      <c r="K358" s="10"/>
      <c r="L358" s="10"/>
    </row>
    <row r="359">
      <c r="F359" s="10"/>
      <c r="G359" s="10"/>
      <c r="K359" s="10"/>
      <c r="L359" s="10"/>
    </row>
    <row r="360">
      <c r="F360" s="10"/>
      <c r="G360" s="10"/>
      <c r="K360" s="10"/>
      <c r="L360" s="10"/>
    </row>
    <row r="361">
      <c r="F361" s="10"/>
      <c r="G361" s="10"/>
      <c r="K361" s="10"/>
      <c r="L361" s="10"/>
    </row>
    <row r="362">
      <c r="F362" s="10"/>
      <c r="G362" s="10"/>
      <c r="K362" s="10"/>
      <c r="L362" s="10"/>
    </row>
    <row r="363">
      <c r="F363" s="10"/>
      <c r="G363" s="10"/>
      <c r="K363" s="10"/>
      <c r="L363" s="10"/>
    </row>
    <row r="364">
      <c r="F364" s="10"/>
      <c r="G364" s="10"/>
      <c r="K364" s="10"/>
      <c r="L364" s="10"/>
    </row>
    <row r="365">
      <c r="F365" s="10"/>
      <c r="G365" s="10"/>
      <c r="K365" s="10"/>
      <c r="L365" s="10"/>
    </row>
    <row r="366">
      <c r="F366" s="10"/>
      <c r="G366" s="10"/>
      <c r="K366" s="10"/>
      <c r="L366" s="10"/>
    </row>
    <row r="367">
      <c r="F367" s="10"/>
      <c r="G367" s="10"/>
      <c r="K367" s="10"/>
      <c r="L367" s="10"/>
    </row>
    <row r="368">
      <c r="F368" s="10"/>
      <c r="G368" s="10"/>
      <c r="K368" s="10"/>
      <c r="L368" s="10"/>
    </row>
    <row r="369">
      <c r="F369" s="10"/>
      <c r="G369" s="10"/>
      <c r="K369" s="10"/>
      <c r="L369" s="10"/>
    </row>
    <row r="370">
      <c r="F370" s="10"/>
      <c r="G370" s="10"/>
      <c r="K370" s="10"/>
      <c r="L370" s="10"/>
    </row>
    <row r="371">
      <c r="F371" s="10"/>
      <c r="G371" s="10"/>
      <c r="K371" s="10"/>
      <c r="L371" s="10"/>
    </row>
    <row r="372">
      <c r="F372" s="10"/>
      <c r="G372" s="10"/>
      <c r="K372" s="10"/>
      <c r="L372" s="10"/>
    </row>
    <row r="373">
      <c r="F373" s="10"/>
      <c r="G373" s="10"/>
      <c r="K373" s="10"/>
      <c r="L373" s="10"/>
    </row>
    <row r="374">
      <c r="F374" s="10"/>
      <c r="G374" s="10"/>
      <c r="K374" s="10"/>
      <c r="L374" s="10"/>
    </row>
    <row r="375">
      <c r="F375" s="10"/>
      <c r="G375" s="10"/>
      <c r="K375" s="10"/>
      <c r="L375" s="10"/>
    </row>
    <row r="376">
      <c r="F376" s="10"/>
      <c r="G376" s="10"/>
      <c r="K376" s="10"/>
      <c r="L376" s="10"/>
    </row>
    <row r="377">
      <c r="F377" s="10"/>
      <c r="G377" s="10"/>
      <c r="K377" s="10"/>
      <c r="L377" s="10"/>
    </row>
    <row r="378">
      <c r="F378" s="10"/>
      <c r="G378" s="10"/>
      <c r="K378" s="10"/>
      <c r="L378" s="10"/>
    </row>
    <row r="379">
      <c r="F379" s="10"/>
      <c r="G379" s="10"/>
      <c r="K379" s="10"/>
      <c r="L379" s="10"/>
    </row>
    <row r="380">
      <c r="F380" s="10"/>
      <c r="G380" s="10"/>
      <c r="K380" s="10"/>
      <c r="L380" s="10"/>
    </row>
    <row r="381">
      <c r="F381" s="10"/>
      <c r="G381" s="10"/>
      <c r="K381" s="10"/>
      <c r="L381" s="10"/>
    </row>
    <row r="382">
      <c r="F382" s="10"/>
      <c r="G382" s="10"/>
      <c r="K382" s="10"/>
      <c r="L382" s="10"/>
    </row>
    <row r="383">
      <c r="F383" s="10"/>
      <c r="G383" s="10"/>
      <c r="K383" s="10"/>
      <c r="L383" s="10"/>
    </row>
    <row r="384">
      <c r="F384" s="10"/>
      <c r="G384" s="10"/>
      <c r="K384" s="10"/>
      <c r="L384" s="10"/>
    </row>
    <row r="385">
      <c r="F385" s="10"/>
      <c r="G385" s="10"/>
      <c r="K385" s="10"/>
      <c r="L385" s="10"/>
    </row>
    <row r="386">
      <c r="F386" s="10"/>
      <c r="G386" s="10"/>
      <c r="K386" s="10"/>
      <c r="L386" s="10"/>
    </row>
    <row r="387">
      <c r="F387" s="10"/>
      <c r="G387" s="10"/>
      <c r="K387" s="10"/>
      <c r="L387" s="10"/>
    </row>
    <row r="388">
      <c r="F388" s="10"/>
      <c r="G388" s="10"/>
      <c r="K388" s="10"/>
      <c r="L388" s="10"/>
    </row>
    <row r="389">
      <c r="F389" s="10"/>
      <c r="G389" s="10"/>
      <c r="K389" s="10"/>
      <c r="L389" s="10"/>
    </row>
    <row r="390">
      <c r="F390" s="10"/>
      <c r="G390" s="10"/>
      <c r="K390" s="10"/>
      <c r="L390" s="10"/>
    </row>
    <row r="391">
      <c r="F391" s="10"/>
      <c r="G391" s="10"/>
      <c r="K391" s="10"/>
      <c r="L391" s="10"/>
    </row>
    <row r="392">
      <c r="F392" s="10"/>
      <c r="G392" s="10"/>
      <c r="K392" s="10"/>
      <c r="L392" s="10"/>
    </row>
    <row r="393">
      <c r="F393" s="10"/>
      <c r="G393" s="10"/>
      <c r="K393" s="10"/>
      <c r="L393" s="10"/>
    </row>
    <row r="394">
      <c r="F394" s="10"/>
      <c r="G394" s="10"/>
      <c r="K394" s="10"/>
      <c r="L394" s="10"/>
    </row>
    <row r="395">
      <c r="F395" s="10"/>
      <c r="G395" s="10"/>
      <c r="K395" s="10"/>
      <c r="L395" s="10"/>
    </row>
    <row r="396">
      <c r="F396" s="10"/>
      <c r="G396" s="10"/>
      <c r="K396" s="10"/>
      <c r="L396" s="10"/>
    </row>
    <row r="397">
      <c r="F397" s="10"/>
      <c r="G397" s="10"/>
      <c r="K397" s="10"/>
      <c r="L397" s="10"/>
    </row>
    <row r="398">
      <c r="F398" s="10"/>
      <c r="G398" s="10"/>
      <c r="K398" s="10"/>
      <c r="L398" s="10"/>
    </row>
    <row r="399">
      <c r="F399" s="10"/>
      <c r="G399" s="10"/>
      <c r="K399" s="10"/>
      <c r="L399" s="10"/>
    </row>
    <row r="400">
      <c r="F400" s="10"/>
      <c r="G400" s="10"/>
      <c r="K400" s="10"/>
      <c r="L400" s="10"/>
    </row>
    <row r="401">
      <c r="F401" s="10"/>
      <c r="G401" s="10"/>
      <c r="K401" s="10"/>
      <c r="L401" s="10"/>
    </row>
    <row r="402">
      <c r="F402" s="10"/>
      <c r="G402" s="10"/>
      <c r="K402" s="10"/>
      <c r="L402" s="10"/>
    </row>
    <row r="403">
      <c r="F403" s="10"/>
      <c r="G403" s="10"/>
      <c r="K403" s="10"/>
      <c r="L403" s="10"/>
    </row>
    <row r="404">
      <c r="F404" s="10"/>
      <c r="G404" s="10"/>
      <c r="K404" s="10"/>
      <c r="L404" s="10"/>
    </row>
    <row r="405">
      <c r="F405" s="10"/>
      <c r="G405" s="10"/>
      <c r="K405" s="10"/>
      <c r="L405" s="10"/>
    </row>
    <row r="406">
      <c r="F406" s="10"/>
      <c r="G406" s="10"/>
      <c r="K406" s="10"/>
      <c r="L406" s="10"/>
    </row>
    <row r="407">
      <c r="F407" s="10"/>
      <c r="G407" s="10"/>
      <c r="K407" s="10"/>
      <c r="L407" s="10"/>
    </row>
    <row r="408">
      <c r="F408" s="10"/>
      <c r="G408" s="10"/>
      <c r="K408" s="10"/>
      <c r="L408" s="10"/>
    </row>
    <row r="409">
      <c r="F409" s="10"/>
      <c r="G409" s="10"/>
      <c r="K409" s="10"/>
      <c r="L409" s="10"/>
    </row>
    <row r="410">
      <c r="F410" s="10"/>
      <c r="G410" s="10"/>
      <c r="K410" s="10"/>
      <c r="L410" s="10"/>
    </row>
    <row r="411">
      <c r="F411" s="10"/>
      <c r="G411" s="10"/>
      <c r="K411" s="10"/>
      <c r="L411" s="10"/>
    </row>
    <row r="412">
      <c r="F412" s="10"/>
      <c r="G412" s="10"/>
      <c r="K412" s="10"/>
      <c r="L412" s="10"/>
    </row>
    <row r="413">
      <c r="F413" s="10"/>
      <c r="G413" s="10"/>
      <c r="K413" s="10"/>
      <c r="L413" s="10"/>
    </row>
    <row r="414">
      <c r="F414" s="10"/>
      <c r="G414" s="10"/>
      <c r="K414" s="10"/>
      <c r="L414" s="10"/>
    </row>
    <row r="415">
      <c r="F415" s="10"/>
      <c r="G415" s="10"/>
      <c r="K415" s="10"/>
      <c r="L415" s="10"/>
    </row>
    <row r="416">
      <c r="F416" s="10"/>
      <c r="G416" s="10"/>
      <c r="K416" s="10"/>
      <c r="L416" s="10"/>
    </row>
    <row r="417">
      <c r="F417" s="10"/>
      <c r="G417" s="10"/>
      <c r="K417" s="10"/>
      <c r="L417" s="10"/>
    </row>
    <row r="418">
      <c r="F418" s="10"/>
      <c r="G418" s="10"/>
      <c r="K418" s="10"/>
      <c r="L418" s="10"/>
    </row>
    <row r="419">
      <c r="F419" s="10"/>
      <c r="G419" s="10"/>
      <c r="K419" s="10"/>
      <c r="L419" s="10"/>
    </row>
    <row r="420">
      <c r="F420" s="10"/>
      <c r="G420" s="10"/>
      <c r="K420" s="10"/>
      <c r="L420" s="10"/>
    </row>
    <row r="421">
      <c r="F421" s="10"/>
      <c r="G421" s="10"/>
      <c r="K421" s="10"/>
      <c r="L421" s="10"/>
    </row>
    <row r="422">
      <c r="F422" s="10"/>
      <c r="G422" s="10"/>
      <c r="K422" s="10"/>
      <c r="L422" s="10"/>
    </row>
    <row r="423">
      <c r="F423" s="10"/>
      <c r="G423" s="10"/>
      <c r="K423" s="10"/>
      <c r="L423" s="10"/>
    </row>
    <row r="424">
      <c r="F424" s="10"/>
      <c r="G424" s="10"/>
      <c r="K424" s="10"/>
      <c r="L424" s="10"/>
    </row>
    <row r="425">
      <c r="F425" s="10"/>
      <c r="G425" s="10"/>
      <c r="K425" s="10"/>
      <c r="L425" s="10"/>
    </row>
    <row r="426">
      <c r="F426" s="10"/>
      <c r="G426" s="10"/>
      <c r="K426" s="10"/>
      <c r="L426" s="10"/>
    </row>
    <row r="427">
      <c r="F427" s="10"/>
      <c r="G427" s="10"/>
      <c r="K427" s="10"/>
      <c r="L427" s="10"/>
    </row>
    <row r="428">
      <c r="F428" s="10"/>
      <c r="G428" s="10"/>
      <c r="K428" s="10"/>
      <c r="L428" s="10"/>
    </row>
    <row r="429">
      <c r="F429" s="10"/>
      <c r="G429" s="10"/>
      <c r="K429" s="10"/>
      <c r="L429" s="10"/>
    </row>
    <row r="430">
      <c r="F430" s="10"/>
      <c r="G430" s="10"/>
      <c r="K430" s="10"/>
      <c r="L430" s="10"/>
    </row>
    <row r="431">
      <c r="F431" s="10"/>
      <c r="G431" s="10"/>
      <c r="K431" s="10"/>
      <c r="L431" s="10"/>
    </row>
    <row r="432">
      <c r="F432" s="10"/>
      <c r="G432" s="10"/>
      <c r="K432" s="10"/>
      <c r="L432" s="10"/>
    </row>
    <row r="433">
      <c r="F433" s="10"/>
      <c r="G433" s="10"/>
      <c r="K433" s="10"/>
      <c r="L433" s="10"/>
    </row>
    <row r="434">
      <c r="F434" s="10"/>
      <c r="G434" s="10"/>
      <c r="K434" s="10"/>
      <c r="L434" s="10"/>
    </row>
    <row r="435">
      <c r="F435" s="10"/>
      <c r="G435" s="10"/>
      <c r="K435" s="10"/>
      <c r="L435" s="10"/>
    </row>
    <row r="436">
      <c r="F436" s="10"/>
      <c r="G436" s="10"/>
      <c r="K436" s="10"/>
      <c r="L436" s="10"/>
    </row>
    <row r="437">
      <c r="F437" s="10"/>
      <c r="G437" s="10"/>
      <c r="K437" s="10"/>
      <c r="L437" s="10"/>
    </row>
    <row r="438">
      <c r="F438" s="10"/>
      <c r="G438" s="10"/>
      <c r="K438" s="10"/>
      <c r="L438" s="10"/>
    </row>
    <row r="439">
      <c r="F439" s="10"/>
      <c r="G439" s="10"/>
      <c r="K439" s="10"/>
      <c r="L439" s="10"/>
    </row>
    <row r="440">
      <c r="F440" s="10"/>
      <c r="G440" s="10"/>
      <c r="K440" s="10"/>
      <c r="L440" s="10"/>
    </row>
    <row r="441">
      <c r="F441" s="10"/>
      <c r="G441" s="10"/>
      <c r="K441" s="10"/>
      <c r="L441" s="10"/>
    </row>
    <row r="442">
      <c r="F442" s="10"/>
      <c r="G442" s="10"/>
      <c r="K442" s="10"/>
      <c r="L442" s="10"/>
    </row>
    <row r="443">
      <c r="F443" s="10"/>
      <c r="G443" s="10"/>
      <c r="K443" s="10"/>
      <c r="L443" s="10"/>
    </row>
    <row r="444">
      <c r="F444" s="10"/>
      <c r="G444" s="10"/>
      <c r="K444" s="10"/>
      <c r="L444" s="10"/>
    </row>
    <row r="445">
      <c r="F445" s="10"/>
      <c r="G445" s="10"/>
      <c r="K445" s="10"/>
      <c r="L445" s="10"/>
    </row>
    <row r="446">
      <c r="F446" s="10"/>
      <c r="G446" s="10"/>
      <c r="K446" s="10"/>
      <c r="L446" s="10"/>
    </row>
    <row r="447">
      <c r="F447" s="10"/>
      <c r="G447" s="10"/>
      <c r="K447" s="10"/>
      <c r="L447" s="10"/>
    </row>
    <row r="448">
      <c r="F448" s="10"/>
      <c r="G448" s="10"/>
      <c r="K448" s="10"/>
      <c r="L448" s="10"/>
    </row>
    <row r="449">
      <c r="F449" s="10"/>
      <c r="G449" s="10"/>
      <c r="K449" s="10"/>
      <c r="L449" s="10"/>
    </row>
    <row r="450">
      <c r="F450" s="10"/>
      <c r="G450" s="10"/>
      <c r="K450" s="10"/>
      <c r="L450" s="10"/>
    </row>
    <row r="451">
      <c r="F451" s="10"/>
      <c r="G451" s="10"/>
      <c r="K451" s="10"/>
      <c r="L451" s="10"/>
    </row>
    <row r="452">
      <c r="F452" s="10"/>
      <c r="G452" s="10"/>
      <c r="K452" s="10"/>
      <c r="L452" s="10"/>
    </row>
    <row r="453">
      <c r="F453" s="10"/>
      <c r="G453" s="10"/>
      <c r="K453" s="10"/>
      <c r="L453" s="10"/>
    </row>
    <row r="454">
      <c r="F454" s="10"/>
      <c r="G454" s="10"/>
      <c r="K454" s="10"/>
      <c r="L454" s="10"/>
    </row>
    <row r="455">
      <c r="F455" s="10"/>
      <c r="G455" s="10"/>
      <c r="K455" s="10"/>
      <c r="L455" s="10"/>
    </row>
    <row r="456">
      <c r="F456" s="10"/>
      <c r="G456" s="10"/>
      <c r="K456" s="10"/>
      <c r="L456" s="10"/>
    </row>
    <row r="457">
      <c r="F457" s="10"/>
      <c r="G457" s="10"/>
      <c r="K457" s="10"/>
      <c r="L457" s="10"/>
    </row>
    <row r="458">
      <c r="F458" s="10"/>
      <c r="G458" s="10"/>
      <c r="K458" s="10"/>
      <c r="L458" s="10"/>
    </row>
    <row r="459">
      <c r="F459" s="10"/>
      <c r="G459" s="10"/>
      <c r="K459" s="10"/>
      <c r="L459" s="10"/>
    </row>
    <row r="460">
      <c r="F460" s="10"/>
      <c r="G460" s="10"/>
      <c r="K460" s="10"/>
      <c r="L460" s="10"/>
    </row>
    <row r="461">
      <c r="F461" s="10"/>
      <c r="G461" s="10"/>
      <c r="K461" s="10"/>
      <c r="L461" s="10"/>
    </row>
    <row r="462">
      <c r="F462" s="10"/>
      <c r="G462" s="10"/>
      <c r="K462" s="10"/>
      <c r="L462" s="10"/>
    </row>
    <row r="463">
      <c r="F463" s="10"/>
      <c r="G463" s="10"/>
      <c r="K463" s="10"/>
      <c r="L463" s="10"/>
    </row>
    <row r="464">
      <c r="F464" s="10"/>
      <c r="G464" s="10"/>
      <c r="K464" s="10"/>
      <c r="L464" s="10"/>
    </row>
    <row r="465">
      <c r="F465" s="10"/>
      <c r="G465" s="10"/>
      <c r="K465" s="10"/>
      <c r="L465" s="10"/>
    </row>
    <row r="466">
      <c r="F466" s="10"/>
      <c r="G466" s="10"/>
      <c r="K466" s="10"/>
      <c r="L466" s="10"/>
    </row>
    <row r="467">
      <c r="F467" s="10"/>
      <c r="G467" s="10"/>
      <c r="K467" s="10"/>
      <c r="L467" s="10"/>
    </row>
    <row r="468">
      <c r="F468" s="10"/>
      <c r="G468" s="10"/>
      <c r="K468" s="10"/>
      <c r="L468" s="10"/>
    </row>
    <row r="469">
      <c r="F469" s="10"/>
      <c r="G469" s="10"/>
      <c r="K469" s="10"/>
      <c r="L469" s="10"/>
    </row>
    <row r="470">
      <c r="F470" s="10"/>
      <c r="G470" s="10"/>
      <c r="K470" s="10"/>
      <c r="L470" s="10"/>
    </row>
    <row r="471">
      <c r="F471" s="10"/>
      <c r="G471" s="10"/>
      <c r="K471" s="10"/>
      <c r="L471" s="10"/>
    </row>
    <row r="472">
      <c r="F472" s="10"/>
      <c r="G472" s="10"/>
      <c r="K472" s="10"/>
      <c r="L472" s="10"/>
    </row>
    <row r="473">
      <c r="F473" s="10"/>
      <c r="G473" s="10"/>
      <c r="K473" s="10"/>
      <c r="L473" s="10"/>
    </row>
    <row r="474">
      <c r="F474" s="10"/>
      <c r="G474" s="10"/>
      <c r="K474" s="10"/>
      <c r="L474" s="10"/>
    </row>
    <row r="475">
      <c r="F475" s="10"/>
      <c r="G475" s="10"/>
      <c r="K475" s="10"/>
      <c r="L475" s="10"/>
    </row>
    <row r="476">
      <c r="F476" s="10"/>
      <c r="G476" s="10"/>
      <c r="K476" s="10"/>
      <c r="L476" s="10"/>
    </row>
    <row r="477">
      <c r="F477" s="10"/>
      <c r="G477" s="10"/>
      <c r="K477" s="10"/>
      <c r="L477" s="10"/>
    </row>
    <row r="478">
      <c r="F478" s="10"/>
      <c r="G478" s="10"/>
      <c r="K478" s="10"/>
      <c r="L478" s="10"/>
    </row>
    <row r="479">
      <c r="F479" s="10"/>
      <c r="G479" s="10"/>
      <c r="K479" s="10"/>
      <c r="L479" s="10"/>
    </row>
    <row r="480">
      <c r="F480" s="10"/>
      <c r="G480" s="10"/>
      <c r="K480" s="10"/>
      <c r="L480" s="10"/>
    </row>
    <row r="481">
      <c r="F481" s="10"/>
      <c r="G481" s="10"/>
      <c r="K481" s="10"/>
      <c r="L481" s="10"/>
    </row>
    <row r="482">
      <c r="F482" s="10"/>
      <c r="G482" s="10"/>
      <c r="K482" s="10"/>
      <c r="L482" s="10"/>
    </row>
    <row r="483">
      <c r="F483" s="10"/>
      <c r="G483" s="10"/>
      <c r="K483" s="10"/>
      <c r="L483" s="10"/>
    </row>
    <row r="484">
      <c r="F484" s="10"/>
      <c r="G484" s="10"/>
      <c r="K484" s="10"/>
      <c r="L484" s="10"/>
    </row>
    <row r="485">
      <c r="F485" s="10"/>
      <c r="G485" s="10"/>
      <c r="K485" s="10"/>
      <c r="L485" s="10"/>
    </row>
    <row r="486">
      <c r="F486" s="10"/>
      <c r="G486" s="10"/>
      <c r="K486" s="10"/>
      <c r="L486" s="10"/>
    </row>
    <row r="487">
      <c r="F487" s="10"/>
      <c r="G487" s="10"/>
      <c r="K487" s="10"/>
      <c r="L487" s="10"/>
    </row>
    <row r="488">
      <c r="F488" s="10"/>
      <c r="G488" s="10"/>
      <c r="K488" s="10"/>
      <c r="L488" s="10"/>
    </row>
    <row r="489">
      <c r="F489" s="10"/>
      <c r="G489" s="10"/>
      <c r="K489" s="10"/>
      <c r="L489" s="10"/>
    </row>
    <row r="490">
      <c r="F490" s="10"/>
      <c r="G490" s="10"/>
      <c r="K490" s="10"/>
      <c r="L490" s="10"/>
    </row>
    <row r="491">
      <c r="F491" s="10"/>
      <c r="G491" s="10"/>
      <c r="K491" s="10"/>
      <c r="L491" s="10"/>
    </row>
    <row r="492">
      <c r="F492" s="10"/>
      <c r="G492" s="10"/>
      <c r="K492" s="10"/>
      <c r="L492" s="10"/>
    </row>
    <row r="493">
      <c r="F493" s="10"/>
      <c r="G493" s="10"/>
      <c r="K493" s="10"/>
      <c r="L493" s="10"/>
    </row>
    <row r="494">
      <c r="F494" s="10"/>
      <c r="G494" s="10"/>
      <c r="K494" s="10"/>
      <c r="L494" s="10"/>
    </row>
    <row r="495">
      <c r="F495" s="10"/>
      <c r="G495" s="10"/>
      <c r="K495" s="10"/>
      <c r="L495" s="10"/>
    </row>
    <row r="496">
      <c r="F496" s="10"/>
      <c r="G496" s="10"/>
      <c r="K496" s="10"/>
      <c r="L496" s="10"/>
    </row>
    <row r="497">
      <c r="F497" s="10"/>
      <c r="G497" s="10"/>
      <c r="K497" s="10"/>
      <c r="L497" s="10"/>
    </row>
    <row r="498">
      <c r="F498" s="10"/>
      <c r="G498" s="10"/>
      <c r="K498" s="10"/>
      <c r="L498" s="10"/>
    </row>
    <row r="499">
      <c r="F499" s="10"/>
      <c r="G499" s="10"/>
      <c r="K499" s="10"/>
      <c r="L499" s="10"/>
    </row>
    <row r="500">
      <c r="F500" s="10"/>
      <c r="G500" s="10"/>
      <c r="K500" s="10"/>
      <c r="L500" s="10"/>
    </row>
    <row r="501">
      <c r="F501" s="10"/>
      <c r="G501" s="10"/>
      <c r="K501" s="10"/>
      <c r="L501" s="10"/>
    </row>
    <row r="502">
      <c r="F502" s="10"/>
      <c r="G502" s="10"/>
      <c r="K502" s="10"/>
      <c r="L502" s="10"/>
    </row>
    <row r="503">
      <c r="F503" s="10"/>
      <c r="G503" s="10"/>
      <c r="K503" s="10"/>
      <c r="L503" s="10"/>
    </row>
    <row r="504">
      <c r="F504" s="10"/>
      <c r="G504" s="10"/>
      <c r="K504" s="10"/>
      <c r="L504" s="10"/>
    </row>
    <row r="505">
      <c r="F505" s="10"/>
      <c r="G505" s="10"/>
      <c r="K505" s="10"/>
      <c r="L505" s="10"/>
    </row>
    <row r="506">
      <c r="F506" s="10"/>
      <c r="G506" s="10"/>
      <c r="K506" s="10"/>
      <c r="L506" s="10"/>
    </row>
    <row r="507">
      <c r="F507" s="10"/>
      <c r="G507" s="10"/>
      <c r="K507" s="10"/>
      <c r="L507" s="10"/>
    </row>
    <row r="508">
      <c r="F508" s="10"/>
      <c r="G508" s="10"/>
      <c r="K508" s="10"/>
      <c r="L508" s="10"/>
    </row>
    <row r="509">
      <c r="F509" s="10"/>
      <c r="G509" s="10"/>
      <c r="K509" s="10"/>
      <c r="L509" s="10"/>
    </row>
    <row r="510">
      <c r="F510" s="10"/>
      <c r="G510" s="10"/>
      <c r="K510" s="10"/>
      <c r="L510" s="10"/>
    </row>
    <row r="511">
      <c r="F511" s="10"/>
      <c r="G511" s="10"/>
      <c r="K511" s="10"/>
      <c r="L511" s="10"/>
    </row>
    <row r="512">
      <c r="F512" s="10"/>
      <c r="G512" s="10"/>
      <c r="K512" s="10"/>
      <c r="L512" s="10"/>
    </row>
    <row r="513">
      <c r="F513" s="10"/>
      <c r="G513" s="10"/>
      <c r="K513" s="10"/>
      <c r="L513" s="10"/>
    </row>
    <row r="514">
      <c r="F514" s="10"/>
      <c r="G514" s="10"/>
      <c r="K514" s="10"/>
      <c r="L514" s="10"/>
    </row>
    <row r="515">
      <c r="F515" s="10"/>
      <c r="G515" s="10"/>
      <c r="K515" s="10"/>
      <c r="L515" s="10"/>
    </row>
    <row r="516">
      <c r="F516" s="10"/>
      <c r="G516" s="10"/>
      <c r="K516" s="10"/>
      <c r="L516" s="10"/>
    </row>
    <row r="517">
      <c r="F517" s="10"/>
      <c r="G517" s="10"/>
      <c r="K517" s="10"/>
      <c r="L517" s="10"/>
    </row>
    <row r="518">
      <c r="F518" s="10"/>
      <c r="G518" s="10"/>
      <c r="K518" s="10"/>
      <c r="L518" s="10"/>
    </row>
    <row r="519">
      <c r="F519" s="10"/>
      <c r="G519" s="10"/>
      <c r="K519" s="10"/>
      <c r="L519" s="10"/>
    </row>
    <row r="520">
      <c r="F520" s="10"/>
      <c r="G520" s="10"/>
      <c r="K520" s="10"/>
      <c r="L520" s="10"/>
    </row>
    <row r="521">
      <c r="F521" s="10"/>
      <c r="G521" s="10"/>
      <c r="K521" s="10"/>
      <c r="L521" s="10"/>
    </row>
    <row r="522">
      <c r="F522" s="10"/>
      <c r="G522" s="10"/>
      <c r="K522" s="10"/>
      <c r="L522" s="10"/>
    </row>
    <row r="523">
      <c r="F523" s="10"/>
      <c r="G523" s="10"/>
      <c r="K523" s="10"/>
      <c r="L523" s="10"/>
    </row>
    <row r="524">
      <c r="F524" s="10"/>
      <c r="G524" s="10"/>
      <c r="K524" s="10"/>
      <c r="L524" s="10"/>
    </row>
    <row r="525">
      <c r="F525" s="10"/>
      <c r="G525" s="10"/>
      <c r="K525" s="10"/>
      <c r="L525" s="10"/>
    </row>
    <row r="526">
      <c r="F526" s="10"/>
      <c r="G526" s="10"/>
      <c r="K526" s="10"/>
      <c r="L526" s="10"/>
    </row>
    <row r="527">
      <c r="F527" s="10"/>
      <c r="G527" s="10"/>
      <c r="K527" s="10"/>
      <c r="L527" s="10"/>
    </row>
    <row r="528">
      <c r="F528" s="10"/>
      <c r="G528" s="10"/>
      <c r="K528" s="10"/>
      <c r="L528" s="10"/>
    </row>
    <row r="529">
      <c r="F529" s="10"/>
      <c r="G529" s="10"/>
      <c r="K529" s="10"/>
      <c r="L529" s="10"/>
    </row>
    <row r="530">
      <c r="F530" s="10"/>
      <c r="G530" s="10"/>
      <c r="K530" s="10"/>
      <c r="L530" s="10"/>
    </row>
    <row r="531">
      <c r="F531" s="10"/>
      <c r="G531" s="10"/>
      <c r="K531" s="10"/>
      <c r="L531" s="10"/>
    </row>
    <row r="532">
      <c r="F532" s="10"/>
      <c r="G532" s="10"/>
      <c r="K532" s="10"/>
      <c r="L532" s="10"/>
    </row>
    <row r="533">
      <c r="F533" s="10"/>
      <c r="G533" s="10"/>
      <c r="K533" s="10"/>
      <c r="L533" s="10"/>
    </row>
    <row r="534">
      <c r="F534" s="10"/>
      <c r="G534" s="10"/>
      <c r="K534" s="10"/>
      <c r="L534" s="10"/>
    </row>
    <row r="535">
      <c r="F535" s="10"/>
      <c r="G535" s="10"/>
      <c r="K535" s="10"/>
      <c r="L535" s="10"/>
    </row>
    <row r="536">
      <c r="F536" s="10"/>
      <c r="G536" s="10"/>
      <c r="K536" s="10"/>
      <c r="L536" s="10"/>
    </row>
    <row r="537">
      <c r="F537" s="10"/>
      <c r="G537" s="10"/>
      <c r="K537" s="10"/>
      <c r="L537" s="10"/>
    </row>
    <row r="538">
      <c r="F538" s="10"/>
      <c r="G538" s="10"/>
      <c r="K538" s="10"/>
      <c r="L538" s="10"/>
    </row>
    <row r="539">
      <c r="F539" s="10"/>
      <c r="G539" s="10"/>
      <c r="K539" s="10"/>
      <c r="L539" s="10"/>
    </row>
    <row r="540">
      <c r="F540" s="10"/>
      <c r="G540" s="10"/>
      <c r="K540" s="10"/>
      <c r="L540" s="10"/>
    </row>
    <row r="541">
      <c r="F541" s="10"/>
      <c r="G541" s="10"/>
      <c r="K541" s="10"/>
      <c r="L541" s="10"/>
    </row>
    <row r="542">
      <c r="F542" s="10"/>
      <c r="G542" s="10"/>
      <c r="K542" s="10"/>
      <c r="L542" s="10"/>
    </row>
    <row r="543">
      <c r="F543" s="10"/>
      <c r="G543" s="10"/>
      <c r="K543" s="10"/>
      <c r="L543" s="10"/>
    </row>
    <row r="544">
      <c r="F544" s="10"/>
      <c r="G544" s="10"/>
      <c r="K544" s="10"/>
      <c r="L544" s="10"/>
    </row>
    <row r="545">
      <c r="F545" s="10"/>
      <c r="G545" s="10"/>
      <c r="K545" s="10"/>
      <c r="L545" s="10"/>
    </row>
    <row r="546">
      <c r="F546" s="10"/>
      <c r="G546" s="10"/>
      <c r="K546" s="10"/>
      <c r="L546" s="10"/>
    </row>
    <row r="547">
      <c r="F547" s="10"/>
      <c r="G547" s="10"/>
      <c r="K547" s="10"/>
      <c r="L547" s="10"/>
    </row>
    <row r="548">
      <c r="F548" s="10"/>
      <c r="G548" s="10"/>
      <c r="K548" s="10"/>
      <c r="L548" s="10"/>
    </row>
    <row r="549">
      <c r="F549" s="10"/>
      <c r="G549" s="10"/>
      <c r="K549" s="10"/>
      <c r="L549" s="10"/>
    </row>
    <row r="550">
      <c r="F550" s="10"/>
      <c r="G550" s="10"/>
      <c r="K550" s="10"/>
      <c r="L550" s="10"/>
    </row>
    <row r="551">
      <c r="F551" s="10"/>
      <c r="G551" s="10"/>
      <c r="K551" s="10"/>
      <c r="L551" s="10"/>
    </row>
    <row r="552">
      <c r="F552" s="10"/>
      <c r="G552" s="10"/>
      <c r="K552" s="10"/>
      <c r="L552" s="10"/>
    </row>
    <row r="553">
      <c r="F553" s="10"/>
      <c r="G553" s="10"/>
      <c r="K553" s="10"/>
      <c r="L553" s="10"/>
    </row>
    <row r="554">
      <c r="F554" s="10"/>
      <c r="G554" s="10"/>
      <c r="K554" s="10"/>
      <c r="L554" s="10"/>
    </row>
    <row r="555">
      <c r="F555" s="10"/>
      <c r="G555" s="10"/>
      <c r="K555" s="10"/>
      <c r="L555" s="10"/>
    </row>
    <row r="556">
      <c r="F556" s="10"/>
      <c r="G556" s="10"/>
      <c r="K556" s="10"/>
      <c r="L556" s="10"/>
    </row>
    <row r="557">
      <c r="F557" s="10"/>
      <c r="G557" s="10"/>
      <c r="K557" s="10"/>
      <c r="L557" s="10"/>
    </row>
    <row r="558">
      <c r="F558" s="10"/>
      <c r="G558" s="10"/>
      <c r="K558" s="10"/>
      <c r="L558" s="10"/>
    </row>
    <row r="559">
      <c r="F559" s="10"/>
      <c r="G559" s="10"/>
      <c r="K559" s="10"/>
      <c r="L559" s="10"/>
    </row>
    <row r="560">
      <c r="F560" s="10"/>
      <c r="G560" s="10"/>
      <c r="K560" s="10"/>
      <c r="L560" s="10"/>
    </row>
    <row r="561">
      <c r="F561" s="10"/>
      <c r="G561" s="10"/>
      <c r="K561" s="10"/>
      <c r="L561" s="10"/>
    </row>
    <row r="562">
      <c r="F562" s="10"/>
      <c r="G562" s="10"/>
      <c r="K562" s="10"/>
      <c r="L562" s="10"/>
    </row>
    <row r="563">
      <c r="F563" s="10"/>
      <c r="G563" s="10"/>
      <c r="K563" s="10"/>
      <c r="L563" s="10"/>
    </row>
    <row r="564">
      <c r="F564" s="10"/>
      <c r="G564" s="10"/>
      <c r="K564" s="10"/>
      <c r="L564" s="10"/>
    </row>
    <row r="565">
      <c r="F565" s="10"/>
      <c r="G565" s="10"/>
      <c r="K565" s="10"/>
      <c r="L565" s="10"/>
    </row>
    <row r="566">
      <c r="F566" s="10"/>
      <c r="G566" s="10"/>
      <c r="K566" s="10"/>
      <c r="L566" s="10"/>
    </row>
    <row r="567">
      <c r="F567" s="10"/>
      <c r="G567" s="10"/>
      <c r="K567" s="10"/>
      <c r="L567" s="10"/>
    </row>
    <row r="568">
      <c r="F568" s="10"/>
      <c r="G568" s="10"/>
      <c r="K568" s="10"/>
      <c r="L568" s="10"/>
    </row>
    <row r="569">
      <c r="F569" s="10"/>
      <c r="G569" s="10"/>
      <c r="K569" s="10"/>
      <c r="L569" s="10"/>
    </row>
    <row r="570">
      <c r="F570" s="10"/>
      <c r="G570" s="10"/>
      <c r="K570" s="10"/>
      <c r="L570" s="10"/>
    </row>
    <row r="571">
      <c r="F571" s="10"/>
      <c r="G571" s="10"/>
      <c r="K571" s="10"/>
      <c r="L571" s="10"/>
    </row>
    <row r="572">
      <c r="F572" s="10"/>
      <c r="G572" s="10"/>
      <c r="K572" s="10"/>
      <c r="L572" s="10"/>
    </row>
    <row r="573">
      <c r="F573" s="10"/>
      <c r="G573" s="10"/>
      <c r="K573" s="10"/>
      <c r="L573" s="10"/>
    </row>
    <row r="574">
      <c r="F574" s="10"/>
      <c r="G574" s="10"/>
      <c r="K574" s="10"/>
      <c r="L574" s="10"/>
    </row>
    <row r="575">
      <c r="F575" s="10"/>
      <c r="G575" s="10"/>
      <c r="K575" s="10"/>
      <c r="L575" s="10"/>
    </row>
    <row r="576">
      <c r="F576" s="10"/>
      <c r="G576" s="10"/>
      <c r="K576" s="10"/>
      <c r="L576" s="10"/>
    </row>
    <row r="577">
      <c r="F577" s="10"/>
      <c r="G577" s="10"/>
      <c r="K577" s="10"/>
      <c r="L577" s="10"/>
    </row>
    <row r="578">
      <c r="F578" s="10"/>
      <c r="G578" s="10"/>
      <c r="K578" s="10"/>
      <c r="L578" s="10"/>
    </row>
    <row r="579">
      <c r="F579" s="10"/>
      <c r="G579" s="10"/>
      <c r="K579" s="10"/>
      <c r="L579" s="10"/>
    </row>
    <row r="580">
      <c r="F580" s="10"/>
      <c r="G580" s="10"/>
      <c r="K580" s="10"/>
      <c r="L580" s="10"/>
    </row>
    <row r="581">
      <c r="F581" s="10"/>
      <c r="G581" s="10"/>
      <c r="K581" s="10"/>
      <c r="L581" s="10"/>
    </row>
    <row r="582">
      <c r="F582" s="10"/>
      <c r="G582" s="10"/>
      <c r="K582" s="10"/>
      <c r="L582" s="10"/>
    </row>
    <row r="583">
      <c r="F583" s="10"/>
      <c r="G583" s="10"/>
      <c r="K583" s="10"/>
      <c r="L583" s="10"/>
    </row>
    <row r="584">
      <c r="F584" s="10"/>
      <c r="G584" s="10"/>
      <c r="K584" s="10"/>
      <c r="L584" s="10"/>
    </row>
    <row r="585">
      <c r="F585" s="10"/>
      <c r="G585" s="10"/>
      <c r="K585" s="10"/>
      <c r="L585" s="10"/>
    </row>
    <row r="586">
      <c r="F586" s="10"/>
      <c r="G586" s="10"/>
      <c r="K586" s="10"/>
      <c r="L586" s="10"/>
    </row>
    <row r="587">
      <c r="F587" s="10"/>
      <c r="G587" s="10"/>
      <c r="K587" s="10"/>
      <c r="L587" s="10"/>
    </row>
    <row r="588">
      <c r="F588" s="10"/>
      <c r="G588" s="10"/>
      <c r="K588" s="10"/>
      <c r="L588" s="10"/>
    </row>
    <row r="589">
      <c r="F589" s="10"/>
      <c r="G589" s="10"/>
      <c r="K589" s="10"/>
      <c r="L589" s="10"/>
    </row>
    <row r="590">
      <c r="F590" s="10"/>
      <c r="G590" s="10"/>
      <c r="K590" s="10"/>
      <c r="L590" s="10"/>
    </row>
    <row r="591">
      <c r="F591" s="10"/>
      <c r="G591" s="10"/>
      <c r="K591" s="10"/>
      <c r="L591" s="10"/>
    </row>
    <row r="592">
      <c r="F592" s="10"/>
      <c r="G592" s="10"/>
      <c r="K592" s="10"/>
      <c r="L592" s="10"/>
    </row>
    <row r="593">
      <c r="F593" s="10"/>
      <c r="G593" s="10"/>
      <c r="K593" s="10"/>
      <c r="L593" s="10"/>
    </row>
    <row r="594">
      <c r="F594" s="10"/>
      <c r="G594" s="10"/>
      <c r="K594" s="10"/>
      <c r="L594" s="10"/>
    </row>
    <row r="595">
      <c r="F595" s="10"/>
      <c r="G595" s="10"/>
      <c r="K595" s="10"/>
      <c r="L595" s="10"/>
    </row>
    <row r="596">
      <c r="F596" s="10"/>
      <c r="G596" s="10"/>
      <c r="K596" s="10"/>
      <c r="L596" s="10"/>
    </row>
    <row r="597">
      <c r="F597" s="10"/>
      <c r="G597" s="10"/>
      <c r="K597" s="10"/>
      <c r="L597" s="10"/>
    </row>
    <row r="598">
      <c r="F598" s="10"/>
      <c r="G598" s="10"/>
      <c r="K598" s="10"/>
      <c r="L598" s="10"/>
    </row>
    <row r="599">
      <c r="F599" s="10"/>
      <c r="G599" s="10"/>
      <c r="K599" s="10"/>
      <c r="L599" s="10"/>
    </row>
    <row r="600">
      <c r="F600" s="10"/>
      <c r="G600" s="10"/>
      <c r="K600" s="10"/>
      <c r="L600" s="10"/>
    </row>
    <row r="601">
      <c r="F601" s="10"/>
      <c r="G601" s="10"/>
      <c r="K601" s="10"/>
      <c r="L601" s="10"/>
    </row>
    <row r="602">
      <c r="F602" s="10"/>
      <c r="G602" s="10"/>
      <c r="K602" s="10"/>
      <c r="L602" s="10"/>
    </row>
    <row r="603">
      <c r="F603" s="10"/>
      <c r="G603" s="10"/>
      <c r="K603" s="10"/>
      <c r="L603" s="10"/>
    </row>
    <row r="604">
      <c r="F604" s="10"/>
      <c r="G604" s="10"/>
      <c r="K604" s="10"/>
      <c r="L604" s="10"/>
    </row>
    <row r="605">
      <c r="F605" s="10"/>
      <c r="G605" s="10"/>
      <c r="K605" s="10"/>
      <c r="L605" s="10"/>
    </row>
    <row r="606">
      <c r="F606" s="10"/>
      <c r="G606" s="10"/>
      <c r="K606" s="10"/>
      <c r="L606" s="10"/>
    </row>
    <row r="607">
      <c r="F607" s="10"/>
      <c r="G607" s="10"/>
      <c r="K607" s="10"/>
      <c r="L607" s="10"/>
    </row>
    <row r="608">
      <c r="F608" s="10"/>
      <c r="G608" s="10"/>
      <c r="K608" s="10"/>
      <c r="L608" s="10"/>
    </row>
    <row r="609">
      <c r="F609" s="10"/>
      <c r="G609" s="10"/>
      <c r="K609" s="10"/>
      <c r="L609" s="10"/>
    </row>
    <row r="610">
      <c r="F610" s="10"/>
      <c r="G610" s="10"/>
      <c r="K610" s="10"/>
      <c r="L610" s="10"/>
    </row>
    <row r="611">
      <c r="F611" s="10"/>
      <c r="G611" s="10"/>
      <c r="K611" s="10"/>
      <c r="L611" s="10"/>
    </row>
    <row r="612">
      <c r="F612" s="10"/>
      <c r="G612" s="10"/>
      <c r="K612" s="10"/>
      <c r="L612" s="10"/>
    </row>
    <row r="613">
      <c r="F613" s="10"/>
      <c r="G613" s="10"/>
      <c r="K613" s="10"/>
      <c r="L613" s="10"/>
    </row>
    <row r="614">
      <c r="F614" s="10"/>
      <c r="G614" s="10"/>
      <c r="K614" s="10"/>
      <c r="L614" s="10"/>
    </row>
    <row r="615">
      <c r="F615" s="10"/>
      <c r="G615" s="10"/>
      <c r="K615" s="10"/>
      <c r="L615" s="10"/>
    </row>
    <row r="616">
      <c r="F616" s="10"/>
      <c r="G616" s="10"/>
      <c r="K616" s="10"/>
      <c r="L616" s="10"/>
    </row>
    <row r="617">
      <c r="F617" s="10"/>
      <c r="G617" s="10"/>
      <c r="K617" s="10"/>
      <c r="L617" s="10"/>
    </row>
    <row r="618">
      <c r="F618" s="10"/>
      <c r="G618" s="10"/>
      <c r="K618" s="10"/>
      <c r="L618" s="10"/>
    </row>
    <row r="619">
      <c r="F619" s="10"/>
      <c r="G619" s="10"/>
      <c r="K619" s="10"/>
      <c r="L619" s="10"/>
    </row>
    <row r="620">
      <c r="F620" s="10"/>
      <c r="G620" s="10"/>
      <c r="K620" s="10"/>
      <c r="L620" s="10"/>
    </row>
    <row r="621">
      <c r="F621" s="10"/>
      <c r="G621" s="10"/>
      <c r="K621" s="10"/>
      <c r="L621" s="10"/>
    </row>
    <row r="622">
      <c r="F622" s="10"/>
      <c r="G622" s="10"/>
      <c r="K622" s="10"/>
      <c r="L622" s="10"/>
    </row>
    <row r="623">
      <c r="F623" s="10"/>
      <c r="G623" s="10"/>
      <c r="K623" s="10"/>
      <c r="L623" s="10"/>
    </row>
    <row r="624">
      <c r="F624" s="10"/>
      <c r="G624" s="10"/>
      <c r="K624" s="10"/>
      <c r="L624" s="10"/>
    </row>
    <row r="625">
      <c r="F625" s="10"/>
      <c r="G625" s="10"/>
      <c r="K625" s="10"/>
      <c r="L625" s="10"/>
    </row>
    <row r="626">
      <c r="F626" s="10"/>
      <c r="G626" s="10"/>
      <c r="K626" s="10"/>
      <c r="L626" s="10"/>
    </row>
    <row r="627">
      <c r="F627" s="10"/>
      <c r="G627" s="10"/>
      <c r="K627" s="10"/>
      <c r="L627" s="10"/>
    </row>
    <row r="628">
      <c r="F628" s="10"/>
      <c r="G628" s="10"/>
      <c r="K628" s="10"/>
      <c r="L628" s="10"/>
    </row>
    <row r="629">
      <c r="F629" s="10"/>
      <c r="G629" s="10"/>
      <c r="K629" s="10"/>
      <c r="L629" s="10"/>
    </row>
    <row r="630">
      <c r="F630" s="10"/>
      <c r="G630" s="10"/>
      <c r="K630" s="10"/>
      <c r="L630" s="10"/>
    </row>
    <row r="631">
      <c r="F631" s="10"/>
      <c r="G631" s="10"/>
      <c r="K631" s="10"/>
      <c r="L631" s="10"/>
    </row>
    <row r="632">
      <c r="F632" s="10"/>
      <c r="G632" s="10"/>
      <c r="K632" s="10"/>
      <c r="L632" s="10"/>
    </row>
    <row r="633">
      <c r="F633" s="10"/>
      <c r="G633" s="10"/>
      <c r="K633" s="10"/>
      <c r="L633" s="10"/>
    </row>
    <row r="634">
      <c r="F634" s="10"/>
      <c r="G634" s="10"/>
      <c r="K634" s="10"/>
      <c r="L634" s="10"/>
    </row>
    <row r="635">
      <c r="F635" s="10"/>
      <c r="G635" s="10"/>
      <c r="K635" s="10"/>
      <c r="L635" s="10"/>
    </row>
    <row r="636">
      <c r="F636" s="10"/>
      <c r="G636" s="10"/>
      <c r="K636" s="10"/>
      <c r="L636" s="10"/>
    </row>
    <row r="637">
      <c r="F637" s="10"/>
      <c r="G637" s="10"/>
      <c r="K637" s="10"/>
      <c r="L637" s="10"/>
    </row>
    <row r="638">
      <c r="F638" s="10"/>
      <c r="G638" s="10"/>
      <c r="K638" s="10"/>
      <c r="L638" s="10"/>
    </row>
    <row r="639">
      <c r="F639" s="10"/>
      <c r="G639" s="10"/>
      <c r="K639" s="10"/>
      <c r="L639" s="10"/>
    </row>
    <row r="640">
      <c r="F640" s="10"/>
      <c r="G640" s="10"/>
      <c r="K640" s="10"/>
      <c r="L640" s="10"/>
    </row>
    <row r="641">
      <c r="F641" s="10"/>
      <c r="G641" s="10"/>
      <c r="K641" s="10"/>
      <c r="L641" s="10"/>
    </row>
    <row r="642">
      <c r="F642" s="10"/>
      <c r="G642" s="10"/>
      <c r="K642" s="10"/>
      <c r="L642" s="10"/>
    </row>
    <row r="643">
      <c r="F643" s="10"/>
      <c r="G643" s="10"/>
      <c r="K643" s="10"/>
      <c r="L643" s="10"/>
    </row>
    <row r="644">
      <c r="F644" s="10"/>
      <c r="G644" s="10"/>
      <c r="K644" s="10"/>
      <c r="L644" s="10"/>
    </row>
    <row r="645">
      <c r="F645" s="10"/>
      <c r="G645" s="10"/>
      <c r="K645" s="10"/>
      <c r="L645" s="10"/>
    </row>
    <row r="646">
      <c r="F646" s="10"/>
      <c r="G646" s="10"/>
      <c r="K646" s="10"/>
      <c r="L646" s="10"/>
    </row>
    <row r="647">
      <c r="F647" s="10"/>
      <c r="G647" s="10"/>
      <c r="K647" s="10"/>
      <c r="L647" s="10"/>
    </row>
    <row r="648">
      <c r="F648" s="10"/>
      <c r="G648" s="10"/>
      <c r="K648" s="10"/>
      <c r="L648" s="10"/>
    </row>
    <row r="649">
      <c r="F649" s="10"/>
      <c r="G649" s="10"/>
      <c r="K649" s="10"/>
      <c r="L649" s="10"/>
    </row>
    <row r="650">
      <c r="F650" s="10"/>
      <c r="G650" s="10"/>
      <c r="K650" s="10"/>
      <c r="L650" s="10"/>
    </row>
    <row r="651">
      <c r="F651" s="10"/>
      <c r="G651" s="10"/>
      <c r="K651" s="10"/>
      <c r="L651" s="10"/>
    </row>
    <row r="652">
      <c r="F652" s="10"/>
      <c r="G652" s="10"/>
      <c r="K652" s="10"/>
      <c r="L652" s="10"/>
    </row>
    <row r="653">
      <c r="F653" s="10"/>
      <c r="G653" s="10"/>
      <c r="K653" s="10"/>
      <c r="L653" s="10"/>
    </row>
    <row r="654">
      <c r="F654" s="10"/>
      <c r="G654" s="10"/>
      <c r="K654" s="10"/>
      <c r="L654" s="10"/>
    </row>
    <row r="655">
      <c r="F655" s="10"/>
      <c r="G655" s="10"/>
      <c r="K655" s="10"/>
      <c r="L655" s="10"/>
    </row>
    <row r="656">
      <c r="F656" s="10"/>
      <c r="G656" s="10"/>
      <c r="K656" s="10"/>
      <c r="L656" s="10"/>
    </row>
    <row r="657">
      <c r="F657" s="10"/>
      <c r="G657" s="10"/>
      <c r="K657" s="10"/>
      <c r="L657" s="10"/>
    </row>
    <row r="658">
      <c r="F658" s="10"/>
      <c r="G658" s="10"/>
      <c r="K658" s="10"/>
      <c r="L658" s="10"/>
    </row>
    <row r="659">
      <c r="F659" s="10"/>
      <c r="G659" s="10"/>
      <c r="K659" s="10"/>
      <c r="L659" s="10"/>
    </row>
    <row r="660">
      <c r="F660" s="10"/>
      <c r="G660" s="10"/>
      <c r="K660" s="10"/>
      <c r="L660" s="10"/>
    </row>
    <row r="661">
      <c r="F661" s="10"/>
      <c r="G661" s="10"/>
      <c r="K661" s="10"/>
      <c r="L661" s="10"/>
    </row>
    <row r="662">
      <c r="F662" s="10"/>
      <c r="G662" s="10"/>
      <c r="K662" s="10"/>
      <c r="L662" s="10"/>
    </row>
    <row r="663">
      <c r="F663" s="10"/>
      <c r="G663" s="10"/>
      <c r="K663" s="10"/>
      <c r="L663" s="10"/>
    </row>
    <row r="664">
      <c r="F664" s="10"/>
      <c r="G664" s="10"/>
      <c r="K664" s="10"/>
      <c r="L664" s="10"/>
    </row>
    <row r="665">
      <c r="F665" s="10"/>
      <c r="G665" s="10"/>
      <c r="K665" s="10"/>
      <c r="L665" s="10"/>
    </row>
    <row r="666">
      <c r="F666" s="10"/>
      <c r="G666" s="10"/>
      <c r="K666" s="10"/>
      <c r="L666" s="10"/>
    </row>
    <row r="667">
      <c r="F667" s="10"/>
      <c r="G667" s="10"/>
      <c r="K667" s="10"/>
      <c r="L667" s="10"/>
    </row>
    <row r="668">
      <c r="F668" s="10"/>
      <c r="G668" s="10"/>
      <c r="K668" s="10"/>
      <c r="L668" s="10"/>
    </row>
    <row r="669">
      <c r="F669" s="10"/>
      <c r="G669" s="10"/>
      <c r="K669" s="10"/>
      <c r="L669" s="10"/>
    </row>
    <row r="670">
      <c r="F670" s="10"/>
      <c r="G670" s="10"/>
      <c r="K670" s="10"/>
      <c r="L670" s="10"/>
    </row>
    <row r="671">
      <c r="F671" s="10"/>
      <c r="G671" s="10"/>
      <c r="K671" s="10"/>
      <c r="L671" s="10"/>
    </row>
    <row r="672">
      <c r="F672" s="10"/>
      <c r="G672" s="10"/>
      <c r="K672" s="10"/>
      <c r="L672" s="10"/>
    </row>
    <row r="673">
      <c r="F673" s="10"/>
      <c r="G673" s="10"/>
      <c r="K673" s="10"/>
      <c r="L673" s="10"/>
    </row>
    <row r="674">
      <c r="F674" s="10"/>
      <c r="G674" s="10"/>
      <c r="K674" s="10"/>
      <c r="L674" s="10"/>
    </row>
    <row r="675">
      <c r="F675" s="10"/>
      <c r="G675" s="10"/>
      <c r="K675" s="10"/>
      <c r="L675" s="10"/>
    </row>
    <row r="676">
      <c r="F676" s="10"/>
      <c r="G676" s="10"/>
      <c r="K676" s="10"/>
      <c r="L676" s="10"/>
    </row>
    <row r="677">
      <c r="F677" s="10"/>
      <c r="G677" s="10"/>
      <c r="K677" s="10"/>
      <c r="L677" s="10"/>
    </row>
    <row r="678">
      <c r="F678" s="10"/>
      <c r="G678" s="10"/>
      <c r="K678" s="10"/>
      <c r="L678" s="10"/>
    </row>
    <row r="679">
      <c r="F679" s="10"/>
      <c r="G679" s="10"/>
      <c r="K679" s="10"/>
      <c r="L679" s="10"/>
    </row>
    <row r="680">
      <c r="F680" s="10"/>
      <c r="G680" s="10"/>
      <c r="K680" s="10"/>
      <c r="L680" s="10"/>
    </row>
    <row r="681">
      <c r="F681" s="10"/>
      <c r="G681" s="10"/>
      <c r="K681" s="10"/>
      <c r="L681" s="10"/>
    </row>
    <row r="682">
      <c r="F682" s="10"/>
      <c r="G682" s="10"/>
      <c r="K682" s="10"/>
      <c r="L682" s="10"/>
    </row>
    <row r="683">
      <c r="F683" s="10"/>
      <c r="G683" s="10"/>
      <c r="K683" s="10"/>
      <c r="L683" s="10"/>
    </row>
    <row r="684">
      <c r="F684" s="10"/>
      <c r="G684" s="10"/>
      <c r="K684" s="10"/>
      <c r="L684" s="10"/>
    </row>
    <row r="685">
      <c r="F685" s="10"/>
      <c r="G685" s="10"/>
      <c r="K685" s="10"/>
      <c r="L685" s="10"/>
    </row>
    <row r="686">
      <c r="F686" s="10"/>
      <c r="G686" s="10"/>
      <c r="K686" s="10"/>
      <c r="L686" s="10"/>
    </row>
    <row r="687">
      <c r="F687" s="10"/>
      <c r="G687" s="10"/>
      <c r="K687" s="10"/>
      <c r="L687" s="10"/>
    </row>
    <row r="688">
      <c r="F688" s="10"/>
      <c r="G688" s="10"/>
      <c r="K688" s="10"/>
      <c r="L688" s="10"/>
    </row>
    <row r="689">
      <c r="F689" s="10"/>
      <c r="G689" s="10"/>
      <c r="K689" s="10"/>
      <c r="L689" s="10"/>
    </row>
    <row r="690">
      <c r="F690" s="10"/>
      <c r="G690" s="10"/>
      <c r="K690" s="10"/>
      <c r="L690" s="10"/>
    </row>
    <row r="691">
      <c r="F691" s="10"/>
      <c r="G691" s="10"/>
      <c r="K691" s="10"/>
      <c r="L691" s="10"/>
    </row>
    <row r="692">
      <c r="F692" s="10"/>
      <c r="G692" s="10"/>
      <c r="K692" s="10"/>
      <c r="L692" s="10"/>
    </row>
    <row r="693">
      <c r="F693" s="10"/>
      <c r="G693" s="10"/>
      <c r="K693" s="10"/>
      <c r="L693" s="10"/>
    </row>
    <row r="694">
      <c r="F694" s="10"/>
      <c r="G694" s="10"/>
      <c r="K694" s="10"/>
      <c r="L694" s="10"/>
    </row>
    <row r="695">
      <c r="F695" s="10"/>
      <c r="G695" s="10"/>
      <c r="K695" s="10"/>
      <c r="L695" s="10"/>
    </row>
    <row r="696">
      <c r="F696" s="10"/>
      <c r="G696" s="10"/>
      <c r="K696" s="10"/>
      <c r="L696" s="10"/>
    </row>
    <row r="697">
      <c r="F697" s="10"/>
      <c r="G697" s="10"/>
      <c r="K697" s="10"/>
      <c r="L697" s="10"/>
    </row>
    <row r="698">
      <c r="F698" s="10"/>
      <c r="G698" s="10"/>
      <c r="K698" s="10"/>
      <c r="L698" s="10"/>
    </row>
    <row r="699">
      <c r="F699" s="10"/>
      <c r="G699" s="10"/>
      <c r="K699" s="10"/>
      <c r="L699" s="10"/>
    </row>
    <row r="700">
      <c r="F700" s="10"/>
      <c r="G700" s="10"/>
      <c r="K700" s="10"/>
      <c r="L700" s="10"/>
    </row>
    <row r="701">
      <c r="F701" s="10"/>
      <c r="G701" s="10"/>
      <c r="K701" s="10"/>
      <c r="L701" s="10"/>
    </row>
    <row r="702">
      <c r="F702" s="10"/>
      <c r="G702" s="10"/>
      <c r="K702" s="10"/>
      <c r="L702" s="10"/>
    </row>
    <row r="703">
      <c r="F703" s="10"/>
      <c r="G703" s="10"/>
      <c r="K703" s="10"/>
      <c r="L703" s="10"/>
    </row>
    <row r="704">
      <c r="F704" s="10"/>
      <c r="G704" s="10"/>
      <c r="K704" s="10"/>
      <c r="L704" s="10"/>
    </row>
    <row r="705">
      <c r="F705" s="10"/>
      <c r="G705" s="10"/>
      <c r="K705" s="10"/>
      <c r="L705" s="10"/>
    </row>
    <row r="706">
      <c r="F706" s="10"/>
      <c r="G706" s="10"/>
      <c r="K706" s="10"/>
      <c r="L706" s="10"/>
    </row>
    <row r="707">
      <c r="F707" s="10"/>
      <c r="G707" s="10"/>
      <c r="K707" s="10"/>
      <c r="L707" s="10"/>
    </row>
    <row r="708">
      <c r="F708" s="10"/>
      <c r="G708" s="10"/>
      <c r="K708" s="10"/>
      <c r="L708" s="10"/>
    </row>
    <row r="709">
      <c r="F709" s="10"/>
      <c r="G709" s="10"/>
      <c r="K709" s="10"/>
      <c r="L709" s="10"/>
    </row>
    <row r="710">
      <c r="F710" s="10"/>
      <c r="G710" s="10"/>
      <c r="K710" s="10"/>
      <c r="L710" s="10"/>
    </row>
    <row r="711">
      <c r="F711" s="10"/>
      <c r="G711" s="10"/>
      <c r="K711" s="10"/>
      <c r="L711" s="10"/>
    </row>
    <row r="712">
      <c r="F712" s="10"/>
      <c r="G712" s="10"/>
      <c r="K712" s="10"/>
      <c r="L712" s="10"/>
    </row>
    <row r="713">
      <c r="F713" s="10"/>
      <c r="G713" s="10"/>
      <c r="K713" s="10"/>
      <c r="L713" s="10"/>
    </row>
    <row r="714">
      <c r="F714" s="10"/>
      <c r="G714" s="10"/>
      <c r="K714" s="10"/>
      <c r="L714" s="10"/>
    </row>
    <row r="715">
      <c r="F715" s="10"/>
      <c r="G715" s="10"/>
      <c r="K715" s="10"/>
      <c r="L715" s="10"/>
    </row>
    <row r="716">
      <c r="F716" s="10"/>
      <c r="G716" s="10"/>
      <c r="K716" s="10"/>
      <c r="L716" s="10"/>
    </row>
    <row r="717">
      <c r="F717" s="10"/>
      <c r="G717" s="10"/>
      <c r="K717" s="10"/>
      <c r="L717" s="10"/>
    </row>
    <row r="718">
      <c r="F718" s="10"/>
      <c r="G718" s="10"/>
      <c r="K718" s="10"/>
      <c r="L718" s="10"/>
    </row>
    <row r="719">
      <c r="F719" s="10"/>
      <c r="G719" s="10"/>
      <c r="K719" s="10"/>
      <c r="L719" s="10"/>
    </row>
    <row r="720">
      <c r="F720" s="10"/>
      <c r="G720" s="10"/>
      <c r="K720" s="10"/>
      <c r="L720" s="10"/>
    </row>
    <row r="721">
      <c r="F721" s="10"/>
      <c r="G721" s="10"/>
      <c r="K721" s="10"/>
      <c r="L721" s="10"/>
    </row>
    <row r="722">
      <c r="F722" s="10"/>
      <c r="G722" s="10"/>
      <c r="K722" s="10"/>
      <c r="L722" s="10"/>
    </row>
    <row r="723">
      <c r="F723" s="10"/>
      <c r="G723" s="10"/>
      <c r="K723" s="10"/>
      <c r="L723" s="10"/>
    </row>
    <row r="724">
      <c r="F724" s="10"/>
      <c r="G724" s="10"/>
      <c r="K724" s="10"/>
      <c r="L724" s="10"/>
    </row>
    <row r="725">
      <c r="F725" s="10"/>
      <c r="G725" s="10"/>
      <c r="K725" s="10"/>
      <c r="L725" s="10"/>
    </row>
    <row r="726">
      <c r="F726" s="10"/>
      <c r="G726" s="10"/>
      <c r="K726" s="10"/>
      <c r="L726" s="10"/>
    </row>
    <row r="727">
      <c r="F727" s="10"/>
      <c r="G727" s="10"/>
      <c r="K727" s="10"/>
      <c r="L727" s="10"/>
    </row>
    <row r="728">
      <c r="F728" s="10"/>
      <c r="G728" s="10"/>
      <c r="K728" s="10"/>
      <c r="L728" s="10"/>
    </row>
    <row r="729">
      <c r="F729" s="10"/>
      <c r="G729" s="10"/>
      <c r="K729" s="10"/>
      <c r="L729" s="10"/>
    </row>
    <row r="730">
      <c r="F730" s="10"/>
      <c r="G730" s="10"/>
      <c r="K730" s="10"/>
      <c r="L730" s="10"/>
    </row>
    <row r="731">
      <c r="F731" s="10"/>
      <c r="G731" s="10"/>
      <c r="K731" s="10"/>
      <c r="L731" s="10"/>
    </row>
    <row r="732">
      <c r="F732" s="10"/>
      <c r="G732" s="10"/>
      <c r="K732" s="10"/>
      <c r="L732" s="10"/>
    </row>
    <row r="733">
      <c r="F733" s="10"/>
      <c r="G733" s="10"/>
      <c r="K733" s="10"/>
      <c r="L733" s="10"/>
    </row>
    <row r="734">
      <c r="F734" s="10"/>
      <c r="G734" s="10"/>
      <c r="K734" s="10"/>
      <c r="L734" s="10"/>
    </row>
    <row r="735">
      <c r="F735" s="10"/>
      <c r="G735" s="10"/>
      <c r="K735" s="10"/>
      <c r="L735" s="10"/>
    </row>
    <row r="736">
      <c r="F736" s="10"/>
      <c r="G736" s="10"/>
      <c r="K736" s="10"/>
      <c r="L736" s="10"/>
    </row>
    <row r="737">
      <c r="F737" s="10"/>
      <c r="G737" s="10"/>
      <c r="K737" s="10"/>
      <c r="L737" s="10"/>
    </row>
    <row r="738">
      <c r="F738" s="10"/>
      <c r="G738" s="10"/>
      <c r="K738" s="10"/>
      <c r="L738" s="10"/>
    </row>
    <row r="739">
      <c r="F739" s="10"/>
      <c r="G739" s="10"/>
      <c r="K739" s="10"/>
      <c r="L739" s="10"/>
    </row>
    <row r="740">
      <c r="F740" s="10"/>
      <c r="G740" s="10"/>
      <c r="K740" s="10"/>
      <c r="L740" s="10"/>
    </row>
    <row r="741">
      <c r="F741" s="10"/>
      <c r="G741" s="10"/>
      <c r="K741" s="10"/>
      <c r="L741" s="10"/>
    </row>
    <row r="742">
      <c r="F742" s="10"/>
      <c r="G742" s="10"/>
      <c r="K742" s="10"/>
      <c r="L742" s="10"/>
    </row>
    <row r="743">
      <c r="F743" s="10"/>
      <c r="G743" s="10"/>
      <c r="K743" s="10"/>
      <c r="L743" s="10"/>
    </row>
    <row r="744">
      <c r="F744" s="10"/>
      <c r="G744" s="10"/>
      <c r="K744" s="10"/>
      <c r="L744" s="10"/>
    </row>
    <row r="745">
      <c r="F745" s="10"/>
      <c r="G745" s="10"/>
      <c r="K745" s="10"/>
      <c r="L745" s="10"/>
    </row>
    <row r="746">
      <c r="F746" s="10"/>
      <c r="G746" s="10"/>
      <c r="K746" s="10"/>
      <c r="L746" s="10"/>
    </row>
    <row r="747">
      <c r="F747" s="10"/>
      <c r="G747" s="10"/>
      <c r="K747" s="10"/>
      <c r="L747" s="10"/>
    </row>
    <row r="748">
      <c r="F748" s="10"/>
      <c r="G748" s="10"/>
      <c r="K748" s="10"/>
      <c r="L748" s="10"/>
    </row>
    <row r="749">
      <c r="F749" s="10"/>
      <c r="G749" s="10"/>
      <c r="K749" s="10"/>
      <c r="L749" s="10"/>
    </row>
    <row r="750">
      <c r="F750" s="10"/>
      <c r="G750" s="10"/>
      <c r="K750" s="10"/>
      <c r="L750" s="10"/>
    </row>
    <row r="751">
      <c r="F751" s="10"/>
      <c r="G751" s="10"/>
      <c r="K751" s="10"/>
      <c r="L751" s="10"/>
    </row>
    <row r="752">
      <c r="F752" s="10"/>
      <c r="G752" s="10"/>
      <c r="K752" s="10"/>
      <c r="L752" s="10"/>
    </row>
    <row r="753">
      <c r="F753" s="10"/>
      <c r="G753" s="10"/>
      <c r="K753" s="10"/>
      <c r="L753" s="10"/>
    </row>
    <row r="754">
      <c r="F754" s="10"/>
      <c r="G754" s="10"/>
      <c r="K754" s="10"/>
      <c r="L754" s="10"/>
    </row>
    <row r="755">
      <c r="F755" s="10"/>
      <c r="G755" s="10"/>
      <c r="K755" s="10"/>
      <c r="L755" s="10"/>
    </row>
    <row r="756">
      <c r="F756" s="10"/>
      <c r="G756" s="10"/>
      <c r="K756" s="10"/>
      <c r="L756" s="10"/>
    </row>
    <row r="757">
      <c r="F757" s="10"/>
      <c r="G757" s="10"/>
      <c r="K757" s="10"/>
      <c r="L757" s="10"/>
    </row>
    <row r="758">
      <c r="F758" s="10"/>
      <c r="G758" s="10"/>
      <c r="K758" s="10"/>
      <c r="L758" s="10"/>
    </row>
    <row r="759">
      <c r="F759" s="10"/>
      <c r="G759" s="10"/>
      <c r="K759" s="10"/>
      <c r="L759" s="10"/>
    </row>
    <row r="760">
      <c r="F760" s="10"/>
      <c r="G760" s="10"/>
      <c r="K760" s="10"/>
      <c r="L760" s="10"/>
    </row>
    <row r="761">
      <c r="F761" s="10"/>
      <c r="G761" s="10"/>
      <c r="K761" s="10"/>
      <c r="L761" s="10"/>
    </row>
    <row r="762">
      <c r="F762" s="10"/>
      <c r="G762" s="10"/>
      <c r="K762" s="10"/>
      <c r="L762" s="10"/>
    </row>
    <row r="763">
      <c r="F763" s="10"/>
      <c r="G763" s="10"/>
      <c r="K763" s="10"/>
      <c r="L763" s="10"/>
    </row>
    <row r="764">
      <c r="F764" s="10"/>
      <c r="G764" s="10"/>
      <c r="K764" s="10"/>
      <c r="L764" s="10"/>
    </row>
    <row r="765">
      <c r="F765" s="10"/>
      <c r="G765" s="10"/>
      <c r="K765" s="10"/>
      <c r="L765" s="10"/>
    </row>
    <row r="766">
      <c r="F766" s="10"/>
      <c r="G766" s="10"/>
      <c r="K766" s="10"/>
      <c r="L766" s="10"/>
    </row>
    <row r="767">
      <c r="F767" s="10"/>
      <c r="G767" s="10"/>
      <c r="K767" s="10"/>
      <c r="L767" s="10"/>
    </row>
    <row r="768">
      <c r="F768" s="10"/>
      <c r="G768" s="10"/>
      <c r="K768" s="10"/>
      <c r="L768" s="10"/>
    </row>
    <row r="769">
      <c r="F769" s="10"/>
      <c r="G769" s="10"/>
      <c r="K769" s="10"/>
      <c r="L769" s="10"/>
    </row>
    <row r="770">
      <c r="F770" s="10"/>
      <c r="G770" s="10"/>
      <c r="K770" s="10"/>
      <c r="L770" s="10"/>
    </row>
    <row r="771">
      <c r="F771" s="10"/>
      <c r="G771" s="10"/>
      <c r="K771" s="10"/>
      <c r="L771" s="10"/>
    </row>
    <row r="772">
      <c r="F772" s="10"/>
      <c r="G772" s="10"/>
      <c r="K772" s="10"/>
      <c r="L772" s="10"/>
    </row>
    <row r="773">
      <c r="F773" s="10"/>
      <c r="G773" s="10"/>
      <c r="K773" s="10"/>
      <c r="L773" s="10"/>
    </row>
    <row r="774">
      <c r="F774" s="10"/>
      <c r="G774" s="10"/>
      <c r="K774" s="10"/>
      <c r="L774" s="10"/>
    </row>
    <row r="775">
      <c r="F775" s="10"/>
      <c r="G775" s="10"/>
      <c r="K775" s="10"/>
      <c r="L775" s="10"/>
    </row>
    <row r="776">
      <c r="F776" s="10"/>
      <c r="G776" s="10"/>
      <c r="K776" s="10"/>
      <c r="L776" s="10"/>
    </row>
    <row r="777">
      <c r="F777" s="10"/>
      <c r="G777" s="10"/>
      <c r="K777" s="10"/>
      <c r="L777" s="10"/>
    </row>
    <row r="778">
      <c r="F778" s="10"/>
      <c r="G778" s="10"/>
      <c r="K778" s="10"/>
      <c r="L778" s="10"/>
    </row>
    <row r="779">
      <c r="F779" s="10"/>
      <c r="G779" s="10"/>
      <c r="K779" s="10"/>
      <c r="L779" s="10"/>
    </row>
    <row r="780">
      <c r="F780" s="10"/>
      <c r="G780" s="10"/>
      <c r="K780" s="10"/>
      <c r="L780" s="10"/>
    </row>
    <row r="781">
      <c r="F781" s="10"/>
      <c r="G781" s="10"/>
      <c r="K781" s="10"/>
      <c r="L781" s="10"/>
    </row>
    <row r="782">
      <c r="F782" s="10"/>
      <c r="G782" s="10"/>
      <c r="K782" s="10"/>
      <c r="L782" s="10"/>
    </row>
    <row r="783">
      <c r="F783" s="10"/>
      <c r="G783" s="10"/>
      <c r="K783" s="10"/>
      <c r="L783" s="10"/>
    </row>
    <row r="784">
      <c r="F784" s="10"/>
      <c r="G784" s="10"/>
      <c r="K784" s="10"/>
      <c r="L784" s="10"/>
    </row>
    <row r="785">
      <c r="F785" s="10"/>
      <c r="G785" s="10"/>
      <c r="K785" s="10"/>
      <c r="L785" s="10"/>
    </row>
    <row r="786">
      <c r="F786" s="10"/>
      <c r="G786" s="10"/>
      <c r="K786" s="10"/>
      <c r="L786" s="10"/>
    </row>
    <row r="787">
      <c r="F787" s="10"/>
      <c r="G787" s="10"/>
      <c r="K787" s="10"/>
      <c r="L787" s="10"/>
    </row>
    <row r="788">
      <c r="F788" s="10"/>
      <c r="G788" s="10"/>
      <c r="K788" s="10"/>
      <c r="L788" s="10"/>
    </row>
    <row r="789">
      <c r="F789" s="10"/>
      <c r="G789" s="10"/>
      <c r="K789" s="10"/>
      <c r="L789" s="10"/>
    </row>
    <row r="790">
      <c r="F790" s="10"/>
      <c r="G790" s="10"/>
      <c r="K790" s="10"/>
      <c r="L790" s="10"/>
    </row>
    <row r="791">
      <c r="F791" s="10"/>
      <c r="G791" s="10"/>
      <c r="K791" s="10"/>
      <c r="L791" s="10"/>
    </row>
    <row r="792">
      <c r="F792" s="10"/>
      <c r="G792" s="10"/>
      <c r="K792" s="10"/>
      <c r="L792" s="10"/>
    </row>
    <row r="793">
      <c r="F793" s="10"/>
      <c r="G793" s="10"/>
      <c r="K793" s="10"/>
      <c r="L793" s="10"/>
    </row>
    <row r="794">
      <c r="F794" s="10"/>
      <c r="G794" s="10"/>
      <c r="K794" s="10"/>
      <c r="L794" s="10"/>
    </row>
    <row r="795">
      <c r="F795" s="10"/>
      <c r="G795" s="10"/>
      <c r="K795" s="10"/>
      <c r="L795" s="10"/>
    </row>
    <row r="796">
      <c r="F796" s="10"/>
      <c r="G796" s="10"/>
      <c r="K796" s="10"/>
      <c r="L796" s="10"/>
    </row>
    <row r="797">
      <c r="F797" s="10"/>
      <c r="G797" s="10"/>
      <c r="K797" s="10"/>
      <c r="L797" s="10"/>
    </row>
    <row r="798">
      <c r="F798" s="10"/>
      <c r="G798" s="10"/>
      <c r="K798" s="10"/>
      <c r="L798" s="10"/>
    </row>
    <row r="799">
      <c r="F799" s="10"/>
      <c r="G799" s="10"/>
      <c r="K799" s="10"/>
      <c r="L799" s="10"/>
    </row>
    <row r="800">
      <c r="F800" s="10"/>
      <c r="G800" s="10"/>
      <c r="K800" s="10"/>
      <c r="L800" s="10"/>
    </row>
    <row r="801">
      <c r="F801" s="10"/>
      <c r="G801" s="10"/>
      <c r="K801" s="10"/>
      <c r="L801" s="10"/>
    </row>
    <row r="802">
      <c r="F802" s="10"/>
      <c r="G802" s="10"/>
      <c r="K802" s="10"/>
      <c r="L802" s="10"/>
    </row>
    <row r="803">
      <c r="F803" s="10"/>
      <c r="G803" s="10"/>
      <c r="K803" s="10"/>
      <c r="L803" s="10"/>
    </row>
    <row r="804">
      <c r="F804" s="10"/>
      <c r="G804" s="10"/>
      <c r="K804" s="10"/>
      <c r="L804" s="10"/>
    </row>
    <row r="805">
      <c r="F805" s="10"/>
      <c r="G805" s="10"/>
      <c r="K805" s="10"/>
      <c r="L805" s="10"/>
    </row>
    <row r="806">
      <c r="F806" s="10"/>
      <c r="G806" s="10"/>
      <c r="K806" s="10"/>
      <c r="L806" s="10"/>
    </row>
    <row r="807">
      <c r="F807" s="10"/>
      <c r="G807" s="10"/>
      <c r="K807" s="10"/>
      <c r="L807" s="10"/>
    </row>
    <row r="808">
      <c r="F808" s="10"/>
      <c r="G808" s="10"/>
      <c r="K808" s="10"/>
      <c r="L808" s="10"/>
    </row>
    <row r="809">
      <c r="F809" s="10"/>
      <c r="G809" s="10"/>
      <c r="K809" s="10"/>
      <c r="L809" s="10"/>
    </row>
    <row r="810">
      <c r="F810" s="10"/>
      <c r="G810" s="10"/>
      <c r="K810" s="10"/>
      <c r="L810" s="10"/>
    </row>
    <row r="811">
      <c r="F811" s="10"/>
      <c r="G811" s="10"/>
      <c r="K811" s="10"/>
      <c r="L811" s="10"/>
    </row>
    <row r="812">
      <c r="F812" s="10"/>
      <c r="G812" s="10"/>
      <c r="K812" s="10"/>
      <c r="L812" s="10"/>
    </row>
    <row r="813">
      <c r="F813" s="10"/>
      <c r="G813" s="10"/>
      <c r="K813" s="10"/>
      <c r="L813" s="10"/>
    </row>
    <row r="814">
      <c r="F814" s="10"/>
      <c r="G814" s="10"/>
      <c r="K814" s="10"/>
      <c r="L814" s="10"/>
    </row>
    <row r="815">
      <c r="F815" s="10"/>
      <c r="G815" s="10"/>
      <c r="K815" s="10"/>
      <c r="L815" s="10"/>
    </row>
    <row r="816">
      <c r="F816" s="10"/>
      <c r="G816" s="10"/>
      <c r="K816" s="10"/>
      <c r="L816" s="10"/>
    </row>
    <row r="817">
      <c r="F817" s="10"/>
      <c r="G817" s="10"/>
      <c r="K817" s="10"/>
      <c r="L817" s="10"/>
    </row>
    <row r="818">
      <c r="F818" s="10"/>
      <c r="G818" s="10"/>
      <c r="K818" s="10"/>
      <c r="L818" s="10"/>
    </row>
    <row r="819">
      <c r="F819" s="10"/>
      <c r="G819" s="10"/>
      <c r="K819" s="10"/>
      <c r="L819" s="10"/>
    </row>
    <row r="820">
      <c r="F820" s="10"/>
      <c r="G820" s="10"/>
      <c r="K820" s="10"/>
      <c r="L820" s="10"/>
    </row>
    <row r="821">
      <c r="F821" s="10"/>
      <c r="G821" s="10"/>
      <c r="K821" s="10"/>
      <c r="L821" s="10"/>
    </row>
    <row r="822">
      <c r="F822" s="10"/>
      <c r="G822" s="10"/>
      <c r="K822" s="10"/>
      <c r="L822" s="10"/>
    </row>
    <row r="823">
      <c r="F823" s="10"/>
      <c r="G823" s="10"/>
      <c r="K823" s="10"/>
      <c r="L823" s="10"/>
    </row>
    <row r="824">
      <c r="F824" s="10"/>
      <c r="G824" s="10"/>
      <c r="K824" s="10"/>
      <c r="L824" s="10"/>
    </row>
    <row r="825">
      <c r="F825" s="10"/>
      <c r="G825" s="10"/>
      <c r="K825" s="10"/>
      <c r="L825" s="10"/>
    </row>
    <row r="826">
      <c r="F826" s="10"/>
      <c r="G826" s="10"/>
      <c r="K826" s="10"/>
      <c r="L826" s="10"/>
    </row>
    <row r="827">
      <c r="F827" s="10"/>
      <c r="G827" s="10"/>
      <c r="K827" s="10"/>
      <c r="L827" s="10"/>
    </row>
    <row r="828">
      <c r="F828" s="10"/>
      <c r="G828" s="10"/>
      <c r="K828" s="10"/>
      <c r="L828" s="10"/>
    </row>
    <row r="829">
      <c r="F829" s="10"/>
      <c r="G829" s="10"/>
      <c r="K829" s="10"/>
      <c r="L829" s="10"/>
    </row>
    <row r="830">
      <c r="F830" s="10"/>
      <c r="G830" s="10"/>
      <c r="K830" s="10"/>
      <c r="L830" s="10"/>
    </row>
    <row r="831">
      <c r="F831" s="10"/>
      <c r="G831" s="10"/>
      <c r="K831" s="10"/>
      <c r="L831" s="10"/>
    </row>
    <row r="832">
      <c r="F832" s="10"/>
      <c r="G832" s="10"/>
      <c r="K832" s="10"/>
      <c r="L832" s="10"/>
    </row>
    <row r="833">
      <c r="F833" s="10"/>
      <c r="G833" s="10"/>
      <c r="K833" s="10"/>
      <c r="L833" s="10"/>
    </row>
    <row r="834">
      <c r="F834" s="10"/>
      <c r="G834" s="10"/>
      <c r="K834" s="10"/>
      <c r="L834" s="10"/>
    </row>
    <row r="835">
      <c r="F835" s="10"/>
      <c r="G835" s="10"/>
      <c r="K835" s="10"/>
      <c r="L835" s="10"/>
    </row>
    <row r="836">
      <c r="F836" s="10"/>
      <c r="G836" s="10"/>
      <c r="K836" s="10"/>
      <c r="L836" s="10"/>
    </row>
    <row r="837">
      <c r="F837" s="10"/>
      <c r="G837" s="10"/>
      <c r="K837" s="10"/>
      <c r="L837" s="10"/>
    </row>
    <row r="838">
      <c r="F838" s="10"/>
      <c r="G838" s="10"/>
      <c r="K838" s="10"/>
      <c r="L838" s="10"/>
    </row>
    <row r="839">
      <c r="F839" s="10"/>
      <c r="G839" s="10"/>
      <c r="K839" s="10"/>
      <c r="L839" s="10"/>
    </row>
    <row r="840">
      <c r="F840" s="10"/>
      <c r="G840" s="10"/>
      <c r="K840" s="10"/>
      <c r="L840" s="10"/>
    </row>
    <row r="841">
      <c r="F841" s="10"/>
      <c r="G841" s="10"/>
      <c r="K841" s="10"/>
      <c r="L841" s="10"/>
    </row>
    <row r="842">
      <c r="F842" s="10"/>
      <c r="G842" s="10"/>
      <c r="K842" s="10"/>
      <c r="L842" s="10"/>
    </row>
    <row r="843">
      <c r="F843" s="10"/>
      <c r="G843" s="10"/>
      <c r="K843" s="10"/>
      <c r="L843" s="10"/>
    </row>
    <row r="844">
      <c r="F844" s="10"/>
      <c r="G844" s="10"/>
      <c r="K844" s="10"/>
      <c r="L844" s="10"/>
    </row>
    <row r="845">
      <c r="F845" s="10"/>
      <c r="G845" s="10"/>
      <c r="K845" s="10"/>
      <c r="L845" s="10"/>
    </row>
    <row r="846">
      <c r="F846" s="10"/>
      <c r="G846" s="10"/>
      <c r="K846" s="10"/>
      <c r="L846" s="10"/>
    </row>
    <row r="847">
      <c r="F847" s="10"/>
      <c r="G847" s="10"/>
      <c r="K847" s="10"/>
      <c r="L847" s="10"/>
    </row>
    <row r="848">
      <c r="F848" s="10"/>
      <c r="G848" s="10"/>
      <c r="K848" s="10"/>
      <c r="L848" s="10"/>
    </row>
    <row r="849">
      <c r="F849" s="10"/>
      <c r="G849" s="10"/>
      <c r="K849" s="10"/>
      <c r="L849" s="10"/>
    </row>
    <row r="850">
      <c r="F850" s="10"/>
      <c r="G850" s="10"/>
      <c r="K850" s="10"/>
      <c r="L850" s="10"/>
    </row>
    <row r="851">
      <c r="F851" s="10"/>
      <c r="G851" s="10"/>
      <c r="K851" s="10"/>
      <c r="L851" s="10"/>
    </row>
    <row r="852">
      <c r="F852" s="10"/>
      <c r="G852" s="10"/>
      <c r="K852" s="10"/>
      <c r="L852" s="10"/>
    </row>
    <row r="853">
      <c r="F853" s="10"/>
      <c r="G853" s="10"/>
      <c r="K853" s="10"/>
      <c r="L853" s="10"/>
    </row>
    <row r="854">
      <c r="F854" s="10"/>
      <c r="G854" s="10"/>
      <c r="K854" s="10"/>
      <c r="L854" s="10"/>
    </row>
    <row r="855">
      <c r="F855" s="10"/>
      <c r="G855" s="10"/>
      <c r="K855" s="10"/>
      <c r="L855" s="10"/>
    </row>
    <row r="856">
      <c r="F856" s="10"/>
      <c r="G856" s="10"/>
      <c r="K856" s="10"/>
      <c r="L856" s="10"/>
    </row>
    <row r="857">
      <c r="F857" s="10"/>
      <c r="G857" s="10"/>
      <c r="K857" s="10"/>
      <c r="L857" s="10"/>
    </row>
    <row r="858">
      <c r="F858" s="10"/>
      <c r="G858" s="10"/>
      <c r="K858" s="10"/>
      <c r="L858" s="10"/>
    </row>
    <row r="859">
      <c r="F859" s="10"/>
      <c r="G859" s="10"/>
      <c r="K859" s="10"/>
      <c r="L859" s="10"/>
    </row>
    <row r="860">
      <c r="F860" s="10"/>
      <c r="G860" s="10"/>
      <c r="K860" s="10"/>
      <c r="L860" s="10"/>
    </row>
    <row r="861">
      <c r="F861" s="10"/>
      <c r="G861" s="10"/>
      <c r="K861" s="10"/>
      <c r="L861" s="10"/>
    </row>
    <row r="862">
      <c r="F862" s="10"/>
      <c r="G862" s="10"/>
      <c r="K862" s="10"/>
      <c r="L862" s="10"/>
    </row>
    <row r="863">
      <c r="F863" s="10"/>
      <c r="G863" s="10"/>
      <c r="K863" s="10"/>
      <c r="L863" s="10"/>
    </row>
    <row r="864">
      <c r="F864" s="10"/>
      <c r="G864" s="10"/>
      <c r="K864" s="10"/>
      <c r="L864" s="10"/>
    </row>
    <row r="865">
      <c r="F865" s="10"/>
      <c r="G865" s="10"/>
      <c r="K865" s="10"/>
      <c r="L865" s="10"/>
    </row>
    <row r="866">
      <c r="F866" s="10"/>
      <c r="G866" s="10"/>
      <c r="K866" s="10"/>
      <c r="L866" s="10"/>
    </row>
    <row r="867">
      <c r="F867" s="10"/>
      <c r="G867" s="10"/>
      <c r="K867" s="10"/>
      <c r="L867" s="10"/>
    </row>
    <row r="868">
      <c r="F868" s="10"/>
      <c r="G868" s="10"/>
      <c r="K868" s="10"/>
      <c r="L868" s="10"/>
    </row>
    <row r="869">
      <c r="F869" s="10"/>
      <c r="G869" s="10"/>
      <c r="K869" s="10"/>
      <c r="L869" s="10"/>
    </row>
    <row r="870">
      <c r="F870" s="10"/>
      <c r="G870" s="10"/>
      <c r="K870" s="10"/>
      <c r="L870" s="10"/>
    </row>
    <row r="871">
      <c r="F871" s="10"/>
      <c r="G871" s="10"/>
      <c r="K871" s="10"/>
      <c r="L871" s="10"/>
    </row>
    <row r="872">
      <c r="F872" s="10"/>
      <c r="G872" s="10"/>
      <c r="K872" s="10"/>
      <c r="L872" s="10"/>
    </row>
    <row r="873">
      <c r="F873" s="10"/>
      <c r="G873" s="10"/>
      <c r="K873" s="10"/>
      <c r="L873" s="10"/>
    </row>
    <row r="874">
      <c r="F874" s="10"/>
      <c r="G874" s="10"/>
      <c r="K874" s="10"/>
      <c r="L874" s="10"/>
    </row>
    <row r="875">
      <c r="F875" s="10"/>
      <c r="G875" s="10"/>
      <c r="K875" s="10"/>
      <c r="L875" s="10"/>
    </row>
    <row r="876">
      <c r="F876" s="10"/>
      <c r="G876" s="10"/>
      <c r="K876" s="10"/>
      <c r="L876" s="10"/>
    </row>
    <row r="877">
      <c r="F877" s="10"/>
      <c r="G877" s="10"/>
      <c r="K877" s="10"/>
      <c r="L877" s="10"/>
    </row>
    <row r="878">
      <c r="F878" s="10"/>
      <c r="G878" s="10"/>
      <c r="K878" s="10"/>
      <c r="L878" s="10"/>
    </row>
    <row r="879">
      <c r="F879" s="10"/>
      <c r="G879" s="10"/>
      <c r="K879" s="10"/>
      <c r="L879" s="10"/>
    </row>
    <row r="880">
      <c r="F880" s="10"/>
      <c r="G880" s="10"/>
      <c r="K880" s="10"/>
      <c r="L880" s="10"/>
    </row>
    <row r="881">
      <c r="F881" s="10"/>
      <c r="G881" s="10"/>
      <c r="K881" s="10"/>
      <c r="L881" s="10"/>
    </row>
    <row r="882">
      <c r="F882" s="10"/>
      <c r="G882" s="10"/>
      <c r="K882" s="10"/>
      <c r="L882" s="10"/>
    </row>
    <row r="883">
      <c r="F883" s="10"/>
      <c r="G883" s="10"/>
      <c r="K883" s="10"/>
      <c r="L883" s="10"/>
    </row>
    <row r="884">
      <c r="F884" s="10"/>
      <c r="G884" s="10"/>
      <c r="K884" s="10"/>
      <c r="L884" s="10"/>
    </row>
    <row r="885">
      <c r="F885" s="10"/>
      <c r="G885" s="10"/>
      <c r="K885" s="10"/>
      <c r="L885" s="10"/>
    </row>
    <row r="886">
      <c r="F886" s="10"/>
      <c r="G886" s="10"/>
      <c r="K886" s="10"/>
      <c r="L886" s="10"/>
    </row>
    <row r="887">
      <c r="F887" s="10"/>
      <c r="G887" s="10"/>
      <c r="K887" s="10"/>
      <c r="L887" s="10"/>
    </row>
    <row r="888">
      <c r="F888" s="10"/>
      <c r="G888" s="10"/>
      <c r="K888" s="10"/>
      <c r="L888" s="10"/>
    </row>
    <row r="889">
      <c r="F889" s="10"/>
      <c r="G889" s="10"/>
      <c r="K889" s="10"/>
      <c r="L889" s="10"/>
    </row>
    <row r="890">
      <c r="F890" s="10"/>
      <c r="G890" s="10"/>
      <c r="K890" s="10"/>
      <c r="L890" s="10"/>
    </row>
    <row r="891">
      <c r="F891" s="10"/>
      <c r="G891" s="10"/>
      <c r="K891" s="10"/>
      <c r="L891" s="10"/>
    </row>
    <row r="892">
      <c r="F892" s="10"/>
      <c r="G892" s="10"/>
      <c r="K892" s="10"/>
      <c r="L892" s="10"/>
    </row>
    <row r="893">
      <c r="F893" s="10"/>
      <c r="G893" s="10"/>
      <c r="K893" s="10"/>
      <c r="L893" s="10"/>
    </row>
    <row r="894">
      <c r="F894" s="10"/>
      <c r="G894" s="10"/>
      <c r="K894" s="10"/>
      <c r="L894" s="10"/>
    </row>
    <row r="895">
      <c r="F895" s="10"/>
      <c r="G895" s="10"/>
      <c r="K895" s="10"/>
      <c r="L895" s="10"/>
    </row>
    <row r="896">
      <c r="F896" s="10"/>
      <c r="G896" s="10"/>
      <c r="K896" s="10"/>
      <c r="L896" s="10"/>
    </row>
    <row r="897">
      <c r="F897" s="10"/>
      <c r="G897" s="10"/>
      <c r="K897" s="10"/>
      <c r="L897" s="10"/>
    </row>
    <row r="898">
      <c r="F898" s="10"/>
      <c r="G898" s="10"/>
      <c r="K898" s="10"/>
      <c r="L898" s="10"/>
    </row>
    <row r="899">
      <c r="F899" s="10"/>
      <c r="G899" s="10"/>
      <c r="K899" s="10"/>
      <c r="L899" s="10"/>
    </row>
    <row r="900">
      <c r="F900" s="10"/>
      <c r="G900" s="10"/>
      <c r="K900" s="10"/>
      <c r="L900" s="10"/>
    </row>
    <row r="901">
      <c r="F901" s="10"/>
      <c r="G901" s="10"/>
      <c r="K901" s="10"/>
      <c r="L901" s="10"/>
    </row>
    <row r="902">
      <c r="F902" s="10"/>
      <c r="G902" s="10"/>
      <c r="K902" s="10"/>
      <c r="L902" s="10"/>
    </row>
    <row r="903">
      <c r="F903" s="10"/>
      <c r="G903" s="10"/>
      <c r="K903" s="10"/>
      <c r="L903" s="10"/>
    </row>
    <row r="904">
      <c r="F904" s="10"/>
      <c r="G904" s="10"/>
      <c r="K904" s="10"/>
      <c r="L904" s="10"/>
    </row>
    <row r="905">
      <c r="F905" s="10"/>
      <c r="G905" s="10"/>
      <c r="K905" s="10"/>
      <c r="L905" s="10"/>
    </row>
    <row r="906">
      <c r="F906" s="10"/>
      <c r="G906" s="10"/>
      <c r="K906" s="10"/>
      <c r="L906" s="10"/>
    </row>
    <row r="907">
      <c r="F907" s="10"/>
      <c r="G907" s="10"/>
      <c r="K907" s="10"/>
      <c r="L907" s="10"/>
    </row>
    <row r="908">
      <c r="F908" s="10"/>
      <c r="G908" s="10"/>
      <c r="K908" s="10"/>
      <c r="L908" s="10"/>
    </row>
    <row r="909">
      <c r="F909" s="10"/>
      <c r="G909" s="10"/>
      <c r="K909" s="10"/>
      <c r="L909" s="10"/>
    </row>
    <row r="910">
      <c r="F910" s="10"/>
      <c r="G910" s="10"/>
      <c r="K910" s="10"/>
      <c r="L910" s="10"/>
    </row>
    <row r="911">
      <c r="F911" s="10"/>
      <c r="G911" s="10"/>
      <c r="K911" s="10"/>
      <c r="L911" s="10"/>
    </row>
    <row r="912">
      <c r="F912" s="10"/>
      <c r="G912" s="10"/>
      <c r="K912" s="10"/>
      <c r="L912" s="10"/>
    </row>
    <row r="913">
      <c r="F913" s="10"/>
      <c r="G913" s="10"/>
      <c r="K913" s="10"/>
      <c r="L913" s="10"/>
    </row>
    <row r="914">
      <c r="F914" s="10"/>
      <c r="G914" s="10"/>
      <c r="K914" s="10"/>
      <c r="L914" s="10"/>
    </row>
    <row r="915">
      <c r="F915" s="10"/>
      <c r="G915" s="10"/>
      <c r="K915" s="10"/>
      <c r="L915" s="10"/>
    </row>
    <row r="916">
      <c r="F916" s="10"/>
      <c r="G916" s="10"/>
      <c r="K916" s="10"/>
      <c r="L916" s="10"/>
    </row>
    <row r="917">
      <c r="F917" s="10"/>
      <c r="G917" s="10"/>
      <c r="K917" s="10"/>
      <c r="L917" s="10"/>
    </row>
    <row r="918">
      <c r="F918" s="10"/>
      <c r="G918" s="10"/>
      <c r="K918" s="10"/>
      <c r="L918" s="10"/>
    </row>
    <row r="919">
      <c r="F919" s="10"/>
      <c r="G919" s="10"/>
      <c r="K919" s="10"/>
      <c r="L919" s="10"/>
    </row>
    <row r="920">
      <c r="F920" s="10"/>
      <c r="G920" s="10"/>
      <c r="K920" s="10"/>
      <c r="L920" s="10"/>
    </row>
    <row r="921">
      <c r="F921" s="10"/>
      <c r="G921" s="10"/>
      <c r="K921" s="10"/>
      <c r="L921" s="10"/>
    </row>
    <row r="922">
      <c r="F922" s="10"/>
      <c r="G922" s="10"/>
      <c r="K922" s="10"/>
      <c r="L922" s="10"/>
    </row>
    <row r="923">
      <c r="F923" s="10"/>
      <c r="G923" s="10"/>
      <c r="K923" s="10"/>
      <c r="L923" s="10"/>
    </row>
    <row r="924">
      <c r="F924" s="10"/>
      <c r="G924" s="10"/>
      <c r="K924" s="10"/>
      <c r="L924" s="10"/>
    </row>
    <row r="925">
      <c r="F925" s="10"/>
      <c r="G925" s="10"/>
      <c r="K925" s="10"/>
      <c r="L925" s="10"/>
    </row>
    <row r="926">
      <c r="F926" s="10"/>
      <c r="G926" s="10"/>
      <c r="K926" s="10"/>
      <c r="L926" s="10"/>
    </row>
    <row r="927">
      <c r="F927" s="10"/>
      <c r="G927" s="10"/>
      <c r="K927" s="10"/>
      <c r="L927" s="10"/>
    </row>
    <row r="928">
      <c r="F928" s="10"/>
      <c r="G928" s="10"/>
      <c r="K928" s="10"/>
      <c r="L928" s="10"/>
    </row>
    <row r="929">
      <c r="F929" s="10"/>
      <c r="G929" s="10"/>
      <c r="K929" s="10"/>
      <c r="L929" s="10"/>
    </row>
    <row r="930">
      <c r="F930" s="10"/>
      <c r="G930" s="10"/>
      <c r="K930" s="10"/>
      <c r="L930" s="10"/>
    </row>
    <row r="931">
      <c r="F931" s="10"/>
      <c r="G931" s="10"/>
      <c r="K931" s="10"/>
      <c r="L931" s="10"/>
    </row>
    <row r="932">
      <c r="F932" s="10"/>
      <c r="G932" s="10"/>
      <c r="K932" s="10"/>
      <c r="L932" s="10"/>
    </row>
    <row r="933">
      <c r="F933" s="10"/>
      <c r="G933" s="10"/>
      <c r="K933" s="10"/>
      <c r="L933" s="10"/>
    </row>
    <row r="934">
      <c r="F934" s="10"/>
      <c r="G934" s="10"/>
      <c r="K934" s="10"/>
      <c r="L934" s="10"/>
    </row>
    <row r="935">
      <c r="F935" s="10"/>
      <c r="G935" s="10"/>
      <c r="K935" s="10"/>
      <c r="L935" s="10"/>
    </row>
    <row r="936">
      <c r="F936" s="10"/>
      <c r="G936" s="10"/>
      <c r="K936" s="10"/>
      <c r="L936" s="10"/>
    </row>
    <row r="937">
      <c r="F937" s="10"/>
      <c r="G937" s="10"/>
      <c r="K937" s="10"/>
      <c r="L937" s="10"/>
    </row>
    <row r="938">
      <c r="F938" s="10"/>
      <c r="G938" s="10"/>
      <c r="K938" s="10"/>
      <c r="L938" s="10"/>
    </row>
    <row r="939">
      <c r="F939" s="10"/>
      <c r="G939" s="10"/>
      <c r="K939" s="10"/>
      <c r="L939" s="10"/>
    </row>
    <row r="940">
      <c r="F940" s="10"/>
      <c r="G940" s="10"/>
      <c r="K940" s="10"/>
      <c r="L940" s="10"/>
    </row>
    <row r="941">
      <c r="F941" s="10"/>
      <c r="G941" s="10"/>
      <c r="K941" s="10"/>
      <c r="L941" s="10"/>
    </row>
    <row r="942">
      <c r="F942" s="10"/>
      <c r="G942" s="10"/>
      <c r="K942" s="10"/>
      <c r="L942" s="10"/>
    </row>
    <row r="943">
      <c r="F943" s="10"/>
      <c r="G943" s="10"/>
      <c r="K943" s="10"/>
      <c r="L943" s="10"/>
    </row>
    <row r="944">
      <c r="F944" s="10"/>
      <c r="G944" s="10"/>
      <c r="K944" s="10"/>
      <c r="L944" s="10"/>
    </row>
    <row r="945">
      <c r="F945" s="10"/>
      <c r="G945" s="10"/>
      <c r="K945" s="10"/>
      <c r="L945" s="10"/>
    </row>
    <row r="946">
      <c r="F946" s="10"/>
      <c r="G946" s="10"/>
      <c r="K946" s="10"/>
      <c r="L946" s="10"/>
    </row>
    <row r="947">
      <c r="F947" s="10"/>
      <c r="G947" s="10"/>
      <c r="K947" s="10"/>
      <c r="L947" s="10"/>
    </row>
    <row r="948">
      <c r="F948" s="10"/>
      <c r="G948" s="10"/>
      <c r="K948" s="10"/>
      <c r="L948" s="10"/>
    </row>
    <row r="949">
      <c r="F949" s="10"/>
      <c r="G949" s="10"/>
      <c r="K949" s="10"/>
      <c r="L949" s="10"/>
    </row>
    <row r="950">
      <c r="F950" s="10"/>
      <c r="G950" s="10"/>
      <c r="K950" s="10"/>
      <c r="L950" s="10"/>
    </row>
    <row r="951">
      <c r="F951" s="10"/>
      <c r="G951" s="10"/>
      <c r="K951" s="10"/>
      <c r="L951" s="10"/>
    </row>
    <row r="952">
      <c r="F952" s="10"/>
      <c r="G952" s="10"/>
      <c r="K952" s="10"/>
      <c r="L952" s="10"/>
    </row>
    <row r="953">
      <c r="F953" s="10"/>
      <c r="G953" s="10"/>
      <c r="K953" s="10"/>
      <c r="L953" s="10"/>
    </row>
    <row r="954">
      <c r="F954" s="10"/>
      <c r="G954" s="10"/>
      <c r="K954" s="10"/>
      <c r="L954" s="10"/>
    </row>
    <row r="955">
      <c r="F955" s="10"/>
      <c r="G955" s="10"/>
      <c r="K955" s="10"/>
      <c r="L955" s="10"/>
    </row>
    <row r="956">
      <c r="F956" s="10"/>
      <c r="G956" s="10"/>
      <c r="K956" s="10"/>
      <c r="L956" s="10"/>
    </row>
    <row r="957">
      <c r="F957" s="10"/>
      <c r="G957" s="10"/>
      <c r="K957" s="10"/>
      <c r="L957" s="10"/>
    </row>
    <row r="958">
      <c r="F958" s="10"/>
      <c r="G958" s="10"/>
      <c r="K958" s="10"/>
      <c r="L958" s="10"/>
    </row>
    <row r="959">
      <c r="F959" s="10"/>
      <c r="G959" s="10"/>
      <c r="K959" s="10"/>
      <c r="L959" s="10"/>
    </row>
    <row r="960">
      <c r="F960" s="10"/>
      <c r="G960" s="10"/>
      <c r="K960" s="10"/>
      <c r="L960" s="10"/>
    </row>
    <row r="961">
      <c r="F961" s="10"/>
      <c r="G961" s="10"/>
      <c r="K961" s="10"/>
      <c r="L961" s="10"/>
    </row>
    <row r="962">
      <c r="F962" s="10"/>
      <c r="G962" s="10"/>
      <c r="K962" s="10"/>
      <c r="L962" s="10"/>
    </row>
    <row r="963">
      <c r="F963" s="10"/>
      <c r="G963" s="10"/>
      <c r="K963" s="10"/>
      <c r="L963" s="10"/>
    </row>
    <row r="964">
      <c r="F964" s="10"/>
      <c r="G964" s="10"/>
      <c r="K964" s="10"/>
      <c r="L964" s="10"/>
    </row>
    <row r="965">
      <c r="F965" s="10"/>
      <c r="G965" s="10"/>
      <c r="K965" s="10"/>
      <c r="L965" s="10"/>
    </row>
    <row r="966">
      <c r="F966" s="10"/>
      <c r="G966" s="10"/>
      <c r="K966" s="10"/>
      <c r="L966" s="10"/>
    </row>
    <row r="967">
      <c r="F967" s="10"/>
      <c r="G967" s="10"/>
      <c r="K967" s="10"/>
      <c r="L967" s="10"/>
    </row>
    <row r="968">
      <c r="F968" s="10"/>
      <c r="G968" s="10"/>
      <c r="K968" s="10"/>
      <c r="L968" s="10"/>
    </row>
    <row r="969">
      <c r="F969" s="10"/>
      <c r="G969" s="10"/>
      <c r="K969" s="10"/>
      <c r="L969" s="10"/>
    </row>
    <row r="970">
      <c r="F970" s="10"/>
      <c r="G970" s="10"/>
      <c r="K970" s="10"/>
      <c r="L970" s="10"/>
    </row>
    <row r="971">
      <c r="F971" s="10"/>
      <c r="G971" s="10"/>
      <c r="K971" s="10"/>
      <c r="L971" s="10"/>
    </row>
    <row r="972">
      <c r="F972" s="10"/>
      <c r="G972" s="10"/>
      <c r="K972" s="10"/>
      <c r="L972" s="10"/>
    </row>
    <row r="973">
      <c r="F973" s="10"/>
      <c r="G973" s="10"/>
      <c r="K973" s="10"/>
      <c r="L973" s="10"/>
    </row>
    <row r="974">
      <c r="F974" s="10"/>
      <c r="G974" s="10"/>
      <c r="K974" s="10"/>
      <c r="L974" s="10"/>
    </row>
    <row r="975">
      <c r="F975" s="10"/>
      <c r="G975" s="10"/>
      <c r="K975" s="10"/>
      <c r="L975" s="10"/>
    </row>
    <row r="976">
      <c r="F976" s="10"/>
      <c r="G976" s="10"/>
      <c r="K976" s="10"/>
      <c r="L976" s="10"/>
    </row>
    <row r="977">
      <c r="F977" s="10"/>
      <c r="G977" s="10"/>
      <c r="K977" s="10"/>
      <c r="L977" s="10"/>
    </row>
    <row r="978">
      <c r="F978" s="10"/>
      <c r="G978" s="10"/>
      <c r="K978" s="10"/>
      <c r="L978" s="10"/>
    </row>
    <row r="979">
      <c r="F979" s="10"/>
      <c r="G979" s="10"/>
      <c r="K979" s="10"/>
      <c r="L979" s="10"/>
    </row>
    <row r="980">
      <c r="F980" s="10"/>
      <c r="G980" s="10"/>
      <c r="K980" s="10"/>
      <c r="L980" s="10"/>
    </row>
    <row r="981">
      <c r="F981" s="10"/>
      <c r="G981" s="10"/>
      <c r="K981" s="10"/>
      <c r="L981" s="10"/>
    </row>
    <row r="982">
      <c r="F982" s="10"/>
      <c r="G982" s="10"/>
      <c r="K982" s="10"/>
      <c r="L982" s="10"/>
    </row>
    <row r="983">
      <c r="F983" s="10"/>
      <c r="G983" s="10"/>
      <c r="K983" s="10"/>
      <c r="L983" s="10"/>
    </row>
    <row r="984">
      <c r="F984" s="10"/>
      <c r="G984" s="10"/>
      <c r="K984" s="10"/>
      <c r="L984" s="10"/>
    </row>
    <row r="985">
      <c r="F985" s="10"/>
      <c r="G985" s="10"/>
      <c r="K985" s="10"/>
      <c r="L985" s="10"/>
    </row>
    <row r="986">
      <c r="F986" s="10"/>
      <c r="G986" s="10"/>
      <c r="K986" s="10"/>
      <c r="L986" s="10"/>
    </row>
    <row r="987">
      <c r="F987" s="10"/>
      <c r="G987" s="10"/>
      <c r="K987" s="10"/>
      <c r="L987" s="10"/>
    </row>
    <row r="988">
      <c r="F988" s="10"/>
      <c r="G988" s="10"/>
      <c r="K988" s="10"/>
      <c r="L988" s="10"/>
    </row>
    <row r="989">
      <c r="F989" s="10"/>
      <c r="G989" s="10"/>
      <c r="K989" s="10"/>
      <c r="L989" s="10"/>
    </row>
    <row r="990">
      <c r="F990" s="10"/>
      <c r="G990" s="10"/>
      <c r="K990" s="10"/>
      <c r="L990" s="10"/>
    </row>
    <row r="991">
      <c r="F991" s="10"/>
      <c r="G991" s="10"/>
      <c r="K991" s="10"/>
      <c r="L991" s="10"/>
    </row>
    <row r="992">
      <c r="F992" s="10"/>
      <c r="G992" s="10"/>
      <c r="K992" s="10"/>
      <c r="L992" s="10"/>
    </row>
    <row r="993">
      <c r="F993" s="10"/>
      <c r="G993" s="10"/>
      <c r="K993" s="10"/>
      <c r="L993" s="10"/>
    </row>
    <row r="994">
      <c r="F994" s="10"/>
      <c r="G994" s="10"/>
      <c r="K994" s="10"/>
      <c r="L994" s="10"/>
    </row>
    <row r="995">
      <c r="F995" s="10"/>
      <c r="G995" s="10"/>
      <c r="K995" s="10"/>
      <c r="L995" s="10"/>
    </row>
    <row r="996">
      <c r="F996" s="10"/>
      <c r="G996" s="10"/>
      <c r="K996" s="10"/>
      <c r="L996" s="10"/>
    </row>
    <row r="997">
      <c r="F997" s="10"/>
      <c r="G997" s="10"/>
      <c r="K997" s="10"/>
      <c r="L997" s="10"/>
    </row>
    <row r="998">
      <c r="F998" s="10"/>
      <c r="G998" s="10"/>
      <c r="K998" s="10"/>
      <c r="L998" s="10"/>
    </row>
    <row r="999">
      <c r="F999" s="10"/>
      <c r="G999" s="10"/>
      <c r="K999" s="10"/>
      <c r="L999" s="10"/>
    </row>
    <row r="1000">
      <c r="F1000" s="10"/>
      <c r="G1000" s="10"/>
      <c r="K1000" s="10"/>
      <c r="L1000" s="10"/>
    </row>
    <row r="1001">
      <c r="F1001" s="10"/>
      <c r="G1001" s="10"/>
      <c r="K1001" s="10"/>
      <c r="L1001" s="10"/>
    </row>
    <row r="1002">
      <c r="F1002" s="10"/>
      <c r="G1002" s="10"/>
      <c r="K1002" s="10"/>
      <c r="L1002" s="10"/>
    </row>
    <row r="1003">
      <c r="F1003" s="10"/>
      <c r="G1003" s="10"/>
      <c r="K1003" s="10"/>
      <c r="L1003" s="10"/>
    </row>
    <row r="1004">
      <c r="F1004" s="10"/>
      <c r="G1004" s="10"/>
      <c r="K1004" s="10"/>
      <c r="L1004" s="10"/>
    </row>
    <row r="1005">
      <c r="F1005" s="10"/>
      <c r="G1005" s="10"/>
      <c r="K1005" s="10"/>
      <c r="L1005" s="10"/>
    </row>
    <row r="1006">
      <c r="F1006" s="10"/>
      <c r="G1006" s="10"/>
      <c r="K1006" s="10"/>
      <c r="L1006" s="10"/>
    </row>
    <row r="1007">
      <c r="F1007" s="10"/>
      <c r="G1007" s="10"/>
      <c r="K1007" s="10"/>
      <c r="L1007" s="10"/>
    </row>
    <row r="1008">
      <c r="F1008" s="10"/>
      <c r="G1008" s="10"/>
      <c r="K1008" s="10"/>
      <c r="L1008" s="10"/>
    </row>
    <row r="1009">
      <c r="F1009" s="10"/>
      <c r="G1009" s="10"/>
      <c r="K1009" s="10"/>
      <c r="L1009" s="10"/>
    </row>
    <row r="1010">
      <c r="F1010" s="10"/>
      <c r="G1010" s="10"/>
      <c r="K1010" s="10"/>
      <c r="L1010" s="10"/>
    </row>
    <row r="1011">
      <c r="F1011" s="10"/>
      <c r="G1011" s="10"/>
      <c r="K1011" s="10"/>
      <c r="L1011" s="10"/>
    </row>
    <row r="1012">
      <c r="F1012" s="10"/>
      <c r="G1012" s="10"/>
      <c r="K1012" s="10"/>
      <c r="L1012" s="10"/>
    </row>
    <row r="1013">
      <c r="F1013" s="10"/>
      <c r="G1013" s="10"/>
      <c r="K1013" s="10"/>
      <c r="L1013" s="10"/>
    </row>
    <row r="1014">
      <c r="F1014" s="10"/>
      <c r="G1014" s="10"/>
      <c r="K1014" s="10"/>
      <c r="L1014" s="10"/>
    </row>
    <row r="1015">
      <c r="F1015" s="10"/>
      <c r="G1015" s="10"/>
      <c r="K1015" s="10"/>
      <c r="L1015" s="10"/>
    </row>
    <row r="1016">
      <c r="F1016" s="10"/>
      <c r="G1016" s="10"/>
      <c r="K1016" s="10"/>
      <c r="L1016" s="10"/>
    </row>
    <row r="1017">
      <c r="F1017" s="10"/>
      <c r="G1017" s="10"/>
      <c r="K1017" s="10"/>
      <c r="L1017" s="10"/>
    </row>
    <row r="1018">
      <c r="F1018" s="10"/>
      <c r="G1018" s="10"/>
      <c r="K1018" s="10"/>
      <c r="L1018" s="10"/>
    </row>
    <row r="1019">
      <c r="F1019" s="10"/>
      <c r="G1019" s="10"/>
      <c r="K1019" s="10"/>
      <c r="L1019" s="10"/>
    </row>
    <row r="1020">
      <c r="F1020" s="10"/>
      <c r="G1020" s="10"/>
      <c r="K1020" s="10"/>
      <c r="L1020" s="10"/>
    </row>
    <row r="1021">
      <c r="F1021" s="10"/>
      <c r="G1021" s="10"/>
      <c r="K1021" s="10"/>
      <c r="L1021" s="10"/>
    </row>
    <row r="1022">
      <c r="F1022" s="10"/>
      <c r="G1022" s="10"/>
      <c r="K1022" s="10"/>
      <c r="L1022" s="10"/>
    </row>
    <row r="1023">
      <c r="F1023" s="10"/>
      <c r="G1023" s="10"/>
      <c r="K1023" s="10"/>
      <c r="L1023" s="10"/>
    </row>
    <row r="1024">
      <c r="F1024" s="10"/>
      <c r="G1024" s="10"/>
      <c r="K1024" s="10"/>
      <c r="L1024" s="10"/>
    </row>
    <row r="1025">
      <c r="F1025" s="10"/>
      <c r="G1025" s="10"/>
      <c r="K1025" s="10"/>
      <c r="L1025" s="10"/>
    </row>
    <row r="1026">
      <c r="F1026" s="10"/>
      <c r="G1026" s="10"/>
      <c r="K1026" s="10"/>
      <c r="L1026" s="10"/>
    </row>
    <row r="1027">
      <c r="F1027" s="10"/>
      <c r="G1027" s="10"/>
      <c r="K1027" s="10"/>
      <c r="L1027" s="10"/>
    </row>
    <row r="1028">
      <c r="F1028" s="10"/>
      <c r="G1028" s="10"/>
      <c r="K1028" s="10"/>
      <c r="L1028" s="10"/>
    </row>
    <row r="1029">
      <c r="F1029" s="10"/>
      <c r="G1029" s="10"/>
      <c r="K1029" s="10"/>
      <c r="L1029" s="10"/>
    </row>
    <row r="1030">
      <c r="F1030" s="10"/>
      <c r="G1030" s="10"/>
      <c r="K1030" s="10"/>
      <c r="L1030" s="10"/>
    </row>
    <row r="1031">
      <c r="F1031" s="10"/>
      <c r="G1031" s="10"/>
      <c r="K1031" s="10"/>
      <c r="L1031" s="10"/>
    </row>
    <row r="1032">
      <c r="F1032" s="10"/>
      <c r="G1032" s="10"/>
      <c r="K1032" s="10"/>
      <c r="L1032" s="10"/>
    </row>
    <row r="1033">
      <c r="F1033" s="10"/>
      <c r="G1033" s="10"/>
      <c r="K1033" s="10"/>
      <c r="L1033" s="10"/>
    </row>
    <row r="1034">
      <c r="F1034" s="10"/>
      <c r="G1034" s="10"/>
      <c r="K1034" s="10"/>
      <c r="L1034" s="10"/>
    </row>
    <row r="1035">
      <c r="F1035" s="10"/>
      <c r="G1035" s="10"/>
      <c r="K1035" s="10"/>
      <c r="L1035" s="10"/>
    </row>
    <row r="1036">
      <c r="F1036" s="10"/>
      <c r="G1036" s="10"/>
      <c r="K1036" s="10"/>
      <c r="L1036" s="10"/>
    </row>
    <row r="1037">
      <c r="F1037" s="10"/>
      <c r="G1037" s="10"/>
      <c r="K1037" s="10"/>
      <c r="L1037" s="10"/>
    </row>
    <row r="1038">
      <c r="F1038" s="10"/>
      <c r="G1038" s="10"/>
      <c r="K1038" s="10"/>
      <c r="L1038" s="10"/>
    </row>
    <row r="1039">
      <c r="F1039" s="10"/>
      <c r="G1039" s="10"/>
      <c r="K1039" s="10"/>
      <c r="L1039" s="10"/>
    </row>
    <row r="1040">
      <c r="F1040" s="10"/>
      <c r="G1040" s="10"/>
      <c r="K1040" s="10"/>
      <c r="L1040" s="10"/>
    </row>
    <row r="1041">
      <c r="F1041" s="10"/>
      <c r="G1041" s="10"/>
      <c r="K1041" s="10"/>
      <c r="L1041" s="10"/>
    </row>
    <row r="1042">
      <c r="F1042" s="10"/>
      <c r="G1042" s="10"/>
      <c r="K1042" s="10"/>
      <c r="L1042" s="10"/>
    </row>
    <row r="1043">
      <c r="F1043" s="10"/>
      <c r="G1043" s="10"/>
      <c r="K1043" s="10"/>
      <c r="L1043" s="10"/>
    </row>
    <row r="1044">
      <c r="F1044" s="10"/>
      <c r="G1044" s="10"/>
      <c r="K1044" s="10"/>
      <c r="L1044" s="10"/>
    </row>
    <row r="1045">
      <c r="F1045" s="10"/>
      <c r="G1045" s="10"/>
      <c r="K1045" s="10"/>
      <c r="L1045" s="10"/>
    </row>
    <row r="1046">
      <c r="F1046" s="10"/>
      <c r="G1046" s="10"/>
      <c r="K1046" s="10"/>
      <c r="L1046" s="10"/>
    </row>
    <row r="1047">
      <c r="F1047" s="10"/>
      <c r="G1047" s="10"/>
      <c r="K1047" s="10"/>
      <c r="L1047" s="10"/>
    </row>
    <row r="1048">
      <c r="F1048" s="10"/>
      <c r="G1048" s="10"/>
      <c r="K1048" s="10"/>
      <c r="L1048" s="10"/>
    </row>
    <row r="1049">
      <c r="F1049" s="10"/>
      <c r="G1049" s="10"/>
      <c r="K1049" s="10"/>
      <c r="L1049" s="10"/>
    </row>
    <row r="1050">
      <c r="F1050" s="10"/>
      <c r="G1050" s="10"/>
      <c r="K1050" s="10"/>
      <c r="L1050" s="10"/>
    </row>
    <row r="1051">
      <c r="F1051" s="10"/>
      <c r="G1051" s="10"/>
      <c r="K1051" s="10"/>
      <c r="L1051" s="10"/>
    </row>
    <row r="1052">
      <c r="F1052" s="10"/>
      <c r="G1052" s="10"/>
      <c r="K1052" s="10"/>
      <c r="L1052" s="10"/>
    </row>
    <row r="1053">
      <c r="F1053" s="10"/>
      <c r="G1053" s="10"/>
      <c r="K1053" s="10"/>
      <c r="L1053" s="10"/>
    </row>
    <row r="1054">
      <c r="F1054" s="10"/>
      <c r="G1054" s="10"/>
      <c r="K1054" s="10"/>
      <c r="L1054" s="10"/>
    </row>
    <row r="1055">
      <c r="F1055" s="10"/>
      <c r="G1055" s="10"/>
      <c r="K1055" s="10"/>
      <c r="L1055" s="10"/>
    </row>
    <row r="1056">
      <c r="F1056" s="10"/>
      <c r="G1056" s="10"/>
      <c r="K1056" s="10"/>
      <c r="L1056" s="10"/>
    </row>
    <row r="1057">
      <c r="F1057" s="10"/>
      <c r="G1057" s="10"/>
      <c r="K1057" s="10"/>
      <c r="L1057" s="10"/>
    </row>
    <row r="1058">
      <c r="F1058" s="10"/>
      <c r="G1058" s="10"/>
      <c r="K1058" s="10"/>
      <c r="L1058" s="10"/>
    </row>
    <row r="1059">
      <c r="F1059" s="10"/>
      <c r="G1059" s="10"/>
      <c r="K1059" s="10"/>
      <c r="L1059" s="10"/>
    </row>
    <row r="1060">
      <c r="F1060" s="10"/>
      <c r="G1060" s="10"/>
      <c r="K1060" s="10"/>
      <c r="L1060" s="10"/>
    </row>
    <row r="1061">
      <c r="F1061" s="10"/>
      <c r="G1061" s="10"/>
      <c r="K1061" s="10"/>
      <c r="L1061" s="10"/>
    </row>
    <row r="1062">
      <c r="F1062" s="10"/>
      <c r="G1062" s="10"/>
      <c r="K1062" s="10"/>
      <c r="L1062" s="10"/>
    </row>
    <row r="1063">
      <c r="F1063" s="10"/>
      <c r="G1063" s="10"/>
      <c r="K1063" s="10"/>
      <c r="L1063" s="10"/>
    </row>
    <row r="1064">
      <c r="F1064" s="10"/>
      <c r="G1064" s="10"/>
      <c r="K1064" s="10"/>
      <c r="L1064" s="10"/>
    </row>
    <row r="1065">
      <c r="F1065" s="10"/>
      <c r="G1065" s="10"/>
      <c r="K1065" s="10"/>
      <c r="L1065" s="10"/>
    </row>
    <row r="1066">
      <c r="F1066" s="10"/>
      <c r="G1066" s="10"/>
      <c r="K1066" s="10"/>
      <c r="L1066" s="10"/>
    </row>
    <row r="1067">
      <c r="F1067" s="10"/>
      <c r="G1067" s="10"/>
      <c r="K1067" s="10"/>
      <c r="L1067" s="10"/>
    </row>
    <row r="1068">
      <c r="F1068" s="10"/>
      <c r="G1068" s="10"/>
      <c r="K1068" s="10"/>
      <c r="L1068" s="10"/>
    </row>
    <row r="1069">
      <c r="F1069" s="10"/>
      <c r="G1069" s="10"/>
      <c r="K1069" s="10"/>
      <c r="L1069" s="10"/>
    </row>
    <row r="1070">
      <c r="F1070" s="10"/>
      <c r="G1070" s="10"/>
      <c r="K1070" s="10"/>
      <c r="L1070" s="10"/>
    </row>
    <row r="1071">
      <c r="F1071" s="10"/>
      <c r="G1071" s="10"/>
      <c r="K1071" s="10"/>
      <c r="L1071" s="10"/>
    </row>
    <row r="1072">
      <c r="F1072" s="10"/>
      <c r="G1072" s="10"/>
      <c r="K1072" s="10"/>
      <c r="L1072" s="10"/>
    </row>
    <row r="1073">
      <c r="F1073" s="10"/>
      <c r="G1073" s="10"/>
      <c r="K1073" s="10"/>
      <c r="L1073" s="10"/>
    </row>
    <row r="1074">
      <c r="F1074" s="10"/>
      <c r="G1074" s="10"/>
      <c r="K1074" s="10"/>
      <c r="L1074" s="10"/>
    </row>
    <row r="1075">
      <c r="F1075" s="10"/>
      <c r="G1075" s="10"/>
      <c r="K1075" s="10"/>
      <c r="L1075" s="10"/>
    </row>
    <row r="1076">
      <c r="F1076" s="10"/>
      <c r="G1076" s="10"/>
      <c r="K1076" s="10"/>
      <c r="L1076" s="10"/>
    </row>
    <row r="1077">
      <c r="F1077" s="10"/>
      <c r="G1077" s="10"/>
      <c r="K1077" s="10"/>
      <c r="L1077" s="10"/>
    </row>
    <row r="1078">
      <c r="F1078" s="10"/>
      <c r="G1078" s="10"/>
      <c r="K1078" s="10"/>
      <c r="L1078" s="10"/>
    </row>
    <row r="1079">
      <c r="F1079" s="10"/>
      <c r="G1079" s="10"/>
      <c r="K1079" s="10"/>
      <c r="L1079" s="10"/>
    </row>
    <row r="1080">
      <c r="F1080" s="10"/>
      <c r="G1080" s="10"/>
      <c r="K1080" s="10"/>
      <c r="L1080" s="10"/>
    </row>
    <row r="1081">
      <c r="F1081" s="10"/>
      <c r="G1081" s="10"/>
      <c r="K1081" s="10"/>
      <c r="L1081" s="10"/>
    </row>
    <row r="1082">
      <c r="F1082" s="10"/>
      <c r="G1082" s="10"/>
      <c r="K1082" s="10"/>
      <c r="L1082" s="10"/>
    </row>
    <row r="1083">
      <c r="F1083" s="10"/>
      <c r="G1083" s="10"/>
      <c r="K1083" s="10"/>
      <c r="L1083" s="10"/>
    </row>
    <row r="1084">
      <c r="F1084" s="10"/>
      <c r="K1084" s="10"/>
      <c r="L1084" s="10"/>
    </row>
  </sheetData>
  <dataValidations>
    <dataValidation type="list" allowBlank="1" showErrorMessage="1" sqref="G2:G107">
      <formula1>"Q1,Q2,Q3,Q4"</formula1>
    </dataValidation>
    <dataValidation type="list" allowBlank="1" showErrorMessage="1" sqref="K2:L1084">
      <formula1>"1 - Partial,2 - Risk Informed,3 - Repeatable,4 - Adaptive"</formula1>
    </dataValidation>
    <dataValidation type="list" allowBlank="1" showErrorMessage="1" sqref="F2:F107">
      <formula1>"N/A,Not Compliant,Compliant,Partially Compliant"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39.38"/>
    <col customWidth="1" min="3" max="3" width="22.25"/>
  </cols>
  <sheetData>
    <row r="1">
      <c r="A1" s="19" t="s">
        <v>21</v>
      </c>
      <c r="B1" s="19" t="s">
        <v>9</v>
      </c>
      <c r="C1" s="19" t="s">
        <v>22</v>
      </c>
      <c r="E1" s="11" t="s">
        <v>266</v>
      </c>
    </row>
    <row r="2">
      <c r="A2" s="20" t="s">
        <v>267</v>
      </c>
      <c r="B2" s="21" t="s">
        <v>268</v>
      </c>
      <c r="C2" s="21" t="s">
        <v>31</v>
      </c>
      <c r="E2" s="45" t="s">
        <v>269</v>
      </c>
    </row>
    <row r="3">
      <c r="A3" s="23"/>
      <c r="B3" s="21" t="s">
        <v>270</v>
      </c>
      <c r="C3" s="21" t="s">
        <v>43</v>
      </c>
      <c r="E3" s="45" t="s">
        <v>271</v>
      </c>
    </row>
    <row r="4">
      <c r="A4" s="23"/>
      <c r="B4" s="21" t="s">
        <v>272</v>
      </c>
      <c r="C4" s="21" t="s">
        <v>58</v>
      </c>
    </row>
    <row r="5">
      <c r="A5" s="23"/>
      <c r="B5" s="21" t="s">
        <v>273</v>
      </c>
      <c r="C5" s="21" t="s">
        <v>67</v>
      </c>
    </row>
    <row r="6">
      <c r="A6" s="23"/>
      <c r="B6" s="21" t="s">
        <v>274</v>
      </c>
      <c r="C6" s="21" t="s">
        <v>72</v>
      </c>
    </row>
    <row r="7">
      <c r="A7" s="23"/>
      <c r="B7" s="21" t="s">
        <v>275</v>
      </c>
      <c r="C7" s="24" t="s">
        <v>79</v>
      </c>
    </row>
    <row r="8">
      <c r="A8" s="25" t="s">
        <v>276</v>
      </c>
      <c r="B8" s="26" t="s">
        <v>277</v>
      </c>
      <c r="C8" s="27" t="s">
        <v>100</v>
      </c>
    </row>
    <row r="9">
      <c r="A9" s="28"/>
      <c r="B9" s="26" t="s">
        <v>278</v>
      </c>
      <c r="C9" s="27" t="s">
        <v>115</v>
      </c>
    </row>
    <row r="10">
      <c r="A10" s="28"/>
      <c r="B10" s="26" t="s">
        <v>279</v>
      </c>
      <c r="C10" s="27" t="s">
        <v>136</v>
      </c>
    </row>
    <row r="11">
      <c r="A11" s="29" t="s">
        <v>280</v>
      </c>
      <c r="B11" s="30" t="s">
        <v>281</v>
      </c>
      <c r="C11" s="30" t="s">
        <v>145</v>
      </c>
    </row>
    <row r="12">
      <c r="A12" s="31"/>
      <c r="B12" s="30" t="s">
        <v>282</v>
      </c>
      <c r="C12" s="32" t="s">
        <v>158</v>
      </c>
    </row>
    <row r="13">
      <c r="A13" s="31"/>
      <c r="B13" s="30" t="s">
        <v>283</v>
      </c>
      <c r="C13" s="30" t="s">
        <v>163</v>
      </c>
    </row>
    <row r="14">
      <c r="A14" s="31"/>
      <c r="B14" s="30" t="s">
        <v>284</v>
      </c>
      <c r="C14" s="32" t="s">
        <v>172</v>
      </c>
    </row>
    <row r="15">
      <c r="A15" s="31"/>
      <c r="B15" s="30" t="s">
        <v>285</v>
      </c>
      <c r="C15" s="32" t="s">
        <v>185</v>
      </c>
    </row>
    <row r="16">
      <c r="A16" s="33" t="s">
        <v>286</v>
      </c>
      <c r="B16" s="34" t="s">
        <v>287</v>
      </c>
      <c r="C16" s="35" t="s">
        <v>194</v>
      </c>
    </row>
    <row r="17">
      <c r="A17" s="36"/>
      <c r="B17" s="34" t="s">
        <v>288</v>
      </c>
      <c r="C17" s="35" t="s">
        <v>205</v>
      </c>
    </row>
    <row r="18">
      <c r="A18" s="37" t="s">
        <v>289</v>
      </c>
      <c r="B18" s="38" t="s">
        <v>290</v>
      </c>
      <c r="C18" s="39" t="s">
        <v>218</v>
      </c>
    </row>
    <row r="19">
      <c r="A19" s="40"/>
      <c r="B19" s="38" t="s">
        <v>291</v>
      </c>
      <c r="C19" s="38" t="s">
        <v>229</v>
      </c>
    </row>
    <row r="20">
      <c r="A20" s="40"/>
      <c r="B20" s="38" t="s">
        <v>292</v>
      </c>
      <c r="C20" s="39" t="s">
        <v>238</v>
      </c>
    </row>
    <row r="21">
      <c r="A21" s="40"/>
      <c r="B21" s="38" t="s">
        <v>293</v>
      </c>
      <c r="C21" s="38" t="s">
        <v>243</v>
      </c>
    </row>
    <row r="22">
      <c r="A22" s="41" t="s">
        <v>294</v>
      </c>
      <c r="B22" s="42" t="s">
        <v>295</v>
      </c>
      <c r="C22" s="42" t="s">
        <v>248</v>
      </c>
    </row>
    <row r="23">
      <c r="A23" s="43"/>
      <c r="B23" s="42" t="s">
        <v>296</v>
      </c>
      <c r="C23" s="44" t="s">
        <v>261</v>
      </c>
    </row>
  </sheetData>
  <hyperlinks>
    <hyperlink r:id="rId1" ref="E2"/>
    <hyperlink r:id="rId2" location="/csf/filters" ref="E3"/>
  </hyperlinks>
  <drawing r:id="rId3"/>
</worksheet>
</file>