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新业务项目回款表2013" sheetId="5" r:id="rId1"/>
    <sheet name="Evevts项目回款表2013" sheetId="1" r:id="rId2"/>
    <sheet name="项目回款明细" sheetId="2" r:id="rId3"/>
    <sheet name="销售员业绩" sheetId="3" r:id="rId4"/>
    <sheet name="项目回款" sheetId="4" r:id="rId5"/>
  </sheets>
  <definedNames>
    <definedName name="_xlnm._FilterDatabase" localSheetId="2" hidden="1">项目回款明细!$A$1:$G$1363</definedName>
  </definedNames>
  <calcPr calcId="125725"/>
</workbook>
</file>

<file path=xl/calcChain.xml><?xml version="1.0" encoding="utf-8"?>
<calcChain xmlns="http://schemas.openxmlformats.org/spreadsheetml/2006/main">
  <c r="J9" i="1"/>
  <c r="J7"/>
  <c r="D8" i="4"/>
  <c r="B8"/>
  <c r="D6"/>
  <c r="B6"/>
  <c r="G73" i="3"/>
  <c r="G48"/>
  <c r="G11"/>
  <c r="G91" l="1"/>
  <c r="I5" i="5"/>
  <c r="J12" i="1"/>
  <c r="D11" i="4"/>
  <c r="B11"/>
  <c r="G31" i="3"/>
  <c r="G47"/>
  <c r="G64"/>
  <c r="J15" i="1"/>
  <c r="D14" i="4"/>
  <c r="G77" i="3"/>
  <c r="G89"/>
  <c r="J10" i="1"/>
  <c r="D9" i="4"/>
  <c r="G58" i="3"/>
  <c r="J18" i="1"/>
  <c r="D17" i="4"/>
  <c r="G41" i="3"/>
  <c r="B40"/>
  <c r="B41"/>
  <c r="B42"/>
  <c r="J16" i="1"/>
  <c r="D15" i="4"/>
  <c r="G72" i="3"/>
  <c r="B72" s="1"/>
  <c r="B73"/>
  <c r="G61" l="1"/>
  <c r="G39"/>
  <c r="J24" i="1"/>
  <c r="D23" i="4"/>
  <c r="J8" i="1"/>
  <c r="J11"/>
  <c r="D10" i="4"/>
  <c r="D7"/>
  <c r="G90" i="3"/>
  <c r="G35"/>
  <c r="G96"/>
  <c r="G14"/>
  <c r="G84"/>
  <c r="I6" i="5"/>
  <c r="G37" i="3"/>
  <c r="B37" s="1"/>
  <c r="B38"/>
  <c r="B39"/>
  <c r="B36"/>
  <c r="J14" i="1"/>
  <c r="D13" i="4"/>
  <c r="G67" i="3"/>
  <c r="G21"/>
  <c r="C7" i="4"/>
  <c r="C12"/>
  <c r="C11"/>
  <c r="C9"/>
  <c r="C6"/>
  <c r="G20" i="3"/>
  <c r="G46"/>
  <c r="J13" i="1"/>
  <c r="K7" i="5"/>
  <c r="L7"/>
  <c r="M7"/>
  <c r="N7"/>
  <c r="O7"/>
  <c r="P7"/>
  <c r="I7"/>
  <c r="J7"/>
  <c r="F94" i="3" l="1"/>
  <c r="F57" l="1"/>
  <c r="I5" i="1"/>
  <c r="F78" i="3"/>
  <c r="I7" i="1"/>
  <c r="F603" i="2" l="1"/>
  <c r="F50" i="3"/>
  <c r="I17" i="1"/>
  <c r="F47" i="3" l="1"/>
  <c r="F31"/>
  <c r="H3" i="5"/>
  <c r="F75" i="3"/>
  <c r="I3" i="1"/>
  <c r="F12" i="3"/>
  <c r="I9" i="1"/>
  <c r="F91" i="3"/>
  <c r="F32"/>
  <c r="H5" i="5"/>
  <c r="I12" i="1"/>
  <c r="I10"/>
  <c r="I8"/>
  <c r="F90" i="3"/>
  <c r="B89"/>
  <c r="B90"/>
  <c r="F85"/>
  <c r="F84"/>
  <c r="F73"/>
  <c r="F64"/>
  <c r="F63"/>
  <c r="F58"/>
  <c r="I21" i="1"/>
  <c r="F74" i="3"/>
  <c r="B74" s="1"/>
  <c r="B75"/>
  <c r="F43"/>
  <c r="F48"/>
  <c r="F60"/>
  <c r="F11"/>
  <c r="H6" i="5"/>
  <c r="I4" i="1"/>
  <c r="F39" i="3" l="1"/>
  <c r="F92"/>
  <c r="F24"/>
  <c r="F19"/>
  <c r="I14" i="1"/>
  <c r="F20" i="3"/>
  <c r="E86" l="1"/>
  <c r="E91"/>
  <c r="E98"/>
  <c r="E96"/>
  <c r="F61" l="1"/>
  <c r="I8" i="5" l="1"/>
  <c r="J8"/>
  <c r="K8"/>
  <c r="H7"/>
  <c r="D6"/>
  <c r="I6" i="1"/>
  <c r="F45" i="3"/>
  <c r="B44"/>
  <c r="B45"/>
  <c r="B46"/>
  <c r="F22"/>
  <c r="F9"/>
  <c r="F69"/>
  <c r="B68"/>
  <c r="B69"/>
  <c r="F89" l="1"/>
  <c r="B50"/>
  <c r="B51"/>
  <c r="I11" i="1"/>
  <c r="F14" i="3"/>
  <c r="I15" i="1"/>
  <c r="F96" i="3"/>
  <c r="F79" l="1"/>
  <c r="F26"/>
  <c r="F29"/>
  <c r="F17"/>
  <c r="F83"/>
  <c r="H24" i="4" l="1"/>
  <c r="I18" i="1"/>
  <c r="B53" i="3"/>
  <c r="F67" l="1"/>
  <c r="F15"/>
  <c r="B15" s="1"/>
  <c r="B16"/>
  <c r="B17"/>
  <c r="B18"/>
  <c r="H17" i="4"/>
  <c r="I13" i="1"/>
  <c r="F18" i="3"/>
  <c r="F339" i="2" l="1"/>
  <c r="F35" i="3" l="1"/>
  <c r="I16" i="1"/>
  <c r="H15" i="4"/>
  <c r="F88" i="3"/>
  <c r="F49"/>
  <c r="F21" l="1"/>
  <c r="F101"/>
  <c r="F99"/>
  <c r="F65"/>
  <c r="F100"/>
  <c r="B93"/>
  <c r="B94"/>
  <c r="H16" i="4" l="1"/>
  <c r="F81" i="3"/>
  <c r="B81" s="1"/>
  <c r="B80"/>
  <c r="B82"/>
  <c r="F30"/>
  <c r="H6" i="4" l="1"/>
  <c r="F44" i="3"/>
  <c r="F68"/>
  <c r="H14" i="4"/>
  <c r="F5" i="3"/>
  <c r="F38"/>
  <c r="F34" l="1"/>
  <c r="B34" s="1"/>
  <c r="F13" l="1"/>
  <c r="H8" i="4"/>
  <c r="F76" i="3"/>
  <c r="B63" l="1"/>
  <c r="F2"/>
  <c r="P8" i="5" l="1"/>
  <c r="O8"/>
  <c r="N8"/>
  <c r="M8"/>
  <c r="L8"/>
  <c r="G7"/>
  <c r="F7"/>
  <c r="E7"/>
  <c r="D5"/>
  <c r="D7" s="1"/>
  <c r="P4"/>
  <c r="O4"/>
  <c r="N4"/>
  <c r="M4"/>
  <c r="L4"/>
  <c r="K4"/>
  <c r="J4"/>
  <c r="I4"/>
  <c r="G4"/>
  <c r="G8" s="1"/>
  <c r="F4"/>
  <c r="F8" s="1"/>
  <c r="E4"/>
  <c r="E8" s="1"/>
  <c r="H4"/>
  <c r="H8" s="1"/>
  <c r="D3"/>
  <c r="D4" s="1"/>
  <c r="F77" i="3"/>
  <c r="D8" i="5" l="1"/>
  <c r="F46" i="3"/>
  <c r="H3" i="4"/>
  <c r="H12"/>
  <c r="H10"/>
  <c r="H9"/>
  <c r="H5"/>
  <c r="H4"/>
  <c r="F388" i="2"/>
  <c r="H7" i="4"/>
  <c r="F16" i="3"/>
  <c r="H13" i="4"/>
  <c r="F54" i="3"/>
  <c r="H11" i="4"/>
  <c r="H23" i="1"/>
  <c r="H10"/>
  <c r="H4" l="1"/>
  <c r="H18"/>
  <c r="H3" l="1"/>
  <c r="H15"/>
  <c r="H14"/>
  <c r="H12"/>
  <c r="E24" i="3"/>
  <c r="E19"/>
  <c r="H5" i="1" l="1"/>
  <c r="E26" i="3"/>
  <c r="E76"/>
  <c r="E20"/>
  <c r="E32"/>
  <c r="H9" i="1"/>
  <c r="H7"/>
  <c r="E85" i="3"/>
  <c r="E31"/>
  <c r="H13" i="1" l="1"/>
  <c r="E35" i="3"/>
  <c r="B35" s="1"/>
  <c r="B33"/>
  <c r="E89"/>
  <c r="H24" i="1"/>
  <c r="E21" i="3"/>
  <c r="H8" i="1"/>
  <c r="H16"/>
  <c r="H11"/>
  <c r="E5" i="3"/>
  <c r="E102" s="1"/>
  <c r="E60"/>
  <c r="B60"/>
  <c r="H22" i="4"/>
  <c r="H23"/>
  <c r="H25"/>
  <c r="D24" i="1"/>
  <c r="I23" i="4" s="1"/>
  <c r="C50"/>
  <c r="B13" i="3"/>
  <c r="B14"/>
  <c r="D26" i="4"/>
  <c r="E26"/>
  <c r="G26"/>
  <c r="C26"/>
  <c r="B26"/>
  <c r="I27" i="1" l="1"/>
  <c r="J27"/>
  <c r="K27"/>
  <c r="L27"/>
  <c r="M27"/>
  <c r="N27"/>
  <c r="O27"/>
  <c r="P27"/>
  <c r="Q27"/>
  <c r="E27"/>
  <c r="D26"/>
  <c r="I25" i="4" s="1"/>
  <c r="B96" i="3" l="1"/>
  <c r="B52"/>
  <c r="D23" i="1" l="1"/>
  <c r="I22" i="4" s="1"/>
  <c r="H27" i="1"/>
  <c r="F26" i="4"/>
  <c r="H19" i="1"/>
  <c r="H28" s="1"/>
  <c r="I19"/>
  <c r="J19"/>
  <c r="K19"/>
  <c r="L19"/>
  <c r="M19"/>
  <c r="N19"/>
  <c r="O19"/>
  <c r="P19"/>
  <c r="Q19"/>
  <c r="E19"/>
  <c r="D44" i="3" l="1"/>
  <c r="G7" i="1" l="1"/>
  <c r="G10"/>
  <c r="G3" l="1"/>
  <c r="G4"/>
  <c r="G5"/>
  <c r="G6"/>
  <c r="G8"/>
  <c r="G9"/>
  <c r="G11"/>
  <c r="G12"/>
  <c r="G13"/>
  <c r="G14"/>
  <c r="G15"/>
  <c r="G16"/>
  <c r="F173" i="2"/>
  <c r="D22" i="3"/>
  <c r="D39"/>
  <c r="D88"/>
  <c r="B88" s="1"/>
  <c r="D8"/>
  <c r="D21"/>
  <c r="D24"/>
  <c r="D32"/>
  <c r="D26"/>
  <c r="D91"/>
  <c r="D92"/>
  <c r="D25"/>
  <c r="D20"/>
  <c r="D31"/>
  <c r="D77"/>
  <c r="G19" i="1" l="1"/>
  <c r="D61" i="3"/>
  <c r="B61" s="1"/>
  <c r="D82" l="1"/>
  <c r="D48"/>
  <c r="G22" i="1" l="1"/>
  <c r="G27" s="1"/>
  <c r="D89" i="3"/>
  <c r="D65"/>
  <c r="D66"/>
  <c r="D43"/>
  <c r="D36"/>
  <c r="D17"/>
  <c r="D19"/>
  <c r="D73"/>
  <c r="D84"/>
  <c r="D18"/>
  <c r="D64"/>
  <c r="B64" s="1"/>
  <c r="D83" l="1"/>
  <c r="B62" l="1"/>
  <c r="D5"/>
  <c r="D47"/>
  <c r="D97"/>
  <c r="B95"/>
  <c r="B97"/>
  <c r="H21" i="4"/>
  <c r="D22" i="1"/>
  <c r="I21" i="4" l="1"/>
  <c r="D54" i="3"/>
  <c r="D35" i="4" l="1"/>
  <c r="E35" s="1"/>
  <c r="D36"/>
  <c r="E36" s="1"/>
  <c r="D37"/>
  <c r="E37" s="1"/>
  <c r="D40"/>
  <c r="E40" s="1"/>
  <c r="D48"/>
  <c r="E48" s="1"/>
  <c r="D44"/>
  <c r="E44" s="1"/>
  <c r="D45"/>
  <c r="E45" s="1"/>
  <c r="D47"/>
  <c r="E47" s="1"/>
  <c r="D46"/>
  <c r="E46" s="1"/>
  <c r="D49"/>
  <c r="E49" s="1"/>
  <c r="D42" l="1"/>
  <c r="E42" s="1"/>
  <c r="D34"/>
  <c r="E34" s="1"/>
  <c r="D40" i="3"/>
  <c r="D43" i="4"/>
  <c r="E43" s="1"/>
  <c r="D38" l="1"/>
  <c r="E38" s="1"/>
  <c r="D41"/>
  <c r="E41" s="1"/>
  <c r="D39" l="1"/>
  <c r="E39" s="1"/>
  <c r="D23" i="3"/>
  <c r="B23" s="1"/>
  <c r="B24"/>
  <c r="F96" i="2" l="1"/>
  <c r="F5" i="1" l="1"/>
  <c r="C100" i="3"/>
  <c r="B100" s="1"/>
  <c r="F13" i="1"/>
  <c r="F6"/>
  <c r="F3"/>
  <c r="C83" i="3"/>
  <c r="C46"/>
  <c r="C22"/>
  <c r="F4" i="1" l="1"/>
  <c r="C26" i="3"/>
  <c r="C65"/>
  <c r="B65" s="1"/>
  <c r="C17"/>
  <c r="F7" i="1"/>
  <c r="C48" i="3"/>
  <c r="F12" i="1"/>
  <c r="C32" i="3"/>
  <c r="C31"/>
  <c r="C29"/>
  <c r="B29" s="1"/>
  <c r="B30"/>
  <c r="C73"/>
  <c r="B76"/>
  <c r="F9" i="1"/>
  <c r="F8" l="1"/>
  <c r="C54" i="3"/>
  <c r="B26"/>
  <c r="C92"/>
  <c r="B92" s="1"/>
  <c r="C75" l="1"/>
  <c r="C84"/>
  <c r="C57"/>
  <c r="F14" i="1"/>
  <c r="C47" i="3"/>
  <c r="C98" l="1"/>
  <c r="B98" s="1"/>
  <c r="C49"/>
  <c r="C21"/>
  <c r="F10" i="1"/>
  <c r="C39" i="3"/>
  <c r="C43"/>
  <c r="B43" s="1"/>
  <c r="F15" i="1" l="1"/>
  <c r="C89" i="3"/>
  <c r="F19" i="1"/>
  <c r="C80" i="3"/>
  <c r="B83"/>
  <c r="B91"/>
  <c r="C38" l="1"/>
  <c r="C42"/>
  <c r="C20"/>
  <c r="C66"/>
  <c r="F21" i="1" l="1"/>
  <c r="H20" i="4"/>
  <c r="C87" i="3"/>
  <c r="C71"/>
  <c r="B71" s="1"/>
  <c r="B70"/>
  <c r="D21" i="1" l="1"/>
  <c r="I20" i="4" s="1"/>
  <c r="F27" i="1"/>
  <c r="C78" i="3"/>
  <c r="C59"/>
  <c r="B59" s="1"/>
  <c r="C25" l="1"/>
  <c r="B25" s="1"/>
  <c r="B28"/>
  <c r="C40" l="1"/>
  <c r="C79"/>
  <c r="C27"/>
  <c r="B27" s="1"/>
  <c r="C68"/>
  <c r="F36" i="2"/>
  <c r="D20" i="1"/>
  <c r="I19" i="4" l="1"/>
  <c r="D4" i="1"/>
  <c r="D9"/>
  <c r="I8" i="4" s="1"/>
  <c r="D11" i="1"/>
  <c r="I10" i="4" s="1"/>
  <c r="D18" i="1"/>
  <c r="I17" i="4" s="1"/>
  <c r="D14" i="1"/>
  <c r="I13" i="4" s="1"/>
  <c r="D25" i="1"/>
  <c r="I24" i="4" s="1"/>
  <c r="D17" i="1"/>
  <c r="I16" i="4" s="1"/>
  <c r="D16" i="1"/>
  <c r="I15" i="4" s="1"/>
  <c r="B12" i="3"/>
  <c r="B11"/>
  <c r="D27" i="1" l="1"/>
  <c r="I26" i="4"/>
  <c r="I3"/>
  <c r="B31" i="3"/>
  <c r="B32"/>
  <c r="B10" l="1"/>
  <c r="B7" l="1"/>
  <c r="B8"/>
  <c r="B9"/>
  <c r="B3"/>
  <c r="B4"/>
  <c r="B78" l="1"/>
  <c r="B79"/>
  <c r="B85" l="1"/>
  <c r="B86"/>
  <c r="B66" l="1"/>
  <c r="B67"/>
  <c r="B99" l="1"/>
  <c r="B6" l="1"/>
  <c r="B77" l="1"/>
  <c r="B84" l="1"/>
  <c r="B87"/>
  <c r="B49" l="1"/>
  <c r="B54" l="1"/>
  <c r="B55" l="1"/>
  <c r="B56" l="1"/>
  <c r="B19" l="1"/>
  <c r="B58" l="1"/>
  <c r="B18" i="4" l="1"/>
  <c r="B101" i="3" l="1"/>
  <c r="D18" i="4" l="1"/>
  <c r="E18"/>
  <c r="E27" s="1"/>
  <c r="F18"/>
  <c r="F27" s="1"/>
  <c r="G18"/>
  <c r="G27" s="1"/>
  <c r="E28" i="1"/>
  <c r="K28"/>
  <c r="M28"/>
  <c r="O28"/>
  <c r="Q28"/>
  <c r="H19" i="4"/>
  <c r="H26" s="1"/>
  <c r="P28" i="1" l="1"/>
  <c r="N28"/>
  <c r="L28"/>
  <c r="J28"/>
  <c r="D27" i="4"/>
  <c r="I28" i="1" l="1"/>
  <c r="F102" i="3" l="1"/>
  <c r="C18" i="4"/>
  <c r="C27" s="1"/>
  <c r="B22" i="3" l="1"/>
  <c r="G28" i="1" l="1"/>
  <c r="B47" i="3"/>
  <c r="B57" l="1"/>
  <c r="B2" l="1"/>
  <c r="D102"/>
  <c r="B20"/>
  <c r="B21" l="1"/>
  <c r="B5"/>
  <c r="F28" i="1"/>
  <c r="C102" i="3" l="1"/>
  <c r="D5" i="1"/>
  <c r="I4" i="4" s="1"/>
  <c r="D7" i="1"/>
  <c r="I6" i="4" s="1"/>
  <c r="D6" i="1"/>
  <c r="I5" i="4" s="1"/>
  <c r="D12" i="1"/>
  <c r="D3"/>
  <c r="D10"/>
  <c r="I9" i="4" s="1"/>
  <c r="D15" i="1"/>
  <c r="I14" i="4" s="1"/>
  <c r="D13" i="1"/>
  <c r="I12" i="4" s="1"/>
  <c r="D8" i="1"/>
  <c r="I7" i="4" s="1"/>
  <c r="H2"/>
  <c r="D33" s="1"/>
  <c r="B48" i="3"/>
  <c r="G102"/>
  <c r="H102"/>
  <c r="I102"/>
  <c r="J102"/>
  <c r="K102"/>
  <c r="L102"/>
  <c r="M102"/>
  <c r="N102"/>
  <c r="D50" i="4" l="1"/>
  <c r="E50" s="1"/>
  <c r="E33"/>
  <c r="I11"/>
  <c r="D19" i="1"/>
  <c r="D28" s="1"/>
  <c r="I2" i="4"/>
  <c r="B102" i="3"/>
  <c r="H18" i="4"/>
  <c r="H27" s="1"/>
  <c r="I18" l="1"/>
  <c r="I27" s="1"/>
  <c r="B27" l="1"/>
</calcChain>
</file>

<file path=xl/comments1.xml><?xml version="1.0" encoding="utf-8"?>
<comments xmlns="http://schemas.openxmlformats.org/spreadsheetml/2006/main">
  <authors>
    <author>作者</author>
  </authors>
  <commentList>
    <comment ref="D41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1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1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4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D4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当日未在会务的销售表中找到</t>
        </r>
      </text>
    </comment>
    <comment ref="F57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预付</t>
        </r>
        <r>
          <rPr>
            <sz val="9"/>
            <color indexed="81"/>
            <rFont val="Tahoma"/>
            <family val="2"/>
          </rPr>
          <t>2000</t>
        </r>
        <r>
          <rPr>
            <sz val="9"/>
            <color indexed="81"/>
            <rFont val="宋体"/>
            <family val="3"/>
            <charset val="134"/>
          </rPr>
          <t>，还有</t>
        </r>
        <r>
          <rPr>
            <sz val="9"/>
            <color indexed="81"/>
            <rFont val="Tahoma"/>
            <family val="2"/>
          </rPr>
          <t xml:space="preserve">4800
</t>
        </r>
      </text>
    </comment>
  </commentList>
</comments>
</file>

<file path=xl/sharedStrings.xml><?xml version="1.0" encoding="utf-8"?>
<sst xmlns="http://schemas.openxmlformats.org/spreadsheetml/2006/main" count="3026" uniqueCount="1444">
  <si>
    <t>摘要</t>
    <phoneticPr fontId="4" type="noConversion"/>
  </si>
  <si>
    <t>业务员</t>
    <phoneticPr fontId="4" type="noConversion"/>
  </si>
  <si>
    <t>客户名称</t>
    <phoneticPr fontId="4" type="noConversion"/>
  </si>
  <si>
    <t>项目</t>
    <phoneticPr fontId="4" type="noConversion"/>
  </si>
  <si>
    <t>销售金额</t>
    <phoneticPr fontId="4" type="noConversion"/>
  </si>
  <si>
    <t>备注</t>
    <phoneticPr fontId="4" type="noConversion"/>
  </si>
  <si>
    <t>Doris</t>
  </si>
  <si>
    <t>Carl</t>
    <phoneticPr fontId="4" type="noConversion"/>
  </si>
  <si>
    <t>日期</t>
    <phoneticPr fontId="4" type="noConversion"/>
  </si>
  <si>
    <r>
      <t>S</t>
    </r>
    <r>
      <rPr>
        <sz val="10"/>
        <rFont val="宋体"/>
        <family val="3"/>
        <charset val="134"/>
      </rPr>
      <t>unny</t>
    </r>
    <phoneticPr fontId="4" type="noConversion"/>
  </si>
  <si>
    <t>Peggy</t>
    <phoneticPr fontId="4" type="noConversion"/>
  </si>
  <si>
    <r>
      <t>S</t>
    </r>
    <r>
      <rPr>
        <sz val="10"/>
        <rFont val="宋体"/>
        <family val="3"/>
        <charset val="134"/>
      </rPr>
      <t>hary</t>
    </r>
    <phoneticPr fontId="4" type="noConversion"/>
  </si>
  <si>
    <r>
      <t>L</t>
    </r>
    <r>
      <rPr>
        <sz val="10"/>
        <rFont val="宋体"/>
        <family val="3"/>
        <charset val="134"/>
      </rPr>
      <t>vy</t>
    </r>
    <phoneticPr fontId="4" type="noConversion"/>
  </si>
  <si>
    <t>Anita</t>
    <phoneticPr fontId="4" type="noConversion"/>
  </si>
  <si>
    <t>Johnson</t>
    <phoneticPr fontId="4" type="noConversion"/>
  </si>
  <si>
    <t>Cindy</t>
    <phoneticPr fontId="4" type="noConversion"/>
  </si>
  <si>
    <t>Alex</t>
    <phoneticPr fontId="4" type="noConversion"/>
  </si>
  <si>
    <t>Jimmy</t>
    <phoneticPr fontId="4" type="noConversion"/>
  </si>
  <si>
    <t>销售代理</t>
    <phoneticPr fontId="4" type="noConversion"/>
  </si>
  <si>
    <t>Salas</t>
    <phoneticPr fontId="4" type="noConversion"/>
  </si>
  <si>
    <t>合计</t>
    <phoneticPr fontId="4" type="noConversion"/>
  </si>
  <si>
    <t>2012.1</t>
    <phoneticPr fontId="4" type="noConversion"/>
  </si>
  <si>
    <t>2012.2</t>
  </si>
  <si>
    <t>2012.3</t>
  </si>
  <si>
    <t>2012.4</t>
  </si>
  <si>
    <t>2012.5</t>
  </si>
  <si>
    <t>2012.6</t>
  </si>
  <si>
    <t>2012.7</t>
  </si>
  <si>
    <t>2012.8</t>
  </si>
  <si>
    <t>2012.9</t>
  </si>
  <si>
    <t>2012.10</t>
  </si>
  <si>
    <t>2012.11</t>
  </si>
  <si>
    <t>2012.12</t>
  </si>
  <si>
    <r>
      <t>G</t>
    </r>
    <r>
      <rPr>
        <sz val="10"/>
        <rFont val="宋体"/>
        <family val="3"/>
        <charset val="134"/>
      </rPr>
      <t>abriel</t>
    </r>
    <phoneticPr fontId="4" type="noConversion"/>
  </si>
  <si>
    <t>Mike</t>
    <phoneticPr fontId="4" type="noConversion"/>
  </si>
  <si>
    <r>
      <t>M</t>
    </r>
    <r>
      <rPr>
        <sz val="10"/>
        <rFont val="宋体"/>
        <family val="3"/>
        <charset val="134"/>
      </rPr>
      <t>elody</t>
    </r>
    <phoneticPr fontId="4" type="noConversion"/>
  </si>
  <si>
    <t>合计</t>
    <phoneticPr fontId="8" type="noConversion"/>
  </si>
  <si>
    <t>序号</t>
    <phoneticPr fontId="8" type="noConversion"/>
  </si>
  <si>
    <t>项目</t>
    <phoneticPr fontId="8" type="noConversion"/>
  </si>
  <si>
    <t>合计</t>
    <phoneticPr fontId="8" type="noConversion"/>
  </si>
  <si>
    <t>第1月</t>
    <phoneticPr fontId="8" type="noConversion"/>
  </si>
  <si>
    <t>第2月</t>
  </si>
  <si>
    <t>第3月</t>
  </si>
  <si>
    <t>第4月</t>
  </si>
  <si>
    <t>第5月</t>
  </si>
  <si>
    <t>第6月</t>
  </si>
  <si>
    <t>第7月</t>
  </si>
  <si>
    <t>第8月</t>
  </si>
  <si>
    <t>第9月</t>
  </si>
  <si>
    <t>第10月</t>
  </si>
  <si>
    <t>第11月</t>
  </si>
  <si>
    <t>第12月</t>
  </si>
  <si>
    <t>项目名称</t>
    <phoneticPr fontId="8" type="noConversion"/>
  </si>
  <si>
    <r>
      <rPr>
        <sz val="11"/>
        <color theme="1"/>
        <rFont val="宋体"/>
        <family val="2"/>
        <charset val="134"/>
        <scheme val="minor"/>
      </rPr>
      <t>项目回款</t>
    </r>
    <r>
      <rPr>
        <sz val="12"/>
        <rFont val="宋体"/>
        <family val="3"/>
        <charset val="134"/>
      </rPr>
      <t>累计</t>
    </r>
    <phoneticPr fontId="8" type="noConversion"/>
  </si>
  <si>
    <t>会议时间</t>
    <phoneticPr fontId="1" type="noConversion"/>
  </si>
  <si>
    <t>1001国外销售收入</t>
    <phoneticPr fontId="4" type="noConversion"/>
  </si>
  <si>
    <t>Stone</t>
    <phoneticPr fontId="1" type="noConversion"/>
  </si>
  <si>
    <t>Cathery</t>
    <phoneticPr fontId="4" type="noConversion"/>
  </si>
  <si>
    <t>Adams</t>
    <phoneticPr fontId="1" type="noConversion"/>
  </si>
  <si>
    <t>Celia</t>
    <phoneticPr fontId="1" type="noConversion"/>
  </si>
  <si>
    <t>Carrie</t>
    <phoneticPr fontId="1" type="noConversion"/>
  </si>
  <si>
    <t>总计</t>
    <phoneticPr fontId="8" type="noConversion"/>
  </si>
  <si>
    <t>Lolita</t>
    <phoneticPr fontId="1" type="noConversion"/>
  </si>
  <si>
    <t>Max</t>
    <phoneticPr fontId="1" type="noConversion"/>
  </si>
  <si>
    <t>Lucy</t>
    <phoneticPr fontId="1" type="noConversion"/>
  </si>
  <si>
    <t>Charling</t>
    <phoneticPr fontId="1" type="noConversion"/>
  </si>
  <si>
    <t>Cheney</t>
    <phoneticPr fontId="1" type="noConversion"/>
  </si>
  <si>
    <t>Deborah</t>
    <phoneticPr fontId="1" type="noConversion"/>
  </si>
  <si>
    <t>Sandra</t>
    <phoneticPr fontId="1" type="noConversion"/>
  </si>
  <si>
    <t>Angie</t>
    <phoneticPr fontId="1" type="noConversion"/>
  </si>
  <si>
    <t>Jessie</t>
    <phoneticPr fontId="1" type="noConversion"/>
  </si>
  <si>
    <t>Elbert</t>
    <phoneticPr fontId="1" type="noConversion"/>
  </si>
  <si>
    <t>Harris</t>
    <phoneticPr fontId="1" type="noConversion"/>
  </si>
  <si>
    <t>Calvin</t>
    <phoneticPr fontId="1" type="noConversion"/>
  </si>
  <si>
    <t>Livia</t>
    <phoneticPr fontId="1" type="noConversion"/>
  </si>
  <si>
    <t>Mona</t>
    <phoneticPr fontId="1" type="noConversion"/>
  </si>
  <si>
    <t>Alice</t>
    <phoneticPr fontId="1" type="noConversion"/>
  </si>
  <si>
    <t>Silvia</t>
    <phoneticPr fontId="1" type="noConversion"/>
  </si>
  <si>
    <t>Lemon</t>
    <phoneticPr fontId="1" type="noConversion"/>
  </si>
  <si>
    <t>Daphne</t>
    <phoneticPr fontId="1" type="noConversion"/>
  </si>
  <si>
    <t>Vera</t>
    <phoneticPr fontId="1" type="noConversion"/>
  </si>
  <si>
    <t>Jodie</t>
    <phoneticPr fontId="1" type="noConversion"/>
  </si>
  <si>
    <t>Wendy</t>
    <phoneticPr fontId="4" type="noConversion"/>
  </si>
  <si>
    <t>Wendy</t>
    <phoneticPr fontId="1" type="noConversion"/>
  </si>
  <si>
    <t>Owen</t>
    <phoneticPr fontId="1" type="noConversion"/>
  </si>
  <si>
    <t>Shayne</t>
    <phoneticPr fontId="1" type="noConversion"/>
  </si>
  <si>
    <t>Shine</t>
    <phoneticPr fontId="1" type="noConversion"/>
  </si>
  <si>
    <t>Rilly</t>
    <phoneticPr fontId="1" type="noConversion"/>
  </si>
  <si>
    <t>Amy</t>
    <phoneticPr fontId="1" type="noConversion"/>
  </si>
  <si>
    <t>Vincent</t>
    <phoneticPr fontId="1" type="noConversion"/>
  </si>
  <si>
    <t>Danny</t>
    <phoneticPr fontId="1" type="noConversion"/>
  </si>
  <si>
    <t>Skiven</t>
    <phoneticPr fontId="1" type="noConversion"/>
  </si>
  <si>
    <t>Turf</t>
    <phoneticPr fontId="1" type="noConversion"/>
  </si>
  <si>
    <t>Sally</t>
    <phoneticPr fontId="1" type="noConversion"/>
  </si>
  <si>
    <t>Alec</t>
    <phoneticPr fontId="1" type="noConversion"/>
  </si>
  <si>
    <t>Anna</t>
    <phoneticPr fontId="1" type="noConversion"/>
  </si>
  <si>
    <t>CENC13（核能）</t>
    <phoneticPr fontId="8" type="noConversion"/>
  </si>
  <si>
    <t>Alia</t>
    <phoneticPr fontId="1" type="noConversion"/>
  </si>
  <si>
    <t>FEARNLEYS</t>
    <phoneticPr fontId="4" type="noConversion"/>
  </si>
  <si>
    <t>Jacky</t>
    <phoneticPr fontId="1" type="noConversion"/>
  </si>
  <si>
    <t>Blue</t>
    <phoneticPr fontId="1" type="noConversion"/>
  </si>
  <si>
    <t>BIS13（桥梁）</t>
    <phoneticPr fontId="8" type="noConversion"/>
  </si>
  <si>
    <t>Arvin</t>
    <phoneticPr fontId="1" type="noConversion"/>
  </si>
  <si>
    <t>Desmond</t>
    <phoneticPr fontId="1" type="noConversion"/>
  </si>
  <si>
    <t>CPF13（石化）</t>
    <phoneticPr fontId="8" type="noConversion"/>
  </si>
  <si>
    <t>SG13(智能电网）</t>
    <phoneticPr fontId="8" type="noConversion"/>
  </si>
  <si>
    <t>GAS13</t>
    <phoneticPr fontId="4" type="noConversion"/>
  </si>
  <si>
    <t>GAS13（天然气）</t>
    <phoneticPr fontId="8" type="noConversion"/>
  </si>
  <si>
    <t>ISG13（印度智能电网）</t>
    <phoneticPr fontId="8" type="noConversion"/>
  </si>
  <si>
    <t>CNEC13</t>
    <phoneticPr fontId="4" type="noConversion"/>
  </si>
  <si>
    <t>Dave</t>
    <phoneticPr fontId="1" type="noConversion"/>
  </si>
  <si>
    <t>2013上半年合计</t>
    <phoneticPr fontId="1" type="noConversion"/>
  </si>
  <si>
    <r>
      <t>201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年余额</t>
    </r>
    <phoneticPr fontId="8" type="noConversion"/>
  </si>
  <si>
    <r>
      <t>U</t>
    </r>
    <r>
      <rPr>
        <sz val="10"/>
        <rFont val="宋体"/>
        <family val="3"/>
        <charset val="134"/>
      </rPr>
      <t>HS13（非常规油气）</t>
    </r>
    <phoneticPr fontId="8" type="noConversion"/>
  </si>
  <si>
    <t>CVF13（疫苗）</t>
    <phoneticPr fontId="8" type="noConversion"/>
  </si>
  <si>
    <t>CESF13（储能）</t>
    <phoneticPr fontId="8" type="noConversion"/>
  </si>
  <si>
    <t>CIRE13（产业地产）</t>
    <phoneticPr fontId="8" type="noConversion"/>
  </si>
  <si>
    <t>CAF13（商飞）</t>
    <phoneticPr fontId="8" type="noConversion"/>
  </si>
  <si>
    <t>MINING13（矿业）</t>
    <phoneticPr fontId="8" type="noConversion"/>
  </si>
  <si>
    <t>CG13（清洁煤）</t>
    <phoneticPr fontId="8" type="noConversion"/>
  </si>
  <si>
    <t>DC13（中国海洋油气）</t>
    <phoneticPr fontId="8" type="noConversion"/>
  </si>
  <si>
    <t>CADS13（机场）</t>
    <phoneticPr fontId="8" type="noConversion"/>
  </si>
  <si>
    <t>2013下半年合计</t>
    <phoneticPr fontId="1" type="noConversion"/>
  </si>
  <si>
    <r>
      <t>2013</t>
    </r>
    <r>
      <rPr>
        <b/>
        <sz val="14"/>
        <color indexed="8"/>
        <rFont val="宋体"/>
        <family val="3"/>
        <charset val="134"/>
      </rPr>
      <t>上半年合计</t>
    </r>
    <phoneticPr fontId="1" type="noConversion"/>
  </si>
  <si>
    <r>
      <t>SG13(</t>
    </r>
    <r>
      <rPr>
        <b/>
        <sz val="14"/>
        <color indexed="8"/>
        <rFont val="宋体"/>
        <family val="3"/>
        <charset val="134"/>
      </rPr>
      <t>智能电网</t>
    </r>
    <r>
      <rPr>
        <b/>
        <sz val="14"/>
        <color indexed="8"/>
        <rFont val="Verdana"/>
        <family val="2"/>
      </rPr>
      <t>)</t>
    </r>
    <phoneticPr fontId="1" type="noConversion"/>
  </si>
  <si>
    <r>
      <t>2013</t>
    </r>
    <r>
      <rPr>
        <b/>
        <sz val="14"/>
        <color indexed="8"/>
        <rFont val="宋体"/>
        <family val="3"/>
        <charset val="134"/>
      </rPr>
      <t>下半年合计</t>
    </r>
    <phoneticPr fontId="1" type="noConversion"/>
  </si>
  <si>
    <t>OSV13（马来西亚海洋工程）</t>
    <phoneticPr fontId="8" type="noConversion"/>
  </si>
  <si>
    <t>Owen</t>
    <phoneticPr fontId="4" type="noConversion"/>
  </si>
  <si>
    <t>GM</t>
    <phoneticPr fontId="4" type="noConversion"/>
  </si>
  <si>
    <t>Vera</t>
    <phoneticPr fontId="4" type="noConversion"/>
  </si>
  <si>
    <t>浩金国际</t>
    <phoneticPr fontId="4" type="noConversion"/>
  </si>
  <si>
    <t>BIS13</t>
    <phoneticPr fontId="4" type="noConversion"/>
  </si>
  <si>
    <t>1001国外销售收入</t>
    <phoneticPr fontId="4" type="noConversion"/>
  </si>
  <si>
    <t>Sunny</t>
    <phoneticPr fontId="4" type="noConversion"/>
  </si>
  <si>
    <t>EMSD</t>
    <phoneticPr fontId="4" type="noConversion"/>
  </si>
  <si>
    <t>GAS13</t>
    <phoneticPr fontId="4" type="noConversion"/>
  </si>
  <si>
    <t>Cindy</t>
    <phoneticPr fontId="4" type="noConversion"/>
  </si>
  <si>
    <t>Thundelarra</t>
    <phoneticPr fontId="4" type="noConversion"/>
  </si>
  <si>
    <t>CNEC13</t>
    <phoneticPr fontId="4" type="noConversion"/>
  </si>
  <si>
    <t>Celia</t>
    <phoneticPr fontId="4" type="noConversion"/>
  </si>
  <si>
    <t>Altera</t>
    <phoneticPr fontId="4" type="noConversion"/>
  </si>
  <si>
    <t>SG13</t>
    <phoneticPr fontId="4" type="noConversion"/>
  </si>
  <si>
    <t>Stone</t>
    <phoneticPr fontId="4" type="noConversion"/>
  </si>
  <si>
    <t>PETROCHEMICAL</t>
    <phoneticPr fontId="4" type="noConversion"/>
  </si>
  <si>
    <t>CPF13</t>
    <phoneticPr fontId="4" type="noConversion"/>
  </si>
  <si>
    <t>Mona</t>
    <phoneticPr fontId="1" type="noConversion"/>
  </si>
  <si>
    <t>罗地亚（中国）投资有限公司</t>
    <phoneticPr fontId="1" type="noConversion"/>
  </si>
  <si>
    <t>CPF13</t>
    <phoneticPr fontId="1" type="noConversion"/>
  </si>
  <si>
    <t>Vera</t>
    <phoneticPr fontId="4" type="noConversion"/>
  </si>
  <si>
    <t>北京世纪洪雨科技有限公司</t>
    <phoneticPr fontId="4" type="noConversion"/>
  </si>
  <si>
    <t>GSE</t>
    <phoneticPr fontId="4" type="noConversion"/>
  </si>
  <si>
    <t>Stone</t>
    <phoneticPr fontId="1" type="noConversion"/>
  </si>
  <si>
    <t>沙索（中国）化学有限公司</t>
    <phoneticPr fontId="1" type="noConversion"/>
  </si>
  <si>
    <t>上海熙可送物流有限公司</t>
    <phoneticPr fontId="1" type="noConversion"/>
  </si>
  <si>
    <t>阿法拉伐（上海）技术有限公司</t>
    <phoneticPr fontId="1" type="noConversion"/>
  </si>
  <si>
    <t>Mona</t>
    <phoneticPr fontId="4" type="noConversion"/>
  </si>
  <si>
    <t>英威达管理（上海）有限公司</t>
    <phoneticPr fontId="4" type="noConversion"/>
  </si>
  <si>
    <t>Jimmy</t>
    <phoneticPr fontId="4" type="noConversion"/>
  </si>
  <si>
    <t>汉高</t>
    <phoneticPr fontId="4" type="noConversion"/>
  </si>
  <si>
    <t>ACIS13</t>
    <phoneticPr fontId="4" type="noConversion"/>
  </si>
  <si>
    <t>罗地亚</t>
    <phoneticPr fontId="4" type="noConversion"/>
  </si>
  <si>
    <t>AMA Labs</t>
    <phoneticPr fontId="4" type="noConversion"/>
  </si>
  <si>
    <t>Anna</t>
    <phoneticPr fontId="4" type="noConversion"/>
  </si>
  <si>
    <t>BDS</t>
    <phoneticPr fontId="4" type="noConversion"/>
  </si>
  <si>
    <t>VDE</t>
    <phoneticPr fontId="4" type="noConversion"/>
  </si>
  <si>
    <t>ISG13</t>
    <phoneticPr fontId="4" type="noConversion"/>
  </si>
  <si>
    <t>Cameco</t>
    <phoneticPr fontId="4" type="noConversion"/>
  </si>
  <si>
    <t>Calvin</t>
    <phoneticPr fontId="1" type="noConversion"/>
  </si>
  <si>
    <t>马士基（中国）航运有限公司上海分公司</t>
    <phoneticPr fontId="1" type="noConversion"/>
  </si>
  <si>
    <t>罗地亚聚酰胺（上海）有限公司</t>
    <phoneticPr fontId="1" type="noConversion"/>
  </si>
  <si>
    <t>Dave</t>
    <phoneticPr fontId="4" type="noConversion"/>
  </si>
  <si>
    <t>Wireco Worldgroup</t>
    <phoneticPr fontId="4" type="noConversion"/>
  </si>
  <si>
    <t>Johnson</t>
    <phoneticPr fontId="4" type="noConversion"/>
  </si>
  <si>
    <t>Korea Midlandpawer</t>
    <phoneticPr fontId="4" type="noConversion"/>
  </si>
  <si>
    <t>MIZUHO CORPORATE BANK HONG KO</t>
    <phoneticPr fontId="4" type="noConversion"/>
  </si>
  <si>
    <t>ACIS13(亚洲化妆品）</t>
    <phoneticPr fontId="8" type="noConversion"/>
  </si>
  <si>
    <t>CPF13（石化）</t>
    <phoneticPr fontId="1" type="noConversion"/>
  </si>
  <si>
    <t>CESF13（储能）</t>
    <phoneticPr fontId="1" type="noConversion"/>
  </si>
  <si>
    <t>BIS13（桥梁）</t>
    <phoneticPr fontId="1" type="noConversion"/>
  </si>
  <si>
    <t>ISG13（印度智能电网）</t>
    <phoneticPr fontId="1" type="noConversion"/>
  </si>
  <si>
    <t>CENC13（核能）</t>
    <phoneticPr fontId="1" type="noConversion"/>
  </si>
  <si>
    <t>CAF13（商飞）</t>
    <phoneticPr fontId="1" type="noConversion"/>
  </si>
  <si>
    <t>DC13（中国海洋油气）</t>
    <phoneticPr fontId="1" type="noConversion"/>
  </si>
  <si>
    <t>CADS13（机场）</t>
    <phoneticPr fontId="1" type="noConversion"/>
  </si>
  <si>
    <t>CIRE13（产业地产）</t>
    <phoneticPr fontId="1" type="noConversion"/>
  </si>
  <si>
    <t>GAS13（天然气）</t>
    <phoneticPr fontId="1" type="noConversion"/>
  </si>
  <si>
    <t>ACIS13(亚洲化妆品）</t>
    <phoneticPr fontId="1" type="noConversion"/>
  </si>
  <si>
    <t>CG13（清洁煤）</t>
    <phoneticPr fontId="1" type="noConversion"/>
  </si>
  <si>
    <t>OSV13（马来西亚海洋工程）</t>
    <phoneticPr fontId="1" type="noConversion"/>
  </si>
  <si>
    <t>CVF13（疫苗）</t>
    <phoneticPr fontId="1" type="noConversion"/>
  </si>
  <si>
    <t>MINING13（矿业）</t>
    <phoneticPr fontId="1" type="noConversion"/>
  </si>
  <si>
    <r>
      <t>UHS13</t>
    </r>
    <r>
      <rPr>
        <b/>
        <sz val="14"/>
        <color indexed="8"/>
        <rFont val="宋体"/>
        <family val="3"/>
        <charset val="134"/>
      </rPr>
      <t>（非常规油气）</t>
    </r>
    <phoneticPr fontId="1" type="noConversion"/>
  </si>
  <si>
    <t>Sally</t>
    <phoneticPr fontId="4" type="noConversion"/>
  </si>
  <si>
    <t>北京建安特西维欧特种设备制造有限公司</t>
    <phoneticPr fontId="4" type="noConversion"/>
  </si>
  <si>
    <t>GAS13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</si>
  <si>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</si>
  <si>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Lvy</t>
    <phoneticPr fontId="4" type="noConversion"/>
  </si>
  <si>
    <t>厦门新钢金属制品有限公司</t>
    <phoneticPr fontId="4" type="noConversion"/>
  </si>
  <si>
    <t>Delegate/2个</t>
    <phoneticPr fontId="1" type="noConversion"/>
  </si>
  <si>
    <t>上海大造气雾剂有限公司</t>
    <phoneticPr fontId="4" type="noConversion"/>
  </si>
  <si>
    <t>Shayne</t>
    <phoneticPr fontId="4" type="noConversion"/>
  </si>
  <si>
    <t>CHEMSAFE SRL</t>
    <phoneticPr fontId="4" type="noConversion"/>
  </si>
  <si>
    <t>CPF13</t>
    <phoneticPr fontId="4" type="noConversion"/>
  </si>
  <si>
    <t>2012年合计</t>
    <phoneticPr fontId="1" type="noConversion"/>
  </si>
  <si>
    <t>1001国外销售收入</t>
    <phoneticPr fontId="4" type="noConversion"/>
  </si>
  <si>
    <t>Daphne</t>
    <phoneticPr fontId="4" type="noConversion"/>
  </si>
  <si>
    <t>Vincent Ray Group</t>
    <phoneticPr fontId="4" type="noConversion"/>
  </si>
  <si>
    <t>ACIS13</t>
    <phoneticPr fontId="4" type="noConversion"/>
  </si>
  <si>
    <t>Owen</t>
    <phoneticPr fontId="4" type="noConversion"/>
  </si>
  <si>
    <t>Underwater Construction Corporation</t>
    <phoneticPr fontId="4" type="noConversion"/>
  </si>
  <si>
    <t>CNEC13</t>
    <phoneticPr fontId="4" type="noConversion"/>
  </si>
  <si>
    <t>Danny</t>
    <phoneticPr fontId="4" type="noConversion"/>
  </si>
  <si>
    <t>OSM SHIP MANAGEM</t>
    <phoneticPr fontId="4" type="noConversion"/>
  </si>
  <si>
    <t>DC13</t>
    <phoneticPr fontId="4" type="noConversion"/>
  </si>
  <si>
    <t>Mona</t>
    <phoneticPr fontId="4" type="noConversion"/>
  </si>
  <si>
    <t>Evonik赢创</t>
    <phoneticPr fontId="4" type="noConversion"/>
  </si>
  <si>
    <t>CPF13</t>
    <phoneticPr fontId="4" type="noConversion"/>
  </si>
  <si>
    <t>Gabriel</t>
    <phoneticPr fontId="4" type="noConversion"/>
  </si>
  <si>
    <r>
      <t>F</t>
    </r>
    <r>
      <rPr>
        <sz val="10"/>
        <rFont val="宋体"/>
        <family val="3"/>
        <charset val="134"/>
      </rPr>
      <t>utureGen Allicuce</t>
    </r>
    <phoneticPr fontId="4" type="noConversion"/>
  </si>
  <si>
    <r>
      <t>C</t>
    </r>
    <r>
      <rPr>
        <sz val="10"/>
        <rFont val="宋体"/>
        <family val="3"/>
        <charset val="134"/>
      </rPr>
      <t>G13</t>
    </r>
    <phoneticPr fontId="4" type="noConversion"/>
  </si>
  <si>
    <t>Sandra</t>
    <phoneticPr fontId="4" type="noConversion"/>
  </si>
  <si>
    <r>
      <t>I</t>
    </r>
    <r>
      <rPr>
        <sz val="10"/>
        <rFont val="宋体"/>
        <family val="3"/>
        <charset val="134"/>
      </rPr>
      <t>netec</t>
    </r>
    <phoneticPr fontId="4" type="noConversion"/>
  </si>
  <si>
    <t>CNEC13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</si>
  <si>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</si>
  <si>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r>
      <t>H</t>
    </r>
    <r>
      <rPr>
        <sz val="10"/>
        <rFont val="宋体"/>
        <family val="3"/>
        <charset val="134"/>
      </rPr>
      <t>arry</t>
    </r>
    <phoneticPr fontId="4" type="noConversion"/>
  </si>
  <si>
    <t>常州天合光能有限公司</t>
    <phoneticPr fontId="4" type="noConversion"/>
  </si>
  <si>
    <r>
      <t>C</t>
    </r>
    <r>
      <rPr>
        <sz val="10"/>
        <rFont val="宋体"/>
        <family val="3"/>
        <charset val="134"/>
      </rPr>
      <t>ESF13</t>
    </r>
    <phoneticPr fontId="4" type="noConversion"/>
  </si>
  <si>
    <t>Harry</t>
    <phoneticPr fontId="1" type="noConversion"/>
  </si>
  <si>
    <t>Cherry</t>
    <phoneticPr fontId="4" type="noConversion"/>
  </si>
  <si>
    <t xml:space="preserve">JUPITER OXYGEN </t>
    <phoneticPr fontId="4" type="noConversion"/>
  </si>
  <si>
    <t>Cherry</t>
    <phoneticPr fontId="1" type="noConversion"/>
  </si>
  <si>
    <t>Mona</t>
    <phoneticPr fontId="4" type="noConversion"/>
  </si>
  <si>
    <t>科聚亚上海贸易有限公司</t>
    <phoneticPr fontId="4" type="noConversion"/>
  </si>
  <si>
    <r>
      <t>C</t>
    </r>
    <r>
      <rPr>
        <sz val="10"/>
        <rFont val="宋体"/>
        <family val="3"/>
        <charset val="134"/>
      </rPr>
      <t>PF13</t>
    </r>
    <phoneticPr fontId="4" type="noConversion"/>
  </si>
  <si>
    <t>Lvy</t>
    <phoneticPr fontId="1" type="noConversion"/>
  </si>
  <si>
    <t>重庆交通学院复合材料开发公司</t>
    <phoneticPr fontId="1" type="noConversion"/>
  </si>
  <si>
    <t>BIS13</t>
    <phoneticPr fontId="1" type="noConversion"/>
  </si>
  <si>
    <t>Sally</t>
    <phoneticPr fontId="4" type="noConversion"/>
  </si>
  <si>
    <t>YAMATA</t>
    <phoneticPr fontId="4" type="noConversion"/>
  </si>
  <si>
    <t>GAS13</t>
    <phoneticPr fontId="4" type="noConversion"/>
  </si>
  <si>
    <t>Lorgen</t>
    <phoneticPr fontId="1" type="noConversion"/>
  </si>
  <si>
    <t>上海安中石油化工有限公司</t>
    <phoneticPr fontId="1" type="noConversion"/>
  </si>
  <si>
    <t>DC13</t>
    <phoneticPr fontId="1" type="noConversion"/>
  </si>
  <si>
    <r>
      <t>S</t>
    </r>
    <r>
      <rPr>
        <sz val="10"/>
        <rFont val="宋体"/>
        <family val="3"/>
        <charset val="134"/>
      </rPr>
      <t>unny</t>
    </r>
    <phoneticPr fontId="4" type="noConversion"/>
  </si>
  <si>
    <r>
      <t>P</t>
    </r>
    <r>
      <rPr>
        <sz val="10"/>
        <rFont val="宋体"/>
        <family val="3"/>
        <charset val="134"/>
      </rPr>
      <t>holip66</t>
    </r>
    <phoneticPr fontId="4" type="noConversion"/>
  </si>
  <si>
    <t>CG13</t>
    <phoneticPr fontId="4" type="noConversion"/>
  </si>
  <si>
    <t>Delegate/1个</t>
    <phoneticPr fontId="1" type="noConversion"/>
  </si>
  <si>
    <t>Stone</t>
    <phoneticPr fontId="1" type="noConversion"/>
  </si>
  <si>
    <t>希乐仑科技发展(上海)有限公司</t>
    <phoneticPr fontId="1" type="noConversion"/>
  </si>
  <si>
    <t>FB13</t>
    <phoneticPr fontId="1" type="noConversion"/>
  </si>
  <si>
    <r>
      <t>P</t>
    </r>
    <r>
      <rPr>
        <sz val="10"/>
        <rFont val="宋体"/>
        <family val="3"/>
        <charset val="134"/>
      </rPr>
      <t>enny</t>
    </r>
    <phoneticPr fontId="4" type="noConversion"/>
  </si>
  <si>
    <r>
      <t>S</t>
    </r>
    <r>
      <rPr>
        <sz val="10"/>
        <rFont val="宋体"/>
        <family val="3"/>
        <charset val="134"/>
      </rPr>
      <t>ensient Cosmetic Technology</t>
    </r>
    <phoneticPr fontId="4" type="noConversion"/>
  </si>
  <si>
    <r>
      <t>A</t>
    </r>
    <r>
      <rPr>
        <sz val="10"/>
        <rFont val="宋体"/>
        <family val="3"/>
        <charset val="134"/>
      </rPr>
      <t>CIS13</t>
    </r>
    <phoneticPr fontId="4" type="noConversion"/>
  </si>
  <si>
    <t>Penny</t>
    <phoneticPr fontId="1" type="noConversion"/>
  </si>
  <si>
    <r>
      <t>FB13(</t>
    </r>
    <r>
      <rPr>
        <b/>
        <sz val="14"/>
        <color indexed="8"/>
        <rFont val="宋体"/>
        <family val="3"/>
        <charset val="134"/>
      </rPr>
      <t>食品饮料）</t>
    </r>
    <phoneticPr fontId="1" type="noConversion"/>
  </si>
  <si>
    <t>FB13(食品饮料）</t>
    <phoneticPr fontId="8" type="noConversion"/>
  </si>
  <si>
    <t>Jessie</t>
    <phoneticPr fontId="4" type="noConversion"/>
  </si>
  <si>
    <t>VOP</t>
    <phoneticPr fontId="4" type="noConversion"/>
  </si>
  <si>
    <r>
      <t>U</t>
    </r>
    <r>
      <rPr>
        <sz val="10"/>
        <rFont val="宋体"/>
        <family val="3"/>
        <charset val="134"/>
      </rPr>
      <t>HS13</t>
    </r>
    <phoneticPr fontId="4" type="noConversion"/>
  </si>
  <si>
    <t>Mona</t>
    <phoneticPr fontId="4" type="noConversion"/>
  </si>
  <si>
    <r>
      <t>W</t>
    </r>
    <r>
      <rPr>
        <sz val="10"/>
        <rFont val="宋体"/>
        <family val="3"/>
        <charset val="134"/>
      </rPr>
      <t>.R Grace</t>
    </r>
    <phoneticPr fontId="4" type="noConversion"/>
  </si>
  <si>
    <t>CPF13</t>
    <phoneticPr fontId="4" type="noConversion"/>
  </si>
  <si>
    <t>Shayne</t>
    <phoneticPr fontId="1" type="noConversion"/>
  </si>
  <si>
    <t>比欧西（中国）投资有限公司</t>
    <phoneticPr fontId="1" type="noConversion"/>
  </si>
  <si>
    <t>CPF13</t>
    <phoneticPr fontId="1" type="noConversion"/>
  </si>
  <si>
    <t>Jimmy</t>
    <phoneticPr fontId="4" type="noConversion"/>
  </si>
  <si>
    <t>优力胜邦质量检测（上海）有限公司</t>
    <phoneticPr fontId="4" type="noConversion"/>
  </si>
  <si>
    <t>ACIS13</t>
    <phoneticPr fontId="4" type="noConversion"/>
  </si>
  <si>
    <t>Mike</t>
    <phoneticPr fontId="4" type="noConversion"/>
  </si>
  <si>
    <t>BASF</t>
    <phoneticPr fontId="4" type="noConversion"/>
  </si>
  <si>
    <t>UHS13</t>
    <phoneticPr fontId="4" type="noConversion"/>
  </si>
  <si>
    <t>Cathery</t>
    <phoneticPr fontId="4" type="noConversion"/>
  </si>
  <si>
    <t>仑顿海事咨询（天津）有限公司上海分公司</t>
    <phoneticPr fontId="4" type="noConversion"/>
  </si>
  <si>
    <t>DC13</t>
    <phoneticPr fontId="4" type="noConversion"/>
  </si>
  <si>
    <t>1001国外销售收入</t>
    <phoneticPr fontId="4" type="noConversion"/>
  </si>
  <si>
    <t>Ivy</t>
    <phoneticPr fontId="1" type="noConversion"/>
  </si>
  <si>
    <t>加拿大贝内特琼斯商务咨询公司北京代表处</t>
    <phoneticPr fontId="1" type="noConversion"/>
  </si>
  <si>
    <t>UHS13</t>
    <phoneticPr fontId="1" type="noConversion"/>
  </si>
  <si>
    <t>1001国外销售收入</t>
    <phoneticPr fontId="4" type="noConversion"/>
  </si>
  <si>
    <t>Gabriel</t>
    <phoneticPr fontId="1" type="noConversion"/>
  </si>
  <si>
    <t>上海慧商工程设备有限公司</t>
    <phoneticPr fontId="1" type="noConversion"/>
  </si>
  <si>
    <t>CG13</t>
    <phoneticPr fontId="1" type="noConversion"/>
  </si>
  <si>
    <t>Ivy</t>
    <phoneticPr fontId="1" type="noConversion"/>
  </si>
  <si>
    <t>1001国外销售收入</t>
    <phoneticPr fontId="4" type="noConversion"/>
  </si>
  <si>
    <t>Lemon</t>
    <phoneticPr fontId="4" type="noConversion"/>
  </si>
  <si>
    <t>Bigge</t>
    <phoneticPr fontId="4" type="noConversion"/>
  </si>
  <si>
    <t>CNEC13</t>
    <phoneticPr fontId="4" type="noConversion"/>
  </si>
  <si>
    <t>Selena</t>
    <phoneticPr fontId="1" type="noConversion"/>
  </si>
  <si>
    <t>太仓速必得传感器有限公司</t>
    <phoneticPr fontId="1" type="noConversion"/>
  </si>
  <si>
    <t>MW13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</si>
  <si>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</si>
  <si>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</si>
  <si>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1" type="noConversion"/>
  </si>
  <si>
    <t>Tim</t>
    <phoneticPr fontId="1" type="noConversion"/>
  </si>
  <si>
    <t xml:space="preserve">横河电机(中国)有限公司北京研究开发中心 </t>
    <phoneticPr fontId="1" type="noConversion"/>
  </si>
  <si>
    <t>CESF13</t>
    <phoneticPr fontId="1" type="noConversion"/>
  </si>
  <si>
    <t>CESF13</t>
    <phoneticPr fontId="1" type="noConversion"/>
  </si>
  <si>
    <t>Selena</t>
    <phoneticPr fontId="1" type="noConversion"/>
  </si>
  <si>
    <t>福禄克测试仪器（上海）有限公司</t>
    <phoneticPr fontId="1" type="noConversion"/>
  </si>
  <si>
    <t>Sponser</t>
    <phoneticPr fontId="4" type="noConversion"/>
  </si>
  <si>
    <t>Daphne</t>
    <phoneticPr fontId="4" type="noConversion"/>
  </si>
  <si>
    <t>New Directions Australia</t>
    <phoneticPr fontId="4" type="noConversion"/>
  </si>
  <si>
    <t>ACIS13</t>
    <phoneticPr fontId="4" type="noConversion"/>
  </si>
  <si>
    <t>Sunny</t>
    <phoneticPr fontId="4" type="noConversion"/>
  </si>
  <si>
    <t>Browncoal</t>
    <phoneticPr fontId="4" type="noConversion"/>
  </si>
  <si>
    <t>CG13</t>
    <phoneticPr fontId="4" type="noConversion"/>
  </si>
  <si>
    <t>Calvin</t>
    <phoneticPr fontId="1" type="noConversion"/>
  </si>
  <si>
    <t>苏州华苏塑料有限公司</t>
    <phoneticPr fontId="1" type="noConversion"/>
  </si>
  <si>
    <t>CPF13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</si>
  <si>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</si>
  <si>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1" type="noConversion"/>
  </si>
  <si>
    <t>实联长宜淮安科技有限公司</t>
    <phoneticPr fontId="1" type="noConversion"/>
  </si>
  <si>
    <t>CESF13</t>
    <phoneticPr fontId="1" type="noConversion"/>
  </si>
  <si>
    <t>Jack</t>
    <phoneticPr fontId="4" type="noConversion"/>
  </si>
  <si>
    <t>中英海底系统有限公司</t>
    <phoneticPr fontId="4" type="noConversion"/>
  </si>
  <si>
    <t>DC13</t>
    <phoneticPr fontId="4" type="noConversion"/>
  </si>
  <si>
    <t>Delegate/2个</t>
    <phoneticPr fontId="1" type="noConversion"/>
  </si>
  <si>
    <t>Jack</t>
    <phoneticPr fontId="1" type="noConversion"/>
  </si>
  <si>
    <t>Harris</t>
    <phoneticPr fontId="4" type="noConversion"/>
  </si>
  <si>
    <t>PETROFAC EC SDN</t>
    <phoneticPr fontId="4" type="noConversion"/>
  </si>
  <si>
    <t>Vera</t>
    <phoneticPr fontId="1" type="noConversion"/>
  </si>
  <si>
    <t>西卡（中国）有限公司上海分公司</t>
    <phoneticPr fontId="1" type="noConversion"/>
  </si>
  <si>
    <t>BIS13</t>
    <phoneticPr fontId="1" type="noConversion"/>
  </si>
  <si>
    <t>EPM</t>
    <phoneticPr fontId="4" type="noConversion"/>
  </si>
  <si>
    <t>Cindy</t>
    <phoneticPr fontId="4" type="noConversion"/>
  </si>
  <si>
    <t>GPE</t>
    <phoneticPr fontId="4" type="noConversion"/>
  </si>
  <si>
    <t>Jodie</t>
    <phoneticPr fontId="4" type="noConversion"/>
  </si>
  <si>
    <t>Union Gas</t>
    <phoneticPr fontId="4" type="noConversion"/>
  </si>
  <si>
    <t>UHS13</t>
    <phoneticPr fontId="4" type="noConversion"/>
  </si>
  <si>
    <r>
      <t>J</t>
    </r>
    <r>
      <rPr>
        <sz val="10"/>
        <rFont val="宋体"/>
        <family val="3"/>
        <charset val="134"/>
      </rPr>
      <t>immy</t>
    </r>
    <phoneticPr fontId="4" type="noConversion"/>
  </si>
  <si>
    <t>阿克苏诺贝尔（上海）有限公司</t>
    <phoneticPr fontId="4" type="noConversion"/>
  </si>
  <si>
    <r>
      <t>L</t>
    </r>
    <r>
      <rPr>
        <sz val="10"/>
        <rFont val="宋体"/>
        <family val="3"/>
        <charset val="134"/>
      </rPr>
      <t>vy</t>
    </r>
    <phoneticPr fontId="4" type="noConversion"/>
  </si>
  <si>
    <t>成都亚佳工程新技术开发有限公司</t>
    <phoneticPr fontId="4" type="noConversion"/>
  </si>
  <si>
    <t>BIS13</t>
    <phoneticPr fontId="4" type="noConversion"/>
  </si>
  <si>
    <r>
      <t>S</t>
    </r>
    <r>
      <rPr>
        <sz val="10"/>
        <rFont val="宋体"/>
        <family val="3"/>
        <charset val="134"/>
      </rPr>
      <t>hayne</t>
    </r>
    <phoneticPr fontId="4" type="noConversion"/>
  </si>
  <si>
    <t>Torm</t>
    <phoneticPr fontId="4" type="noConversion"/>
  </si>
  <si>
    <t>Rachel</t>
    <phoneticPr fontId="4" type="noConversion"/>
  </si>
  <si>
    <t xml:space="preserve">PADBURY MINING </t>
    <phoneticPr fontId="4" type="noConversion"/>
  </si>
  <si>
    <r>
      <t>M</t>
    </r>
    <r>
      <rPr>
        <sz val="10"/>
        <rFont val="宋体"/>
        <family val="3"/>
        <charset val="134"/>
      </rPr>
      <t>INING13</t>
    </r>
    <phoneticPr fontId="4" type="noConversion"/>
  </si>
  <si>
    <t>Shine</t>
    <phoneticPr fontId="1" type="noConversion"/>
  </si>
  <si>
    <t>辽阳芳烃技术研究院有限责任公司</t>
    <phoneticPr fontId="1" type="noConversion"/>
  </si>
  <si>
    <t>通用电气（中国）研究开发中心有限公司</t>
    <phoneticPr fontId="1" type="noConversion"/>
  </si>
  <si>
    <t>Cici</t>
    <phoneticPr fontId="1" type="noConversion"/>
  </si>
  <si>
    <t>惠州市亿能电子有限公司</t>
    <phoneticPr fontId="1" type="noConversion"/>
  </si>
  <si>
    <t>lemon</t>
    <phoneticPr fontId="4" type="noConversion"/>
  </si>
  <si>
    <t>EPM</t>
    <phoneticPr fontId="4" type="noConversion"/>
  </si>
  <si>
    <t>CNEC13</t>
  </si>
  <si>
    <t>Skiven</t>
  </si>
  <si>
    <t xml:space="preserve">武汉中创桥梁防撞设施工程有限公司 </t>
    <phoneticPr fontId="4" type="noConversion"/>
  </si>
  <si>
    <t>David</t>
    <phoneticPr fontId="1" type="noConversion"/>
  </si>
  <si>
    <t>深圳市雄韬电源科技股份有限公司</t>
    <phoneticPr fontId="1" type="noConversion"/>
  </si>
  <si>
    <t>1001国外销售收入</t>
    <phoneticPr fontId="4" type="noConversion"/>
  </si>
  <si>
    <t>Patrick</t>
    <phoneticPr fontId="1" type="noConversion"/>
  </si>
  <si>
    <t>瑞凯威飞机座椅（中国）有限公司</t>
    <phoneticPr fontId="1" type="noConversion"/>
  </si>
  <si>
    <t>CAF13</t>
    <phoneticPr fontId="1" type="noConversion"/>
  </si>
  <si>
    <t>BP Asia Ltd</t>
    <phoneticPr fontId="4" type="noConversion"/>
  </si>
  <si>
    <t>Daphne</t>
    <phoneticPr fontId="4" type="noConversion"/>
  </si>
  <si>
    <t>Vincent Raya Group</t>
    <phoneticPr fontId="4" type="noConversion"/>
  </si>
  <si>
    <t>Deborah</t>
    <phoneticPr fontId="1" type="noConversion"/>
  </si>
  <si>
    <t>北京三亿亿亿超低温技术有限责任公司</t>
    <phoneticPr fontId="1" type="noConversion"/>
  </si>
  <si>
    <t>GAS13</t>
    <phoneticPr fontId="1" type="noConversion"/>
  </si>
  <si>
    <t>Johnson</t>
    <phoneticPr fontId="1" type="noConversion"/>
  </si>
  <si>
    <t xml:space="preserve">凯士比阀业（上海）有限公司 </t>
    <phoneticPr fontId="1" type="noConversion"/>
  </si>
  <si>
    <t xml:space="preserve">西布尔国际贸易(上海)有限公司 </t>
    <phoneticPr fontId="1" type="noConversion"/>
  </si>
  <si>
    <t>Mona</t>
    <phoneticPr fontId="1" type="noConversion"/>
  </si>
  <si>
    <t xml:space="preserve">索尔维化工(上海)有限公司 </t>
    <phoneticPr fontId="1" type="noConversion"/>
  </si>
  <si>
    <t>辽宁百纳电气有限公司</t>
    <phoneticPr fontId="1" type="noConversion"/>
  </si>
  <si>
    <t>Shayne</t>
    <phoneticPr fontId="4" type="noConversion"/>
  </si>
  <si>
    <t>PETKIM PETROKI</t>
    <phoneticPr fontId="4" type="noConversion"/>
  </si>
  <si>
    <t>CPF13</t>
    <phoneticPr fontId="4" type="noConversion"/>
  </si>
  <si>
    <t>REPSOL</t>
    <phoneticPr fontId="4" type="noConversion"/>
  </si>
  <si>
    <t>Celia</t>
    <phoneticPr fontId="4" type="noConversion"/>
  </si>
  <si>
    <t>SWI</t>
    <phoneticPr fontId="4" type="noConversion"/>
  </si>
  <si>
    <t>Zoe</t>
    <phoneticPr fontId="1" type="noConversion"/>
  </si>
  <si>
    <t>威仕伯涂料</t>
    <phoneticPr fontId="1" type="noConversion"/>
  </si>
  <si>
    <t>Zoe</t>
    <phoneticPr fontId="1" type="noConversion"/>
  </si>
  <si>
    <t>1月合计</t>
    <phoneticPr fontId="1" type="noConversion"/>
  </si>
  <si>
    <t>Ceasy</t>
    <phoneticPr fontId="1" type="noConversion"/>
  </si>
  <si>
    <t>广州飞机维修工程有限公司</t>
    <phoneticPr fontId="1" type="noConversion"/>
  </si>
  <si>
    <t>Ceasy</t>
    <phoneticPr fontId="1" type="noConversion"/>
  </si>
  <si>
    <t>Alice</t>
    <phoneticPr fontId="4" type="noConversion"/>
  </si>
  <si>
    <t>ASPIRION</t>
    <phoneticPr fontId="4" type="noConversion"/>
  </si>
  <si>
    <t>CADS13</t>
    <phoneticPr fontId="4" type="noConversion"/>
  </si>
  <si>
    <t>Fiona</t>
    <phoneticPr fontId="1" type="noConversion"/>
  </si>
  <si>
    <t>伽蓝（集团）股份有限公司</t>
    <phoneticPr fontId="1" type="noConversion"/>
  </si>
  <si>
    <t>ACIS13</t>
    <phoneticPr fontId="1" type="noConversion"/>
  </si>
  <si>
    <t>Tim</t>
    <phoneticPr fontId="1" type="noConversion"/>
  </si>
  <si>
    <t xml:space="preserve">微宏动力系统（湖州）有限公司 </t>
    <phoneticPr fontId="1" type="noConversion"/>
  </si>
  <si>
    <t>CESF13</t>
    <phoneticPr fontId="1" type="noConversion"/>
  </si>
  <si>
    <t>Fiona</t>
    <phoneticPr fontId="1" type="noConversion"/>
  </si>
  <si>
    <t>Anita</t>
    <phoneticPr fontId="4" type="noConversion"/>
  </si>
  <si>
    <t>NCR</t>
    <phoneticPr fontId="4" type="noConversion"/>
  </si>
  <si>
    <t>CADS13</t>
    <phoneticPr fontId="4" type="noConversion"/>
  </si>
  <si>
    <t>Cindy</t>
    <phoneticPr fontId="4" type="noConversion"/>
  </si>
  <si>
    <t>RCB</t>
    <phoneticPr fontId="4" type="noConversion"/>
  </si>
  <si>
    <t>CNEC13</t>
    <phoneticPr fontId="4" type="noConversion"/>
  </si>
  <si>
    <t>Calvin</t>
    <phoneticPr fontId="4" type="noConversion"/>
  </si>
  <si>
    <t>SIBUR INTERNATIO</t>
    <phoneticPr fontId="4" type="noConversion"/>
  </si>
  <si>
    <t>Mike</t>
    <phoneticPr fontId="1" type="noConversion"/>
  </si>
  <si>
    <t>壳牌</t>
    <phoneticPr fontId="1" type="noConversion"/>
  </si>
  <si>
    <t>UHS13</t>
    <phoneticPr fontId="1" type="noConversion"/>
  </si>
  <si>
    <t>Harry</t>
    <phoneticPr fontId="1" type="noConversion"/>
  </si>
  <si>
    <t>山东圣阳电源股份有限公司</t>
    <phoneticPr fontId="1" type="noConversion"/>
  </si>
  <si>
    <t>Jimmy</t>
    <phoneticPr fontId="4" type="noConversion"/>
  </si>
  <si>
    <t>沙索化学（上海）有限公司</t>
    <phoneticPr fontId="4" type="noConversion"/>
  </si>
  <si>
    <t>ACIS13</t>
    <phoneticPr fontId="4" type="noConversion"/>
  </si>
  <si>
    <t>Shayne</t>
    <phoneticPr fontId="4" type="noConversion"/>
  </si>
  <si>
    <t>苯领高分子材料（上海）有限公司</t>
    <phoneticPr fontId="4" type="noConversion"/>
  </si>
  <si>
    <t>瓦锡兰维修服务（上海）有限公司</t>
    <phoneticPr fontId="4" type="noConversion"/>
  </si>
  <si>
    <t>Sunny</t>
    <phoneticPr fontId="4" type="noConversion"/>
  </si>
  <si>
    <t>Elbert</t>
    <phoneticPr fontId="4" type="noConversion"/>
  </si>
  <si>
    <t>碧辟（中国）投资有限公司</t>
    <phoneticPr fontId="1" type="noConversion"/>
  </si>
  <si>
    <t>道达尔（中国）投资有限责任公司</t>
    <phoneticPr fontId="1" type="noConversion"/>
  </si>
  <si>
    <t>1001国外销售收入</t>
  </si>
  <si>
    <t>朗盛化学（中国）有限公司</t>
    <phoneticPr fontId="4" type="noConversion"/>
  </si>
  <si>
    <t>AERCAP</t>
    <phoneticPr fontId="4" type="noConversion"/>
  </si>
  <si>
    <t>Sandra</t>
    <phoneticPr fontId="4" type="noConversion"/>
  </si>
  <si>
    <t>SPANISH</t>
    <phoneticPr fontId="4" type="noConversion"/>
  </si>
  <si>
    <t>Rachel</t>
    <phoneticPr fontId="1" type="noConversion"/>
  </si>
  <si>
    <t>Richard</t>
    <phoneticPr fontId="1" type="noConversion"/>
  </si>
  <si>
    <t>RSC</t>
    <phoneticPr fontId="4" type="noConversion"/>
  </si>
  <si>
    <t>CNEC13</t>
    <phoneticPr fontId="4" type="noConversion"/>
  </si>
  <si>
    <t>L'OREAL CHINA</t>
    <phoneticPr fontId="4" type="noConversion"/>
  </si>
  <si>
    <t>Johnson</t>
    <phoneticPr fontId="4" type="noConversion"/>
  </si>
  <si>
    <t>THE YOKOHAMA R</t>
    <phoneticPr fontId="4" type="noConversion"/>
  </si>
  <si>
    <t>GAZ TRANSPORT</t>
    <phoneticPr fontId="4" type="noConversion"/>
  </si>
  <si>
    <t>MANN+HUMMEL</t>
    <phoneticPr fontId="4" type="noConversion"/>
  </si>
  <si>
    <t>GM13</t>
    <phoneticPr fontId="4" type="noConversion"/>
  </si>
  <si>
    <t>ST ELECTRONICS</t>
    <phoneticPr fontId="4" type="noConversion"/>
  </si>
  <si>
    <t>GM13(绿色汽车）</t>
    <phoneticPr fontId="8" type="noConversion"/>
  </si>
  <si>
    <r>
      <t>GM13(</t>
    </r>
    <r>
      <rPr>
        <b/>
        <sz val="14"/>
        <color indexed="8"/>
        <rFont val="宋体"/>
        <family val="3"/>
        <charset val="134"/>
      </rPr>
      <t>绿色汽车）</t>
    </r>
    <phoneticPr fontId="1" type="noConversion"/>
  </si>
  <si>
    <t>1001国外销售收入:退款</t>
    <phoneticPr fontId="4" type="noConversion"/>
  </si>
  <si>
    <t>Wolkin</t>
    <phoneticPr fontId="4" type="noConversion"/>
  </si>
  <si>
    <t>The Hongkong Electric Co.Ltd</t>
    <phoneticPr fontId="4" type="noConversion"/>
  </si>
  <si>
    <t>Wolkin</t>
    <phoneticPr fontId="1" type="noConversion"/>
  </si>
  <si>
    <t>离职不拿</t>
    <phoneticPr fontId="4" type="noConversion"/>
  </si>
  <si>
    <r>
      <t>M</t>
    </r>
    <r>
      <rPr>
        <sz val="10"/>
        <rFont val="宋体"/>
        <family val="3"/>
        <charset val="134"/>
      </rPr>
      <t>argaret</t>
    </r>
    <phoneticPr fontId="4" type="noConversion"/>
  </si>
  <si>
    <t>MORS SMITT</t>
    <phoneticPr fontId="4" type="noConversion"/>
  </si>
  <si>
    <r>
      <t>M</t>
    </r>
    <r>
      <rPr>
        <sz val="10"/>
        <rFont val="宋体"/>
        <family val="3"/>
        <charset val="134"/>
      </rPr>
      <t>W13</t>
    </r>
    <phoneticPr fontId="4" type="noConversion"/>
  </si>
  <si>
    <t>Margaret</t>
    <phoneticPr fontId="1" type="noConversion"/>
  </si>
  <si>
    <t>Jacky</t>
    <phoneticPr fontId="1" type="noConversion"/>
  </si>
  <si>
    <t>英飞凌集成电路(北京)有限公司</t>
    <phoneticPr fontId="1" type="noConversion"/>
  </si>
  <si>
    <t>上海凯士比泵有限公司</t>
    <phoneticPr fontId="1" type="noConversion"/>
  </si>
  <si>
    <t>MODU SPEC INTERN</t>
    <phoneticPr fontId="4" type="noConversion"/>
  </si>
  <si>
    <t>Harris</t>
    <phoneticPr fontId="4" type="noConversion"/>
  </si>
  <si>
    <t>DC13</t>
    <phoneticPr fontId="4" type="noConversion"/>
  </si>
  <si>
    <t xml:space="preserve">青蛙王子（中国）日化有限公司 </t>
    <phoneticPr fontId="1" type="noConversion"/>
  </si>
  <si>
    <t>DEEPOCEAN</t>
    <phoneticPr fontId="4" type="noConversion"/>
  </si>
  <si>
    <t>比欧西（中国）投资有限公司</t>
    <phoneticPr fontId="1" type="noConversion"/>
  </si>
  <si>
    <t>Margaret</t>
    <phoneticPr fontId="4" type="noConversion"/>
  </si>
  <si>
    <t>J.P.Morgan</t>
    <phoneticPr fontId="4" type="noConversion"/>
  </si>
  <si>
    <t>MW13</t>
    <phoneticPr fontId="4" type="noConversion"/>
  </si>
  <si>
    <t>Mona</t>
    <phoneticPr fontId="4" type="noConversion"/>
  </si>
  <si>
    <t>赢创</t>
    <phoneticPr fontId="4" type="noConversion"/>
  </si>
  <si>
    <t>Carl</t>
    <phoneticPr fontId="1" type="noConversion"/>
  </si>
  <si>
    <t>包钢钢联股份有限公司轨梁轧钢厂</t>
    <phoneticPr fontId="1" type="noConversion"/>
  </si>
  <si>
    <t>Cheney</t>
    <phoneticPr fontId="4" type="noConversion"/>
  </si>
  <si>
    <t xml:space="preserve">COLLCAP PACKAGING (HK) LTD </t>
    <phoneticPr fontId="4" type="noConversion"/>
  </si>
  <si>
    <t>ACIS13</t>
    <phoneticPr fontId="4" type="noConversion"/>
  </si>
  <si>
    <t>洛阳森德石化工程有限公司</t>
    <phoneticPr fontId="4" type="noConversion"/>
  </si>
  <si>
    <t>DOOSECN</t>
    <phoneticPr fontId="4" type="noConversion"/>
  </si>
  <si>
    <t>Charling</t>
    <phoneticPr fontId="4" type="noConversion"/>
  </si>
  <si>
    <t>Broken hill prospecting</t>
    <phoneticPr fontId="4" type="noConversion"/>
  </si>
  <si>
    <t>MINING13</t>
    <phoneticPr fontId="4" type="noConversion"/>
  </si>
  <si>
    <t>Patrick</t>
    <phoneticPr fontId="4" type="noConversion"/>
  </si>
  <si>
    <t>ZODIAC</t>
    <phoneticPr fontId="4" type="noConversion"/>
  </si>
  <si>
    <t>CAF13</t>
    <phoneticPr fontId="4" type="noConversion"/>
  </si>
  <si>
    <t>BRASKEM</t>
    <phoneticPr fontId="4" type="noConversion"/>
  </si>
  <si>
    <t>CPF13</t>
    <phoneticPr fontId="4" type="noConversion"/>
  </si>
  <si>
    <t>东莞钜威新能源有限公司</t>
    <phoneticPr fontId="1" type="noConversion"/>
  </si>
  <si>
    <t>科腾聚合物贸易（上海）有限公司</t>
    <phoneticPr fontId="1" type="noConversion"/>
  </si>
  <si>
    <t>Alice</t>
    <phoneticPr fontId="4" type="noConversion"/>
  </si>
  <si>
    <t>BOLK EMS DIVISION</t>
    <phoneticPr fontId="4" type="noConversion"/>
  </si>
  <si>
    <t>CADS13</t>
    <phoneticPr fontId="4" type="noConversion"/>
  </si>
  <si>
    <t>Elbert</t>
    <phoneticPr fontId="4" type="noConversion"/>
  </si>
  <si>
    <t>UOP</t>
    <phoneticPr fontId="4" type="noConversion"/>
  </si>
  <si>
    <t>Celia</t>
    <phoneticPr fontId="4" type="noConversion"/>
  </si>
  <si>
    <t>SAFT</t>
    <phoneticPr fontId="4" type="noConversion"/>
  </si>
  <si>
    <t>ISG13</t>
    <phoneticPr fontId="4" type="noConversion"/>
  </si>
  <si>
    <r>
      <t>M</t>
    </r>
    <r>
      <rPr>
        <sz val="10"/>
        <rFont val="宋体"/>
        <family val="3"/>
        <charset val="134"/>
      </rPr>
      <t>ike</t>
    </r>
    <phoneticPr fontId="4" type="noConversion"/>
  </si>
  <si>
    <t>辉固地球科技（北京）有限公司</t>
    <phoneticPr fontId="4" type="noConversion"/>
  </si>
  <si>
    <t>Jack</t>
    <phoneticPr fontId="4" type="noConversion"/>
  </si>
  <si>
    <t>深圳赤湾胜宝旺工程</t>
    <phoneticPr fontId="4" type="noConversion"/>
  </si>
  <si>
    <t>北京四方继保自动化股份有限</t>
    <phoneticPr fontId="1" type="noConversion"/>
  </si>
  <si>
    <t xml:space="preserve">三菱电机机电（上海）有限公司 </t>
    <phoneticPr fontId="1" type="noConversion"/>
  </si>
  <si>
    <t>GM13</t>
    <phoneticPr fontId="1" type="noConversion"/>
  </si>
  <si>
    <t>Sabin metal</t>
    <phoneticPr fontId="4" type="noConversion"/>
  </si>
  <si>
    <t>Johnson</t>
    <phoneticPr fontId="4" type="noConversion"/>
  </si>
  <si>
    <t>SAKHALIN</t>
    <phoneticPr fontId="4" type="noConversion"/>
  </si>
  <si>
    <t>GAS13</t>
    <phoneticPr fontId="4" type="noConversion"/>
  </si>
  <si>
    <t>Tim</t>
    <phoneticPr fontId="1" type="noConversion"/>
  </si>
  <si>
    <t>无锡德同国联投资管理有限公司</t>
    <phoneticPr fontId="1" type="noConversion"/>
  </si>
  <si>
    <t>CESF13</t>
    <phoneticPr fontId="1" type="noConversion"/>
  </si>
  <si>
    <t>宁德时代新能源科技有限公司</t>
    <phoneticPr fontId="1" type="noConversion"/>
  </si>
  <si>
    <t xml:space="preserve">上海电气集团股份有限公司中央研究院 </t>
    <phoneticPr fontId="1" type="noConversion"/>
  </si>
  <si>
    <t>Shary</t>
    <phoneticPr fontId="1" type="noConversion"/>
  </si>
  <si>
    <t>中达电通股份有限公司</t>
    <phoneticPr fontId="1" type="noConversion"/>
  </si>
  <si>
    <t>Cici</t>
    <phoneticPr fontId="1" type="noConversion"/>
  </si>
  <si>
    <t xml:space="preserve">广州市白云联佳精细化工厂 </t>
    <phoneticPr fontId="1" type="noConversion"/>
  </si>
  <si>
    <t>Rilly</t>
    <phoneticPr fontId="4" type="noConversion"/>
  </si>
  <si>
    <t>巨力索具</t>
    <phoneticPr fontId="4" type="noConversion"/>
  </si>
  <si>
    <t>Harris</t>
    <phoneticPr fontId="4" type="noConversion"/>
  </si>
  <si>
    <t>New field</t>
    <phoneticPr fontId="4" type="noConversion"/>
  </si>
  <si>
    <t>OLEON</t>
    <phoneticPr fontId="4" type="noConversion"/>
  </si>
  <si>
    <t>GE</t>
    <phoneticPr fontId="4" type="noConversion"/>
  </si>
  <si>
    <t>Cheery</t>
    <phoneticPr fontId="1" type="noConversion"/>
  </si>
  <si>
    <t>昆山阔福门业有限公司</t>
    <phoneticPr fontId="1" type="noConversion"/>
  </si>
  <si>
    <t>CADS13</t>
    <phoneticPr fontId="1" type="noConversion"/>
  </si>
  <si>
    <t>珠海泰坦科技股份有限公司</t>
    <phoneticPr fontId="1" type="noConversion"/>
  </si>
  <si>
    <t>深圳市盛弘电气有限公司</t>
    <phoneticPr fontId="1" type="noConversion"/>
  </si>
  <si>
    <t>天通新环境技术有限公司</t>
    <phoneticPr fontId="1" type="noConversion"/>
  </si>
  <si>
    <t>天信仪表集团有限公司</t>
    <phoneticPr fontId="1" type="noConversion"/>
  </si>
  <si>
    <t>Turf</t>
    <phoneticPr fontId="4" type="noConversion"/>
  </si>
  <si>
    <t>北京航天石化技术工程公司</t>
    <phoneticPr fontId="4" type="noConversion"/>
  </si>
  <si>
    <r>
      <t>G</t>
    </r>
    <r>
      <rPr>
        <sz val="10"/>
        <rFont val="宋体"/>
        <family val="3"/>
        <charset val="134"/>
      </rPr>
      <t>AS13</t>
    </r>
    <phoneticPr fontId="4" type="noConversion"/>
  </si>
  <si>
    <t>Cheney</t>
    <phoneticPr fontId="4" type="noConversion"/>
  </si>
  <si>
    <t>PPG</t>
    <phoneticPr fontId="4" type="noConversion"/>
  </si>
  <si>
    <t>DALLAS</t>
    <phoneticPr fontId="4" type="noConversion"/>
  </si>
  <si>
    <t>Huston Health</t>
    <phoneticPr fontId="4" type="noConversion"/>
  </si>
  <si>
    <t>CJSC</t>
    <phoneticPr fontId="4" type="noConversion"/>
  </si>
  <si>
    <t xml:space="preserve">BECKER MARINE </t>
    <phoneticPr fontId="4" type="noConversion"/>
  </si>
  <si>
    <t>OSV13</t>
    <phoneticPr fontId="4" type="noConversion"/>
  </si>
  <si>
    <t>SEATRAX (UK) LTD</t>
    <phoneticPr fontId="4" type="noConversion"/>
  </si>
  <si>
    <t>2月合计</t>
    <phoneticPr fontId="1" type="noConversion"/>
  </si>
  <si>
    <t>GAS13</t>
    <phoneticPr fontId="1" type="noConversion"/>
  </si>
  <si>
    <t>Steven</t>
    <phoneticPr fontId="4" type="noConversion"/>
  </si>
  <si>
    <t>Steven</t>
    <phoneticPr fontId="1" type="noConversion"/>
  </si>
  <si>
    <t>Delegate/3个</t>
    <phoneticPr fontId="1" type="noConversion"/>
  </si>
  <si>
    <t>Harris</t>
    <phoneticPr fontId="4" type="noConversion"/>
  </si>
  <si>
    <t>Schlemberg</t>
    <phoneticPr fontId="4" type="noConversion"/>
  </si>
  <si>
    <t>Tim</t>
    <phoneticPr fontId="4" type="noConversion"/>
  </si>
  <si>
    <t>阿尔斯通电网技术中心有限公司</t>
    <phoneticPr fontId="4" type="noConversion"/>
  </si>
  <si>
    <t>CESF13</t>
    <phoneticPr fontId="4" type="noConversion"/>
  </si>
  <si>
    <t xml:space="preserve">广西大学 </t>
    <phoneticPr fontId="1" type="noConversion"/>
  </si>
  <si>
    <t>Oleon China Co,Ltd</t>
    <phoneticPr fontId="4" type="noConversion"/>
  </si>
  <si>
    <t>上海贺利氏工业技术材料有限公司</t>
    <phoneticPr fontId="1" type="noConversion"/>
  </si>
  <si>
    <t xml:space="preserve">首诺国际贸易（上海）有限公司 </t>
    <phoneticPr fontId="1" type="noConversion"/>
  </si>
  <si>
    <t>Desmond</t>
    <phoneticPr fontId="4" type="noConversion"/>
  </si>
  <si>
    <t>PRONA</t>
    <phoneticPr fontId="4" type="noConversion"/>
  </si>
  <si>
    <t>爱索尔（广州）包装有限公司</t>
    <phoneticPr fontId="4" type="noConversion"/>
  </si>
  <si>
    <t>Cathery</t>
    <phoneticPr fontId="4" type="noConversion"/>
  </si>
  <si>
    <t>TECHNIP GEOPRODU</t>
    <phoneticPr fontId="4" type="noConversion"/>
  </si>
  <si>
    <t>海南光宇生物科技有限公司</t>
    <phoneticPr fontId="1" type="noConversion"/>
  </si>
  <si>
    <t>Cathery</t>
    <phoneticPr fontId="1" type="noConversion"/>
  </si>
  <si>
    <t>中荷赛班（北京）技术服务有限公司</t>
    <phoneticPr fontId="1" type="noConversion"/>
  </si>
  <si>
    <t>DC13</t>
    <phoneticPr fontId="1" type="noConversion"/>
  </si>
  <si>
    <t>Maver systems private ltd</t>
    <phoneticPr fontId="4" type="noConversion"/>
  </si>
  <si>
    <t>BASF</t>
    <phoneticPr fontId="4" type="noConversion"/>
  </si>
  <si>
    <t>TOTAL</t>
    <phoneticPr fontId="4" type="noConversion"/>
  </si>
  <si>
    <t xml:space="preserve">北京科锐配电自动化股份有限公司 </t>
    <phoneticPr fontId="1" type="noConversion"/>
  </si>
  <si>
    <t>PPG航空材料(苏州)有限公司</t>
    <phoneticPr fontId="1" type="noConversion"/>
  </si>
  <si>
    <t>上海孚宝港务有限公司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</si>
  <si>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</si>
  <si>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Fiona</t>
    <phoneticPr fontId="1" type="noConversion"/>
  </si>
  <si>
    <t>湖北美峰贸易有限公司</t>
    <phoneticPr fontId="1" type="noConversion"/>
  </si>
  <si>
    <t>ACIS13</t>
    <phoneticPr fontId="1" type="noConversion"/>
  </si>
  <si>
    <t>亚星锚链有限公司</t>
    <phoneticPr fontId="4" type="noConversion"/>
  </si>
  <si>
    <t>威尔森船舶产品贸易（上海）有限公司</t>
    <phoneticPr fontId="1" type="noConversion"/>
  </si>
  <si>
    <t>杭州高特数码技术有限公司</t>
    <phoneticPr fontId="4" type="noConversion"/>
  </si>
  <si>
    <t>深圳市汇川技术股份有限公司</t>
    <phoneticPr fontId="4" type="noConversion"/>
  </si>
  <si>
    <t>国电南京自动化股份有限公司</t>
    <phoneticPr fontId="4" type="noConversion"/>
  </si>
  <si>
    <t>中国国际金融有限公司</t>
    <phoneticPr fontId="4" type="noConversion"/>
  </si>
  <si>
    <t>Arvin</t>
    <phoneticPr fontId="1" type="noConversion"/>
  </si>
  <si>
    <t xml:space="preserve">天津瑞能电气有限公司 </t>
    <phoneticPr fontId="4" type="noConversion"/>
  </si>
  <si>
    <t>Tim</t>
    <phoneticPr fontId="4" type="noConversion"/>
  </si>
  <si>
    <t>Stena</t>
    <phoneticPr fontId="4" type="noConversion"/>
  </si>
  <si>
    <t>Vera</t>
    <phoneticPr fontId="4" type="noConversion"/>
  </si>
  <si>
    <t>Brisbane City</t>
    <phoneticPr fontId="4" type="noConversion"/>
  </si>
  <si>
    <t>BIS13</t>
    <phoneticPr fontId="4" type="noConversion"/>
  </si>
  <si>
    <t>New field</t>
    <phoneticPr fontId="4" type="noConversion"/>
  </si>
  <si>
    <t>Alice</t>
    <phoneticPr fontId="4" type="noConversion"/>
  </si>
  <si>
    <t>Leoni</t>
    <phoneticPr fontId="4" type="noConversion"/>
  </si>
  <si>
    <t>CADS13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</si>
  <si>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</si>
  <si>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David</t>
    <phoneticPr fontId="1" type="noConversion"/>
  </si>
  <si>
    <t>深圳市比克电池有限公司</t>
    <phoneticPr fontId="1" type="noConversion"/>
  </si>
  <si>
    <t>CESF13</t>
    <phoneticPr fontId="1" type="noConversion"/>
  </si>
  <si>
    <t>Tim</t>
    <phoneticPr fontId="1" type="noConversion"/>
  </si>
  <si>
    <t>广东猛狮电源科技股份有限公司</t>
    <phoneticPr fontId="1" type="noConversion"/>
  </si>
  <si>
    <t>Aries</t>
    <phoneticPr fontId="1" type="noConversion"/>
  </si>
  <si>
    <t>埃尼化学品贸易（上海）有限公司</t>
    <phoneticPr fontId="1" type="noConversion"/>
  </si>
  <si>
    <t>中国天辰工程有限公司</t>
    <phoneticPr fontId="1" type="noConversion"/>
  </si>
  <si>
    <t>Aries</t>
    <phoneticPr fontId="1" type="noConversion"/>
  </si>
  <si>
    <t>西安陕鼓动力股份有限公司</t>
    <phoneticPr fontId="1" type="noConversion"/>
  </si>
  <si>
    <t>GAS13</t>
    <phoneticPr fontId="1" type="noConversion"/>
  </si>
  <si>
    <t>Deborah</t>
    <phoneticPr fontId="1" type="noConversion"/>
  </si>
  <si>
    <t>新疆巴州洪通燃气有限公司</t>
    <phoneticPr fontId="1" type="noConversion"/>
  </si>
  <si>
    <t>JSC IUEC</t>
    <phoneticPr fontId="4" type="noConversion"/>
  </si>
  <si>
    <t>Cindy</t>
    <phoneticPr fontId="4" type="noConversion"/>
  </si>
  <si>
    <t>Delegate/2个</t>
    <phoneticPr fontId="1" type="noConversion"/>
  </si>
  <si>
    <t>Sponser</t>
    <phoneticPr fontId="4" type="noConversion"/>
  </si>
  <si>
    <t>CPF13</t>
    <phoneticPr fontId="4" type="noConversion"/>
  </si>
  <si>
    <t>jessie</t>
  </si>
  <si>
    <t>veolia water</t>
  </si>
  <si>
    <t>UHS13</t>
  </si>
  <si>
    <t>Owen</t>
  </si>
  <si>
    <t>伯合乐焊接产品贸易（上海）有限公司</t>
  </si>
  <si>
    <t>Johnson</t>
  </si>
  <si>
    <t>Origin Energy</t>
  </si>
  <si>
    <t>GAS13</t>
  </si>
  <si>
    <t>Max</t>
  </si>
  <si>
    <t xml:space="preserve">科尔尼（上海）企业咨询有限公司 </t>
  </si>
  <si>
    <t>CADS13</t>
  </si>
  <si>
    <t>1002国内销售收入</t>
  </si>
  <si>
    <t>Lucy</t>
  </si>
  <si>
    <t xml:space="preserve">上海中远威治罐箱物流有限公司 </t>
  </si>
  <si>
    <t>CPF13</t>
  </si>
  <si>
    <t>David</t>
  </si>
  <si>
    <t>中国东方电气集团有限公司</t>
  </si>
  <si>
    <t>CESF13</t>
  </si>
  <si>
    <t>Calvin</t>
  </si>
  <si>
    <t>ＧＥＡ巴蒂尼奥热能技术（常熟）有限公司</t>
  </si>
  <si>
    <t>SK Shipping</t>
    <phoneticPr fontId="4" type="noConversion"/>
  </si>
  <si>
    <t>GAS13</t>
    <phoneticPr fontId="4" type="noConversion"/>
  </si>
  <si>
    <r>
      <t>S</t>
    </r>
    <r>
      <rPr>
        <sz val="10"/>
        <rFont val="宋体"/>
        <family val="3"/>
        <charset val="134"/>
      </rPr>
      <t>ally</t>
    </r>
    <phoneticPr fontId="4" type="noConversion"/>
  </si>
  <si>
    <t>GEA Refrigration</t>
    <phoneticPr fontId="4" type="noConversion"/>
  </si>
  <si>
    <r>
      <t>L</t>
    </r>
    <r>
      <rPr>
        <sz val="10"/>
        <rFont val="宋体"/>
        <family val="3"/>
        <charset val="134"/>
      </rPr>
      <t>olita</t>
    </r>
    <phoneticPr fontId="4" type="noConversion"/>
  </si>
  <si>
    <t>Wartsila</t>
    <phoneticPr fontId="4" type="noConversion"/>
  </si>
  <si>
    <t>OSV13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</si>
  <si>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</si>
  <si>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4" type="noConversion"/>
  </si>
  <si>
    <t>厦门科华恒盛股份</t>
    <phoneticPr fontId="4" type="noConversion"/>
  </si>
  <si>
    <t>CESF13</t>
    <phoneticPr fontId="4" type="noConversion"/>
  </si>
  <si>
    <t>莱姆电子（中国）有限公司</t>
    <phoneticPr fontId="1" type="noConversion"/>
  </si>
  <si>
    <t>Anita</t>
    <phoneticPr fontId="1" type="noConversion"/>
  </si>
  <si>
    <t>罗扬文灯饰设计（上海）有限公司</t>
    <phoneticPr fontId="1" type="noConversion"/>
  </si>
  <si>
    <t>CADS13</t>
    <phoneticPr fontId="1" type="noConversion"/>
  </si>
  <si>
    <t xml:space="preserve">北京ＡＢＢ电气传动系统有限公司 </t>
    <phoneticPr fontId="1" type="noConversion"/>
  </si>
  <si>
    <t>Deborah</t>
    <phoneticPr fontId="1" type="noConversion"/>
  </si>
  <si>
    <t>中国寰球工程公司</t>
    <phoneticPr fontId="1" type="noConversion"/>
  </si>
  <si>
    <t>Cici</t>
    <phoneticPr fontId="1" type="noConversion"/>
  </si>
  <si>
    <t>安徽美能储能系统有限公司</t>
    <phoneticPr fontId="1" type="noConversion"/>
  </si>
  <si>
    <t>Carl</t>
    <phoneticPr fontId="1" type="noConversion"/>
  </si>
  <si>
    <t xml:space="preserve">广东大鹏液化天然气有限公司 </t>
    <phoneticPr fontId="1" type="noConversion"/>
  </si>
  <si>
    <t>Delegate/1个</t>
    <phoneticPr fontId="1" type="noConversion"/>
  </si>
  <si>
    <t>达索析统（上海）信息技术有限公司北京分公司</t>
    <phoneticPr fontId="4" type="noConversion"/>
  </si>
  <si>
    <t>Lolita</t>
    <phoneticPr fontId="4" type="noConversion"/>
  </si>
  <si>
    <t>Strategic Marine</t>
    <phoneticPr fontId="4" type="noConversion"/>
  </si>
  <si>
    <t>1001国外销售收入</t>
    <phoneticPr fontId="4" type="noConversion"/>
  </si>
  <si>
    <t>Lolita</t>
    <phoneticPr fontId="4" type="noConversion"/>
  </si>
  <si>
    <t xml:space="preserve">ZAMIL OFFSHORE </t>
    <phoneticPr fontId="4" type="noConversion"/>
  </si>
  <si>
    <t>OSV13</t>
    <phoneticPr fontId="4" type="noConversion"/>
  </si>
  <si>
    <t>Alex</t>
    <phoneticPr fontId="4" type="noConversion"/>
  </si>
  <si>
    <t>SIEMPELKAMP</t>
    <phoneticPr fontId="4" type="noConversion"/>
  </si>
  <si>
    <t>CAF13</t>
    <phoneticPr fontId="4" type="noConversion"/>
  </si>
  <si>
    <r>
      <t>M&amp;A13</t>
    </r>
    <r>
      <rPr>
        <b/>
        <sz val="14"/>
        <color indexed="8"/>
        <rFont val="宋体"/>
        <family val="3"/>
        <charset val="134"/>
      </rPr>
      <t>（并购）</t>
    </r>
    <phoneticPr fontId="1" type="noConversion"/>
  </si>
  <si>
    <t>M&amp;A13（并购）</t>
    <phoneticPr fontId="8" type="noConversion"/>
  </si>
  <si>
    <t>1001国外销售收入</t>
    <phoneticPr fontId="4" type="noConversion"/>
  </si>
  <si>
    <t>Taiwan Taoyuan Airpot</t>
    <phoneticPr fontId="4" type="noConversion"/>
  </si>
  <si>
    <t>深圳市艾博尔新能源有限公司</t>
    <phoneticPr fontId="1" type="noConversion"/>
  </si>
  <si>
    <t>Jodie</t>
    <phoneticPr fontId="4" type="noConversion"/>
  </si>
  <si>
    <t>JOHNSON MATTHEY</t>
    <phoneticPr fontId="4" type="noConversion"/>
  </si>
  <si>
    <t>UHS13</t>
    <phoneticPr fontId="4" type="noConversion"/>
  </si>
  <si>
    <t>Cici</t>
    <phoneticPr fontId="1" type="noConversion"/>
  </si>
  <si>
    <t>辽宁百纳电气有限公司</t>
    <phoneticPr fontId="1" type="noConversion"/>
  </si>
  <si>
    <t>Mona</t>
    <phoneticPr fontId="1" type="noConversion"/>
  </si>
  <si>
    <t xml:space="preserve">沙伯基础（上海）商贸有限公司 </t>
    <phoneticPr fontId="1" type="noConversion"/>
  </si>
  <si>
    <t>CPF13</t>
    <phoneticPr fontId="1" type="noConversion"/>
  </si>
  <si>
    <t>Turf</t>
    <phoneticPr fontId="1" type="noConversion"/>
  </si>
  <si>
    <t>陕西航天动力高科技股份有限公司</t>
    <phoneticPr fontId="1" type="noConversion"/>
  </si>
  <si>
    <t>山东圣阳电源股份有限公司</t>
    <phoneticPr fontId="4" type="noConversion"/>
  </si>
  <si>
    <t>欣旺达电子股份有限公司</t>
    <phoneticPr fontId="4" type="noConversion"/>
  </si>
  <si>
    <t>Tim</t>
    <phoneticPr fontId="4" type="noConversion"/>
  </si>
  <si>
    <t>河南环宇赛尔新能源科技有限公司</t>
    <phoneticPr fontId="4" type="noConversion"/>
  </si>
  <si>
    <t>Jimmy</t>
    <phoneticPr fontId="4" type="noConversion"/>
  </si>
  <si>
    <t>家利塑胶（上海）有限公司</t>
    <phoneticPr fontId="4" type="noConversion"/>
  </si>
  <si>
    <t>Alice</t>
    <phoneticPr fontId="4" type="noConversion"/>
  </si>
  <si>
    <t>上海思百吉仪器系统有限公司</t>
    <phoneticPr fontId="4" type="noConversion"/>
  </si>
  <si>
    <t>Charling</t>
    <phoneticPr fontId="4" type="noConversion"/>
  </si>
  <si>
    <t xml:space="preserve">WPG RESOURCES </t>
    <phoneticPr fontId="4" type="noConversion"/>
  </si>
  <si>
    <t>Mona</t>
    <phoneticPr fontId="4" type="noConversion"/>
  </si>
  <si>
    <t xml:space="preserve">Safer Systems </t>
    <phoneticPr fontId="4" type="noConversion"/>
  </si>
  <si>
    <t>Delegate/3个</t>
    <phoneticPr fontId="1" type="noConversion"/>
  </si>
  <si>
    <t>Deborah</t>
    <phoneticPr fontId="4" type="noConversion"/>
  </si>
  <si>
    <t>沪东中华造船（集团）有限公司</t>
    <phoneticPr fontId="4" type="noConversion"/>
  </si>
  <si>
    <t>Krrish</t>
    <phoneticPr fontId="4" type="noConversion"/>
  </si>
  <si>
    <t>中天世贸有限公司</t>
    <phoneticPr fontId="4" type="noConversion"/>
  </si>
  <si>
    <t>Tim</t>
  </si>
  <si>
    <t>深圳市佰特瑞储能系统有限公司</t>
  </si>
  <si>
    <t>Cathery</t>
  </si>
  <si>
    <t>AKER SOLUTIONS</t>
  </si>
  <si>
    <t>DC13</t>
  </si>
  <si>
    <t>Jack</t>
  </si>
  <si>
    <t>RS Platou ASA</t>
  </si>
  <si>
    <t>Krrish</t>
    <phoneticPr fontId="1" type="noConversion"/>
  </si>
  <si>
    <t>Lucy</t>
    <phoneticPr fontId="4" type="noConversion"/>
  </si>
  <si>
    <t>上海中远资金计划部</t>
    <phoneticPr fontId="4" type="noConversion"/>
  </si>
  <si>
    <t>Carl</t>
    <phoneticPr fontId="4" type="noConversion"/>
  </si>
  <si>
    <t>安东石油技术（集团）有限公司</t>
    <phoneticPr fontId="4" type="noConversion"/>
  </si>
  <si>
    <t>上海金菲石油化工有限公司</t>
    <phoneticPr fontId="4" type="noConversion"/>
  </si>
  <si>
    <t xml:space="preserve">Weckele Cosmetics </t>
    <phoneticPr fontId="4" type="noConversion"/>
  </si>
  <si>
    <t>大连港湾液体</t>
    <phoneticPr fontId="4" type="noConversion"/>
  </si>
  <si>
    <t>Carrie</t>
    <phoneticPr fontId="4" type="noConversion"/>
  </si>
  <si>
    <t>咸宁核电</t>
    <phoneticPr fontId="4" type="noConversion"/>
  </si>
  <si>
    <t>Aries</t>
    <phoneticPr fontId="4" type="noConversion"/>
  </si>
  <si>
    <t>Tim</t>
    <phoneticPr fontId="4" type="noConversion"/>
  </si>
  <si>
    <t xml:space="preserve">北京华电方胜技术发展有限公司 </t>
    <phoneticPr fontId="4" type="noConversion"/>
  </si>
  <si>
    <t>CESF13</t>
    <phoneticPr fontId="4" type="noConversion"/>
  </si>
  <si>
    <t>中国东方电气集团有限公司</t>
    <phoneticPr fontId="4" type="noConversion"/>
  </si>
  <si>
    <t>Winds</t>
    <phoneticPr fontId="4" type="noConversion"/>
  </si>
  <si>
    <t>南充化学工业园</t>
    <phoneticPr fontId="4" type="noConversion"/>
  </si>
  <si>
    <t>CPF13</t>
    <phoneticPr fontId="4" type="noConversion"/>
  </si>
  <si>
    <t>Melody</t>
    <phoneticPr fontId="4" type="noConversion"/>
  </si>
  <si>
    <t>GOWLINGS</t>
    <phoneticPr fontId="4" type="noConversion"/>
  </si>
  <si>
    <r>
      <t>M</t>
    </r>
    <r>
      <rPr>
        <sz val="10"/>
        <rFont val="宋体"/>
        <family val="3"/>
        <charset val="134"/>
      </rPr>
      <t>INING13</t>
    </r>
    <phoneticPr fontId="4" type="noConversion"/>
  </si>
  <si>
    <t>1001国外销售收入</t>
    <phoneticPr fontId="4" type="noConversion"/>
  </si>
  <si>
    <t>Shayne</t>
    <phoneticPr fontId="4" type="noConversion"/>
  </si>
  <si>
    <t>劳氏工业技术服务（上海）有限公司</t>
    <phoneticPr fontId="4" type="noConversion"/>
  </si>
  <si>
    <t>CPF13</t>
    <phoneticPr fontId="4" type="noConversion"/>
  </si>
  <si>
    <t>Celia</t>
    <phoneticPr fontId="4" type="noConversion"/>
  </si>
  <si>
    <t>东方电子股份有限公司</t>
    <phoneticPr fontId="4" type="noConversion"/>
  </si>
  <si>
    <t>ISG13</t>
    <phoneticPr fontId="4" type="noConversion"/>
  </si>
  <si>
    <t>Orga Systems Gmb</t>
    <phoneticPr fontId="4" type="noConversion"/>
  </si>
  <si>
    <t>Winds</t>
    <phoneticPr fontId="1" type="noConversion"/>
  </si>
  <si>
    <t>Delegate/1个</t>
    <phoneticPr fontId="1" type="noConversion"/>
  </si>
  <si>
    <t>Jacky</t>
    <phoneticPr fontId="4" type="noConversion"/>
  </si>
  <si>
    <t>Blue</t>
    <phoneticPr fontId="4" type="noConversion"/>
  </si>
  <si>
    <t>中建钢构有限公司上海分公司</t>
    <phoneticPr fontId="4" type="noConversion"/>
  </si>
  <si>
    <t>Carl</t>
    <phoneticPr fontId="4" type="noConversion"/>
  </si>
  <si>
    <t>中海油能源发展股份有限公司监督监理技术分公司</t>
    <phoneticPr fontId="4" type="noConversion"/>
  </si>
  <si>
    <t>Delegate/4个</t>
    <phoneticPr fontId="1" type="noConversion"/>
  </si>
  <si>
    <t>Zoe</t>
    <phoneticPr fontId="4" type="noConversion"/>
  </si>
  <si>
    <t>广州富斯乐有限公司</t>
    <phoneticPr fontId="4" type="noConversion"/>
  </si>
  <si>
    <t>Doris</t>
    <phoneticPr fontId="4" type="noConversion"/>
  </si>
  <si>
    <t>LAUTAN BERKAH UT</t>
    <phoneticPr fontId="4" type="noConversion"/>
  </si>
  <si>
    <t>DAP13</t>
    <phoneticPr fontId="4" type="noConversion"/>
  </si>
  <si>
    <r>
      <t>DAP13(</t>
    </r>
    <r>
      <rPr>
        <b/>
        <sz val="14"/>
        <color indexed="8"/>
        <rFont val="宋体"/>
        <family val="3"/>
        <charset val="134"/>
      </rPr>
      <t>亚太深海油气）</t>
    </r>
    <phoneticPr fontId="1" type="noConversion"/>
  </si>
  <si>
    <t>DAP13(亚太深海油气）</t>
    <phoneticPr fontId="8" type="noConversion"/>
  </si>
  <si>
    <t>Jimmy</t>
    <phoneticPr fontId="1" type="noConversion"/>
  </si>
  <si>
    <t>怡佳美容（雅诗兰黛）</t>
    <phoneticPr fontId="1" type="noConversion"/>
  </si>
  <si>
    <t>ACIS13</t>
    <phoneticPr fontId="1" type="noConversion"/>
  </si>
  <si>
    <t>ASIA CENTRE</t>
    <phoneticPr fontId="4" type="noConversion"/>
  </si>
  <si>
    <t>GAS13</t>
    <phoneticPr fontId="4" type="noConversion"/>
  </si>
  <si>
    <t>深圳市德威胜潜水工程有限公司</t>
    <phoneticPr fontId="4" type="noConversion"/>
  </si>
  <si>
    <t>DC13</t>
    <phoneticPr fontId="4" type="noConversion"/>
  </si>
  <si>
    <t>Silvia</t>
    <phoneticPr fontId="4" type="noConversion"/>
  </si>
  <si>
    <t>北京航天石化技术装备工程公司</t>
    <phoneticPr fontId="4" type="noConversion"/>
  </si>
  <si>
    <t>CPF13</t>
    <phoneticPr fontId="4" type="noConversion"/>
  </si>
  <si>
    <t>河北纳晋达工矿工程有限公司</t>
    <phoneticPr fontId="4" type="noConversion"/>
  </si>
  <si>
    <r>
      <t>D</t>
    </r>
    <r>
      <rPr>
        <sz val="10"/>
        <rFont val="宋体"/>
        <family val="3"/>
        <charset val="134"/>
      </rPr>
      <t>oris</t>
    </r>
    <phoneticPr fontId="4" type="noConversion"/>
  </si>
  <si>
    <r>
      <t>E</t>
    </r>
    <r>
      <rPr>
        <sz val="10"/>
        <rFont val="宋体"/>
        <family val="3"/>
        <charset val="134"/>
      </rPr>
      <t>clipse Energy</t>
    </r>
    <phoneticPr fontId="4" type="noConversion"/>
  </si>
  <si>
    <r>
      <t>I</t>
    </r>
    <r>
      <rPr>
        <sz val="10"/>
        <rFont val="宋体"/>
        <family val="3"/>
        <charset val="134"/>
      </rPr>
      <t>nova</t>
    </r>
    <phoneticPr fontId="4" type="noConversion"/>
  </si>
  <si>
    <t>1002国内销售收入</t>
    <phoneticPr fontId="4" type="noConversion"/>
  </si>
  <si>
    <t>Tim</t>
    <phoneticPr fontId="4" type="noConversion"/>
  </si>
  <si>
    <t>北京科诺伟业科技有限公司</t>
    <phoneticPr fontId="4" type="noConversion"/>
  </si>
  <si>
    <t>CESF13</t>
    <phoneticPr fontId="4" type="noConversion"/>
  </si>
  <si>
    <t>凹凸科技（中国）有限公司</t>
    <phoneticPr fontId="4" type="noConversion"/>
  </si>
  <si>
    <t>卧龙电气集团股份有限公司绍兴电源分公司</t>
    <phoneticPr fontId="4" type="noConversion"/>
  </si>
  <si>
    <t>北京慧峰聚能科技有限公司</t>
    <phoneticPr fontId="4" type="noConversion"/>
  </si>
  <si>
    <t>Tonix</t>
    <phoneticPr fontId="4" type="noConversion"/>
  </si>
  <si>
    <t>Shayne</t>
  </si>
  <si>
    <t>LLOTDS Register</t>
  </si>
  <si>
    <t>Silvia</t>
    <phoneticPr fontId="4" type="noConversion"/>
  </si>
  <si>
    <t>北京海顿新科技术股份有限公司</t>
    <phoneticPr fontId="4" type="noConversion"/>
  </si>
  <si>
    <t>Augus</t>
    <phoneticPr fontId="4" type="noConversion"/>
  </si>
  <si>
    <t>荣宝斋</t>
    <phoneticPr fontId="4" type="noConversion"/>
  </si>
  <si>
    <t>期刊</t>
    <phoneticPr fontId="4" type="noConversion"/>
  </si>
  <si>
    <t>Melody</t>
  </si>
  <si>
    <t>Alto Americas</t>
  </si>
  <si>
    <t>AGC13(日本天然气）</t>
    <phoneticPr fontId="8" type="noConversion"/>
  </si>
  <si>
    <t>AGC13</t>
    <phoneticPr fontId="4" type="noConversion"/>
  </si>
  <si>
    <r>
      <t>AGC13</t>
    </r>
    <r>
      <rPr>
        <b/>
        <sz val="14"/>
        <color indexed="8"/>
        <rFont val="宋体"/>
        <family val="3"/>
        <charset val="134"/>
      </rPr>
      <t>（日本天然气）</t>
    </r>
    <phoneticPr fontId="1" type="noConversion"/>
  </si>
  <si>
    <t>Tonix</t>
    <phoneticPr fontId="1" type="noConversion"/>
  </si>
  <si>
    <t>Evevts资金回款表（RMB）</t>
    <phoneticPr fontId="8" type="noConversion"/>
  </si>
  <si>
    <t>**</t>
    <phoneticPr fontId="4" type="noConversion"/>
  </si>
  <si>
    <t>Augus</t>
    <phoneticPr fontId="1" type="noConversion"/>
  </si>
  <si>
    <t>台湾中油</t>
    <phoneticPr fontId="4" type="noConversion"/>
  </si>
  <si>
    <t>VMOG CHINA TRADING</t>
    <phoneticPr fontId="4" type="noConversion"/>
  </si>
  <si>
    <t>David</t>
    <phoneticPr fontId="4" type="noConversion"/>
  </si>
  <si>
    <t>NGK</t>
    <phoneticPr fontId="4" type="noConversion"/>
  </si>
  <si>
    <t>北京华电天仁电力控制技术有限公司</t>
    <phoneticPr fontId="4" type="noConversion"/>
  </si>
  <si>
    <t>浙江南都电源动力股份有限公司</t>
    <phoneticPr fontId="4" type="noConversion"/>
  </si>
  <si>
    <t>Eleven</t>
    <phoneticPr fontId="4" type="noConversion"/>
  </si>
  <si>
    <t>上海方本律师事务所</t>
    <phoneticPr fontId="4" type="noConversion"/>
  </si>
  <si>
    <t>SOCIETE NATIONAL</t>
    <phoneticPr fontId="4" type="noConversion"/>
  </si>
  <si>
    <t xml:space="preserve">广东大鹏液化天然气有限公司 </t>
    <phoneticPr fontId="4" type="noConversion"/>
  </si>
  <si>
    <t>项目</t>
    <phoneticPr fontId="4" type="noConversion"/>
  </si>
  <si>
    <t>会议时间</t>
    <phoneticPr fontId="4" type="noConversion"/>
  </si>
  <si>
    <t>销售达成率</t>
    <phoneticPr fontId="4" type="noConversion"/>
  </si>
  <si>
    <t>CPF13（石化）</t>
    <phoneticPr fontId="1" type="noConversion"/>
  </si>
  <si>
    <t>CESF13（储能）</t>
    <phoneticPr fontId="1" type="noConversion"/>
  </si>
  <si>
    <t>BIS13（桥梁）</t>
    <phoneticPr fontId="1" type="noConversion"/>
  </si>
  <si>
    <t>ISG13（印度智能电网）</t>
    <phoneticPr fontId="1" type="noConversion"/>
  </si>
  <si>
    <t>GAS13（天然气）</t>
    <phoneticPr fontId="1" type="noConversion"/>
  </si>
  <si>
    <t>CENC13（核能）</t>
    <phoneticPr fontId="1" type="noConversion"/>
  </si>
  <si>
    <t>CAF13（商飞）</t>
    <phoneticPr fontId="1" type="noConversion"/>
  </si>
  <si>
    <t>DC13（中国海洋油气）</t>
    <phoneticPr fontId="1" type="noConversion"/>
  </si>
  <si>
    <t>CADS13（机场）</t>
    <phoneticPr fontId="1" type="noConversion"/>
  </si>
  <si>
    <t>5.30</t>
    <phoneticPr fontId="1" type="noConversion"/>
  </si>
  <si>
    <t>ACIS13(亚洲化妆品）</t>
    <phoneticPr fontId="1" type="noConversion"/>
  </si>
  <si>
    <t>6.5</t>
    <phoneticPr fontId="1" type="noConversion"/>
  </si>
  <si>
    <r>
      <t>UHS13</t>
    </r>
    <r>
      <rPr>
        <b/>
        <sz val="14"/>
        <color indexed="8"/>
        <rFont val="宋体"/>
        <family val="3"/>
        <charset val="134"/>
      </rPr>
      <t>（非常规油气）</t>
    </r>
    <phoneticPr fontId="1" type="noConversion"/>
  </si>
  <si>
    <t>MINING13（矿业）</t>
    <phoneticPr fontId="1" type="noConversion"/>
  </si>
  <si>
    <t>CG13（清洁煤）</t>
    <phoneticPr fontId="1" type="noConversion"/>
  </si>
  <si>
    <t>OSV13（马来西亚海洋工程）</t>
    <phoneticPr fontId="1" type="noConversion"/>
  </si>
  <si>
    <t>6.20</t>
    <phoneticPr fontId="1" type="noConversion"/>
  </si>
  <si>
    <t>CVF13（疫苗）</t>
    <phoneticPr fontId="1" type="noConversion"/>
  </si>
  <si>
    <t>CIRE13（产业地产）</t>
    <phoneticPr fontId="1" type="noConversion"/>
  </si>
  <si>
    <t>7.4</t>
    <phoneticPr fontId="1" type="noConversion"/>
  </si>
  <si>
    <r>
      <t>M&amp;A13</t>
    </r>
    <r>
      <rPr>
        <b/>
        <sz val="14"/>
        <color indexed="8"/>
        <rFont val="宋体"/>
        <family val="3"/>
        <charset val="134"/>
      </rPr>
      <t>（并购）</t>
    </r>
    <phoneticPr fontId="1" type="noConversion"/>
  </si>
  <si>
    <t>合计</t>
    <phoneticPr fontId="4" type="noConversion"/>
  </si>
  <si>
    <t>Delegate/2个</t>
    <phoneticPr fontId="1" type="noConversion"/>
  </si>
  <si>
    <t>CIPF13</t>
    <phoneticPr fontId="4" type="noConversion"/>
  </si>
  <si>
    <t>CIPF13(知识产权）</t>
    <phoneticPr fontId="8" type="noConversion"/>
  </si>
  <si>
    <r>
      <t>CIPF13(</t>
    </r>
    <r>
      <rPr>
        <b/>
        <sz val="14"/>
        <color indexed="8"/>
        <rFont val="宋体"/>
        <family val="3"/>
        <charset val="134"/>
      </rPr>
      <t>知识产权）</t>
    </r>
    <phoneticPr fontId="1" type="noConversion"/>
  </si>
  <si>
    <t>Risk engineenig</t>
    <phoneticPr fontId="4" type="noConversion"/>
  </si>
  <si>
    <t>LMCO</t>
    <phoneticPr fontId="4" type="noConversion"/>
  </si>
  <si>
    <t>1002国内销售收入</t>
    <phoneticPr fontId="4" type="noConversion"/>
  </si>
  <si>
    <t>海通证券股份有限公司</t>
    <phoneticPr fontId="4" type="noConversion"/>
  </si>
  <si>
    <t>Turf</t>
    <phoneticPr fontId="4" type="noConversion"/>
  </si>
  <si>
    <t>沈阳透平机械股份有限公司</t>
    <phoneticPr fontId="4" type="noConversion"/>
  </si>
  <si>
    <t>Richard</t>
    <phoneticPr fontId="4" type="noConversion"/>
  </si>
  <si>
    <t>宜昌欧赛科技有限公司</t>
    <phoneticPr fontId="4" type="noConversion"/>
  </si>
  <si>
    <t>中宇锂电能源股份有限公司</t>
    <phoneticPr fontId="4" type="noConversion"/>
  </si>
  <si>
    <t>Lydia</t>
    <phoneticPr fontId="4" type="noConversion"/>
  </si>
  <si>
    <t>北京金能世纪科技有限公司</t>
    <phoneticPr fontId="4" type="noConversion"/>
  </si>
  <si>
    <t>Lydia</t>
    <phoneticPr fontId="1" type="noConversion"/>
  </si>
  <si>
    <t>Shine</t>
    <phoneticPr fontId="4" type="noConversion"/>
  </si>
  <si>
    <t xml:space="preserve">正大能源材料（大连）有限公司 </t>
    <phoneticPr fontId="4" type="noConversion"/>
  </si>
  <si>
    <t>前视红外热像系统贸易（上海）有限公司</t>
    <phoneticPr fontId="4" type="noConversion"/>
  </si>
  <si>
    <t>Eleven</t>
  </si>
  <si>
    <t>MODIANO.AS</t>
  </si>
  <si>
    <t>CIPF13</t>
  </si>
  <si>
    <t>Sunny</t>
  </si>
  <si>
    <t>PETROMIN</t>
  </si>
  <si>
    <t>SCHOELLER</t>
  </si>
  <si>
    <t>CG13</t>
  </si>
  <si>
    <t>Lolita</t>
  </si>
  <si>
    <t>J.P. morgan</t>
  </si>
  <si>
    <t>OSV13</t>
  </si>
  <si>
    <t>M3 Marine</t>
  </si>
  <si>
    <t>Cindy</t>
  </si>
  <si>
    <t>JBS</t>
  </si>
  <si>
    <t>Mona</t>
  </si>
  <si>
    <t>Sally</t>
  </si>
  <si>
    <t>Oando poner&amp;gas</t>
  </si>
  <si>
    <t>LMCO</t>
    <phoneticPr fontId="4" type="noConversion"/>
  </si>
  <si>
    <t>江苏省洋口港经济开发区管理委员会</t>
    <phoneticPr fontId="4" type="noConversion"/>
  </si>
  <si>
    <t>山东润峰集团新能源科技有限公司</t>
    <phoneticPr fontId="4" type="noConversion"/>
  </si>
  <si>
    <t>Eleven</t>
    <phoneticPr fontId="1" type="noConversion"/>
  </si>
  <si>
    <t>Jodie</t>
    <phoneticPr fontId="4" type="noConversion"/>
  </si>
  <si>
    <t>阿奎特（广州）水处理有限公司</t>
    <phoneticPr fontId="4" type="noConversion"/>
  </si>
  <si>
    <t>烟台万华聚氨酯股份有限公司</t>
    <phoneticPr fontId="4" type="noConversion"/>
  </si>
  <si>
    <t>Deborah</t>
    <phoneticPr fontId="4" type="noConversion"/>
  </si>
  <si>
    <t>广东大鹏液化天然气有限公司</t>
    <phoneticPr fontId="4" type="noConversion"/>
  </si>
  <si>
    <t xml:space="preserve">深圳市科陆电子科技股份有限公司 </t>
    <phoneticPr fontId="4" type="noConversion"/>
  </si>
  <si>
    <t>天津南港工业区</t>
    <phoneticPr fontId="4" type="noConversion"/>
  </si>
  <si>
    <t>伊士曼（上海）化工商业有限公司</t>
    <phoneticPr fontId="4" type="noConversion"/>
  </si>
  <si>
    <t>Skiven</t>
    <phoneticPr fontId="4" type="noConversion"/>
  </si>
  <si>
    <t>江阴华新钢缆有限公司</t>
    <phoneticPr fontId="4" type="noConversion"/>
  </si>
  <si>
    <t>BIS13</t>
    <phoneticPr fontId="4" type="noConversion"/>
  </si>
  <si>
    <t>PT MITRA ENERGI</t>
    <phoneticPr fontId="4" type="noConversion"/>
  </si>
  <si>
    <t>1001国外销售收入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</si>
  <si>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</si>
  <si>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方正阀门集团有限公司</t>
    <phoneticPr fontId="4" type="noConversion"/>
  </si>
  <si>
    <t>GAS13</t>
    <phoneticPr fontId="4" type="noConversion"/>
  </si>
  <si>
    <t>北京四方继保自动化股份有限公司</t>
    <phoneticPr fontId="4" type="noConversion"/>
  </si>
  <si>
    <t>CESF13</t>
    <phoneticPr fontId="4" type="noConversion"/>
  </si>
  <si>
    <t>Cathery</t>
    <phoneticPr fontId="4" type="noConversion"/>
  </si>
  <si>
    <t>浩盾通风设备（上海）有限公司</t>
    <phoneticPr fontId="4" type="noConversion"/>
  </si>
  <si>
    <t>Tim</t>
    <phoneticPr fontId="4" type="noConversion"/>
  </si>
  <si>
    <t>阳光电源股份有限公司</t>
    <phoneticPr fontId="4" type="noConversion"/>
  </si>
  <si>
    <t>江苏峰谷源储能技术研究院有限公司</t>
    <phoneticPr fontId="4" type="noConversion"/>
  </si>
  <si>
    <t>厦门航空工业有限公司</t>
    <phoneticPr fontId="4" type="noConversion"/>
  </si>
  <si>
    <t>CAF13</t>
    <phoneticPr fontId="4" type="noConversion"/>
  </si>
  <si>
    <t>储能科学与技术（郗向丽）</t>
    <phoneticPr fontId="4" type="noConversion"/>
  </si>
  <si>
    <t>比克国际(天津)有限公司</t>
    <phoneticPr fontId="4" type="noConversion"/>
  </si>
  <si>
    <t>深圳蓝波幕墙及光伏工程有限公司</t>
    <phoneticPr fontId="4" type="noConversion"/>
  </si>
  <si>
    <t>Jacky</t>
    <phoneticPr fontId="4" type="noConversion"/>
  </si>
  <si>
    <t>江苏海四达电源股份有限公司</t>
    <phoneticPr fontId="4" type="noConversion"/>
  </si>
  <si>
    <t xml:space="preserve">太仓蔻德冷链运输有限公司 </t>
    <phoneticPr fontId="4" type="noConversion"/>
  </si>
  <si>
    <t>Lvy</t>
    <phoneticPr fontId="4" type="noConversion"/>
  </si>
  <si>
    <t>山西交科公路勘察设计院</t>
    <phoneticPr fontId="4" type="noConversion"/>
  </si>
  <si>
    <t>Jimmy</t>
    <phoneticPr fontId="4" type="noConversion"/>
  </si>
  <si>
    <t>PERCEPTION RESEARCH</t>
    <phoneticPr fontId="4" type="noConversion"/>
  </si>
  <si>
    <t>Charling</t>
    <phoneticPr fontId="4" type="noConversion"/>
  </si>
  <si>
    <t>Wesizwe platinum ltd</t>
    <phoneticPr fontId="4" type="noConversion"/>
  </si>
  <si>
    <t>MINING13</t>
    <phoneticPr fontId="4" type="noConversion"/>
  </si>
  <si>
    <t>Cheney</t>
    <phoneticPr fontId="4" type="noConversion"/>
  </si>
  <si>
    <t>PPG</t>
    <phoneticPr fontId="4" type="noConversion"/>
  </si>
  <si>
    <t>ACIS13</t>
    <phoneticPr fontId="4" type="noConversion"/>
  </si>
  <si>
    <t>3月合计</t>
    <phoneticPr fontId="1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</si>
  <si>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</si>
  <si>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Tim</t>
    <phoneticPr fontId="4" type="noConversion"/>
  </si>
  <si>
    <t>博世（中国）投资有限公司</t>
    <phoneticPr fontId="4" type="noConversion"/>
  </si>
  <si>
    <t>CESF13</t>
    <phoneticPr fontId="4" type="noConversion"/>
  </si>
  <si>
    <t>CIRE13</t>
    <phoneticPr fontId="4" type="noConversion"/>
  </si>
  <si>
    <t>6.27</t>
    <phoneticPr fontId="1" type="noConversion"/>
  </si>
  <si>
    <t>1003convention项目收入</t>
    <phoneticPr fontId="4" type="noConversion"/>
  </si>
  <si>
    <t>Delegate/3个</t>
    <phoneticPr fontId="1" type="noConversion"/>
  </si>
  <si>
    <t>与之前3800为一个Delegate</t>
    <phoneticPr fontId="1" type="noConversion"/>
  </si>
  <si>
    <t>Jack</t>
    <phoneticPr fontId="4" type="noConversion"/>
  </si>
  <si>
    <t>宏华海洋油气装备(江苏)有限公司</t>
    <phoneticPr fontId="4" type="noConversion"/>
  </si>
  <si>
    <t>兆泰石油能源投资有限公</t>
    <phoneticPr fontId="4" type="noConversion"/>
  </si>
  <si>
    <t xml:space="preserve">大连融科储能技术发展有限公司 </t>
    <phoneticPr fontId="4" type="noConversion"/>
  </si>
  <si>
    <t>西安博通国际软件有限公司</t>
    <phoneticPr fontId="4" type="noConversion"/>
  </si>
  <si>
    <t>期刊</t>
    <phoneticPr fontId="4" type="noConversion"/>
  </si>
  <si>
    <t>北京市地质勘察技术</t>
    <phoneticPr fontId="4" type="noConversion"/>
  </si>
  <si>
    <t>北京艾亿新融资本管理有限公司</t>
    <phoneticPr fontId="4" type="noConversion"/>
  </si>
  <si>
    <t>1001国外销售收入</t>
    <phoneticPr fontId="4" type="noConversion"/>
  </si>
  <si>
    <t>Daphne</t>
    <phoneticPr fontId="4" type="noConversion"/>
  </si>
  <si>
    <t>Interpolymer</t>
    <phoneticPr fontId="4" type="noConversion"/>
  </si>
  <si>
    <t>ACIS13</t>
    <phoneticPr fontId="4" type="noConversion"/>
  </si>
  <si>
    <t>Johnson</t>
    <phoneticPr fontId="4" type="noConversion"/>
  </si>
  <si>
    <t>Pira ENERGY</t>
    <phoneticPr fontId="4" type="noConversion"/>
  </si>
  <si>
    <t>GAS13</t>
    <phoneticPr fontId="4" type="noConversion"/>
  </si>
  <si>
    <t>Gabriel</t>
    <phoneticPr fontId="4" type="noConversion"/>
  </si>
  <si>
    <t>BIC</t>
    <phoneticPr fontId="4" type="noConversion"/>
  </si>
  <si>
    <t>CG13</t>
    <phoneticPr fontId="4" type="noConversion"/>
  </si>
  <si>
    <t>销售代理</t>
    <phoneticPr fontId="4" type="noConversion"/>
  </si>
  <si>
    <t xml:space="preserve">成都市大通路桥机械有限公司 </t>
    <phoneticPr fontId="4" type="noConversion"/>
  </si>
  <si>
    <t>Tim</t>
    <phoneticPr fontId="4" type="noConversion"/>
  </si>
  <si>
    <t>山东华天电气有限公司</t>
    <phoneticPr fontId="4" type="noConversion"/>
  </si>
  <si>
    <t>Jacky</t>
    <phoneticPr fontId="4" type="noConversion"/>
  </si>
  <si>
    <t>北京索英电气技术有限公司</t>
    <phoneticPr fontId="4" type="noConversion"/>
  </si>
  <si>
    <t>Delegate/5个</t>
    <phoneticPr fontId="1" type="noConversion"/>
  </si>
  <si>
    <t>MEMC</t>
    <phoneticPr fontId="4" type="noConversion"/>
  </si>
  <si>
    <t>玫琳凯</t>
    <phoneticPr fontId="4" type="noConversion"/>
  </si>
  <si>
    <t>Carl</t>
    <phoneticPr fontId="4" type="noConversion"/>
  </si>
  <si>
    <t>中国石油集团长城钻探工程有限公司工程技术研究院</t>
    <phoneticPr fontId="4" type="noConversion"/>
  </si>
  <si>
    <t>中国石油集团长城钻探工程有限公司地质研究院</t>
    <phoneticPr fontId="4" type="noConversion"/>
  </si>
  <si>
    <t>庞贝捷涂料(昆山)有限公司</t>
    <phoneticPr fontId="4" type="noConversion"/>
  </si>
  <si>
    <t>普华永道管理咨询（上海）有限公司</t>
    <phoneticPr fontId="4" type="noConversion"/>
  </si>
  <si>
    <t>山东默锐科技有限公司</t>
    <phoneticPr fontId="4" type="noConversion"/>
  </si>
  <si>
    <t xml:space="preserve">上海华润大东船务工程有限公司 </t>
    <phoneticPr fontId="4" type="noConversion"/>
  </si>
  <si>
    <t>荆门市恒生源电子科技有限公司</t>
    <phoneticPr fontId="4" type="noConversion"/>
  </si>
  <si>
    <t>北京海博思创科技有限公司</t>
    <phoneticPr fontId="4" type="noConversion"/>
  </si>
  <si>
    <t>住亚贸易(深圳)有限公司上海分公司</t>
    <phoneticPr fontId="4" type="noConversion"/>
  </si>
  <si>
    <t>深圳科士达新能源有限公司</t>
    <phoneticPr fontId="4" type="noConversion"/>
  </si>
  <si>
    <t>Arvin</t>
    <phoneticPr fontId="4" type="noConversion"/>
  </si>
  <si>
    <t>中国国际金融有限公司</t>
    <phoneticPr fontId="4" type="noConversion"/>
  </si>
  <si>
    <t>MINING13</t>
    <phoneticPr fontId="4" type="noConversion"/>
  </si>
  <si>
    <t>OMZ-SPECIAL STEE</t>
    <phoneticPr fontId="4" type="noConversion"/>
  </si>
  <si>
    <t>上海文亮文化传播有限公司</t>
    <phoneticPr fontId="4" type="noConversion"/>
  </si>
  <si>
    <t>期刊</t>
    <phoneticPr fontId="4" type="noConversion"/>
  </si>
  <si>
    <t>Margaret</t>
    <phoneticPr fontId="4" type="noConversion"/>
  </si>
  <si>
    <t>RADWIN LTD.</t>
    <phoneticPr fontId="4" type="noConversion"/>
  </si>
  <si>
    <t>MW13</t>
    <phoneticPr fontId="4" type="noConversion"/>
  </si>
  <si>
    <t>中科恒源科技股份有限公司</t>
    <phoneticPr fontId="4" type="noConversion"/>
  </si>
  <si>
    <t>Carrie</t>
    <phoneticPr fontId="4" type="noConversion"/>
  </si>
  <si>
    <t>浙江久立特材科技股份有限公司</t>
    <phoneticPr fontId="4" type="noConversion"/>
  </si>
  <si>
    <t>CNEC13</t>
    <phoneticPr fontId="4" type="noConversion"/>
  </si>
  <si>
    <t>山东默锐工程有限公司</t>
    <phoneticPr fontId="4" type="noConversion"/>
  </si>
  <si>
    <t>国电光伏（江苏）有限公司</t>
    <phoneticPr fontId="4" type="noConversion"/>
  </si>
  <si>
    <t>浙江中控技术股份有限公司</t>
    <phoneticPr fontId="4" type="noConversion"/>
  </si>
  <si>
    <t>鲁西化工集团股份有限公司</t>
    <phoneticPr fontId="4" type="noConversion"/>
  </si>
  <si>
    <t>惠生工程（中国）有限公司（杨继海）</t>
    <phoneticPr fontId="4" type="noConversion"/>
  </si>
  <si>
    <t>Eleven</t>
    <phoneticPr fontId="4" type="noConversion"/>
  </si>
  <si>
    <t>成都新兴汽车城开发投资有限公司</t>
    <phoneticPr fontId="4" type="noConversion"/>
  </si>
  <si>
    <t>阿克苏诺贝尔防护涂料（苏州）有限公司</t>
    <phoneticPr fontId="4" type="noConversion"/>
  </si>
  <si>
    <t>Lvy</t>
    <phoneticPr fontId="4" type="noConversion"/>
  </si>
  <si>
    <t>山西交科桥梁隧道加固维护工程有限公司（宋萍）</t>
    <phoneticPr fontId="4" type="noConversion"/>
  </si>
  <si>
    <t>深圳市豪鹏科技有限公司</t>
    <phoneticPr fontId="4" type="noConversion"/>
  </si>
  <si>
    <t>石家庄通合电子科技股份有限公司</t>
    <phoneticPr fontId="4" type="noConversion"/>
  </si>
  <si>
    <t>Tim</t>
    <phoneticPr fontId="4" type="noConversion"/>
  </si>
  <si>
    <t>深圳市金润能源材料有限公司</t>
    <phoneticPr fontId="4" type="noConversion"/>
  </si>
  <si>
    <t>霍尼韦尔安防（中国）有限公司上海分公司</t>
    <phoneticPr fontId="4" type="noConversion"/>
  </si>
  <si>
    <t>武汉海润工程设备有限公司</t>
    <phoneticPr fontId="4" type="noConversion"/>
  </si>
  <si>
    <t>蒂森克虏伯机场系统(中山)有限公司</t>
    <phoneticPr fontId="4" type="noConversion"/>
  </si>
  <si>
    <t>浙江网新富士科技有限公司</t>
    <phoneticPr fontId="4" type="noConversion"/>
  </si>
  <si>
    <t>Margaret</t>
  </si>
  <si>
    <t>RADWIN LTD</t>
  </si>
  <si>
    <t>MW13</t>
  </si>
  <si>
    <t>Carl</t>
    <phoneticPr fontId="4" type="noConversion"/>
  </si>
  <si>
    <t>中国石油集团长城钻探工程有限公司工程技术研究院</t>
    <phoneticPr fontId="4" type="noConversion"/>
  </si>
  <si>
    <t>Jessie</t>
    <phoneticPr fontId="4" type="noConversion"/>
  </si>
  <si>
    <t>Carrizo Oil and Gas</t>
    <phoneticPr fontId="4" type="noConversion"/>
  </si>
  <si>
    <t>Yitran</t>
    <phoneticPr fontId="4" type="noConversion"/>
  </si>
  <si>
    <t>Shine</t>
  </si>
  <si>
    <t>辽宁省营口市招商局（秦子涵）</t>
  </si>
  <si>
    <t>Shine</t>
    <phoneticPr fontId="4" type="noConversion"/>
  </si>
  <si>
    <t>宁波大榭开发区财政国库收付中心财政零余额帐户</t>
    <phoneticPr fontId="4" type="noConversion"/>
  </si>
  <si>
    <t>上海惟迩茨新能源投资有限公司</t>
    <phoneticPr fontId="4" type="noConversion"/>
  </si>
  <si>
    <t>GREENS COMBUSTIO</t>
    <phoneticPr fontId="4" type="noConversion"/>
  </si>
  <si>
    <t>ASIA CENTRE</t>
    <phoneticPr fontId="4" type="noConversion"/>
  </si>
  <si>
    <t>Cici</t>
    <phoneticPr fontId="4" type="noConversion"/>
  </si>
  <si>
    <t>深圳市盛义能源有限公司</t>
    <phoneticPr fontId="4" type="noConversion"/>
  </si>
  <si>
    <t>空中客车</t>
    <phoneticPr fontId="4" type="noConversion"/>
  </si>
  <si>
    <t>CAF13</t>
    <phoneticPr fontId="4" type="noConversion"/>
  </si>
  <si>
    <t>CARRIIO</t>
    <phoneticPr fontId="4" type="noConversion"/>
  </si>
  <si>
    <t>1001国外销售收入</t>
    <phoneticPr fontId="4" type="noConversion"/>
  </si>
  <si>
    <t>Cathery</t>
    <phoneticPr fontId="4" type="noConversion"/>
  </si>
  <si>
    <t>JASPER DRILLING</t>
    <phoneticPr fontId="4" type="noConversion"/>
  </si>
  <si>
    <t>DC13</t>
    <phoneticPr fontId="4" type="noConversion"/>
  </si>
  <si>
    <t>Cathery</t>
    <phoneticPr fontId="4" type="noConversion"/>
  </si>
  <si>
    <t>WELLSTREAM INTER</t>
    <phoneticPr fontId="4" type="noConversion"/>
  </si>
  <si>
    <t>DC13</t>
    <phoneticPr fontId="4" type="noConversion"/>
  </si>
  <si>
    <t>深圳市艾博尔新能源有限公司</t>
    <phoneticPr fontId="4" type="noConversion"/>
  </si>
  <si>
    <t>上海正泰电源系统有限公司</t>
    <phoneticPr fontId="4" type="noConversion"/>
  </si>
  <si>
    <t>Rilly</t>
    <phoneticPr fontId="4" type="noConversion"/>
  </si>
  <si>
    <t xml:space="preserve">中钢集团鞍山热能研究院有限公司 </t>
    <phoneticPr fontId="4" type="noConversion"/>
  </si>
  <si>
    <t>新业务资金回款表（RMB）</t>
    <phoneticPr fontId="4" type="noConversion"/>
  </si>
  <si>
    <t>序号</t>
    <phoneticPr fontId="4" type="noConversion"/>
  </si>
  <si>
    <t>第1月</t>
    <phoneticPr fontId="4" type="noConversion"/>
  </si>
  <si>
    <t>期刊13</t>
    <phoneticPr fontId="4" type="noConversion"/>
  </si>
  <si>
    <t>Convention项目合计</t>
    <phoneticPr fontId="1" type="noConversion"/>
  </si>
  <si>
    <t>MW13（城市轨道）</t>
    <phoneticPr fontId="4" type="noConversion"/>
  </si>
  <si>
    <t>青岛分公司项目合计</t>
    <phoneticPr fontId="1" type="noConversion"/>
  </si>
  <si>
    <t>总计</t>
    <phoneticPr fontId="4" type="noConversion"/>
  </si>
  <si>
    <t>山东山大华天科技股份有限公司</t>
    <phoneticPr fontId="4" type="noConversion"/>
  </si>
  <si>
    <t>TradeTech</t>
    <phoneticPr fontId="4" type="noConversion"/>
  </si>
  <si>
    <t>科聚亚（上海）贸易有限公司</t>
    <phoneticPr fontId="4" type="noConversion"/>
  </si>
  <si>
    <t>广东电网公司电力科学</t>
    <phoneticPr fontId="4" type="noConversion"/>
  </si>
  <si>
    <t>江苏华富储能新技术股份有限公司</t>
    <phoneticPr fontId="4" type="noConversion"/>
  </si>
  <si>
    <t>Cici</t>
    <phoneticPr fontId="4" type="noConversion"/>
  </si>
  <si>
    <t>深圳华粤宝电池有限公司</t>
    <phoneticPr fontId="4" type="noConversion"/>
  </si>
  <si>
    <t xml:space="preserve">深圳市山木电池科技有限公司 </t>
    <phoneticPr fontId="4" type="noConversion"/>
  </si>
  <si>
    <t>北京海特远舟新能源科技有限公司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</si>
  <si>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</si>
  <si>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Lydia</t>
    <phoneticPr fontId="4" type="noConversion"/>
  </si>
  <si>
    <t>中国科学院广州能源研究所</t>
    <phoneticPr fontId="4" type="noConversion"/>
  </si>
  <si>
    <t>CESF13</t>
    <phoneticPr fontId="4" type="noConversion"/>
  </si>
  <si>
    <t>国电南京自动化股份有限公司</t>
    <phoneticPr fontId="4" type="noConversion"/>
  </si>
  <si>
    <t>David</t>
    <phoneticPr fontId="4" type="noConversion"/>
  </si>
  <si>
    <t xml:space="preserve">TROJAN BATTERY </t>
    <phoneticPr fontId="4" type="noConversion"/>
  </si>
  <si>
    <t>CESF13</t>
    <phoneticPr fontId="4" type="noConversion"/>
  </si>
  <si>
    <t xml:space="preserve">LLC IRKUTSK </t>
    <phoneticPr fontId="4" type="noConversion"/>
  </si>
  <si>
    <t>Cathery</t>
    <phoneticPr fontId="4" type="noConversion"/>
  </si>
  <si>
    <t>KHAZAR EXPLORATION &amp; PRODUCTION Co.,Ltd</t>
    <phoneticPr fontId="4" type="noConversion"/>
  </si>
  <si>
    <t>Gabriel</t>
    <phoneticPr fontId="4" type="noConversion"/>
  </si>
  <si>
    <t>迈茂睿管理咨询（上海）有限公司</t>
    <phoneticPr fontId="4" type="noConversion"/>
  </si>
  <si>
    <t>1001国外销售收入</t>
    <phoneticPr fontId="4" type="noConversion"/>
  </si>
  <si>
    <t>Admas</t>
    <phoneticPr fontId="4" type="noConversion"/>
  </si>
  <si>
    <t>FB13</t>
    <phoneticPr fontId="4" type="noConversion"/>
  </si>
  <si>
    <t>Shine</t>
    <phoneticPr fontId="4" type="noConversion"/>
  </si>
  <si>
    <t>东营市海科瑞林化工有限公司</t>
    <phoneticPr fontId="4" type="noConversion"/>
  </si>
  <si>
    <t>CPF13</t>
    <phoneticPr fontId="4" type="noConversion"/>
  </si>
  <si>
    <t>1003convention项目收入</t>
    <phoneticPr fontId="4" type="noConversion"/>
  </si>
  <si>
    <t>Mario</t>
    <phoneticPr fontId="4" type="noConversion"/>
  </si>
  <si>
    <t>武汉金融编辑部</t>
    <phoneticPr fontId="4" type="noConversion"/>
  </si>
  <si>
    <t>期刊</t>
    <phoneticPr fontId="4" type="noConversion"/>
  </si>
  <si>
    <t>Mario</t>
    <phoneticPr fontId="1" type="noConversion"/>
  </si>
  <si>
    <t>Sally</t>
    <phoneticPr fontId="4" type="noConversion"/>
  </si>
  <si>
    <t>Oando gas &amp; power</t>
    <phoneticPr fontId="4" type="noConversion"/>
  </si>
  <si>
    <t>深圳国创新能源</t>
    <phoneticPr fontId="4" type="noConversion"/>
  </si>
  <si>
    <t>Skiven</t>
    <phoneticPr fontId="4" type="noConversion"/>
  </si>
  <si>
    <t>建信金融租赁股份有限公司</t>
    <phoneticPr fontId="4" type="noConversion"/>
  </si>
  <si>
    <t>Richard</t>
    <phoneticPr fontId="4" type="noConversion"/>
  </si>
  <si>
    <t>山东润峰集团新能源科技有限公司</t>
    <phoneticPr fontId="4" type="noConversion"/>
  </si>
  <si>
    <t xml:space="preserve">美国国际铜专业协会上海代表处 </t>
    <phoneticPr fontId="4" type="noConversion"/>
  </si>
  <si>
    <t>比欧西（中国）投资有限公司</t>
    <phoneticPr fontId="4" type="noConversion"/>
  </si>
  <si>
    <t>Calvin</t>
    <phoneticPr fontId="4" type="noConversion"/>
  </si>
  <si>
    <t>乔达国际货运（上海）有限公司</t>
    <phoneticPr fontId="4" type="noConversion"/>
  </si>
  <si>
    <t>高美测仪（天津）科技有限公司</t>
    <phoneticPr fontId="4" type="noConversion"/>
  </si>
  <si>
    <t>Augus</t>
    <phoneticPr fontId="4" type="noConversion"/>
  </si>
  <si>
    <t>上海久虎网络科技有限公司</t>
    <phoneticPr fontId="4" type="noConversion"/>
  </si>
  <si>
    <t>期刊</t>
    <phoneticPr fontId="4" type="noConversion"/>
  </si>
  <si>
    <t>浙江明日石化有限公司</t>
    <phoneticPr fontId="4" type="noConversion"/>
  </si>
  <si>
    <t>Cici</t>
    <phoneticPr fontId="4" type="noConversion"/>
  </si>
  <si>
    <t>苏州大学中国储能电站</t>
    <phoneticPr fontId="4" type="noConversion"/>
  </si>
  <si>
    <t>Harris</t>
    <phoneticPr fontId="4" type="noConversion"/>
  </si>
  <si>
    <t>青岛武船麦克德莫特海洋工程有限公司</t>
    <phoneticPr fontId="4" type="noConversion"/>
  </si>
  <si>
    <t>Dylan</t>
    <phoneticPr fontId="4" type="noConversion"/>
  </si>
  <si>
    <t>Lvy</t>
    <phoneticPr fontId="4" type="noConversion"/>
  </si>
  <si>
    <t>神华集团北京低碳清洁能源研究所</t>
    <phoneticPr fontId="4" type="noConversion"/>
  </si>
  <si>
    <t>山西省交通科学研究院</t>
    <phoneticPr fontId="4" type="noConversion"/>
  </si>
  <si>
    <t>Dylan</t>
    <phoneticPr fontId="1" type="noConversion"/>
  </si>
  <si>
    <t>比西斯（上海）国际贸易有限公司</t>
    <phoneticPr fontId="4" type="noConversion"/>
  </si>
  <si>
    <t>Celia</t>
    <phoneticPr fontId="1" type="noConversion"/>
  </si>
  <si>
    <t>CN BOSCH (CHINA) INVESTMENT LTD.</t>
    <phoneticPr fontId="1" type="noConversion"/>
  </si>
  <si>
    <t>ISG13</t>
    <phoneticPr fontId="1" type="noConversion"/>
  </si>
  <si>
    <t>Cici</t>
    <phoneticPr fontId="4" type="noConversion"/>
  </si>
  <si>
    <t>浙江海康集团有限公司</t>
    <phoneticPr fontId="4" type="noConversion"/>
  </si>
  <si>
    <t>CESF13</t>
    <phoneticPr fontId="4" type="noConversion"/>
  </si>
  <si>
    <t>Lucy</t>
    <phoneticPr fontId="4" type="noConversion"/>
  </si>
  <si>
    <t>中国寰球工程公司</t>
    <phoneticPr fontId="4" type="noConversion"/>
  </si>
  <si>
    <t>深圳先进储能材料国家工程研究中心有限公司</t>
    <phoneticPr fontId="4" type="noConversion"/>
  </si>
  <si>
    <t>上海电气集团股份有限公司</t>
    <phoneticPr fontId="4" type="noConversion"/>
  </si>
  <si>
    <t>sindh engro coal mining company</t>
    <phoneticPr fontId="4" type="noConversion"/>
  </si>
  <si>
    <t>MORRISON &amp; CO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</si>
  <si>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</si>
  <si>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Cici</t>
    <phoneticPr fontId="4" type="noConversion"/>
  </si>
  <si>
    <t>惠州市亿能电子有限公司</t>
    <phoneticPr fontId="4" type="noConversion"/>
  </si>
  <si>
    <t>CESF13</t>
    <phoneticPr fontId="4" type="noConversion"/>
  </si>
  <si>
    <t>Cindy</t>
    <phoneticPr fontId="4" type="noConversion"/>
  </si>
  <si>
    <t>福斯(上海)流体设备有限公司</t>
    <phoneticPr fontId="4" type="noConversion"/>
  </si>
  <si>
    <t>福斯(上海)流体设备有限公司北京分公司</t>
    <phoneticPr fontId="4" type="noConversion"/>
  </si>
  <si>
    <t>Lucy</t>
    <phoneticPr fontId="4" type="noConversion"/>
  </si>
  <si>
    <t>上海中远资金计划部</t>
    <phoneticPr fontId="4" type="noConversion"/>
  </si>
  <si>
    <t>Winds</t>
    <phoneticPr fontId="4" type="noConversion"/>
  </si>
  <si>
    <t>Blue</t>
    <phoneticPr fontId="4" type="noConversion"/>
  </si>
  <si>
    <t>上海华谊集团公司</t>
    <phoneticPr fontId="4" type="noConversion"/>
  </si>
  <si>
    <t>江苏沪宁钢机股份有限公司</t>
    <phoneticPr fontId="4" type="noConversion"/>
  </si>
  <si>
    <t>唐山曹妃甸工业区石化产业园区建设指挥部</t>
    <phoneticPr fontId="4" type="noConversion"/>
  </si>
  <si>
    <t>Sterlite technologies limited</t>
    <phoneticPr fontId="4" type="noConversion"/>
  </si>
  <si>
    <t>SESE india</t>
    <phoneticPr fontId="4" type="noConversion"/>
  </si>
  <si>
    <t>PEMEX</t>
    <phoneticPr fontId="4" type="noConversion"/>
  </si>
  <si>
    <t>巴斯夫（中国）有限公司</t>
    <phoneticPr fontId="4" type="noConversion"/>
  </si>
  <si>
    <t>中外运化工国际物流有限公司</t>
    <phoneticPr fontId="4" type="noConversion"/>
  </si>
  <si>
    <t>山东鲁能智能技术有限公司</t>
    <phoneticPr fontId="4" type="noConversion"/>
  </si>
  <si>
    <t>北京丰胤祥运输有限公司</t>
    <phoneticPr fontId="4" type="noConversion"/>
  </si>
  <si>
    <t>Jacky</t>
    <phoneticPr fontId="4" type="noConversion"/>
  </si>
  <si>
    <t>帅福得（珠海保税区）电池有限公司</t>
    <phoneticPr fontId="4" type="noConversion"/>
  </si>
  <si>
    <t>Jack</t>
    <phoneticPr fontId="4" type="noConversion"/>
  </si>
  <si>
    <t>江苏太平洋造船集团股份有限公司上海分公司</t>
    <phoneticPr fontId="4" type="noConversion"/>
  </si>
  <si>
    <t>烟台万华聚氨酯股份有限公司</t>
    <phoneticPr fontId="4" type="noConversion"/>
  </si>
  <si>
    <t>广东电网公司电力科学研究院</t>
    <phoneticPr fontId="4" type="noConversion"/>
  </si>
  <si>
    <r>
      <t>D</t>
    </r>
    <r>
      <rPr>
        <sz val="10"/>
        <rFont val="宋体"/>
        <family val="3"/>
        <charset val="134"/>
      </rPr>
      <t>esmond</t>
    </r>
    <phoneticPr fontId="4" type="noConversion"/>
  </si>
  <si>
    <t>通用电气照明有限公司</t>
    <phoneticPr fontId="4" type="noConversion"/>
  </si>
  <si>
    <t>Serena</t>
    <phoneticPr fontId="4" type="noConversion"/>
  </si>
  <si>
    <t>新加坡立杰律师事务所</t>
    <phoneticPr fontId="4" type="noConversion"/>
  </si>
  <si>
    <t>Serena</t>
    <phoneticPr fontId="1" type="noConversion"/>
  </si>
  <si>
    <t>1002国内销售收入</t>
    <phoneticPr fontId="4" type="noConversion"/>
  </si>
  <si>
    <t>Shine</t>
    <phoneticPr fontId="4" type="noConversion"/>
  </si>
  <si>
    <t>Cici</t>
    <phoneticPr fontId="4" type="noConversion"/>
  </si>
  <si>
    <t>力神迈尔斯动力电池系统有限公司</t>
    <phoneticPr fontId="4" type="noConversion"/>
  </si>
  <si>
    <t>Lydia</t>
    <phoneticPr fontId="4" type="noConversion"/>
  </si>
  <si>
    <t>广东电网公司电力科学研究院</t>
    <phoneticPr fontId="4" type="noConversion"/>
  </si>
  <si>
    <t>Deborah</t>
    <phoneticPr fontId="4" type="noConversion"/>
  </si>
  <si>
    <t>宁夏哈纳斯液化天然气有限公司</t>
    <phoneticPr fontId="4" type="noConversion"/>
  </si>
  <si>
    <t>北京普能世纪科技有限公司</t>
    <phoneticPr fontId="4" type="noConversion"/>
  </si>
  <si>
    <t xml:space="preserve">中茂电子（深圳）有限公司 </t>
    <phoneticPr fontId="4" type="noConversion"/>
  </si>
  <si>
    <t>Tony</t>
    <phoneticPr fontId="4" type="noConversion"/>
  </si>
  <si>
    <t>北京市市政工程管理处有限公司四处</t>
    <phoneticPr fontId="4" type="noConversion"/>
  </si>
  <si>
    <t>Zoe</t>
    <phoneticPr fontId="4" type="noConversion"/>
  </si>
  <si>
    <t xml:space="preserve">PROJEK LEBUHRAYA </t>
    <phoneticPr fontId="4" type="noConversion"/>
  </si>
  <si>
    <t>BIS13</t>
    <phoneticPr fontId="4" type="noConversion"/>
  </si>
  <si>
    <t>1002国内销售收入</t>
    <phoneticPr fontId="4" type="noConversion"/>
  </si>
  <si>
    <r>
      <t>C</t>
    </r>
    <r>
      <rPr>
        <sz val="10"/>
        <rFont val="宋体"/>
        <family val="3"/>
        <charset val="134"/>
      </rPr>
      <t>arl</t>
    </r>
    <phoneticPr fontId="4" type="noConversion"/>
  </si>
  <si>
    <t>中海油能源发展股份有限公司钻采工程研究院</t>
    <phoneticPr fontId="4" type="noConversion"/>
  </si>
  <si>
    <t>UHS13</t>
    <phoneticPr fontId="4" type="noConversion"/>
  </si>
  <si>
    <t>Tony</t>
    <phoneticPr fontId="1" type="noConversion"/>
  </si>
  <si>
    <t>PETROLIAM NASION</t>
    <phoneticPr fontId="4" type="noConversion"/>
  </si>
  <si>
    <t>Winds</t>
    <phoneticPr fontId="4" type="noConversion"/>
  </si>
  <si>
    <t>Vincent</t>
    <phoneticPr fontId="4" type="noConversion"/>
  </si>
  <si>
    <t>中山大学</t>
    <phoneticPr fontId="4" type="noConversion"/>
  </si>
  <si>
    <t>扬子石化－巴斯夫有限责任公司</t>
    <phoneticPr fontId="4" type="noConversion"/>
  </si>
  <si>
    <t>连云港高新技术产业开发区管委会</t>
    <phoneticPr fontId="4" type="noConversion"/>
  </si>
  <si>
    <t>荷兰赫斯特公司北京代表处</t>
    <phoneticPr fontId="4" type="noConversion"/>
  </si>
  <si>
    <t>大连长兴岛</t>
    <phoneticPr fontId="4" type="noConversion"/>
  </si>
  <si>
    <t xml:space="preserve">KOH CHAIK MING </t>
    <phoneticPr fontId="4" type="noConversion"/>
  </si>
  <si>
    <t>苏威(上海)有限公司</t>
    <phoneticPr fontId="1" type="noConversion"/>
  </si>
  <si>
    <t xml:space="preserve">HAMILTON FAHO TRADING LIMITED </t>
    <phoneticPr fontId="4" type="noConversion"/>
  </si>
  <si>
    <t>Stone</t>
    <phoneticPr fontId="4" type="noConversion"/>
  </si>
  <si>
    <t>嘉科工程(上海)有限公司</t>
    <phoneticPr fontId="1" type="noConversion"/>
  </si>
  <si>
    <t>雷盛塑料包装（上海）有限公司</t>
    <phoneticPr fontId="4" type="noConversion"/>
  </si>
  <si>
    <t>中航锂电（洛阳）有限公司</t>
    <phoneticPr fontId="4" type="noConversion"/>
  </si>
  <si>
    <t>中国石化化工股份有限公司抚顺石油化工研究院</t>
    <phoneticPr fontId="4" type="noConversion"/>
  </si>
  <si>
    <t>深圳市大族能联新能源科技股份有限公司</t>
    <phoneticPr fontId="4" type="noConversion"/>
  </si>
  <si>
    <t>武汉银泰科技电源股份有限公司</t>
    <phoneticPr fontId="4" type="noConversion"/>
  </si>
  <si>
    <t>深圳巴斯巴科技发展有限公司</t>
    <phoneticPr fontId="4" type="noConversion"/>
  </si>
  <si>
    <t>深圳市比亚迪汽车有限公司</t>
    <phoneticPr fontId="4" type="noConversion"/>
  </si>
  <si>
    <t>江苏欧力特能源科技有限公司</t>
    <phoneticPr fontId="4" type="noConversion"/>
  </si>
  <si>
    <t>英国英诺斯派有限公司广州代表处</t>
    <phoneticPr fontId="4" type="noConversion"/>
  </si>
  <si>
    <t>OPEN JOINT STOCK</t>
    <phoneticPr fontId="4" type="noConversion"/>
  </si>
  <si>
    <t>西布尔国际贸易(上海)有限公司</t>
    <phoneticPr fontId="4" type="noConversion"/>
  </si>
  <si>
    <t xml:space="preserve">西安中交万向科技股份有限公司 </t>
    <phoneticPr fontId="4" type="noConversion"/>
  </si>
  <si>
    <t>中国电力科学研究院南</t>
    <phoneticPr fontId="4" type="noConversion"/>
  </si>
  <si>
    <t>Russia Acadamy</t>
    <phoneticPr fontId="4" type="noConversion"/>
  </si>
  <si>
    <t>Cameco</t>
    <phoneticPr fontId="4" type="noConversion"/>
  </si>
  <si>
    <t xml:space="preserve">CORPRO SYSTEMS </t>
    <phoneticPr fontId="4" type="noConversion"/>
  </si>
  <si>
    <t>Steven</t>
    <phoneticPr fontId="4" type="noConversion"/>
  </si>
  <si>
    <t>IHC Asia Pacific</t>
    <phoneticPr fontId="4" type="noConversion"/>
  </si>
  <si>
    <t>深圳市颂凯设备有限公司</t>
    <phoneticPr fontId="4" type="noConversion"/>
  </si>
  <si>
    <t>阿特金斯顾问（深圳）有限公司上海分公司</t>
    <phoneticPr fontId="4" type="noConversion"/>
  </si>
  <si>
    <t>上海交大</t>
    <phoneticPr fontId="4" type="noConversion"/>
  </si>
  <si>
    <t>威胜集团有限公司</t>
    <phoneticPr fontId="4" type="noConversion"/>
  </si>
  <si>
    <t>金杜田律师</t>
    <phoneticPr fontId="4" type="noConversion"/>
  </si>
  <si>
    <t>Delegate</t>
    <phoneticPr fontId="1" type="noConversion"/>
  </si>
  <si>
    <t>阿特拉斯</t>
    <phoneticPr fontId="4" type="noConversion"/>
  </si>
  <si>
    <t>吉林协合电力工程有限公司北京分公</t>
    <phoneticPr fontId="4" type="noConversion"/>
  </si>
  <si>
    <t xml:space="preserve">北京神州普惠科技股份有限公司 </t>
    <phoneticPr fontId="4" type="noConversion"/>
  </si>
  <si>
    <t>Skiven</t>
    <phoneticPr fontId="4" type="noConversion"/>
  </si>
  <si>
    <t>上海临港经济发展(集团)有限公司</t>
    <phoneticPr fontId="4" type="noConversion"/>
  </si>
  <si>
    <t>Fiona</t>
    <phoneticPr fontId="4" type="noConversion"/>
  </si>
  <si>
    <t>深圳市通产丽星股份有限公司</t>
    <phoneticPr fontId="4" type="noConversion"/>
  </si>
  <si>
    <t>Thyssenkry pp</t>
    <phoneticPr fontId="4" type="noConversion"/>
  </si>
  <si>
    <t>Mike</t>
    <phoneticPr fontId="4" type="noConversion"/>
  </si>
  <si>
    <t>Shell</t>
    <phoneticPr fontId="4" type="noConversion"/>
  </si>
  <si>
    <t>Tekla</t>
    <phoneticPr fontId="4" type="noConversion"/>
  </si>
  <si>
    <t>Harris</t>
    <phoneticPr fontId="4" type="noConversion"/>
  </si>
  <si>
    <t>Celia</t>
    <phoneticPr fontId="4" type="noConversion"/>
  </si>
  <si>
    <t>Sunny</t>
    <phoneticPr fontId="4" type="noConversion"/>
  </si>
  <si>
    <t>terminal astafiev jsc</t>
    <phoneticPr fontId="4" type="noConversion"/>
  </si>
  <si>
    <t>Alex</t>
    <phoneticPr fontId="4" type="noConversion"/>
  </si>
  <si>
    <t>GIE ATR</t>
    <phoneticPr fontId="4" type="noConversion"/>
  </si>
  <si>
    <t>1002国内销售收入</t>
    <phoneticPr fontId="4" type="noConversion"/>
  </si>
  <si>
    <t>Carl</t>
    <phoneticPr fontId="4" type="noConversion"/>
  </si>
  <si>
    <t>中国石油集团长城钻探工程有限公司煤层气开发公司</t>
    <phoneticPr fontId="4" type="noConversion"/>
  </si>
  <si>
    <t>UHS13</t>
    <phoneticPr fontId="4" type="noConversion"/>
  </si>
  <si>
    <t>PNOC</t>
  </si>
  <si>
    <t>1001国外销售收入</t>
    <phoneticPr fontId="1" type="noConversion"/>
  </si>
  <si>
    <t>1001国外销售收入</t>
    <phoneticPr fontId="4" type="noConversion"/>
  </si>
  <si>
    <t>Melody</t>
    <phoneticPr fontId="4" type="noConversion"/>
  </si>
  <si>
    <t>CoppweChem</t>
    <phoneticPr fontId="4" type="noConversion"/>
  </si>
  <si>
    <t>MINING13</t>
    <phoneticPr fontId="4" type="noConversion"/>
  </si>
  <si>
    <t>北京市金杜律师事务所</t>
    <phoneticPr fontId="4" type="noConversion"/>
  </si>
  <si>
    <t>Lvy</t>
    <phoneticPr fontId="4" type="noConversion"/>
  </si>
  <si>
    <t>深圳市市政设计研究院有限公司</t>
    <phoneticPr fontId="4" type="noConversion"/>
  </si>
  <si>
    <t>Turf</t>
    <phoneticPr fontId="4" type="noConversion"/>
  </si>
  <si>
    <t>安瑞科(蚌埠)压缩机有限公司</t>
    <phoneticPr fontId="4" type="noConversion"/>
  </si>
  <si>
    <t>Cici</t>
    <phoneticPr fontId="4" type="noConversion"/>
  </si>
  <si>
    <t>杭州恒生百川科技有限公司</t>
    <phoneticPr fontId="4" type="noConversion"/>
  </si>
  <si>
    <t>CIRE13</t>
    <phoneticPr fontId="4" type="noConversion"/>
  </si>
  <si>
    <t>RHODIA ASIA PACI</t>
    <phoneticPr fontId="4" type="noConversion"/>
  </si>
  <si>
    <t>ACIS13</t>
    <phoneticPr fontId="4" type="noConversion"/>
  </si>
  <si>
    <t>Johnson</t>
    <phoneticPr fontId="4" type="noConversion"/>
  </si>
  <si>
    <t>韩国SKE&amp;S株式会社北京代表处</t>
    <phoneticPr fontId="4" type="noConversion"/>
  </si>
  <si>
    <t>Arvin</t>
    <phoneticPr fontId="4" type="noConversion"/>
  </si>
  <si>
    <t>石家庄安瑞科气体机械有限公司</t>
    <phoneticPr fontId="4" type="noConversion"/>
  </si>
  <si>
    <t>Bruce</t>
    <phoneticPr fontId="4" type="noConversion"/>
  </si>
  <si>
    <t>深圳科技工业园（集团）有限公司</t>
    <phoneticPr fontId="4" type="noConversion"/>
  </si>
  <si>
    <t>CIRE13</t>
    <phoneticPr fontId="4" type="noConversion"/>
  </si>
  <si>
    <t>Bruce</t>
    <phoneticPr fontId="1" type="noConversion"/>
  </si>
  <si>
    <t>北京奇太振控科技发展有限公司</t>
    <phoneticPr fontId="4" type="noConversion"/>
  </si>
  <si>
    <r>
      <t>B</t>
    </r>
    <r>
      <rPr>
        <sz val="10"/>
        <rFont val="宋体"/>
        <family val="3"/>
        <charset val="134"/>
      </rPr>
      <t>IS13</t>
    </r>
    <phoneticPr fontId="4" type="noConversion"/>
  </si>
  <si>
    <t>Delegate/4个</t>
    <phoneticPr fontId="1" type="noConversion"/>
  </si>
  <si>
    <t>Delegate/2个</t>
    <phoneticPr fontId="1" type="noConversion"/>
  </si>
  <si>
    <t>1003convention项目收入</t>
    <phoneticPr fontId="4" type="noConversion"/>
  </si>
  <si>
    <t>Kuraki</t>
    <phoneticPr fontId="4" type="noConversion"/>
  </si>
  <si>
    <t>NANYANG PRESS HO</t>
    <phoneticPr fontId="4" type="noConversion"/>
  </si>
  <si>
    <t>期刊</t>
    <phoneticPr fontId="4" type="noConversion"/>
  </si>
  <si>
    <t>廊坊英博电气有限公司</t>
    <phoneticPr fontId="4" type="noConversion"/>
  </si>
  <si>
    <t>Cici</t>
    <phoneticPr fontId="4" type="noConversion"/>
  </si>
  <si>
    <t>上海电气集团股份有限公司中央研究院</t>
    <phoneticPr fontId="4" type="noConversion"/>
  </si>
  <si>
    <t>1001国外销售收入</t>
    <phoneticPr fontId="4" type="noConversion"/>
  </si>
  <si>
    <t>Cheney</t>
    <phoneticPr fontId="4" type="noConversion"/>
  </si>
  <si>
    <t>BOROUGE PTE LTD</t>
    <phoneticPr fontId="4" type="noConversion"/>
  </si>
  <si>
    <t>ACIS13</t>
    <phoneticPr fontId="4" type="noConversion"/>
  </si>
  <si>
    <t>Celia</t>
    <phoneticPr fontId="4" type="noConversion"/>
  </si>
  <si>
    <t>CYAN TECHNOLOGY</t>
    <phoneticPr fontId="4" type="noConversion"/>
  </si>
  <si>
    <t>ISG13</t>
    <phoneticPr fontId="4" type="noConversion"/>
  </si>
  <si>
    <t>ICIS</t>
    <phoneticPr fontId="4" type="noConversion"/>
  </si>
  <si>
    <t>GLOBAL INFORMATION</t>
    <phoneticPr fontId="4" type="noConversion"/>
  </si>
  <si>
    <t xml:space="preserve">UNION BRIGHT TECHNOLOGY LIMITED </t>
    <phoneticPr fontId="4" type="noConversion"/>
  </si>
  <si>
    <t>Jessica</t>
    <phoneticPr fontId="4" type="noConversion"/>
  </si>
  <si>
    <t>Kuraki</t>
    <phoneticPr fontId="1" type="noConversion"/>
  </si>
  <si>
    <t>Harris</t>
    <phoneticPr fontId="4" type="noConversion"/>
  </si>
  <si>
    <t>Jessica</t>
    <phoneticPr fontId="1" type="noConversion"/>
  </si>
  <si>
    <t>Lydia</t>
  </si>
  <si>
    <t>Cici</t>
  </si>
  <si>
    <t>1002国内销售收入</t>
    <phoneticPr fontId="4" type="noConversion"/>
  </si>
  <si>
    <t>香港应用科技研究院有限公司</t>
    <phoneticPr fontId="4" type="noConversion"/>
  </si>
  <si>
    <t>深圳市港鹏泰实业有限责任公司</t>
    <phoneticPr fontId="4" type="noConversion"/>
  </si>
  <si>
    <t>江苏华富储能新技术股份有限公司</t>
    <phoneticPr fontId="4" type="noConversion"/>
  </si>
  <si>
    <t>上海交通大学</t>
    <phoneticPr fontId="4" type="noConversion"/>
  </si>
  <si>
    <t>艾默生网络能源有限公司</t>
    <phoneticPr fontId="4" type="noConversion"/>
  </si>
  <si>
    <t>西门子（中国）有限公司</t>
    <phoneticPr fontId="4" type="noConversion"/>
  </si>
  <si>
    <t>天津中兴资本管理有限公司</t>
    <phoneticPr fontId="4" type="noConversion"/>
  </si>
  <si>
    <t>航天科工深圳（集团）有限公司</t>
    <phoneticPr fontId="4" type="noConversion"/>
  </si>
  <si>
    <t>西安爱科赛博电气股份有限公司</t>
    <phoneticPr fontId="4" type="noConversion"/>
  </si>
  <si>
    <t>深证市三俊电池有限公司</t>
    <phoneticPr fontId="4" type="noConversion"/>
  </si>
  <si>
    <r>
      <t>S</t>
    </r>
    <r>
      <rPr>
        <sz val="10"/>
        <rFont val="宋体"/>
        <family val="3"/>
        <charset val="134"/>
      </rPr>
      <t>andra</t>
    </r>
    <phoneticPr fontId="4" type="noConversion"/>
  </si>
  <si>
    <t>dasolo steel co,ltd</t>
    <phoneticPr fontId="4" type="noConversion"/>
  </si>
  <si>
    <t>fujistu Asia</t>
    <phoneticPr fontId="4" type="noConversion"/>
  </si>
  <si>
    <t>Sonardyne</t>
    <phoneticPr fontId="4" type="noConversion"/>
  </si>
  <si>
    <t>江苏省洋口港经济开发区管理委员会</t>
    <phoneticPr fontId="4" type="noConversion"/>
  </si>
  <si>
    <t>中南大学</t>
    <phoneticPr fontId="4" type="noConversion"/>
  </si>
  <si>
    <t>Sunny</t>
    <phoneticPr fontId="4" type="noConversion"/>
  </si>
  <si>
    <t>ＢＥＮＴＬＥＹ软件（北京）有限公司Asia Centre</t>
    <phoneticPr fontId="4" type="noConversion"/>
  </si>
  <si>
    <t>CG13</t>
    <phoneticPr fontId="4" type="noConversion"/>
  </si>
  <si>
    <t>厦门妙迪雅克建筑装饰工程有限公司</t>
    <phoneticPr fontId="4" type="noConversion"/>
  </si>
  <si>
    <t>共2万，2个Deal</t>
    <phoneticPr fontId="1" type="noConversion"/>
  </si>
  <si>
    <t>江苏恒神纤维材料有限公司</t>
    <phoneticPr fontId="4" type="noConversion"/>
  </si>
  <si>
    <t>NatureWorks</t>
    <phoneticPr fontId="4" type="noConversion"/>
  </si>
  <si>
    <t>深圳必维华法商品检定有限公司</t>
    <phoneticPr fontId="4" type="noConversion"/>
  </si>
  <si>
    <t>Joe</t>
    <phoneticPr fontId="4" type="noConversion"/>
  </si>
  <si>
    <t>CPF13</t>
    <phoneticPr fontId="4" type="noConversion"/>
  </si>
  <si>
    <t>Shine</t>
    <phoneticPr fontId="4" type="noConversion"/>
  </si>
  <si>
    <t>Shi Nova(Shanghai)Trading Co.ltd</t>
    <phoneticPr fontId="4" type="noConversion"/>
  </si>
  <si>
    <t>福建泉州泉惠石化</t>
    <phoneticPr fontId="4" type="noConversion"/>
  </si>
  <si>
    <t>Joe</t>
    <phoneticPr fontId="1" type="noConversion"/>
  </si>
  <si>
    <t>Sunny</t>
    <phoneticPr fontId="4" type="noConversion"/>
  </si>
  <si>
    <t>HIS</t>
    <phoneticPr fontId="4" type="noConversion"/>
  </si>
  <si>
    <t>SKE&amp;S</t>
    <phoneticPr fontId="4" type="noConversion"/>
  </si>
  <si>
    <t>Rachel</t>
    <phoneticPr fontId="4" type="noConversion"/>
  </si>
  <si>
    <t>Iron Road LIMITED</t>
    <phoneticPr fontId="4" type="noConversion"/>
  </si>
  <si>
    <t xml:space="preserve">玫琳凯（中国）化妆品有限公司 </t>
    <phoneticPr fontId="4" type="noConversion"/>
  </si>
  <si>
    <t>爱思开（中国）企业管理有限公司</t>
    <phoneticPr fontId="4" type="noConversion"/>
  </si>
  <si>
    <t>澳博瑞德咨询（北京）有限公司</t>
    <phoneticPr fontId="4" type="noConversion"/>
  </si>
  <si>
    <t>1003convention项目收入</t>
    <phoneticPr fontId="4" type="noConversion"/>
  </si>
  <si>
    <r>
      <t>O</t>
    </r>
    <r>
      <rPr>
        <sz val="10"/>
        <rFont val="宋体"/>
        <family val="3"/>
        <charset val="134"/>
      </rPr>
      <t>range</t>
    </r>
    <phoneticPr fontId="4" type="noConversion"/>
  </si>
  <si>
    <t>五洲传播出版社</t>
    <phoneticPr fontId="4" type="noConversion"/>
  </si>
  <si>
    <t>期刊</t>
    <phoneticPr fontId="4" type="noConversion"/>
  </si>
  <si>
    <t>Orange</t>
    <phoneticPr fontId="1" type="noConversion"/>
  </si>
  <si>
    <t>上海大仓投资管理有限公司（中国国际航空金融租赁有限公司）</t>
    <phoneticPr fontId="4" type="noConversion"/>
  </si>
  <si>
    <t>9.12</t>
    <phoneticPr fontId="1" type="noConversion"/>
  </si>
  <si>
    <t>深圳市科陆电子科技股份有限公司</t>
    <phoneticPr fontId="4" type="noConversion"/>
  </si>
  <si>
    <t>Alex</t>
    <phoneticPr fontId="4" type="noConversion"/>
  </si>
  <si>
    <t>OTC GOODRICH</t>
    <phoneticPr fontId="4" type="noConversion"/>
  </si>
  <si>
    <t>Jason</t>
    <phoneticPr fontId="4" type="noConversion"/>
  </si>
  <si>
    <t>Asia Pacific Aenospace</t>
    <phoneticPr fontId="4" type="noConversion"/>
  </si>
  <si>
    <t>RAP13直升机</t>
    <phoneticPr fontId="4" type="noConversion"/>
  </si>
  <si>
    <t>Jason（青岛）</t>
    <phoneticPr fontId="1" type="noConversion"/>
  </si>
  <si>
    <t>RAP13（直升机）</t>
    <phoneticPr fontId="1" type="noConversion"/>
  </si>
  <si>
    <t>Fiona</t>
    <phoneticPr fontId="4" type="noConversion"/>
  </si>
  <si>
    <t>德州昂立达生物技术有限公司</t>
    <phoneticPr fontId="4" type="noConversion"/>
  </si>
  <si>
    <t>长沙威胜能源产业技术有限公司</t>
    <phoneticPr fontId="4" type="noConversion"/>
  </si>
  <si>
    <t>Delegate/3个</t>
    <phoneticPr fontId="1" type="noConversion"/>
  </si>
  <si>
    <t>庞贝捷管理（上海）有限公司</t>
    <phoneticPr fontId="4" type="noConversion"/>
  </si>
  <si>
    <t>UOP</t>
    <phoneticPr fontId="4" type="noConversion"/>
  </si>
  <si>
    <t>1002国内销售收入：退款</t>
    <phoneticPr fontId="4" type="noConversion"/>
  </si>
  <si>
    <t>1001国外销售收入</t>
    <phoneticPr fontId="4" type="noConversion"/>
  </si>
  <si>
    <t>Cathery</t>
    <phoneticPr fontId="4" type="noConversion"/>
  </si>
  <si>
    <t>SUBSEA 7</t>
    <phoneticPr fontId="4" type="noConversion"/>
  </si>
  <si>
    <t>DC13</t>
    <phoneticPr fontId="4" type="noConversion"/>
  </si>
  <si>
    <t>长江租赁有限公司</t>
    <phoneticPr fontId="4" type="noConversion"/>
  </si>
  <si>
    <t xml:space="preserve">上海慧商工程设备有限公司 </t>
    <phoneticPr fontId="4" type="noConversion"/>
  </si>
  <si>
    <t>无限极（中国）有限公司</t>
    <phoneticPr fontId="4" type="noConversion"/>
  </si>
  <si>
    <t>1002国内销售收入</t>
    <phoneticPr fontId="4" type="noConversion"/>
  </si>
  <si>
    <t>Turf</t>
    <phoneticPr fontId="4" type="noConversion"/>
  </si>
  <si>
    <t>四川省江油市龙光净化有限公司</t>
    <phoneticPr fontId="4" type="noConversion"/>
  </si>
  <si>
    <t>GAS13</t>
    <phoneticPr fontId="4" type="noConversion"/>
  </si>
  <si>
    <t>摩迪（上海）咨询有限公司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</si>
  <si>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</si>
  <si>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Arvin</t>
    <phoneticPr fontId="4" type="noConversion"/>
  </si>
  <si>
    <t>广元市天然气公司</t>
    <phoneticPr fontId="4" type="noConversion"/>
  </si>
  <si>
    <t>GAS13</t>
    <phoneticPr fontId="4" type="noConversion"/>
  </si>
  <si>
    <t>Turf</t>
    <phoneticPr fontId="4" type="noConversion"/>
  </si>
  <si>
    <t>广东大鹏液化天然气有限公司</t>
    <phoneticPr fontId="4" type="noConversion"/>
  </si>
  <si>
    <t>Deborah</t>
    <phoneticPr fontId="4" type="noConversion"/>
  </si>
  <si>
    <t>胜利油田胜利石油化工建设有限责任公司七分公司</t>
    <phoneticPr fontId="4" type="noConversion"/>
  </si>
  <si>
    <t>Lydia</t>
    <phoneticPr fontId="4" type="noConversion"/>
  </si>
  <si>
    <t xml:space="preserve">海南电力技术研究院 </t>
    <phoneticPr fontId="4" type="noConversion"/>
  </si>
  <si>
    <t>CESF13</t>
    <phoneticPr fontId="4" type="noConversion"/>
  </si>
  <si>
    <t xml:space="preserve">SKE&amp;SC BUSAN CITY </t>
    <phoneticPr fontId="4" type="noConversion"/>
  </si>
  <si>
    <t>Jack</t>
    <phoneticPr fontId="4" type="noConversion"/>
  </si>
  <si>
    <t>深圳女报杂志社</t>
    <phoneticPr fontId="4" type="noConversion"/>
  </si>
  <si>
    <t>Queena</t>
    <phoneticPr fontId="4" type="noConversion"/>
  </si>
  <si>
    <t>Randox Food Diagnostics</t>
    <phoneticPr fontId="4" type="noConversion"/>
  </si>
  <si>
    <t>FB13</t>
    <phoneticPr fontId="4" type="noConversion"/>
  </si>
  <si>
    <t>Queena</t>
    <phoneticPr fontId="1" type="noConversion"/>
  </si>
  <si>
    <t>Patrick</t>
    <phoneticPr fontId="4" type="noConversion"/>
  </si>
  <si>
    <t>罗尔斯·罗伊斯商业（北京）有限公司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</si>
  <si>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</si>
  <si>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Sun</t>
    <phoneticPr fontId="4" type="noConversion"/>
  </si>
  <si>
    <t>南京科思工贸有限公司</t>
    <phoneticPr fontId="4" type="noConversion"/>
  </si>
  <si>
    <t>ACIS13</t>
    <phoneticPr fontId="4" type="noConversion"/>
  </si>
  <si>
    <t>美国赫氏复材泛太公司上海代表处</t>
    <phoneticPr fontId="4" type="noConversion"/>
  </si>
  <si>
    <t>Turf</t>
    <phoneticPr fontId="4" type="noConversion"/>
  </si>
  <si>
    <t>广东大鹏液化天然气有限公司</t>
    <phoneticPr fontId="4" type="noConversion"/>
  </si>
  <si>
    <t>Shine</t>
    <phoneticPr fontId="4" type="noConversion"/>
  </si>
  <si>
    <t>中国核工业建设股份有限公司</t>
    <phoneticPr fontId="4" type="noConversion"/>
  </si>
  <si>
    <t>胜利海洋钻井公司</t>
    <phoneticPr fontId="4" type="noConversion"/>
  </si>
  <si>
    <t>江苏中圣高科技产业有限公</t>
    <phoneticPr fontId="4" type="noConversion"/>
  </si>
  <si>
    <t>1001国外销售收入</t>
    <phoneticPr fontId="4" type="noConversion"/>
  </si>
  <si>
    <t>Sally</t>
    <phoneticPr fontId="4" type="noConversion"/>
  </si>
  <si>
    <t>捷缘贸易（上海）有限公司</t>
    <phoneticPr fontId="4" type="noConversion"/>
  </si>
  <si>
    <t>GAS13</t>
    <phoneticPr fontId="4" type="noConversion"/>
  </si>
  <si>
    <t>Skiven</t>
    <phoneticPr fontId="4" type="noConversion"/>
  </si>
  <si>
    <t>北京百慕航材高科技股份有限公司</t>
    <phoneticPr fontId="4" type="noConversion"/>
  </si>
  <si>
    <t>1003convention项目收入</t>
    <phoneticPr fontId="4" type="noConversion"/>
  </si>
  <si>
    <t>Mario</t>
    <phoneticPr fontId="4" type="noConversion"/>
  </si>
  <si>
    <t>《检察风云》杂志社</t>
    <phoneticPr fontId="4" type="noConversion"/>
  </si>
  <si>
    <t>Margaret</t>
    <phoneticPr fontId="4" type="noConversion"/>
  </si>
  <si>
    <t>力倍连接技术（上海）有限公司</t>
    <phoneticPr fontId="4" type="noConversion"/>
  </si>
  <si>
    <t>MW13</t>
    <phoneticPr fontId="4" type="noConversion"/>
  </si>
  <si>
    <t>Sun</t>
    <phoneticPr fontId="1" type="noConversion"/>
  </si>
  <si>
    <t>航天晨光股份有限公司</t>
    <phoneticPr fontId="4" type="noConversion"/>
  </si>
  <si>
    <t>西部钛业有限责任公司</t>
    <phoneticPr fontId="4" type="noConversion"/>
  </si>
  <si>
    <t>Aries</t>
    <phoneticPr fontId="4" type="noConversion"/>
  </si>
  <si>
    <t>PTT GLOBAL CHEMI</t>
    <phoneticPr fontId="4" type="noConversion"/>
  </si>
  <si>
    <t>CPF13</t>
    <phoneticPr fontId="4" type="noConversion"/>
  </si>
  <si>
    <t>1003convention项目收入</t>
    <phoneticPr fontId="4" type="noConversion"/>
  </si>
  <si>
    <t>Rachel</t>
    <phoneticPr fontId="4" type="noConversion"/>
  </si>
  <si>
    <t>PROQUEST INFORMA</t>
    <phoneticPr fontId="4" type="noConversion"/>
  </si>
  <si>
    <t>期刊</t>
    <phoneticPr fontId="4" type="noConversion"/>
  </si>
  <si>
    <t>Daphne</t>
    <phoneticPr fontId="4" type="noConversion"/>
  </si>
  <si>
    <t>Joe</t>
  </si>
  <si>
    <t>MAHWENGKAI ASS</t>
  </si>
  <si>
    <t>4月合计</t>
    <phoneticPr fontId="1" type="noConversion"/>
  </si>
  <si>
    <t>M&amp;A13</t>
    <phoneticPr fontId="4" type="noConversion"/>
  </si>
  <si>
    <t>M&amp;A13</t>
    <phoneticPr fontId="4" type="noConversion"/>
  </si>
  <si>
    <t>Sally</t>
    <phoneticPr fontId="1" type="noConversion"/>
  </si>
  <si>
    <t>Johnson controls</t>
    <phoneticPr fontId="1" type="noConversion"/>
  </si>
  <si>
    <t>GAS13</t>
    <phoneticPr fontId="1" type="noConversion"/>
  </si>
  <si>
    <t>BIS13</t>
    <phoneticPr fontId="4" type="noConversion"/>
  </si>
  <si>
    <t>Lvy</t>
    <phoneticPr fontId="4" type="noConversion"/>
  </si>
  <si>
    <t>中交武汉港湾工程设计研究院</t>
    <phoneticPr fontId="4" type="noConversion"/>
  </si>
  <si>
    <t>北京市建筑工程研究有限责任公司</t>
    <phoneticPr fontId="4" type="noConversion"/>
  </si>
  <si>
    <t>武船重型工程股份有限公司</t>
    <phoneticPr fontId="4" type="noConversion"/>
  </si>
  <si>
    <t>Tony</t>
    <phoneticPr fontId="4" type="noConversion"/>
  </si>
  <si>
    <t>美国美邦律师事务所驻北京代表处</t>
    <phoneticPr fontId="4" type="noConversion"/>
  </si>
  <si>
    <t>North West Shelf Australia</t>
    <phoneticPr fontId="4" type="noConversion"/>
  </si>
  <si>
    <t>中国油服油田生产事业部</t>
    <phoneticPr fontId="4" type="noConversion"/>
  </si>
  <si>
    <t>UTEC Survey</t>
    <phoneticPr fontId="4" type="noConversion"/>
  </si>
  <si>
    <t>MonAtorn</t>
    <phoneticPr fontId="4" type="noConversion"/>
  </si>
  <si>
    <t>Jessie</t>
    <phoneticPr fontId="4" type="noConversion"/>
  </si>
  <si>
    <t>calfrac well services</t>
    <phoneticPr fontId="4" type="noConversion"/>
  </si>
  <si>
    <t>Avon Products Inc</t>
    <phoneticPr fontId="4" type="noConversion"/>
  </si>
  <si>
    <t>Ashland Singapore Pte Ltd</t>
    <phoneticPr fontId="4" type="noConversion"/>
  </si>
  <si>
    <t>Odfjell Drilling</t>
    <phoneticPr fontId="4" type="noConversion"/>
  </si>
  <si>
    <t>Jason</t>
    <phoneticPr fontId="4" type="noConversion"/>
  </si>
  <si>
    <t>Ramco System</t>
    <phoneticPr fontId="4" type="noConversion"/>
  </si>
  <si>
    <t>5月第一周</t>
    <phoneticPr fontId="8" type="noConversion"/>
  </si>
  <si>
    <t>5月第二周</t>
    <phoneticPr fontId="8" type="noConversion"/>
  </si>
  <si>
    <t>5月第三周</t>
    <phoneticPr fontId="8" type="noConversion"/>
  </si>
  <si>
    <t>5月第四周</t>
    <phoneticPr fontId="8" type="noConversion"/>
  </si>
  <si>
    <t>5月第五周</t>
    <phoneticPr fontId="8" type="noConversion"/>
  </si>
  <si>
    <t>5月合计</t>
    <phoneticPr fontId="8" type="noConversion"/>
  </si>
  <si>
    <t>5月份销售回款到账情况</t>
    <phoneticPr fontId="4" type="noConversion"/>
  </si>
  <si>
    <t>5月目标</t>
    <phoneticPr fontId="4" type="noConversion"/>
  </si>
  <si>
    <t>5月到账</t>
    <phoneticPr fontId="4" type="noConversion"/>
  </si>
  <si>
    <t>SARENS NV</t>
  </si>
  <si>
    <t>EniCas&amp;Power</t>
    <phoneticPr fontId="4" type="noConversion"/>
  </si>
  <si>
    <t>Kepcoeke</t>
    <phoneticPr fontId="4" type="noConversion"/>
  </si>
  <si>
    <t>Melody</t>
    <phoneticPr fontId="4" type="noConversion"/>
  </si>
  <si>
    <t>COFFEY</t>
    <phoneticPr fontId="4" type="noConversion"/>
  </si>
  <si>
    <t>必和必拓</t>
    <phoneticPr fontId="4" type="noConversion"/>
  </si>
  <si>
    <t>Eric</t>
    <phoneticPr fontId="4" type="noConversion"/>
  </si>
  <si>
    <t xml:space="preserve">罗克韦尔柯林斯（上海）航空电子贸易有限公司 </t>
    <phoneticPr fontId="4" type="noConversion"/>
  </si>
  <si>
    <t>Eric</t>
    <phoneticPr fontId="1" type="noConversion"/>
  </si>
  <si>
    <t>江苏海纬集团有限公司</t>
    <phoneticPr fontId="4" type="noConversion"/>
  </si>
  <si>
    <t>宝钢钢构有限公司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</si>
  <si>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</si>
  <si>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Winds</t>
    <phoneticPr fontId="4" type="noConversion"/>
  </si>
  <si>
    <t>上海森松压力容器有限公司</t>
    <phoneticPr fontId="4" type="noConversion"/>
  </si>
  <si>
    <t>CNEC13</t>
    <phoneticPr fontId="4" type="noConversion"/>
  </si>
  <si>
    <t>Eleven</t>
    <phoneticPr fontId="4" type="noConversion"/>
  </si>
  <si>
    <t>美译灵（天津）科技有限公司</t>
    <phoneticPr fontId="4" type="noConversion"/>
  </si>
  <si>
    <t>CIPF13</t>
    <phoneticPr fontId="4" type="noConversion"/>
  </si>
  <si>
    <r>
      <t>100</t>
    </r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国内销售收入</t>
    </r>
    <phoneticPr fontId="4" type="noConversion"/>
  </si>
  <si>
    <t>Sun</t>
    <phoneticPr fontId="4" type="noConversion"/>
  </si>
  <si>
    <t>江苏隆力奇生物科技股份有限公司</t>
    <phoneticPr fontId="4" type="noConversion"/>
  </si>
  <si>
    <t>ACIS13</t>
    <phoneticPr fontId="4" type="noConversion"/>
  </si>
  <si>
    <t>GAZ TRANSPORT</t>
    <phoneticPr fontId="4" type="noConversion"/>
  </si>
  <si>
    <t>Fiona</t>
    <phoneticPr fontId="4" type="noConversion"/>
  </si>
  <si>
    <t>广州星业科技股份有限公司</t>
    <phoneticPr fontId="4" type="noConversion"/>
  </si>
  <si>
    <t>上海莱博生物科技有限公司</t>
    <phoneticPr fontId="4" type="noConversion"/>
  </si>
  <si>
    <t>SEA FORREST OFFSHORE</t>
    <phoneticPr fontId="4" type="noConversion"/>
  </si>
  <si>
    <t>Peter</t>
    <phoneticPr fontId="4" type="noConversion"/>
  </si>
  <si>
    <t>广东粤新海洋工程装备股份有限公司</t>
    <phoneticPr fontId="4" type="noConversion"/>
  </si>
  <si>
    <t>OSV13</t>
    <phoneticPr fontId="4" type="noConversion"/>
  </si>
  <si>
    <t>Howell</t>
    <phoneticPr fontId="4" type="noConversion"/>
  </si>
  <si>
    <t>启迪控股股份有限公司</t>
    <phoneticPr fontId="4" type="noConversion"/>
  </si>
  <si>
    <t>CIRE13</t>
    <phoneticPr fontId="4" type="noConversion"/>
  </si>
  <si>
    <t>Lucy</t>
    <phoneticPr fontId="4" type="noConversion"/>
  </si>
  <si>
    <t>中国船舶重工集团公司第七０二研究所</t>
    <phoneticPr fontId="4" type="noConversion"/>
  </si>
  <si>
    <t>Sunny</t>
    <phoneticPr fontId="4" type="noConversion"/>
  </si>
  <si>
    <t>英国诺顿罗氏律师事务所驻上海代表处</t>
    <phoneticPr fontId="4" type="noConversion"/>
  </si>
  <si>
    <t>Peter</t>
    <phoneticPr fontId="1" type="noConversion"/>
  </si>
  <si>
    <t>Howell</t>
    <phoneticPr fontId="1" type="noConversion"/>
  </si>
  <si>
    <t>山东中通钢构建筑股份有限公司</t>
    <phoneticPr fontId="4" type="noConversion"/>
  </si>
  <si>
    <t>CG13</t>
    <phoneticPr fontId="4" type="noConversion"/>
  </si>
  <si>
    <r>
      <t>5</t>
    </r>
    <r>
      <rPr>
        <sz val="12"/>
        <rFont val="宋体"/>
        <family val="3"/>
        <charset val="134"/>
      </rPr>
      <t>月</t>
    </r>
    <r>
      <rPr>
        <sz val="12"/>
        <rFont val="宋体"/>
        <family val="2"/>
        <charset val="134"/>
      </rPr>
      <t>8</t>
    </r>
    <r>
      <rPr>
        <sz val="12"/>
        <rFont val="宋体"/>
        <family val="3"/>
        <charset val="134"/>
      </rPr>
      <t>日回款</t>
    </r>
    <phoneticPr fontId="8" type="noConversion"/>
  </si>
  <si>
    <t>calfrac well services</t>
    <phoneticPr fontId="4" type="noConversion"/>
  </si>
  <si>
    <t>Antaria Ltd</t>
    <phoneticPr fontId="4" type="noConversion"/>
  </si>
  <si>
    <t>Nice 2 Ltd</t>
    <phoneticPr fontId="4" type="noConversion"/>
  </si>
  <si>
    <t>USB AG</t>
    <phoneticPr fontId="4" type="noConversion"/>
  </si>
  <si>
    <t>中国石油天然气股份有限公司西南油气田分公司</t>
    <phoneticPr fontId="4" type="noConversion"/>
  </si>
  <si>
    <t>张家港中集圣达因低温装备有限公司</t>
    <phoneticPr fontId="4" type="noConversion"/>
  </si>
  <si>
    <t>TENAGA NASIONA</t>
    <phoneticPr fontId="4" type="noConversion"/>
  </si>
  <si>
    <t>XIAMEN NIELL ELECTRONICS</t>
    <phoneticPr fontId="4" type="noConversion"/>
  </si>
  <si>
    <t>CAF13</t>
    <phoneticPr fontId="4" type="noConversion"/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</si>
</sst>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[$-F800]dddd\,\ mmmm\ dd\,\ yyyy"/>
    <numFmt numFmtId="178" formatCode="#,##0.00_ "/>
    <numFmt numFmtId="179" formatCode="0.00_ "/>
    <numFmt numFmtId="180" formatCode="#,##0.00_);[Red]\(#,##0.00\)"/>
  </numFmts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b/>
      <sz val="16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4"/>
      <name val="宋体"/>
      <family val="3"/>
      <charset val="134"/>
    </font>
    <font>
      <b/>
      <sz val="14"/>
      <color indexed="8"/>
      <name val="Verdana"/>
      <family val="2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</font>
    <font>
      <sz val="11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4"/>
      <color theme="1"/>
      <name val="Verdana"/>
      <family val="2"/>
    </font>
    <font>
      <sz val="10"/>
      <color theme="1"/>
      <name val="宋体"/>
      <family val="3"/>
      <charset val="134"/>
      <scheme val="minor"/>
    </font>
    <font>
      <b/>
      <sz val="10"/>
      <color rgb="FF2117A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rgb="FF4503BD"/>
      <name val="宋体"/>
      <family val="3"/>
      <charset val="134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6" fillId="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Font="1" applyFill="1" applyAlignment="1">
      <alignment horizontal="center" vertical="center"/>
    </xf>
    <xf numFmtId="43" fontId="7" fillId="2" borderId="0" xfId="1" applyFont="1" applyFill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43" fontId="9" fillId="0" borderId="5" xfId="1" applyFont="1" applyBorder="1">
      <alignment vertical="center"/>
    </xf>
    <xf numFmtId="43" fontId="9" fillId="0" borderId="0" xfId="1" applyFont="1">
      <alignment vertical="center"/>
    </xf>
    <xf numFmtId="43" fontId="0" fillId="0" borderId="0" xfId="1" applyFont="1">
      <alignment vertical="center"/>
    </xf>
    <xf numFmtId="43" fontId="0" fillId="2" borderId="6" xfId="1" applyFont="1" applyFill="1" applyBorder="1">
      <alignment vertical="center"/>
    </xf>
    <xf numFmtId="43" fontId="9" fillId="2" borderId="7" xfId="1" applyFont="1" applyFill="1" applyBorder="1">
      <alignment vertical="center"/>
    </xf>
    <xf numFmtId="0" fontId="12" fillId="0" borderId="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9" fontId="13" fillId="0" borderId="9" xfId="2" applyFont="1" applyBorder="1" applyAlignment="1">
      <alignment horizontal="center" vertical="center"/>
    </xf>
    <xf numFmtId="43" fontId="12" fillId="0" borderId="9" xfId="1" applyFont="1" applyFill="1" applyBorder="1" applyAlignment="1">
      <alignment horizontal="right" vertical="center"/>
    </xf>
    <xf numFmtId="0" fontId="12" fillId="0" borderId="9" xfId="0" applyFont="1" applyFill="1" applyBorder="1" applyAlignment="1">
      <alignment horizontal="center" vertical="center"/>
    </xf>
    <xf numFmtId="43" fontId="6" fillId="0" borderId="0" xfId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176" fontId="15" fillId="0" borderId="0" xfId="0" applyNumberFormat="1" applyFont="1">
      <alignment vertical="center"/>
    </xf>
    <xf numFmtId="0" fontId="15" fillId="0" borderId="0" xfId="0" applyFont="1">
      <alignment vertical="center"/>
    </xf>
    <xf numFmtId="176" fontId="16" fillId="2" borderId="0" xfId="1" applyNumberFormat="1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43" fontId="17" fillId="2" borderId="0" xfId="1" applyFont="1" applyFill="1" applyAlignment="1">
      <alignment horizontal="center" vertical="center"/>
    </xf>
    <xf numFmtId="0" fontId="17" fillId="0" borderId="0" xfId="0" applyFon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43" fontId="17" fillId="4" borderId="0" xfId="1" applyFont="1" applyFill="1" applyAlignment="1">
      <alignment horizontal="right" vertical="center" wrapText="1"/>
    </xf>
    <xf numFmtId="41" fontId="15" fillId="0" borderId="0" xfId="0" applyNumberFormat="1" applyFont="1">
      <alignment vertical="center"/>
    </xf>
    <xf numFmtId="41" fontId="0" fillId="0" borderId="0" xfId="0" applyNumberFormat="1">
      <alignment vertical="center"/>
    </xf>
    <xf numFmtId="41" fontId="16" fillId="2" borderId="0" xfId="1" applyNumberFormat="1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43" fontId="6" fillId="0" borderId="0" xfId="1" applyFont="1" applyAlignment="1">
      <alignment horizontal="right" vertical="center" wrapText="1"/>
    </xf>
    <xf numFmtId="43" fontId="6" fillId="0" borderId="0" xfId="1" applyFont="1" applyFill="1">
      <alignment vertical="center"/>
    </xf>
    <xf numFmtId="0" fontId="6" fillId="0" borderId="0" xfId="0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 wrapText="1"/>
    </xf>
    <xf numFmtId="0" fontId="6" fillId="0" borderId="0" xfId="0" applyFont="1" applyFill="1">
      <alignment vertical="center"/>
    </xf>
    <xf numFmtId="0" fontId="18" fillId="0" borderId="3" xfId="0" applyFont="1" applyBorder="1" applyAlignment="1">
      <alignment horizontal="center" vertical="center"/>
    </xf>
    <xf numFmtId="43" fontId="6" fillId="0" borderId="0" xfId="1" applyFont="1" applyFill="1" applyAlignment="1">
      <alignment horizontal="right" vertical="center" wrapText="1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43" fontId="6" fillId="5" borderId="0" xfId="1" applyFont="1" applyFill="1">
      <alignment vertical="center"/>
    </xf>
    <xf numFmtId="0" fontId="7" fillId="5" borderId="0" xfId="0" applyFont="1" applyFill="1" applyAlignment="1">
      <alignment horizontal="center" vertical="center"/>
    </xf>
    <xf numFmtId="43" fontId="7" fillId="5" borderId="0" xfId="1" applyFont="1" applyFill="1">
      <alignment vertical="center"/>
    </xf>
    <xf numFmtId="0" fontId="14" fillId="5" borderId="11" xfId="0" applyFont="1" applyFill="1" applyBorder="1" applyAlignment="1">
      <alignment horizontal="left" vertical="center"/>
    </xf>
    <xf numFmtId="43" fontId="9" fillId="5" borderId="10" xfId="1" applyFont="1" applyFill="1" applyBorder="1">
      <alignment vertical="center"/>
    </xf>
    <xf numFmtId="0" fontId="10" fillId="2" borderId="7" xfId="0" applyFont="1" applyFill="1" applyBorder="1" applyAlignment="1">
      <alignment horizontal="center" vertical="center"/>
    </xf>
    <xf numFmtId="178" fontId="6" fillId="0" borderId="0" xfId="1" applyNumberFormat="1" applyFont="1" applyAlignment="1">
      <alignment vertical="center" wrapText="1"/>
    </xf>
    <xf numFmtId="43" fontId="13" fillId="0" borderId="9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43" fontId="6" fillId="0" borderId="0" xfId="1" applyFont="1" applyBorder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43" fontId="17" fillId="0" borderId="0" xfId="1" applyFont="1" applyFill="1" applyAlignment="1">
      <alignment horizontal="center" vertical="center"/>
    </xf>
    <xf numFmtId="43" fontId="17" fillId="0" borderId="0" xfId="1" applyFont="1" applyFill="1" applyAlignment="1">
      <alignment horizontal="right" vertical="center" wrapText="1"/>
    </xf>
    <xf numFmtId="0" fontId="17" fillId="0" borderId="0" xfId="0" applyFont="1" applyFill="1">
      <alignment vertical="center"/>
    </xf>
    <xf numFmtId="178" fontId="6" fillId="0" borderId="0" xfId="1" applyNumberFormat="1" applyFont="1" applyFill="1" applyAlignment="1">
      <alignment vertical="center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49" fontId="6" fillId="0" borderId="0" xfId="0" applyNumberFormat="1" applyFont="1" applyFill="1" applyAlignment="1">
      <alignment vertical="center"/>
    </xf>
    <xf numFmtId="0" fontId="22" fillId="0" borderId="0" xfId="0" applyFont="1" applyFill="1">
      <alignment vertical="center"/>
    </xf>
    <xf numFmtId="0" fontId="21" fillId="0" borderId="0" xfId="0" applyFont="1" applyFill="1" applyAlignment="1">
      <alignment vertical="center" wrapText="1"/>
    </xf>
    <xf numFmtId="179" fontId="15" fillId="0" borderId="0" xfId="0" applyNumberFormat="1" applyFont="1" applyAlignment="1">
      <alignment horizontal="center" vertical="center"/>
    </xf>
    <xf numFmtId="0" fontId="14" fillId="0" borderId="9" xfId="0" applyFont="1" applyFill="1" applyBorder="1" applyAlignment="1">
      <alignment horizontal="left" vertical="center"/>
    </xf>
    <xf numFmtId="49" fontId="23" fillId="0" borderId="9" xfId="0" applyNumberFormat="1" applyFont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/>
    </xf>
    <xf numFmtId="0" fontId="15" fillId="0" borderId="0" xfId="0" applyFont="1" applyFill="1">
      <alignment vertical="center"/>
    </xf>
    <xf numFmtId="0" fontId="21" fillId="0" borderId="0" xfId="0" applyFont="1">
      <alignment vertical="center"/>
    </xf>
    <xf numFmtId="0" fontId="24" fillId="0" borderId="0" xfId="0" applyFont="1" applyFill="1">
      <alignment vertical="center"/>
    </xf>
    <xf numFmtId="43" fontId="9" fillId="0" borderId="0" xfId="1" applyFont="1" applyBorder="1">
      <alignment vertical="center"/>
    </xf>
    <xf numFmtId="43" fontId="0" fillId="0" borderId="0" xfId="1" applyFont="1" applyBorder="1">
      <alignment vertical="center"/>
    </xf>
    <xf numFmtId="0" fontId="0" fillId="0" borderId="0" xfId="0" applyFill="1">
      <alignment vertical="center"/>
    </xf>
    <xf numFmtId="0" fontId="25" fillId="0" borderId="0" xfId="0" applyFont="1" applyFill="1" applyAlignment="1">
      <alignment horizontal="left" vertical="center" wrapText="1"/>
    </xf>
    <xf numFmtId="0" fontId="6" fillId="6" borderId="0" xfId="0" applyFont="1" applyFill="1">
      <alignment vertical="center"/>
    </xf>
    <xf numFmtId="0" fontId="15" fillId="0" borderId="0" xfId="0" applyFont="1" applyFill="1" applyAlignment="1">
      <alignment vertical="center" wrapText="1"/>
    </xf>
    <xf numFmtId="43" fontId="6" fillId="2" borderId="0" xfId="1" applyFont="1" applyFill="1">
      <alignment vertical="center"/>
    </xf>
    <xf numFmtId="0" fontId="6" fillId="6" borderId="0" xfId="0" applyFont="1" applyFill="1" applyAlignment="1">
      <alignment vertical="center" wrapText="1"/>
    </xf>
    <xf numFmtId="180" fontId="28" fillId="0" borderId="0" xfId="1" applyNumberFormat="1" applyFont="1" applyAlignment="1">
      <alignment vertical="center" wrapText="1"/>
    </xf>
    <xf numFmtId="0" fontId="15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43" fontId="6" fillId="0" borderId="0" xfId="1" applyFont="1" applyFill="1" applyBorder="1" applyAlignment="1">
      <alignment horizontal="right" vertical="center" wrapText="1"/>
    </xf>
    <xf numFmtId="178" fontId="6" fillId="0" borderId="0" xfId="1" applyNumberFormat="1" applyFont="1" applyFill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7" borderId="0" xfId="0" applyFill="1">
      <alignment vertical="center"/>
    </xf>
    <xf numFmtId="43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29" fillId="0" borderId="0" xfId="0" applyFont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left" vertical="center"/>
    </xf>
    <xf numFmtId="178" fontId="16" fillId="0" borderId="0" xfId="1" applyNumberFormat="1" applyFont="1" applyAlignment="1">
      <alignment vertical="center" wrapText="1"/>
    </xf>
    <xf numFmtId="43" fontId="17" fillId="2" borderId="0" xfId="1" applyFont="1" applyFill="1" applyAlignment="1">
      <alignment horizontal="left" vertical="center"/>
    </xf>
    <xf numFmtId="0" fontId="11" fillId="0" borderId="0" xfId="0" applyFont="1" applyAlignment="1">
      <alignment horizontal="center" vertical="center"/>
    </xf>
    <xf numFmtId="177" fontId="11" fillId="0" borderId="8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4503BD"/>
      <color rgb="FF2117A9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"/>
  <sheetViews>
    <sheetView tabSelected="1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I6" sqref="I6"/>
    </sheetView>
  </sheetViews>
  <sheetFormatPr defaultRowHeight="13.5"/>
  <cols>
    <col min="1" max="1" width="7.375" customWidth="1"/>
    <col min="2" max="2" width="22" customWidth="1"/>
    <col min="3" max="3" width="8.25" customWidth="1"/>
    <col min="4" max="4" width="16.625" customWidth="1"/>
    <col min="5" max="5" width="14.125" bestFit="1" customWidth="1"/>
    <col min="6" max="6" width="12.875" customWidth="1"/>
    <col min="7" max="7" width="14" customWidth="1"/>
    <col min="8" max="8" width="14.375" customWidth="1"/>
    <col min="9" max="9" width="14.25" customWidth="1"/>
    <col min="10" max="10" width="14.375" customWidth="1"/>
    <col min="11" max="15" width="14.125" bestFit="1" customWidth="1"/>
    <col min="16" max="16" width="12.25" bestFit="1" customWidth="1"/>
  </cols>
  <sheetData>
    <row r="1" spans="1:18">
      <c r="A1" s="5" t="s">
        <v>991</v>
      </c>
      <c r="B1" s="12"/>
      <c r="C1" s="12"/>
    </row>
    <row r="2" spans="1:18" s="2" customFormat="1" ht="17.25" customHeight="1" thickBot="1">
      <c r="A2" s="67" t="s">
        <v>992</v>
      </c>
      <c r="B2" s="67" t="s">
        <v>3</v>
      </c>
      <c r="C2" s="67" t="s">
        <v>54</v>
      </c>
      <c r="D2" s="67" t="s">
        <v>20</v>
      </c>
      <c r="E2" s="67" t="s">
        <v>993</v>
      </c>
      <c r="F2" s="67" t="s">
        <v>41</v>
      </c>
      <c r="G2" s="67" t="s">
        <v>42</v>
      </c>
      <c r="H2" s="67" t="s">
        <v>43</v>
      </c>
      <c r="I2" s="67" t="s">
        <v>44</v>
      </c>
      <c r="J2" s="67" t="s">
        <v>45</v>
      </c>
      <c r="K2" s="67" t="s">
        <v>46</v>
      </c>
      <c r="L2" s="67" t="s">
        <v>47</v>
      </c>
      <c r="M2" s="67" t="s">
        <v>48</v>
      </c>
      <c r="N2" s="67" t="s">
        <v>49</v>
      </c>
      <c r="O2" s="67" t="s">
        <v>50</v>
      </c>
      <c r="P2" s="67" t="s">
        <v>51</v>
      </c>
    </row>
    <row r="3" spans="1:18" ht="21.75" customHeight="1" thickTop="1">
      <c r="A3" s="30">
        <v>1</v>
      </c>
      <c r="B3" s="48" t="s">
        <v>994</v>
      </c>
      <c r="C3" s="68"/>
      <c r="D3" s="29">
        <f>SUM(E3:P3)</f>
        <v>153893.87</v>
      </c>
      <c r="E3" s="29"/>
      <c r="F3" s="29"/>
      <c r="G3" s="29">
        <v>4800</v>
      </c>
      <c r="H3" s="29">
        <f>7800+2600+2500+7800+14415.02+5200+3600+25000+80178.85</f>
        <v>149093.87</v>
      </c>
      <c r="I3" s="29"/>
      <c r="J3" s="29"/>
      <c r="K3" s="29"/>
      <c r="L3" s="29"/>
      <c r="M3" s="29"/>
      <c r="N3" s="29"/>
      <c r="O3" s="29"/>
      <c r="P3" s="29"/>
    </row>
    <row r="4" spans="1:18" ht="19.5" customHeight="1">
      <c r="A4" s="58"/>
      <c r="B4" s="58" t="s">
        <v>995</v>
      </c>
      <c r="C4" s="58"/>
      <c r="D4" s="59">
        <f>SUM(D3)</f>
        <v>153893.87</v>
      </c>
      <c r="E4" s="59">
        <f t="shared" ref="E4:P4" si="0">SUM(E3)</f>
        <v>0</v>
      </c>
      <c r="F4" s="59">
        <f t="shared" si="0"/>
        <v>0</v>
      </c>
      <c r="G4" s="59">
        <f t="shared" si="0"/>
        <v>4800</v>
      </c>
      <c r="H4" s="59">
        <f t="shared" si="0"/>
        <v>149093.87</v>
      </c>
      <c r="I4" s="59">
        <f t="shared" si="0"/>
        <v>0</v>
      </c>
      <c r="J4" s="59">
        <f t="shared" si="0"/>
        <v>0</v>
      </c>
      <c r="K4" s="59">
        <f t="shared" si="0"/>
        <v>0</v>
      </c>
      <c r="L4" s="59">
        <f t="shared" si="0"/>
        <v>0</v>
      </c>
      <c r="M4" s="59">
        <f t="shared" si="0"/>
        <v>0</v>
      </c>
      <c r="N4" s="59">
        <f t="shared" si="0"/>
        <v>0</v>
      </c>
      <c r="O4" s="59">
        <f t="shared" si="0"/>
        <v>0</v>
      </c>
      <c r="P4" s="59">
        <f t="shared" si="0"/>
        <v>0</v>
      </c>
    </row>
    <row r="5" spans="1:18" ht="16.5" customHeight="1">
      <c r="A5" s="30">
        <v>2</v>
      </c>
      <c r="B5" s="48" t="s">
        <v>996</v>
      </c>
      <c r="C5" s="68"/>
      <c r="D5" s="29">
        <f>SUM(E5:P5)</f>
        <v>141727.69</v>
      </c>
      <c r="E5" s="29">
        <v>11500</v>
      </c>
      <c r="F5" s="29">
        <v>31858.02</v>
      </c>
      <c r="G5" s="29"/>
      <c r="H5" s="29">
        <f>37516.65+23750+23750</f>
        <v>85016.65</v>
      </c>
      <c r="I5" s="29">
        <f>13353.02</f>
        <v>13353.02</v>
      </c>
      <c r="J5" s="29"/>
      <c r="K5" s="29"/>
      <c r="L5" s="29"/>
      <c r="M5" s="29"/>
      <c r="N5" s="29"/>
      <c r="O5" s="29"/>
      <c r="P5" s="29"/>
      <c r="Q5" s="29"/>
      <c r="R5" s="29"/>
    </row>
    <row r="6" spans="1:18" ht="16.5" customHeight="1">
      <c r="A6" s="30">
        <v>3</v>
      </c>
      <c r="B6" s="48" t="s">
        <v>1284</v>
      </c>
      <c r="C6" s="68"/>
      <c r="D6" s="29">
        <f>SUM(E6:P6)</f>
        <v>21372</v>
      </c>
      <c r="E6" s="29"/>
      <c r="F6" s="29"/>
      <c r="G6" s="29"/>
      <c r="H6" s="29">
        <f>5886</f>
        <v>5886</v>
      </c>
      <c r="I6" s="29">
        <f>5886+9600</f>
        <v>15486</v>
      </c>
      <c r="J6" s="29"/>
      <c r="K6" s="29"/>
      <c r="L6" s="29"/>
      <c r="M6" s="29"/>
      <c r="N6" s="29"/>
      <c r="O6" s="29"/>
      <c r="P6" s="29"/>
      <c r="Q6" s="29"/>
      <c r="R6" s="29"/>
    </row>
    <row r="7" spans="1:18" ht="19.5" customHeight="1">
      <c r="A7" s="58"/>
      <c r="B7" s="58" t="s">
        <v>997</v>
      </c>
      <c r="C7" s="58"/>
      <c r="D7" s="59">
        <f>SUM(D5:D6)</f>
        <v>163099.69</v>
      </c>
      <c r="E7" s="59">
        <f t="shared" ref="E7:G7" si="1">SUM(E5)</f>
        <v>11500</v>
      </c>
      <c r="F7" s="59">
        <f t="shared" si="1"/>
        <v>31858.02</v>
      </c>
      <c r="G7" s="59">
        <f t="shared" si="1"/>
        <v>0</v>
      </c>
      <c r="H7" s="59">
        <f>SUM(H5:H6)</f>
        <v>90902.65</v>
      </c>
      <c r="I7" s="59">
        <f t="shared" ref="I7:K7" si="2">SUM(I5:I6)</f>
        <v>28839.02</v>
      </c>
      <c r="J7" s="59">
        <f t="shared" si="2"/>
        <v>0</v>
      </c>
      <c r="K7" s="59">
        <f t="shared" si="2"/>
        <v>0</v>
      </c>
      <c r="L7" s="59">
        <f t="shared" ref="L7" si="3">SUM(L5:L6)</f>
        <v>0</v>
      </c>
      <c r="M7" s="59">
        <f t="shared" ref="M7:N7" si="4">SUM(M5:M6)</f>
        <v>0</v>
      </c>
      <c r="N7" s="59">
        <f t="shared" si="4"/>
        <v>0</v>
      </c>
      <c r="O7" s="59">
        <f t="shared" ref="O7" si="5">SUM(O5:O6)</f>
        <v>0</v>
      </c>
      <c r="P7" s="59">
        <f t="shared" ref="P7" si="6">SUM(P5:P6)</f>
        <v>0</v>
      </c>
    </row>
    <row r="8" spans="1:18" ht="19.5" customHeight="1">
      <c r="A8" s="57"/>
      <c r="B8" s="57" t="s">
        <v>998</v>
      </c>
      <c r="C8" s="57"/>
      <c r="D8" s="94">
        <f>SUM(D4+D7)</f>
        <v>316993.56</v>
      </c>
      <c r="E8" s="94">
        <f>SUM(E4+E7)</f>
        <v>11500</v>
      </c>
      <c r="F8" s="94">
        <f t="shared" ref="F8:K8" si="7">SUM(F4+F7)</f>
        <v>31858.02</v>
      </c>
      <c r="G8" s="94">
        <f t="shared" si="7"/>
        <v>4800</v>
      </c>
      <c r="H8" s="94">
        <f>SUM(H4+H7)</f>
        <v>239996.52</v>
      </c>
      <c r="I8" s="94">
        <f t="shared" si="7"/>
        <v>28839.02</v>
      </c>
      <c r="J8" s="94">
        <f t="shared" si="7"/>
        <v>0</v>
      </c>
      <c r="K8" s="94">
        <f t="shared" si="7"/>
        <v>0</v>
      </c>
      <c r="L8" s="94">
        <f t="shared" ref="L8:P8" si="8">SUM(L7)</f>
        <v>0</v>
      </c>
      <c r="M8" s="94">
        <f t="shared" si="8"/>
        <v>0</v>
      </c>
      <c r="N8" s="94">
        <f t="shared" si="8"/>
        <v>0</v>
      </c>
      <c r="O8" s="94">
        <f t="shared" si="8"/>
        <v>0</v>
      </c>
      <c r="P8" s="94">
        <f t="shared" si="8"/>
        <v>0</v>
      </c>
    </row>
    <row r="11" spans="1:18">
      <c r="F11" s="4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J10" sqref="J10"/>
    </sheetView>
  </sheetViews>
  <sheetFormatPr defaultRowHeight="13.5"/>
  <cols>
    <col min="1" max="1" width="7.375" customWidth="1"/>
    <col min="2" max="2" width="22" customWidth="1"/>
    <col min="3" max="3" width="8.25" customWidth="1"/>
    <col min="4" max="4" width="16.625" customWidth="1"/>
    <col min="5" max="5" width="14.5" customWidth="1"/>
    <col min="6" max="6" width="14.125" bestFit="1" customWidth="1"/>
    <col min="7" max="7" width="12.875" customWidth="1"/>
    <col min="8" max="8" width="14" customWidth="1"/>
    <col min="9" max="9" width="14.375" customWidth="1"/>
    <col min="10" max="10" width="14.25" customWidth="1"/>
    <col min="11" max="11" width="14.375" customWidth="1"/>
    <col min="12" max="16" width="14.125" bestFit="1" customWidth="1"/>
    <col min="17" max="17" width="12.25" bestFit="1" customWidth="1"/>
  </cols>
  <sheetData>
    <row r="1" spans="1:17">
      <c r="A1" s="5" t="s">
        <v>763</v>
      </c>
      <c r="B1" s="12"/>
      <c r="C1" s="12"/>
    </row>
    <row r="2" spans="1:17" s="14" customFormat="1" ht="17.25" customHeight="1" thickBot="1">
      <c r="A2" s="13" t="s">
        <v>37</v>
      </c>
      <c r="B2" s="13" t="s">
        <v>38</v>
      </c>
      <c r="C2" s="13" t="s">
        <v>54</v>
      </c>
      <c r="D2" s="13" t="s">
        <v>39</v>
      </c>
      <c r="E2" s="67" t="s">
        <v>112</v>
      </c>
      <c r="F2" s="13" t="s">
        <v>40</v>
      </c>
      <c r="G2" s="13" t="s">
        <v>41</v>
      </c>
      <c r="H2" s="13" t="s">
        <v>42</v>
      </c>
      <c r="I2" s="13" t="s">
        <v>43</v>
      </c>
      <c r="J2" s="13" t="s">
        <v>44</v>
      </c>
      <c r="K2" s="13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3" t="s">
        <v>50</v>
      </c>
      <c r="Q2" s="13" t="s">
        <v>51</v>
      </c>
    </row>
    <row r="3" spans="1:17" ht="15.75" customHeight="1" thickTop="1">
      <c r="A3" s="30">
        <v>1</v>
      </c>
      <c r="B3" s="48" t="s">
        <v>104</v>
      </c>
      <c r="C3" s="68">
        <v>4.18</v>
      </c>
      <c r="D3" s="29">
        <f t="shared" ref="D3:D16" si="0">SUM(E3:Q3)</f>
        <v>1676613.5199999998</v>
      </c>
      <c r="E3" s="29">
        <v>252920.19</v>
      </c>
      <c r="F3" s="29">
        <f>15597.9+15900+15423+25446+15900+9600+15597.9+10476+14310+10000+75382</f>
        <v>223632.8</v>
      </c>
      <c r="G3" s="29">
        <f>10000+13782.49+15900+21600+15900+12000+28620+25176.96+15358.54+27000+14310+12236.99</f>
        <v>211884.97999999998</v>
      </c>
      <c r="H3" s="29">
        <f>394737.35+30000+31648.04+35700+12690+6000+5800+30791.42</f>
        <v>547366.80999999994</v>
      </c>
      <c r="I3" s="29">
        <f>9600+11600+30000+4800+41552.86+13974.3+3840+14310+15656+4800+14087+11600+10800+4800+37422+4320+5200+8548.6+12690+12690+15311.26+5800+5748.6+2520+25033+5800+15568.5+53550+15656+8000+15530.62</f>
        <v>440808.74</v>
      </c>
      <c r="J3" s="29"/>
      <c r="K3" s="29"/>
      <c r="L3" s="29"/>
      <c r="M3" s="29"/>
      <c r="N3" s="29"/>
      <c r="O3" s="29"/>
      <c r="P3" s="29"/>
      <c r="Q3" s="29"/>
    </row>
    <row r="4" spans="1:17" ht="16.5" customHeight="1">
      <c r="A4" s="30">
        <v>2</v>
      </c>
      <c r="B4" s="48" t="s">
        <v>115</v>
      </c>
      <c r="C4" s="68">
        <v>4.18</v>
      </c>
      <c r="D4" s="29">
        <f t="shared" si="0"/>
        <v>911879.86</v>
      </c>
      <c r="E4" s="29"/>
      <c r="F4" s="29">
        <f>4708.8+4800+25000+9600+4800+12960+4500+2000</f>
        <v>68368.800000000003</v>
      </c>
      <c r="G4" s="29">
        <f>20000+4800+4800+4800+4800+3000+35000+9600+5000+4800+20000+5800</f>
        <v>122400</v>
      </c>
      <c r="H4" s="29">
        <f>223058+4800+3000+11600+3800+4800+5000+4800+9600+3000+1000+4800+6000+2000</f>
        <v>287258</v>
      </c>
      <c r="I4" s="29">
        <f>4800+2500+2500+35000+5000+4800+20000+4800+5800+4800+1200+1200+6000+4000+4800+5800+5800+2400+6263+3000+2500+3600+5000+9600+4800+4200+1200+4800+19291.06+5800+4800+4800+4800+1200+4000+4000+5000+12600+6000+6000+4800+2400+4800+4000+2400+22000+1200+5000+9600+4800+30000+4800+1200+30000+1200+4800+5800+1200+5500+9499+1200+3000+4600+1200+3000+3000+3000+3000+4800+4500+2000+1200-2500+2400</f>
        <v>433853.06</v>
      </c>
      <c r="J4" s="29"/>
      <c r="K4" s="29"/>
      <c r="L4" s="29"/>
      <c r="M4" s="29"/>
      <c r="N4" s="29"/>
      <c r="O4" s="29"/>
      <c r="P4" s="29"/>
      <c r="Q4" s="29"/>
    </row>
    <row r="5" spans="1:17" ht="16.5" customHeight="1">
      <c r="A5" s="30">
        <v>3</v>
      </c>
      <c r="B5" s="48" t="s">
        <v>101</v>
      </c>
      <c r="C5" s="68">
        <v>4.25</v>
      </c>
      <c r="D5" s="29">
        <f t="shared" si="0"/>
        <v>416805.37</v>
      </c>
      <c r="E5" s="29">
        <v>154074.6</v>
      </c>
      <c r="F5" s="29">
        <f>7800+69120+6000+20000+2500</f>
        <v>105420</v>
      </c>
      <c r="G5" s="29">
        <f>55000</f>
        <v>55000</v>
      </c>
      <c r="H5" s="29">
        <f>19618+14400+3000</f>
        <v>37018</v>
      </c>
      <c r="I5" s="29">
        <f>9600+1000+6800+1000+2000+15292.77+4800+1000+15000+1000+2000+5800</f>
        <v>65292.770000000004</v>
      </c>
      <c r="J5" s="29"/>
      <c r="K5" s="29"/>
      <c r="L5" s="29"/>
      <c r="M5" s="29"/>
      <c r="N5" s="29"/>
      <c r="O5" s="29"/>
      <c r="P5" s="29"/>
      <c r="Q5" s="29"/>
    </row>
    <row r="6" spans="1:17" ht="16.5" customHeight="1">
      <c r="A6" s="30">
        <v>4</v>
      </c>
      <c r="B6" s="48" t="s">
        <v>108</v>
      </c>
      <c r="C6" s="68">
        <v>4.25</v>
      </c>
      <c r="D6" s="29">
        <f t="shared" si="0"/>
        <v>404223.47</v>
      </c>
      <c r="E6" s="29">
        <v>10149</v>
      </c>
      <c r="F6" s="29">
        <f>55622.7</f>
        <v>55622.7</v>
      </c>
      <c r="G6" s="29">
        <f>62617.98+84761.68</f>
        <v>147379.66</v>
      </c>
      <c r="H6" s="29">
        <v>92910.54</v>
      </c>
      <c r="I6" s="29">
        <f>4234+1143.85+34020+1236.06+2285.73+9810+37530.95+1143.85+6757.13</f>
        <v>98161.57</v>
      </c>
      <c r="J6" s="29"/>
      <c r="K6" s="29"/>
      <c r="L6" s="29"/>
      <c r="M6" s="29"/>
      <c r="N6" s="29"/>
      <c r="O6" s="29"/>
      <c r="P6" s="29"/>
      <c r="Q6" s="29"/>
    </row>
    <row r="7" spans="1:17" s="14" customFormat="1" ht="16.5" customHeight="1">
      <c r="A7" s="30">
        <v>5</v>
      </c>
      <c r="B7" s="48" t="s">
        <v>107</v>
      </c>
      <c r="C7" s="68">
        <v>5.9</v>
      </c>
      <c r="D7" s="29">
        <f>SUM(E7:Q7)</f>
        <v>1178605.03</v>
      </c>
      <c r="E7" s="29">
        <v>125801.3</v>
      </c>
      <c r="F7" s="29">
        <f>36223.34+4800+12420</f>
        <v>53443.34</v>
      </c>
      <c r="G7" s="29">
        <f>35000+6800+15610.52+67800.55+13725.95+9270.45+14000+35800</f>
        <v>198007.47000000003</v>
      </c>
      <c r="H7" s="29">
        <f>142513.86+30000+33375.73+16408.52+6200+16866.9+49500</f>
        <v>294865.01</v>
      </c>
      <c r="I7" s="29">
        <f>16677+6800+2692.48+36119.03+27362.72+16408.52+16594.6+12400+13600+16594.6+11164.56+20000+5800+16408.52+11673.9+10947.96+22329.12+6000+6800+2000+13600+6200+24000+21904.75+6200+2900+10000+4800+37500</f>
        <v>405477.76</v>
      </c>
      <c r="J7" s="29">
        <f>16916+16741.84+16408.52+932.8+15224.4+12400+5800+16586.59</f>
        <v>101010.15</v>
      </c>
      <c r="K7" s="29"/>
      <c r="L7" s="29"/>
      <c r="M7" s="29"/>
      <c r="N7" s="29"/>
      <c r="O7" s="29"/>
      <c r="P7" s="29"/>
      <c r="Q7" s="29"/>
    </row>
    <row r="8" spans="1:17" ht="16.5" customHeight="1">
      <c r="A8" s="30">
        <v>6</v>
      </c>
      <c r="B8" s="48" t="s">
        <v>96</v>
      </c>
      <c r="C8" s="68">
        <v>5.15</v>
      </c>
      <c r="D8" s="29">
        <f t="shared" si="0"/>
        <v>868623.17</v>
      </c>
      <c r="E8" s="29">
        <v>95522.950000000012</v>
      </c>
      <c r="F8" s="29">
        <f>13379.58+44683.2+50227.2+49766.4+13382.5+24444</f>
        <v>195882.88</v>
      </c>
      <c r="G8" s="29">
        <f>16567.13+12460.09+16567.13+40140.68+6180.3</f>
        <v>91915.33</v>
      </c>
      <c r="H8" s="29">
        <f>86172.93+31101.62+16465.8+18544.82+10386.83</f>
        <v>162671.99999999997</v>
      </c>
      <c r="I8" s="29">
        <f>50664+16784.1+4500+49875.02+15088+15088+16784.1+16567.13+5000+15000+39412.66+5800</f>
        <v>250563.01</v>
      </c>
      <c r="J8" s="29">
        <f>13423.8+16419.8+16567.13+16756.27+4000+4900</f>
        <v>72067</v>
      </c>
      <c r="K8" s="29"/>
      <c r="L8" s="29"/>
      <c r="M8" s="29"/>
      <c r="N8" s="29"/>
      <c r="O8" s="29"/>
      <c r="P8" s="29"/>
      <c r="Q8" s="29"/>
    </row>
    <row r="9" spans="1:17" ht="16.5" customHeight="1">
      <c r="A9" s="30">
        <v>7</v>
      </c>
      <c r="B9" s="48" t="s">
        <v>117</v>
      </c>
      <c r="C9" s="68">
        <v>5.22</v>
      </c>
      <c r="D9" s="29">
        <f t="shared" si="0"/>
        <v>442509.86</v>
      </c>
      <c r="E9" s="29"/>
      <c r="F9" s="29">
        <f>41310</f>
        <v>41310</v>
      </c>
      <c r="G9" s="29">
        <f>12505+27016.74+15450.75</f>
        <v>54972.490000000005</v>
      </c>
      <c r="H9" s="29">
        <f>163030.23+5800</f>
        <v>168830.23</v>
      </c>
      <c r="I9" s="29">
        <f>9915+10440+8600+6223.53+12000+7800+31953.14+4300+7500+12524+5220+11600</f>
        <v>128075.67</v>
      </c>
      <c r="J9" s="29">
        <f>49321.47</f>
        <v>49321.47</v>
      </c>
      <c r="K9" s="29"/>
      <c r="L9" s="29"/>
      <c r="M9" s="29"/>
      <c r="N9" s="29"/>
      <c r="O9" s="29"/>
      <c r="P9" s="29"/>
      <c r="Q9" s="29"/>
    </row>
    <row r="10" spans="1:17" ht="16.5" customHeight="1">
      <c r="A10" s="30">
        <v>8</v>
      </c>
      <c r="B10" s="48" t="s">
        <v>120</v>
      </c>
      <c r="C10" s="68">
        <v>5.23</v>
      </c>
      <c r="D10" s="29">
        <f t="shared" si="0"/>
        <v>1107351.3800000001</v>
      </c>
      <c r="E10" s="29"/>
      <c r="F10" s="29">
        <f>11816.74+11693+19589+31000+16832.57</f>
        <v>90931.31</v>
      </c>
      <c r="G10" s="29">
        <f>62617.98+80334.38+6727+16594.6+16407.55+25083.63</f>
        <v>207765.14</v>
      </c>
      <c r="H10" s="29">
        <f>214061.95</f>
        <v>214061.95</v>
      </c>
      <c r="I10" s="29">
        <f>4500+34100+20400+85050+33655.94+23093.3+67325.48+15223+31600+17600+9400+20000+32986.2+45426.43+16408.52+13418.5+47882+6800</f>
        <v>524869.37</v>
      </c>
      <c r="J10" s="29">
        <f>6727+16408.52+16251.25+16736.84+13600</f>
        <v>69723.61</v>
      </c>
      <c r="K10" s="29"/>
      <c r="L10" s="29"/>
      <c r="M10" s="29"/>
      <c r="N10" s="29"/>
      <c r="O10" s="29"/>
      <c r="P10" s="29"/>
      <c r="Q10" s="29"/>
    </row>
    <row r="11" spans="1:17" s="14" customFormat="1" ht="16.5" customHeight="1">
      <c r="A11" s="30">
        <v>9</v>
      </c>
      <c r="B11" s="48" t="s">
        <v>121</v>
      </c>
      <c r="C11" s="81">
        <v>5.3</v>
      </c>
      <c r="D11" s="29">
        <f t="shared" si="0"/>
        <v>583853.28</v>
      </c>
      <c r="E11" s="29"/>
      <c r="F11" s="29"/>
      <c r="G11" s="29">
        <f>48888+49050+35147.23+43654.5+21902.79+19065.73+30050</f>
        <v>247758.25000000003</v>
      </c>
      <c r="H11" s="29">
        <f>166343.97+37800</f>
        <v>204143.97</v>
      </c>
      <c r="I11" s="29">
        <f>42525+13136+30717.07+5800+13136+11636.99+10000</f>
        <v>126951.06000000001</v>
      </c>
      <c r="J11" s="29">
        <f>5000</f>
        <v>5000</v>
      </c>
      <c r="K11" s="29"/>
      <c r="L11" s="29"/>
      <c r="M11" s="29"/>
      <c r="N11" s="29"/>
      <c r="O11" s="29"/>
      <c r="P11" s="29"/>
      <c r="Q11" s="29"/>
    </row>
    <row r="12" spans="1:17" ht="16.5" customHeight="1">
      <c r="A12" s="30">
        <v>10</v>
      </c>
      <c r="B12" s="48" t="s">
        <v>175</v>
      </c>
      <c r="C12" s="68">
        <v>6.5</v>
      </c>
      <c r="D12" s="29">
        <f>SUM(E12:Q12)</f>
        <v>837462.72</v>
      </c>
      <c r="E12" s="29">
        <v>96245.119999999995</v>
      </c>
      <c r="F12" s="29">
        <f>11301.12+9700+38400+11301.12+20000+11301.12</f>
        <v>102003.36</v>
      </c>
      <c r="G12" s="29">
        <f>5600+18806+9414.5-11416.32+9600+6269.65+4000+13667.3+18241.82</f>
        <v>74182.950000000012</v>
      </c>
      <c r="H12" s="29">
        <f>138970.7+15656+8003.21-3055.5</f>
        <v>159574.41</v>
      </c>
      <c r="I12" s="29">
        <f>6180.3+31067.77+37800+11875+50000+35241.59+18507.63+15844+15904+15656+42261+15000+4800+3000</f>
        <v>303137.29000000004</v>
      </c>
      <c r="J12" s="29">
        <f>15358.54+12886.42+5000+15000+8000+15358.54+30716.09</f>
        <v>102319.59</v>
      </c>
      <c r="K12" s="29"/>
      <c r="L12" s="29"/>
      <c r="M12" s="29"/>
      <c r="N12" s="29"/>
      <c r="O12" s="29"/>
      <c r="P12" s="29"/>
      <c r="Q12" s="29"/>
    </row>
    <row r="13" spans="1:17" ht="16.5" customHeight="1">
      <c r="A13" s="30">
        <v>11</v>
      </c>
      <c r="B13" s="48" t="s">
        <v>113</v>
      </c>
      <c r="C13" s="68">
        <v>6.6</v>
      </c>
      <c r="D13" s="29">
        <f>SUM(E13:Q13)</f>
        <v>534121.91999999993</v>
      </c>
      <c r="E13" s="29"/>
      <c r="F13" s="29">
        <f>49442.4+13329.83+13588+13503.46+30516.95</f>
        <v>120380.64</v>
      </c>
      <c r="G13" s="29">
        <f>24576+85680</f>
        <v>110256</v>
      </c>
      <c r="H13" s="29">
        <f>91608.22+39218</f>
        <v>130826.22</v>
      </c>
      <c r="I13" s="29">
        <f>13600+5800+5800+5800+5800+19620+10896.95+13600+9263.22+14310.83+5800</f>
        <v>110291</v>
      </c>
      <c r="J13" s="29">
        <f>13318.06+49050</f>
        <v>62368.06</v>
      </c>
      <c r="K13" s="29"/>
      <c r="L13" s="29"/>
      <c r="M13" s="29"/>
      <c r="N13" s="29"/>
      <c r="O13" s="29"/>
      <c r="P13" s="29"/>
      <c r="Q13" s="29"/>
    </row>
    <row r="14" spans="1:17" ht="16.5" customHeight="1">
      <c r="A14" s="30">
        <v>12</v>
      </c>
      <c r="B14" s="48" t="s">
        <v>118</v>
      </c>
      <c r="C14" s="68">
        <v>6.6</v>
      </c>
      <c r="D14" s="29">
        <f>SUM(E14:Q14)</f>
        <v>348925.64</v>
      </c>
      <c r="E14" s="29"/>
      <c r="F14" s="29">
        <f>52031.37</f>
        <v>52031.37</v>
      </c>
      <c r="G14" s="29">
        <f>48927.38</f>
        <v>48927.38</v>
      </c>
      <c r="H14" s="29">
        <f>88687.87+16330.71</f>
        <v>105018.57999999999</v>
      </c>
      <c r="I14" s="29">
        <f>2500+20497.01+74163.6+24500</f>
        <v>121660.61</v>
      </c>
      <c r="J14" s="29">
        <f>21287.7</f>
        <v>21287.7</v>
      </c>
      <c r="K14" s="29"/>
      <c r="L14" s="29"/>
      <c r="M14" s="29"/>
      <c r="N14" s="29"/>
      <c r="O14" s="29"/>
      <c r="P14" s="29"/>
      <c r="Q14" s="29"/>
    </row>
    <row r="15" spans="1:17" ht="16.5" customHeight="1">
      <c r="A15" s="30">
        <v>13</v>
      </c>
      <c r="B15" s="48" t="s">
        <v>119</v>
      </c>
      <c r="C15" s="68">
        <v>6.13</v>
      </c>
      <c r="D15" s="29">
        <f t="shared" si="0"/>
        <v>477289.00999999995</v>
      </c>
      <c r="E15" s="29"/>
      <c r="F15" s="29">
        <f>43984.8+67682.26+66747.24+30000+11124.54</f>
        <v>219538.84</v>
      </c>
      <c r="G15" s="29">
        <f>9810+5548.54</f>
        <v>15358.54</v>
      </c>
      <c r="H15" s="29">
        <f>50556.73</f>
        <v>50556.73</v>
      </c>
      <c r="I15" s="29">
        <f>13414.73+17400+5600+16594.6+16594.6+102898.17+13532.8</f>
        <v>186034.89999999997</v>
      </c>
      <c r="J15" s="29">
        <f>5800</f>
        <v>5800</v>
      </c>
      <c r="K15" s="29"/>
      <c r="L15" s="29"/>
      <c r="M15" s="29"/>
      <c r="N15" s="29"/>
      <c r="O15" s="29"/>
      <c r="P15" s="29"/>
      <c r="Q15" s="29"/>
    </row>
    <row r="16" spans="1:17" ht="16.5" customHeight="1">
      <c r="A16" s="30">
        <v>14</v>
      </c>
      <c r="B16" s="48" t="s">
        <v>126</v>
      </c>
      <c r="C16" s="81">
        <v>6.2</v>
      </c>
      <c r="D16" s="69">
        <f t="shared" si="0"/>
        <v>204326.21999999997</v>
      </c>
      <c r="E16" s="29"/>
      <c r="F16" s="29"/>
      <c r="G16" s="29">
        <f>14354.14</f>
        <v>14354.14</v>
      </c>
      <c r="H16" s="29">
        <f>132299.59+3090.15+14126.4</f>
        <v>149516.13999999998</v>
      </c>
      <c r="I16" s="29">
        <f>33655.94</f>
        <v>33655.94</v>
      </c>
      <c r="J16" s="29">
        <f>6800</f>
        <v>6800</v>
      </c>
      <c r="K16" s="29"/>
      <c r="L16" s="29"/>
      <c r="M16" s="29"/>
      <c r="N16" s="29"/>
      <c r="O16" s="29"/>
      <c r="P16" s="29"/>
      <c r="Q16" s="29"/>
    </row>
    <row r="17" spans="1:17" ht="16.5" customHeight="1">
      <c r="A17" s="30">
        <v>15</v>
      </c>
      <c r="B17" s="48" t="s">
        <v>646</v>
      </c>
      <c r="C17" s="68">
        <v>6.27</v>
      </c>
      <c r="D17" s="29">
        <f>SUM(E17:Q17)</f>
        <v>18650.879999999997</v>
      </c>
      <c r="E17" s="29"/>
      <c r="F17" s="29"/>
      <c r="G17" s="29"/>
      <c r="H17" s="29"/>
      <c r="I17" s="29">
        <f>9419+9231.88</f>
        <v>18650.879999999997</v>
      </c>
      <c r="J17" s="29"/>
      <c r="K17" s="29"/>
      <c r="L17" s="29"/>
      <c r="M17" s="29"/>
      <c r="N17" s="29"/>
      <c r="O17" s="29"/>
      <c r="P17" s="29"/>
      <c r="Q17" s="29"/>
    </row>
    <row r="18" spans="1:17" s="14" customFormat="1" ht="16.5" customHeight="1">
      <c r="A18" s="30">
        <v>16</v>
      </c>
      <c r="B18" s="48" t="s">
        <v>116</v>
      </c>
      <c r="C18" s="68">
        <v>7.4</v>
      </c>
      <c r="D18" s="29">
        <f>SUM(E18:Q18)</f>
        <v>59400</v>
      </c>
      <c r="E18" s="29"/>
      <c r="F18" s="29"/>
      <c r="G18" s="29"/>
      <c r="H18" s="29">
        <f>2000</f>
        <v>2000</v>
      </c>
      <c r="I18" s="29">
        <f>4000+20000+6800+15000</f>
        <v>45800</v>
      </c>
      <c r="J18" s="29">
        <f>11600</f>
        <v>11600</v>
      </c>
      <c r="K18" s="29"/>
      <c r="L18" s="29"/>
      <c r="M18" s="29"/>
      <c r="N18" s="29"/>
      <c r="O18" s="29"/>
      <c r="P18" s="29"/>
      <c r="Q18" s="29"/>
    </row>
    <row r="19" spans="1:17" ht="16.5" customHeight="1">
      <c r="A19" s="58"/>
      <c r="B19" s="58" t="s">
        <v>111</v>
      </c>
      <c r="C19" s="58"/>
      <c r="D19" s="59">
        <f t="shared" ref="D19:Q19" si="1">SUM(D3:D18)</f>
        <v>10070641.330000002</v>
      </c>
      <c r="E19" s="59">
        <f t="shared" si="1"/>
        <v>734713.16</v>
      </c>
      <c r="F19" s="59">
        <f t="shared" si="1"/>
        <v>1328566.0400000003</v>
      </c>
      <c r="G19" s="59">
        <f t="shared" si="1"/>
        <v>1600162.3299999998</v>
      </c>
      <c r="H19" s="59">
        <f t="shared" si="1"/>
        <v>2606618.5900000003</v>
      </c>
      <c r="I19" s="59">
        <f t="shared" si="1"/>
        <v>3293283.63</v>
      </c>
      <c r="J19" s="59">
        <f t="shared" si="1"/>
        <v>507297.57999999996</v>
      </c>
      <c r="K19" s="59">
        <f t="shared" si="1"/>
        <v>0</v>
      </c>
      <c r="L19" s="59">
        <f t="shared" si="1"/>
        <v>0</v>
      </c>
      <c r="M19" s="59">
        <f t="shared" si="1"/>
        <v>0</v>
      </c>
      <c r="N19" s="59">
        <f t="shared" si="1"/>
        <v>0</v>
      </c>
      <c r="O19" s="59">
        <f t="shared" si="1"/>
        <v>0</v>
      </c>
      <c r="P19" s="59">
        <f t="shared" si="1"/>
        <v>0</v>
      </c>
      <c r="Q19" s="59">
        <f t="shared" si="1"/>
        <v>0</v>
      </c>
    </row>
    <row r="20" spans="1:17" ht="18.75" customHeight="1">
      <c r="A20" s="30">
        <v>1</v>
      </c>
      <c r="B20" s="48" t="s">
        <v>105</v>
      </c>
      <c r="C20" s="68">
        <v>9.19</v>
      </c>
      <c r="D20" s="29">
        <f>SUM(E20:Q20)</f>
        <v>39553.919999999998</v>
      </c>
      <c r="E20" s="29">
        <v>39553.919999999998</v>
      </c>
      <c r="F20" s="35"/>
      <c r="G20" s="35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18.75" customHeight="1">
      <c r="A21" s="30">
        <v>2</v>
      </c>
      <c r="B21" s="48" t="s">
        <v>255</v>
      </c>
      <c r="C21" s="68"/>
      <c r="D21" s="29">
        <f t="shared" ref="D21:D26" si="2">SUM(E21:Q21)</f>
        <v>123413.05</v>
      </c>
      <c r="E21" s="29"/>
      <c r="F21" s="29">
        <f>51200</f>
        <v>51200</v>
      </c>
      <c r="G21" s="35"/>
      <c r="H21" s="29"/>
      <c r="I21" s="29">
        <f>47250+24963.05</f>
        <v>72213.05</v>
      </c>
      <c r="J21" s="29"/>
      <c r="K21" s="29"/>
      <c r="L21" s="29"/>
      <c r="M21" s="29"/>
      <c r="N21" s="29"/>
      <c r="O21" s="29"/>
      <c r="P21" s="29"/>
      <c r="Q21" s="29"/>
    </row>
    <row r="22" spans="1:17" ht="18.75" customHeight="1">
      <c r="A22" s="30">
        <v>3</v>
      </c>
      <c r="B22" s="48" t="s">
        <v>429</v>
      </c>
      <c r="C22" s="68"/>
      <c r="D22" s="29">
        <f t="shared" si="2"/>
        <v>96256.4</v>
      </c>
      <c r="E22" s="29"/>
      <c r="F22" s="29"/>
      <c r="G22" s="29">
        <f>13568.9+82687.5</f>
        <v>96256.4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8.75" customHeight="1">
      <c r="A23" s="30">
        <v>4</v>
      </c>
      <c r="B23" s="48" t="s">
        <v>727</v>
      </c>
      <c r="C23" s="68"/>
      <c r="D23" s="29">
        <f t="shared" si="2"/>
        <v>34382.92</v>
      </c>
      <c r="E23" s="29"/>
      <c r="F23" s="29"/>
      <c r="G23" s="35"/>
      <c r="H23" s="29">
        <f>22482.92+11900</f>
        <v>34382.92</v>
      </c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18.75" customHeight="1">
      <c r="A24" s="30">
        <v>5</v>
      </c>
      <c r="B24" s="48" t="s">
        <v>803</v>
      </c>
      <c r="C24" s="68"/>
      <c r="D24" s="29">
        <f t="shared" si="2"/>
        <v>83363.8</v>
      </c>
      <c r="E24" s="29"/>
      <c r="F24" s="29"/>
      <c r="G24" s="35"/>
      <c r="H24" s="29">
        <f>7800+12563.8</f>
        <v>20363.8</v>
      </c>
      <c r="I24" s="29"/>
      <c r="J24" s="29">
        <f>63000</f>
        <v>63000</v>
      </c>
      <c r="K24" s="29"/>
      <c r="L24" s="29"/>
      <c r="M24" s="29"/>
      <c r="N24" s="29"/>
      <c r="O24" s="29"/>
      <c r="P24" s="29"/>
      <c r="Q24" s="29"/>
    </row>
    <row r="25" spans="1:17" ht="16.5" customHeight="1">
      <c r="A25" s="30">
        <v>6</v>
      </c>
      <c r="B25" s="48" t="s">
        <v>114</v>
      </c>
      <c r="C25" s="81">
        <v>9.14</v>
      </c>
      <c r="D25" s="29">
        <f>SUM(E25:Q25)</f>
        <v>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8.75" customHeight="1">
      <c r="A26" s="30">
        <v>7</v>
      </c>
      <c r="B26" s="48" t="s">
        <v>759</v>
      </c>
      <c r="C26" s="68"/>
      <c r="D26" s="29">
        <f t="shared" si="2"/>
        <v>21459.37</v>
      </c>
      <c r="E26" s="29"/>
      <c r="F26" s="29"/>
      <c r="G26" s="35"/>
      <c r="H26" s="29">
        <v>21459.37</v>
      </c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20.25" customHeight="1">
      <c r="A27" s="60"/>
      <c r="B27" s="58" t="s">
        <v>122</v>
      </c>
      <c r="C27" s="60"/>
      <c r="D27" s="61">
        <f>SUM(D20:D26)</f>
        <v>398429.45999999996</v>
      </c>
      <c r="E27" s="61">
        <f>SUM(E20:E26)</f>
        <v>39553.919999999998</v>
      </c>
      <c r="F27" s="61">
        <f t="shared" ref="F27:Q27" si="3">SUM(F20:F26)</f>
        <v>51200</v>
      </c>
      <c r="G27" s="61">
        <f t="shared" si="3"/>
        <v>96256.4</v>
      </c>
      <c r="H27" s="61">
        <f t="shared" si="3"/>
        <v>76206.09</v>
      </c>
      <c r="I27" s="61">
        <f t="shared" si="3"/>
        <v>72213.05</v>
      </c>
      <c r="J27" s="61">
        <f t="shared" si="3"/>
        <v>63000</v>
      </c>
      <c r="K27" s="61">
        <f t="shared" si="3"/>
        <v>0</v>
      </c>
      <c r="L27" s="61">
        <f t="shared" si="3"/>
        <v>0</v>
      </c>
      <c r="M27" s="61">
        <f t="shared" si="3"/>
        <v>0</v>
      </c>
      <c r="N27" s="61">
        <f t="shared" si="3"/>
        <v>0</v>
      </c>
      <c r="O27" s="61">
        <f t="shared" si="3"/>
        <v>0</v>
      </c>
      <c r="P27" s="61">
        <f t="shared" si="3"/>
        <v>0</v>
      </c>
      <c r="Q27" s="61">
        <f t="shared" si="3"/>
        <v>0</v>
      </c>
    </row>
    <row r="28" spans="1:17" ht="19.5" customHeight="1">
      <c r="A28" s="15"/>
      <c r="B28" s="57" t="s">
        <v>61</v>
      </c>
      <c r="C28" s="15"/>
      <c r="D28" s="16">
        <f t="shared" ref="D28:Q28" si="4">SUM(D19+D27)</f>
        <v>10469070.790000003</v>
      </c>
      <c r="E28" s="16">
        <f t="shared" si="4"/>
        <v>774267.08000000007</v>
      </c>
      <c r="F28" s="16">
        <f t="shared" si="4"/>
        <v>1379766.0400000003</v>
      </c>
      <c r="G28" s="16">
        <f t="shared" si="4"/>
        <v>1696418.7299999997</v>
      </c>
      <c r="H28" s="16">
        <f>SUM(H19,H27)</f>
        <v>2682824.6800000002</v>
      </c>
      <c r="I28" s="16">
        <f t="shared" si="4"/>
        <v>3365496.6799999997</v>
      </c>
      <c r="J28" s="16">
        <f t="shared" si="4"/>
        <v>570297.57999999996</v>
      </c>
      <c r="K28" s="16">
        <f t="shared" si="4"/>
        <v>0</v>
      </c>
      <c r="L28" s="16">
        <f t="shared" si="4"/>
        <v>0</v>
      </c>
      <c r="M28" s="16">
        <f t="shared" si="4"/>
        <v>0</v>
      </c>
      <c r="N28" s="16">
        <f t="shared" si="4"/>
        <v>0</v>
      </c>
      <c r="O28" s="16">
        <f t="shared" si="4"/>
        <v>0</v>
      </c>
      <c r="P28" s="16">
        <f t="shared" si="4"/>
        <v>0</v>
      </c>
      <c r="Q28" s="16">
        <f t="shared" si="4"/>
        <v>0</v>
      </c>
    </row>
    <row r="31" spans="1:17">
      <c r="G31" s="41"/>
    </row>
  </sheetData>
  <sortState ref="B3:E20">
    <sortCondition ref="C3:C20"/>
  </sortState>
  <phoneticPr fontId="8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65"/>
  <sheetViews>
    <sheetView workbookViewId="0">
      <pane xSplit="3" ySplit="1" topLeftCell="D626" activePane="bottomRight" state="frozen"/>
      <selection pane="topRight" activeCell="D1" sqref="D1"/>
      <selection pane="bottomLeft" activeCell="A2" sqref="A2"/>
      <selection pane="bottomRight" activeCell="F642" sqref="F642"/>
    </sheetView>
  </sheetViews>
  <sheetFormatPr defaultRowHeight="13.5"/>
  <cols>
    <col min="2" max="2" width="17.75" customWidth="1"/>
    <col min="3" max="3" width="11.5" customWidth="1"/>
    <col min="4" max="4" width="40.25" customWidth="1"/>
    <col min="5" max="5" width="8.875" customWidth="1"/>
    <col min="6" max="6" width="16.125" bestFit="1" customWidth="1"/>
    <col min="257" max="257" width="17.75" customWidth="1"/>
    <col min="258" max="258" width="11.5" customWidth="1"/>
    <col min="259" max="259" width="33.875" customWidth="1"/>
    <col min="261" max="261" width="16.125" bestFit="1" customWidth="1"/>
    <col min="262" max="262" width="11.125" customWidth="1"/>
    <col min="513" max="513" width="17.75" customWidth="1"/>
    <col min="514" max="514" width="11.5" customWidth="1"/>
    <col min="515" max="515" width="33.875" customWidth="1"/>
    <col min="517" max="517" width="16.125" bestFit="1" customWidth="1"/>
    <col min="518" max="518" width="11.125" customWidth="1"/>
    <col min="769" max="769" width="17.75" customWidth="1"/>
    <col min="770" max="770" width="11.5" customWidth="1"/>
    <col min="771" max="771" width="33.875" customWidth="1"/>
    <col min="773" max="773" width="16.125" bestFit="1" customWidth="1"/>
    <col min="774" max="774" width="11.125" customWidth="1"/>
    <col min="1025" max="1025" width="17.75" customWidth="1"/>
    <col min="1026" max="1026" width="11.5" customWidth="1"/>
    <col min="1027" max="1027" width="33.875" customWidth="1"/>
    <col min="1029" max="1029" width="16.125" bestFit="1" customWidth="1"/>
    <col min="1030" max="1030" width="11.125" customWidth="1"/>
    <col min="1281" max="1281" width="17.75" customWidth="1"/>
    <col min="1282" max="1282" width="11.5" customWidth="1"/>
    <col min="1283" max="1283" width="33.875" customWidth="1"/>
    <col min="1285" max="1285" width="16.125" bestFit="1" customWidth="1"/>
    <col min="1286" max="1286" width="11.125" customWidth="1"/>
    <col min="1537" max="1537" width="17.75" customWidth="1"/>
    <col min="1538" max="1538" width="11.5" customWidth="1"/>
    <col min="1539" max="1539" width="33.875" customWidth="1"/>
    <col min="1541" max="1541" width="16.125" bestFit="1" customWidth="1"/>
    <col min="1542" max="1542" width="11.125" customWidth="1"/>
    <col min="1793" max="1793" width="17.75" customWidth="1"/>
    <col min="1794" max="1794" width="11.5" customWidth="1"/>
    <col min="1795" max="1795" width="33.875" customWidth="1"/>
    <col min="1797" max="1797" width="16.125" bestFit="1" customWidth="1"/>
    <col min="1798" max="1798" width="11.125" customWidth="1"/>
    <col min="2049" max="2049" width="17.75" customWidth="1"/>
    <col min="2050" max="2050" width="11.5" customWidth="1"/>
    <col min="2051" max="2051" width="33.875" customWidth="1"/>
    <col min="2053" max="2053" width="16.125" bestFit="1" customWidth="1"/>
    <col min="2054" max="2054" width="11.125" customWidth="1"/>
    <col min="2305" max="2305" width="17.75" customWidth="1"/>
    <col min="2306" max="2306" width="11.5" customWidth="1"/>
    <col min="2307" max="2307" width="33.875" customWidth="1"/>
    <col min="2309" max="2309" width="16.125" bestFit="1" customWidth="1"/>
    <col min="2310" max="2310" width="11.125" customWidth="1"/>
    <col min="2561" max="2561" width="17.75" customWidth="1"/>
    <col min="2562" max="2562" width="11.5" customWidth="1"/>
    <col min="2563" max="2563" width="33.875" customWidth="1"/>
    <col min="2565" max="2565" width="16.125" bestFit="1" customWidth="1"/>
    <col min="2566" max="2566" width="11.125" customWidth="1"/>
    <col min="2817" max="2817" width="17.75" customWidth="1"/>
    <col min="2818" max="2818" width="11.5" customWidth="1"/>
    <col min="2819" max="2819" width="33.875" customWidth="1"/>
    <col min="2821" max="2821" width="16.125" bestFit="1" customWidth="1"/>
    <col min="2822" max="2822" width="11.125" customWidth="1"/>
    <col min="3073" max="3073" width="17.75" customWidth="1"/>
    <col min="3074" max="3074" width="11.5" customWidth="1"/>
    <col min="3075" max="3075" width="33.875" customWidth="1"/>
    <col min="3077" max="3077" width="16.125" bestFit="1" customWidth="1"/>
    <col min="3078" max="3078" width="11.125" customWidth="1"/>
    <col min="3329" max="3329" width="17.75" customWidth="1"/>
    <col min="3330" max="3330" width="11.5" customWidth="1"/>
    <col min="3331" max="3331" width="33.875" customWidth="1"/>
    <col min="3333" max="3333" width="16.125" bestFit="1" customWidth="1"/>
    <col min="3334" max="3334" width="11.125" customWidth="1"/>
    <col min="3585" max="3585" width="17.75" customWidth="1"/>
    <col min="3586" max="3586" width="11.5" customWidth="1"/>
    <col min="3587" max="3587" width="33.875" customWidth="1"/>
    <col min="3589" max="3589" width="16.125" bestFit="1" customWidth="1"/>
    <col min="3590" max="3590" width="11.125" customWidth="1"/>
    <col min="3841" max="3841" width="17.75" customWidth="1"/>
    <col min="3842" max="3842" width="11.5" customWidth="1"/>
    <col min="3843" max="3843" width="33.875" customWidth="1"/>
    <col min="3845" max="3845" width="16.125" bestFit="1" customWidth="1"/>
    <col min="3846" max="3846" width="11.125" customWidth="1"/>
    <col min="4097" max="4097" width="17.75" customWidth="1"/>
    <col min="4098" max="4098" width="11.5" customWidth="1"/>
    <col min="4099" max="4099" width="33.875" customWidth="1"/>
    <col min="4101" max="4101" width="16.125" bestFit="1" customWidth="1"/>
    <col min="4102" max="4102" width="11.125" customWidth="1"/>
    <col min="4353" max="4353" width="17.75" customWidth="1"/>
    <col min="4354" max="4354" width="11.5" customWidth="1"/>
    <col min="4355" max="4355" width="33.875" customWidth="1"/>
    <col min="4357" max="4357" width="16.125" bestFit="1" customWidth="1"/>
    <col min="4358" max="4358" width="11.125" customWidth="1"/>
    <col min="4609" max="4609" width="17.75" customWidth="1"/>
    <col min="4610" max="4610" width="11.5" customWidth="1"/>
    <col min="4611" max="4611" width="33.875" customWidth="1"/>
    <col min="4613" max="4613" width="16.125" bestFit="1" customWidth="1"/>
    <col min="4614" max="4614" width="11.125" customWidth="1"/>
    <col min="4865" max="4865" width="17.75" customWidth="1"/>
    <col min="4866" max="4866" width="11.5" customWidth="1"/>
    <col min="4867" max="4867" width="33.875" customWidth="1"/>
    <col min="4869" max="4869" width="16.125" bestFit="1" customWidth="1"/>
    <col min="4870" max="4870" width="11.125" customWidth="1"/>
    <col min="5121" max="5121" width="17.75" customWidth="1"/>
    <col min="5122" max="5122" width="11.5" customWidth="1"/>
    <col min="5123" max="5123" width="33.875" customWidth="1"/>
    <col min="5125" max="5125" width="16.125" bestFit="1" customWidth="1"/>
    <col min="5126" max="5126" width="11.125" customWidth="1"/>
    <col min="5377" max="5377" width="17.75" customWidth="1"/>
    <col min="5378" max="5378" width="11.5" customWidth="1"/>
    <col min="5379" max="5379" width="33.875" customWidth="1"/>
    <col min="5381" max="5381" width="16.125" bestFit="1" customWidth="1"/>
    <col min="5382" max="5382" width="11.125" customWidth="1"/>
    <col min="5633" max="5633" width="17.75" customWidth="1"/>
    <col min="5634" max="5634" width="11.5" customWidth="1"/>
    <col min="5635" max="5635" width="33.875" customWidth="1"/>
    <col min="5637" max="5637" width="16.125" bestFit="1" customWidth="1"/>
    <col min="5638" max="5638" width="11.125" customWidth="1"/>
    <col min="5889" max="5889" width="17.75" customWidth="1"/>
    <col min="5890" max="5890" width="11.5" customWidth="1"/>
    <col min="5891" max="5891" width="33.875" customWidth="1"/>
    <col min="5893" max="5893" width="16.125" bestFit="1" customWidth="1"/>
    <col min="5894" max="5894" width="11.125" customWidth="1"/>
    <col min="6145" max="6145" width="17.75" customWidth="1"/>
    <col min="6146" max="6146" width="11.5" customWidth="1"/>
    <col min="6147" max="6147" width="33.875" customWidth="1"/>
    <col min="6149" max="6149" width="16.125" bestFit="1" customWidth="1"/>
    <col min="6150" max="6150" width="11.125" customWidth="1"/>
    <col min="6401" max="6401" width="17.75" customWidth="1"/>
    <col min="6402" max="6402" width="11.5" customWidth="1"/>
    <col min="6403" max="6403" width="33.875" customWidth="1"/>
    <col min="6405" max="6405" width="16.125" bestFit="1" customWidth="1"/>
    <col min="6406" max="6406" width="11.125" customWidth="1"/>
    <col min="6657" max="6657" width="17.75" customWidth="1"/>
    <col min="6658" max="6658" width="11.5" customWidth="1"/>
    <col min="6659" max="6659" width="33.875" customWidth="1"/>
    <col min="6661" max="6661" width="16.125" bestFit="1" customWidth="1"/>
    <col min="6662" max="6662" width="11.125" customWidth="1"/>
    <col min="6913" max="6913" width="17.75" customWidth="1"/>
    <col min="6914" max="6914" width="11.5" customWidth="1"/>
    <col min="6915" max="6915" width="33.875" customWidth="1"/>
    <col min="6917" max="6917" width="16.125" bestFit="1" customWidth="1"/>
    <col min="6918" max="6918" width="11.125" customWidth="1"/>
    <col min="7169" max="7169" width="17.75" customWidth="1"/>
    <col min="7170" max="7170" width="11.5" customWidth="1"/>
    <col min="7171" max="7171" width="33.875" customWidth="1"/>
    <col min="7173" max="7173" width="16.125" bestFit="1" customWidth="1"/>
    <col min="7174" max="7174" width="11.125" customWidth="1"/>
    <col min="7425" max="7425" width="17.75" customWidth="1"/>
    <col min="7426" max="7426" width="11.5" customWidth="1"/>
    <col min="7427" max="7427" width="33.875" customWidth="1"/>
    <col min="7429" max="7429" width="16.125" bestFit="1" customWidth="1"/>
    <col min="7430" max="7430" width="11.125" customWidth="1"/>
    <col min="7681" max="7681" width="17.75" customWidth="1"/>
    <col min="7682" max="7682" width="11.5" customWidth="1"/>
    <col min="7683" max="7683" width="33.875" customWidth="1"/>
    <col min="7685" max="7685" width="16.125" bestFit="1" customWidth="1"/>
    <col min="7686" max="7686" width="11.125" customWidth="1"/>
    <col min="7937" max="7937" width="17.75" customWidth="1"/>
    <col min="7938" max="7938" width="11.5" customWidth="1"/>
    <col min="7939" max="7939" width="33.875" customWidth="1"/>
    <col min="7941" max="7941" width="16.125" bestFit="1" customWidth="1"/>
    <col min="7942" max="7942" width="11.125" customWidth="1"/>
    <col min="8193" max="8193" width="17.75" customWidth="1"/>
    <col min="8194" max="8194" width="11.5" customWidth="1"/>
    <col min="8195" max="8195" width="33.875" customWidth="1"/>
    <col min="8197" max="8197" width="16.125" bestFit="1" customWidth="1"/>
    <col min="8198" max="8198" width="11.125" customWidth="1"/>
    <col min="8449" max="8449" width="17.75" customWidth="1"/>
    <col min="8450" max="8450" width="11.5" customWidth="1"/>
    <col min="8451" max="8451" width="33.875" customWidth="1"/>
    <col min="8453" max="8453" width="16.125" bestFit="1" customWidth="1"/>
    <col min="8454" max="8454" width="11.125" customWidth="1"/>
    <col min="8705" max="8705" width="17.75" customWidth="1"/>
    <col min="8706" max="8706" width="11.5" customWidth="1"/>
    <col min="8707" max="8707" width="33.875" customWidth="1"/>
    <col min="8709" max="8709" width="16.125" bestFit="1" customWidth="1"/>
    <col min="8710" max="8710" width="11.125" customWidth="1"/>
    <col min="8961" max="8961" width="17.75" customWidth="1"/>
    <col min="8962" max="8962" width="11.5" customWidth="1"/>
    <col min="8963" max="8963" width="33.875" customWidth="1"/>
    <col min="8965" max="8965" width="16.125" bestFit="1" customWidth="1"/>
    <col min="8966" max="8966" width="11.125" customWidth="1"/>
    <col min="9217" max="9217" width="17.75" customWidth="1"/>
    <col min="9218" max="9218" width="11.5" customWidth="1"/>
    <col min="9219" max="9219" width="33.875" customWidth="1"/>
    <col min="9221" max="9221" width="16.125" bestFit="1" customWidth="1"/>
    <col min="9222" max="9222" width="11.125" customWidth="1"/>
    <col min="9473" max="9473" width="17.75" customWidth="1"/>
    <col min="9474" max="9474" width="11.5" customWidth="1"/>
    <col min="9475" max="9475" width="33.875" customWidth="1"/>
    <col min="9477" max="9477" width="16.125" bestFit="1" customWidth="1"/>
    <col min="9478" max="9478" width="11.125" customWidth="1"/>
    <col min="9729" max="9729" width="17.75" customWidth="1"/>
    <col min="9730" max="9730" width="11.5" customWidth="1"/>
    <col min="9731" max="9731" width="33.875" customWidth="1"/>
    <col min="9733" max="9733" width="16.125" bestFit="1" customWidth="1"/>
    <col min="9734" max="9734" width="11.125" customWidth="1"/>
    <col min="9985" max="9985" width="17.75" customWidth="1"/>
    <col min="9986" max="9986" width="11.5" customWidth="1"/>
    <col min="9987" max="9987" width="33.875" customWidth="1"/>
    <col min="9989" max="9989" width="16.125" bestFit="1" customWidth="1"/>
    <col min="9990" max="9990" width="11.125" customWidth="1"/>
    <col min="10241" max="10241" width="17.75" customWidth="1"/>
    <col min="10242" max="10242" width="11.5" customWidth="1"/>
    <col min="10243" max="10243" width="33.875" customWidth="1"/>
    <col min="10245" max="10245" width="16.125" bestFit="1" customWidth="1"/>
    <col min="10246" max="10246" width="11.125" customWidth="1"/>
    <col min="10497" max="10497" width="17.75" customWidth="1"/>
    <col min="10498" max="10498" width="11.5" customWidth="1"/>
    <col min="10499" max="10499" width="33.875" customWidth="1"/>
    <col min="10501" max="10501" width="16.125" bestFit="1" customWidth="1"/>
    <col min="10502" max="10502" width="11.125" customWidth="1"/>
    <col min="10753" max="10753" width="17.75" customWidth="1"/>
    <col min="10754" max="10754" width="11.5" customWidth="1"/>
    <col min="10755" max="10755" width="33.875" customWidth="1"/>
    <col min="10757" max="10757" width="16.125" bestFit="1" customWidth="1"/>
    <col min="10758" max="10758" width="11.125" customWidth="1"/>
    <col min="11009" max="11009" width="17.75" customWidth="1"/>
    <col min="11010" max="11010" width="11.5" customWidth="1"/>
    <col min="11011" max="11011" width="33.875" customWidth="1"/>
    <col min="11013" max="11013" width="16.125" bestFit="1" customWidth="1"/>
    <col min="11014" max="11014" width="11.125" customWidth="1"/>
    <col min="11265" max="11265" width="17.75" customWidth="1"/>
    <col min="11266" max="11266" width="11.5" customWidth="1"/>
    <col min="11267" max="11267" width="33.875" customWidth="1"/>
    <col min="11269" max="11269" width="16.125" bestFit="1" customWidth="1"/>
    <col min="11270" max="11270" width="11.125" customWidth="1"/>
    <col min="11521" max="11521" width="17.75" customWidth="1"/>
    <col min="11522" max="11522" width="11.5" customWidth="1"/>
    <col min="11523" max="11523" width="33.875" customWidth="1"/>
    <col min="11525" max="11525" width="16.125" bestFit="1" customWidth="1"/>
    <col min="11526" max="11526" width="11.125" customWidth="1"/>
    <col min="11777" max="11777" width="17.75" customWidth="1"/>
    <col min="11778" max="11778" width="11.5" customWidth="1"/>
    <col min="11779" max="11779" width="33.875" customWidth="1"/>
    <col min="11781" max="11781" width="16.125" bestFit="1" customWidth="1"/>
    <col min="11782" max="11782" width="11.125" customWidth="1"/>
    <col min="12033" max="12033" width="17.75" customWidth="1"/>
    <col min="12034" max="12034" width="11.5" customWidth="1"/>
    <col min="12035" max="12035" width="33.875" customWidth="1"/>
    <col min="12037" max="12037" width="16.125" bestFit="1" customWidth="1"/>
    <col min="12038" max="12038" width="11.125" customWidth="1"/>
    <col min="12289" max="12289" width="17.75" customWidth="1"/>
    <col min="12290" max="12290" width="11.5" customWidth="1"/>
    <col min="12291" max="12291" width="33.875" customWidth="1"/>
    <col min="12293" max="12293" width="16.125" bestFit="1" customWidth="1"/>
    <col min="12294" max="12294" width="11.125" customWidth="1"/>
    <col min="12545" max="12545" width="17.75" customWidth="1"/>
    <col min="12546" max="12546" width="11.5" customWidth="1"/>
    <col min="12547" max="12547" width="33.875" customWidth="1"/>
    <col min="12549" max="12549" width="16.125" bestFit="1" customWidth="1"/>
    <col min="12550" max="12550" width="11.125" customWidth="1"/>
    <col min="12801" max="12801" width="17.75" customWidth="1"/>
    <col min="12802" max="12802" width="11.5" customWidth="1"/>
    <col min="12803" max="12803" width="33.875" customWidth="1"/>
    <col min="12805" max="12805" width="16.125" bestFit="1" customWidth="1"/>
    <col min="12806" max="12806" width="11.125" customWidth="1"/>
    <col min="13057" max="13057" width="17.75" customWidth="1"/>
    <col min="13058" max="13058" width="11.5" customWidth="1"/>
    <col min="13059" max="13059" width="33.875" customWidth="1"/>
    <col min="13061" max="13061" width="16.125" bestFit="1" customWidth="1"/>
    <col min="13062" max="13062" width="11.125" customWidth="1"/>
    <col min="13313" max="13313" width="17.75" customWidth="1"/>
    <col min="13314" max="13314" width="11.5" customWidth="1"/>
    <col min="13315" max="13315" width="33.875" customWidth="1"/>
    <col min="13317" max="13317" width="16.125" bestFit="1" customWidth="1"/>
    <col min="13318" max="13318" width="11.125" customWidth="1"/>
    <col min="13569" max="13569" width="17.75" customWidth="1"/>
    <col min="13570" max="13570" width="11.5" customWidth="1"/>
    <col min="13571" max="13571" width="33.875" customWidth="1"/>
    <col min="13573" max="13573" width="16.125" bestFit="1" customWidth="1"/>
    <col min="13574" max="13574" width="11.125" customWidth="1"/>
    <col min="13825" max="13825" width="17.75" customWidth="1"/>
    <col min="13826" max="13826" width="11.5" customWidth="1"/>
    <col min="13827" max="13827" width="33.875" customWidth="1"/>
    <col min="13829" max="13829" width="16.125" bestFit="1" customWidth="1"/>
    <col min="13830" max="13830" width="11.125" customWidth="1"/>
    <col min="14081" max="14081" width="17.75" customWidth="1"/>
    <col min="14082" max="14082" width="11.5" customWidth="1"/>
    <col min="14083" max="14083" width="33.875" customWidth="1"/>
    <col min="14085" max="14085" width="16.125" bestFit="1" customWidth="1"/>
    <col min="14086" max="14086" width="11.125" customWidth="1"/>
    <col min="14337" max="14337" width="17.75" customWidth="1"/>
    <col min="14338" max="14338" width="11.5" customWidth="1"/>
    <col min="14339" max="14339" width="33.875" customWidth="1"/>
    <col min="14341" max="14341" width="16.125" bestFit="1" customWidth="1"/>
    <col min="14342" max="14342" width="11.125" customWidth="1"/>
    <col min="14593" max="14593" width="17.75" customWidth="1"/>
    <col min="14594" max="14594" width="11.5" customWidth="1"/>
    <col min="14595" max="14595" width="33.875" customWidth="1"/>
    <col min="14597" max="14597" width="16.125" bestFit="1" customWidth="1"/>
    <col min="14598" max="14598" width="11.125" customWidth="1"/>
    <col min="14849" max="14849" width="17.75" customWidth="1"/>
    <col min="14850" max="14850" width="11.5" customWidth="1"/>
    <col min="14851" max="14851" width="33.875" customWidth="1"/>
    <col min="14853" max="14853" width="16.125" bestFit="1" customWidth="1"/>
    <col min="14854" max="14854" width="11.125" customWidth="1"/>
    <col min="15105" max="15105" width="17.75" customWidth="1"/>
    <col min="15106" max="15106" width="11.5" customWidth="1"/>
    <col min="15107" max="15107" width="33.875" customWidth="1"/>
    <col min="15109" max="15109" width="16.125" bestFit="1" customWidth="1"/>
    <col min="15110" max="15110" width="11.125" customWidth="1"/>
    <col min="15361" max="15361" width="17.75" customWidth="1"/>
    <col min="15362" max="15362" width="11.5" customWidth="1"/>
    <col min="15363" max="15363" width="33.875" customWidth="1"/>
    <col min="15365" max="15365" width="16.125" bestFit="1" customWidth="1"/>
    <col min="15366" max="15366" width="11.125" customWidth="1"/>
    <col min="15617" max="15617" width="17.75" customWidth="1"/>
    <col min="15618" max="15618" width="11.5" customWidth="1"/>
    <col min="15619" max="15619" width="33.875" customWidth="1"/>
    <col min="15621" max="15621" width="16.125" bestFit="1" customWidth="1"/>
    <col min="15622" max="15622" width="11.125" customWidth="1"/>
    <col min="15873" max="15873" width="17.75" customWidth="1"/>
    <col min="15874" max="15874" width="11.5" customWidth="1"/>
    <col min="15875" max="15875" width="33.875" customWidth="1"/>
    <col min="15877" max="15877" width="16.125" bestFit="1" customWidth="1"/>
    <col min="15878" max="15878" width="11.125" customWidth="1"/>
    <col min="16129" max="16129" width="17.75" customWidth="1"/>
    <col min="16130" max="16130" width="11.5" customWidth="1"/>
    <col min="16131" max="16131" width="33.875" customWidth="1"/>
    <col min="16133" max="16133" width="16.125" bestFit="1" customWidth="1"/>
    <col min="16134" max="16134" width="11.125" customWidth="1"/>
  </cols>
  <sheetData>
    <row r="1" spans="1:7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38">
        <v>20121119</v>
      </c>
      <c r="B2" s="2" t="s">
        <v>55</v>
      </c>
      <c r="C2" s="37" t="s">
        <v>127</v>
      </c>
      <c r="D2" s="2" t="s">
        <v>128</v>
      </c>
      <c r="E2" s="54" t="s">
        <v>109</v>
      </c>
      <c r="F2" s="49">
        <v>13354.96</v>
      </c>
      <c r="G2" s="70"/>
    </row>
    <row r="3" spans="1:7">
      <c r="A3" s="38">
        <v>20121122</v>
      </c>
      <c r="B3" s="2" t="s">
        <v>55</v>
      </c>
      <c r="C3" s="37" t="s">
        <v>82</v>
      </c>
      <c r="D3" s="2" t="s">
        <v>98</v>
      </c>
      <c r="E3" s="54" t="s">
        <v>106</v>
      </c>
      <c r="F3" s="49">
        <v>11771</v>
      </c>
      <c r="G3" s="70"/>
    </row>
    <row r="4" spans="1:7">
      <c r="A4" s="38">
        <v>20121122</v>
      </c>
      <c r="B4" s="2" t="s">
        <v>55</v>
      </c>
      <c r="C4" s="37" t="s">
        <v>129</v>
      </c>
      <c r="D4" s="2" t="s">
        <v>130</v>
      </c>
      <c r="E4" s="54" t="s">
        <v>131</v>
      </c>
      <c r="F4" s="49">
        <v>78480</v>
      </c>
      <c r="G4" s="70"/>
    </row>
    <row r="5" spans="1:7">
      <c r="A5" s="38">
        <v>20121127</v>
      </c>
      <c r="B5" s="2" t="s">
        <v>132</v>
      </c>
      <c r="C5" s="37" t="s">
        <v>133</v>
      </c>
      <c r="D5" s="2" t="s">
        <v>134</v>
      </c>
      <c r="E5" s="54" t="s">
        <v>135</v>
      </c>
      <c r="F5" s="49">
        <v>23404.799999999999</v>
      </c>
      <c r="G5" s="70"/>
    </row>
    <row r="6" spans="1:7">
      <c r="A6" s="38">
        <v>20121204</v>
      </c>
      <c r="B6" s="2" t="s">
        <v>132</v>
      </c>
      <c r="C6" s="37" t="s">
        <v>136</v>
      </c>
      <c r="D6" s="2" t="s">
        <v>137</v>
      </c>
      <c r="E6" s="51" t="s">
        <v>138</v>
      </c>
      <c r="F6" s="49">
        <v>27012.82</v>
      </c>
      <c r="G6" s="70"/>
    </row>
    <row r="7" spans="1:7">
      <c r="A7" s="38">
        <v>20121204</v>
      </c>
      <c r="B7" s="2" t="s">
        <v>132</v>
      </c>
      <c r="C7" s="37" t="s">
        <v>139</v>
      </c>
      <c r="D7" s="2" t="s">
        <v>140</v>
      </c>
      <c r="E7" s="51" t="s">
        <v>141</v>
      </c>
      <c r="F7" s="49">
        <v>29665.439999999999</v>
      </c>
      <c r="G7" s="70"/>
    </row>
    <row r="8" spans="1:7">
      <c r="A8" s="38">
        <v>20121205</v>
      </c>
      <c r="B8" s="2" t="s">
        <v>132</v>
      </c>
      <c r="C8" s="37" t="s">
        <v>142</v>
      </c>
      <c r="D8" s="37" t="s">
        <v>143</v>
      </c>
      <c r="E8" s="51" t="s">
        <v>144</v>
      </c>
      <c r="F8" s="65">
        <v>12578.48</v>
      </c>
      <c r="G8" s="70"/>
    </row>
    <row r="9" spans="1:7">
      <c r="A9" s="38">
        <v>20121205</v>
      </c>
      <c r="B9" s="2" t="s">
        <v>132</v>
      </c>
      <c r="C9" s="3" t="s">
        <v>145</v>
      </c>
      <c r="D9" s="3" t="s">
        <v>146</v>
      </c>
      <c r="E9" s="53" t="s">
        <v>147</v>
      </c>
      <c r="F9" s="65">
        <v>10000</v>
      </c>
      <c r="G9" s="70"/>
    </row>
    <row r="10" spans="1:7">
      <c r="A10" s="38">
        <v>20121206</v>
      </c>
      <c r="B10" s="2" t="s">
        <v>132</v>
      </c>
      <c r="C10" s="37" t="s">
        <v>148</v>
      </c>
      <c r="D10" s="2" t="s">
        <v>149</v>
      </c>
      <c r="E10" s="51" t="s">
        <v>131</v>
      </c>
      <c r="F10" s="65">
        <v>39900</v>
      </c>
      <c r="G10" s="70"/>
    </row>
    <row r="11" spans="1:7">
      <c r="A11" s="38">
        <v>20121207</v>
      </c>
      <c r="B11" s="2" t="s">
        <v>132</v>
      </c>
      <c r="C11" s="37" t="s">
        <v>142</v>
      </c>
      <c r="D11" s="37" t="s">
        <v>150</v>
      </c>
      <c r="E11" s="51" t="s">
        <v>144</v>
      </c>
      <c r="F11" s="65">
        <v>31392</v>
      </c>
      <c r="G11" s="70"/>
    </row>
    <row r="12" spans="1:7">
      <c r="A12" s="38">
        <v>20121210</v>
      </c>
      <c r="B12" s="2" t="s">
        <v>132</v>
      </c>
      <c r="C12" s="37" t="s">
        <v>151</v>
      </c>
      <c r="D12" s="3" t="s">
        <v>152</v>
      </c>
      <c r="E12" s="53" t="s">
        <v>147</v>
      </c>
      <c r="F12" s="49">
        <v>12690</v>
      </c>
      <c r="G12" s="70"/>
    </row>
    <row r="13" spans="1:7">
      <c r="A13" s="38">
        <v>20121210</v>
      </c>
      <c r="B13" s="2" t="s">
        <v>132</v>
      </c>
      <c r="C13" s="37" t="s">
        <v>151</v>
      </c>
      <c r="D13" s="3" t="s">
        <v>153</v>
      </c>
      <c r="E13" s="53" t="s">
        <v>147</v>
      </c>
      <c r="F13" s="49">
        <v>3133.25</v>
      </c>
      <c r="G13" s="70"/>
    </row>
    <row r="14" spans="1:7">
      <c r="A14" s="38">
        <v>20121210</v>
      </c>
      <c r="B14" s="2" t="s">
        <v>132</v>
      </c>
      <c r="C14" s="37" t="s">
        <v>151</v>
      </c>
      <c r="D14" s="3" t="s">
        <v>154</v>
      </c>
      <c r="E14" s="53" t="s">
        <v>147</v>
      </c>
      <c r="F14" s="49">
        <v>34560</v>
      </c>
      <c r="G14" s="70"/>
    </row>
    <row r="15" spans="1:7">
      <c r="A15" s="38">
        <v>20121210</v>
      </c>
      <c r="B15" s="2" t="s">
        <v>132</v>
      </c>
      <c r="C15" s="37" t="s">
        <v>139</v>
      </c>
      <c r="D15" s="2" t="s">
        <v>140</v>
      </c>
      <c r="E15" s="53" t="s">
        <v>141</v>
      </c>
      <c r="F15" s="49">
        <v>9888.48</v>
      </c>
      <c r="G15" s="70"/>
    </row>
    <row r="16" spans="1:7">
      <c r="A16" s="38">
        <v>20121211</v>
      </c>
      <c r="B16" s="2" t="s">
        <v>132</v>
      </c>
      <c r="C16" s="37" t="s">
        <v>155</v>
      </c>
      <c r="D16" s="37" t="s">
        <v>156</v>
      </c>
      <c r="E16" s="51" t="s">
        <v>144</v>
      </c>
      <c r="F16" s="49">
        <v>15098.16</v>
      </c>
      <c r="G16" s="70"/>
    </row>
    <row r="17" spans="1:7">
      <c r="A17" s="38">
        <v>20121212</v>
      </c>
      <c r="B17" s="2" t="s">
        <v>132</v>
      </c>
      <c r="C17" s="37" t="s">
        <v>157</v>
      </c>
      <c r="D17" s="37" t="s">
        <v>158</v>
      </c>
      <c r="E17" s="51" t="s">
        <v>159</v>
      </c>
      <c r="F17" s="49">
        <v>11416.32</v>
      </c>
      <c r="G17" s="70"/>
    </row>
    <row r="18" spans="1:7">
      <c r="A18" s="38">
        <v>20121212</v>
      </c>
      <c r="B18" s="2" t="s">
        <v>132</v>
      </c>
      <c r="C18" s="35" t="s">
        <v>155</v>
      </c>
      <c r="D18" s="37" t="s">
        <v>160</v>
      </c>
      <c r="E18" s="51" t="s">
        <v>144</v>
      </c>
      <c r="F18" s="49">
        <v>9895</v>
      </c>
      <c r="G18" s="70"/>
    </row>
    <row r="19" spans="1:7">
      <c r="A19" s="38">
        <v>20121217</v>
      </c>
      <c r="B19" s="2" t="s">
        <v>132</v>
      </c>
      <c r="C19" s="37" t="s">
        <v>157</v>
      </c>
      <c r="D19" s="3" t="s">
        <v>161</v>
      </c>
      <c r="E19" s="53" t="s">
        <v>159</v>
      </c>
      <c r="F19" s="49">
        <v>48988.800000000003</v>
      </c>
      <c r="G19" s="70"/>
    </row>
    <row r="20" spans="1:7">
      <c r="A20" s="38">
        <v>20121217</v>
      </c>
      <c r="B20" s="2" t="s">
        <v>132</v>
      </c>
      <c r="C20" s="3" t="s">
        <v>162</v>
      </c>
      <c r="D20" s="3" t="s">
        <v>163</v>
      </c>
      <c r="E20" s="53" t="s">
        <v>138</v>
      </c>
      <c r="F20" s="49">
        <v>13382.5</v>
      </c>
      <c r="G20" s="70"/>
    </row>
    <row r="21" spans="1:7">
      <c r="A21" s="38">
        <v>20121219</v>
      </c>
      <c r="B21" s="2" t="s">
        <v>132</v>
      </c>
      <c r="C21" s="37" t="s">
        <v>139</v>
      </c>
      <c r="D21" s="2" t="s">
        <v>164</v>
      </c>
      <c r="E21" s="2" t="s">
        <v>165</v>
      </c>
      <c r="F21" s="49">
        <v>10149</v>
      </c>
      <c r="G21" s="70"/>
    </row>
    <row r="22" spans="1:7">
      <c r="A22" s="38">
        <v>20121220</v>
      </c>
      <c r="B22" s="2" t="s">
        <v>132</v>
      </c>
      <c r="C22" s="37" t="s">
        <v>136</v>
      </c>
      <c r="D22" s="3" t="s">
        <v>166</v>
      </c>
      <c r="E22" s="3" t="s">
        <v>138</v>
      </c>
      <c r="F22" s="49">
        <v>27107.13</v>
      </c>
      <c r="G22" s="70"/>
    </row>
    <row r="23" spans="1:7">
      <c r="A23" s="38">
        <v>20121220</v>
      </c>
      <c r="B23" s="2" t="s">
        <v>132</v>
      </c>
      <c r="C23" s="3" t="s">
        <v>136</v>
      </c>
      <c r="D23" s="3" t="s">
        <v>166</v>
      </c>
      <c r="E23" s="3" t="s">
        <v>138</v>
      </c>
      <c r="F23" s="49">
        <v>14665.54</v>
      </c>
      <c r="G23" s="70"/>
    </row>
    <row r="24" spans="1:7">
      <c r="A24" s="38">
        <v>20121220</v>
      </c>
      <c r="B24" s="2" t="s">
        <v>132</v>
      </c>
      <c r="C24" s="37" t="s">
        <v>151</v>
      </c>
      <c r="D24" s="3" t="s">
        <v>153</v>
      </c>
      <c r="E24" s="3" t="s">
        <v>147</v>
      </c>
      <c r="F24" s="49">
        <v>22246.75</v>
      </c>
      <c r="G24" s="70"/>
    </row>
    <row r="25" spans="1:7">
      <c r="A25" s="38">
        <v>20121220</v>
      </c>
      <c r="B25" s="2" t="s">
        <v>132</v>
      </c>
      <c r="C25" s="37" t="s">
        <v>167</v>
      </c>
      <c r="D25" s="3" t="s">
        <v>168</v>
      </c>
      <c r="E25" s="3" t="s">
        <v>147</v>
      </c>
      <c r="F25" s="49">
        <v>15900</v>
      </c>
      <c r="G25" s="70"/>
    </row>
    <row r="26" spans="1:7">
      <c r="A26" s="38">
        <v>20121220</v>
      </c>
      <c r="B26" s="2" t="s">
        <v>132</v>
      </c>
      <c r="C26" s="37" t="s">
        <v>145</v>
      </c>
      <c r="D26" s="3" t="s">
        <v>146</v>
      </c>
      <c r="E26" s="3" t="s">
        <v>147</v>
      </c>
      <c r="F26" s="49">
        <v>10000</v>
      </c>
      <c r="G26" s="70"/>
    </row>
    <row r="27" spans="1:7">
      <c r="A27" s="38">
        <v>20121220</v>
      </c>
      <c r="B27" s="2" t="s">
        <v>132</v>
      </c>
      <c r="C27" s="37" t="s">
        <v>145</v>
      </c>
      <c r="D27" s="3" t="s">
        <v>169</v>
      </c>
      <c r="E27" s="3" t="s">
        <v>147</v>
      </c>
      <c r="F27" s="49">
        <v>10000</v>
      </c>
      <c r="G27" s="70"/>
    </row>
    <row r="28" spans="1:7">
      <c r="A28" s="38">
        <v>20121221</v>
      </c>
      <c r="B28" s="2" t="s">
        <v>132</v>
      </c>
      <c r="C28" s="3" t="s">
        <v>170</v>
      </c>
      <c r="D28" s="3" t="s">
        <v>171</v>
      </c>
      <c r="E28" s="3" t="s">
        <v>131</v>
      </c>
      <c r="F28" s="49">
        <v>26094.6</v>
      </c>
      <c r="G28" s="70"/>
    </row>
    <row r="29" spans="1:7">
      <c r="A29" s="38">
        <v>20121225</v>
      </c>
      <c r="B29" s="2" t="s">
        <v>132</v>
      </c>
      <c r="C29" s="3" t="s">
        <v>172</v>
      </c>
      <c r="D29" s="3" t="s">
        <v>173</v>
      </c>
      <c r="E29" s="3" t="s">
        <v>135</v>
      </c>
      <c r="F29" s="49">
        <v>26977.5</v>
      </c>
      <c r="G29" s="70"/>
    </row>
    <row r="30" spans="1:7">
      <c r="A30" s="38">
        <v>20121228</v>
      </c>
      <c r="B30" s="33" t="s">
        <v>132</v>
      </c>
      <c r="C30" s="37" t="s">
        <v>155</v>
      </c>
      <c r="D30" s="2" t="s">
        <v>143</v>
      </c>
      <c r="E30" s="2" t="s">
        <v>144</v>
      </c>
      <c r="F30" s="49">
        <v>15628.66</v>
      </c>
      <c r="G30" s="70"/>
    </row>
    <row r="31" spans="1:7">
      <c r="A31" s="38">
        <v>20121228</v>
      </c>
      <c r="B31" s="33" t="s">
        <v>132</v>
      </c>
      <c r="C31" s="37" t="s">
        <v>579</v>
      </c>
      <c r="D31" s="2" t="s">
        <v>174</v>
      </c>
      <c r="E31" s="2" t="s">
        <v>144</v>
      </c>
      <c r="F31" s="49">
        <v>12452.62</v>
      </c>
      <c r="G31" s="70"/>
    </row>
    <row r="32" spans="1:7">
      <c r="A32" s="38">
        <v>20121231</v>
      </c>
      <c r="B32" s="2" t="s">
        <v>132</v>
      </c>
      <c r="C32" s="37" t="s">
        <v>192</v>
      </c>
      <c r="D32" s="2" t="s">
        <v>193</v>
      </c>
      <c r="E32" s="2" t="s">
        <v>194</v>
      </c>
      <c r="F32" s="49">
        <v>63648</v>
      </c>
    </row>
    <row r="33" spans="1:7">
      <c r="A33" s="38">
        <v>20121231</v>
      </c>
      <c r="B33" s="33" t="s">
        <v>195</v>
      </c>
      <c r="C33" s="37" t="s">
        <v>196</v>
      </c>
      <c r="D33" s="2" t="s">
        <v>197</v>
      </c>
      <c r="E33" s="2" t="s">
        <v>131</v>
      </c>
      <c r="F33" s="49">
        <v>9600</v>
      </c>
      <c r="G33" t="s">
        <v>198</v>
      </c>
    </row>
    <row r="34" spans="1:7">
      <c r="A34" s="38">
        <v>20121231</v>
      </c>
      <c r="B34" s="2" t="s">
        <v>132</v>
      </c>
      <c r="C34" s="37" t="s">
        <v>157</v>
      </c>
      <c r="D34" s="2" t="s">
        <v>199</v>
      </c>
      <c r="E34" s="2" t="s">
        <v>159</v>
      </c>
      <c r="F34" s="49">
        <v>35840</v>
      </c>
    </row>
    <row r="35" spans="1:7">
      <c r="A35" s="38">
        <v>20121231</v>
      </c>
      <c r="B35" s="33" t="s">
        <v>132</v>
      </c>
      <c r="C35" s="37" t="s">
        <v>200</v>
      </c>
      <c r="D35" s="2" t="s">
        <v>201</v>
      </c>
      <c r="E35" s="2" t="s">
        <v>202</v>
      </c>
      <c r="F35" s="49">
        <v>37345.269999999997</v>
      </c>
    </row>
    <row r="36" spans="1:7" s="40" customFormat="1" ht="25.5" customHeight="1">
      <c r="A36" s="111" t="s">
        <v>203</v>
      </c>
      <c r="B36" s="111"/>
      <c r="C36" s="39"/>
      <c r="D36" s="39"/>
      <c r="E36" s="39"/>
      <c r="F36" s="43">
        <f>SUM(F2:F35)</f>
        <v>774267.08</v>
      </c>
    </row>
    <row r="37" spans="1:7">
      <c r="A37" s="54">
        <v>20130106</v>
      </c>
      <c r="B37" s="54" t="s">
        <v>204</v>
      </c>
      <c r="C37" s="37" t="s">
        <v>205</v>
      </c>
      <c r="D37" s="3" t="s">
        <v>206</v>
      </c>
      <c r="E37" s="3" t="s">
        <v>207</v>
      </c>
      <c r="F37" s="49">
        <v>11301.12</v>
      </c>
      <c r="G37" s="70"/>
    </row>
    <row r="38" spans="1:7">
      <c r="A38" s="54">
        <v>20130106</v>
      </c>
      <c r="B38" s="54" t="s">
        <v>204</v>
      </c>
      <c r="C38" s="37" t="s">
        <v>208</v>
      </c>
      <c r="D38" s="3" t="s">
        <v>209</v>
      </c>
      <c r="E38" s="3" t="s">
        <v>210</v>
      </c>
      <c r="F38" s="49">
        <v>13379.58</v>
      </c>
      <c r="G38" s="70"/>
    </row>
    <row r="39" spans="1:7">
      <c r="A39" s="54">
        <v>20130110</v>
      </c>
      <c r="B39" s="33" t="s">
        <v>55</v>
      </c>
      <c r="C39" s="2" t="s">
        <v>211</v>
      </c>
      <c r="D39" s="2" t="s">
        <v>212</v>
      </c>
      <c r="E39" s="3" t="s">
        <v>213</v>
      </c>
      <c r="F39" s="49">
        <v>11816.74</v>
      </c>
      <c r="G39" s="70"/>
    </row>
    <row r="40" spans="1:7">
      <c r="A40" s="54">
        <v>20130110</v>
      </c>
      <c r="B40" s="54" t="s">
        <v>55</v>
      </c>
      <c r="C40" s="3" t="s">
        <v>214</v>
      </c>
      <c r="D40" s="3" t="s">
        <v>215</v>
      </c>
      <c r="E40" s="3" t="s">
        <v>216</v>
      </c>
      <c r="F40" s="49">
        <v>15597.9</v>
      </c>
      <c r="G40" s="70"/>
    </row>
    <row r="41" spans="1:7">
      <c r="A41" s="54">
        <v>20130111</v>
      </c>
      <c r="B41" s="2" t="s">
        <v>55</v>
      </c>
      <c r="C41" s="85" t="s">
        <v>217</v>
      </c>
      <c r="D41" s="54" t="s">
        <v>218</v>
      </c>
      <c r="E41" s="54" t="s">
        <v>219</v>
      </c>
      <c r="F41" s="49">
        <v>43984.800000000003</v>
      </c>
      <c r="G41" s="70"/>
    </row>
    <row r="42" spans="1:7">
      <c r="A42" s="54">
        <v>20130111</v>
      </c>
      <c r="B42" s="2" t="s">
        <v>55</v>
      </c>
      <c r="C42" s="54" t="s">
        <v>220</v>
      </c>
      <c r="D42" s="54" t="s">
        <v>221</v>
      </c>
      <c r="E42" s="54" t="s">
        <v>222</v>
      </c>
      <c r="F42" s="49">
        <v>44683.199999999997</v>
      </c>
      <c r="G42" s="70"/>
    </row>
    <row r="43" spans="1:7">
      <c r="A43" s="54">
        <v>20130111</v>
      </c>
      <c r="B43" s="33" t="s">
        <v>223</v>
      </c>
      <c r="C43" s="54" t="s">
        <v>224</v>
      </c>
      <c r="D43" s="54" t="s">
        <v>225</v>
      </c>
      <c r="E43" s="54" t="s">
        <v>226</v>
      </c>
      <c r="F43" s="49">
        <v>4708.8</v>
      </c>
      <c r="G43" t="s">
        <v>246</v>
      </c>
    </row>
    <row r="44" spans="1:7">
      <c r="A44" s="54">
        <v>20130111</v>
      </c>
      <c r="B44" s="33" t="s">
        <v>55</v>
      </c>
      <c r="C44" s="35" t="s">
        <v>228</v>
      </c>
      <c r="D44" s="33" t="s">
        <v>229</v>
      </c>
      <c r="E44" s="33" t="s">
        <v>219</v>
      </c>
      <c r="F44" s="49">
        <v>67682.259999999995</v>
      </c>
      <c r="G44" s="70"/>
    </row>
    <row r="45" spans="1:7">
      <c r="A45" s="54">
        <v>20130114</v>
      </c>
      <c r="B45" s="2" t="s">
        <v>132</v>
      </c>
      <c r="C45" s="51" t="s">
        <v>231</v>
      </c>
      <c r="D45" s="54" t="s">
        <v>232</v>
      </c>
      <c r="E45" s="54" t="s">
        <v>233</v>
      </c>
      <c r="F45" s="49">
        <v>15900</v>
      </c>
      <c r="G45" s="70"/>
    </row>
    <row r="46" spans="1:7">
      <c r="A46" s="54">
        <v>20130114</v>
      </c>
      <c r="B46" s="33" t="s">
        <v>195</v>
      </c>
      <c r="C46" s="37" t="s">
        <v>234</v>
      </c>
      <c r="D46" s="3" t="s">
        <v>235</v>
      </c>
      <c r="E46" s="3" t="s">
        <v>236</v>
      </c>
      <c r="F46" s="49">
        <v>7800</v>
      </c>
      <c r="G46" t="s">
        <v>246</v>
      </c>
    </row>
    <row r="47" spans="1:7">
      <c r="A47" s="54">
        <v>20130114</v>
      </c>
      <c r="B47" s="33" t="s">
        <v>132</v>
      </c>
      <c r="C47" s="35" t="s">
        <v>237</v>
      </c>
      <c r="D47" s="33" t="s">
        <v>238</v>
      </c>
      <c r="E47" s="33" t="s">
        <v>239</v>
      </c>
      <c r="F47" s="49">
        <v>36223.339999999997</v>
      </c>
      <c r="G47" s="70"/>
    </row>
    <row r="48" spans="1:7">
      <c r="A48" s="86">
        <v>20130114</v>
      </c>
      <c r="B48" s="2" t="s">
        <v>132</v>
      </c>
      <c r="C48" s="37" t="s">
        <v>240</v>
      </c>
      <c r="D48" s="3" t="s">
        <v>241</v>
      </c>
      <c r="E48" s="3" t="s">
        <v>242</v>
      </c>
      <c r="F48" s="49">
        <v>11693</v>
      </c>
      <c r="G48" s="49"/>
    </row>
    <row r="49" spans="1:7">
      <c r="A49" s="54">
        <v>20130114</v>
      </c>
      <c r="B49" s="2" t="s">
        <v>132</v>
      </c>
      <c r="C49" s="54" t="s">
        <v>243</v>
      </c>
      <c r="D49" s="54" t="s">
        <v>244</v>
      </c>
      <c r="E49" s="54" t="s">
        <v>245</v>
      </c>
      <c r="F49" s="49">
        <v>66747.240000000005</v>
      </c>
      <c r="G49" s="50"/>
    </row>
    <row r="50" spans="1:7">
      <c r="A50" s="54">
        <v>20130115</v>
      </c>
      <c r="B50" s="2" t="s">
        <v>132</v>
      </c>
      <c r="C50" s="37" t="s">
        <v>247</v>
      </c>
      <c r="D50" s="53" t="s">
        <v>248</v>
      </c>
      <c r="E50" s="3" t="s">
        <v>249</v>
      </c>
      <c r="F50" s="49">
        <v>51200</v>
      </c>
      <c r="G50" s="70"/>
    </row>
    <row r="51" spans="1:7">
      <c r="A51" s="54">
        <v>20130115</v>
      </c>
      <c r="B51" s="2" t="s">
        <v>55</v>
      </c>
      <c r="C51" s="51" t="s">
        <v>250</v>
      </c>
      <c r="D51" s="54" t="s">
        <v>251</v>
      </c>
      <c r="E51" s="54" t="s">
        <v>252</v>
      </c>
      <c r="F51" s="49">
        <v>9700</v>
      </c>
      <c r="G51" s="70"/>
    </row>
    <row r="52" spans="1:7">
      <c r="A52" s="54">
        <v>20130116</v>
      </c>
      <c r="B52" s="2" t="s">
        <v>55</v>
      </c>
      <c r="C52" s="51" t="s">
        <v>256</v>
      </c>
      <c r="D52" s="54" t="s">
        <v>1290</v>
      </c>
      <c r="E52" s="54" t="s">
        <v>258</v>
      </c>
      <c r="F52" s="49">
        <v>49442.400000000001</v>
      </c>
      <c r="G52" s="70"/>
    </row>
    <row r="53" spans="1:7">
      <c r="A53" s="54">
        <v>20130116</v>
      </c>
      <c r="B53" s="2" t="s">
        <v>55</v>
      </c>
      <c r="C53" s="51" t="s">
        <v>259</v>
      </c>
      <c r="D53" s="54" t="s">
        <v>260</v>
      </c>
      <c r="E53" s="54" t="s">
        <v>261</v>
      </c>
      <c r="F53" s="49">
        <v>15423</v>
      </c>
      <c r="G53" s="70"/>
    </row>
    <row r="54" spans="1:7">
      <c r="A54" s="86">
        <v>20130116</v>
      </c>
      <c r="B54" s="2" t="s">
        <v>55</v>
      </c>
      <c r="C54" s="37" t="s">
        <v>262</v>
      </c>
      <c r="D54" s="3" t="s">
        <v>263</v>
      </c>
      <c r="E54" s="3" t="s">
        <v>264</v>
      </c>
      <c r="F54" s="49">
        <v>25446</v>
      </c>
      <c r="G54" s="70"/>
    </row>
    <row r="55" spans="1:7">
      <c r="A55" s="54">
        <v>20130117</v>
      </c>
      <c r="B55" s="2" t="s">
        <v>55</v>
      </c>
      <c r="C55" s="51" t="s">
        <v>265</v>
      </c>
      <c r="D55" s="54" t="s">
        <v>266</v>
      </c>
      <c r="E55" s="54" t="s">
        <v>267</v>
      </c>
      <c r="F55" s="49">
        <v>38400</v>
      </c>
      <c r="G55" s="70"/>
    </row>
    <row r="56" spans="1:7">
      <c r="A56" s="54">
        <v>20130117</v>
      </c>
      <c r="B56" s="2" t="s">
        <v>55</v>
      </c>
      <c r="C56" s="51" t="s">
        <v>268</v>
      </c>
      <c r="D56" s="51" t="s">
        <v>269</v>
      </c>
      <c r="E56" s="54" t="s">
        <v>270</v>
      </c>
      <c r="F56" s="49">
        <v>13329.83</v>
      </c>
      <c r="G56" s="70"/>
    </row>
    <row r="57" spans="1:7">
      <c r="A57" s="54">
        <v>20130117</v>
      </c>
      <c r="B57" s="2" t="s">
        <v>55</v>
      </c>
      <c r="C57" s="51" t="s">
        <v>271</v>
      </c>
      <c r="D57" s="54" t="s">
        <v>272</v>
      </c>
      <c r="E57" s="54" t="s">
        <v>273</v>
      </c>
      <c r="F57" s="49">
        <v>19589</v>
      </c>
      <c r="G57" s="70"/>
    </row>
    <row r="58" spans="1:7">
      <c r="A58" s="54">
        <v>20130118</v>
      </c>
      <c r="B58" s="2" t="s">
        <v>274</v>
      </c>
      <c r="C58" s="37" t="s">
        <v>275</v>
      </c>
      <c r="D58" s="3" t="s">
        <v>276</v>
      </c>
      <c r="E58" s="3" t="s">
        <v>277</v>
      </c>
      <c r="F58" s="49">
        <v>13588</v>
      </c>
      <c r="G58" s="70"/>
    </row>
    <row r="59" spans="1:7">
      <c r="A59" s="54">
        <v>20130118</v>
      </c>
      <c r="B59" s="2" t="s">
        <v>278</v>
      </c>
      <c r="C59" s="37" t="s">
        <v>279</v>
      </c>
      <c r="D59" s="3" t="s">
        <v>280</v>
      </c>
      <c r="E59" s="3" t="s">
        <v>281</v>
      </c>
      <c r="F59" s="49">
        <v>30000</v>
      </c>
      <c r="G59" s="70"/>
    </row>
    <row r="60" spans="1:7">
      <c r="A60" s="54">
        <v>20130121</v>
      </c>
      <c r="B60" s="54" t="s">
        <v>283</v>
      </c>
      <c r="C60" s="37" t="s">
        <v>284</v>
      </c>
      <c r="D60" s="3" t="s">
        <v>285</v>
      </c>
      <c r="E60" s="3" t="s">
        <v>286</v>
      </c>
      <c r="F60" s="49">
        <v>50227.199999999997</v>
      </c>
      <c r="G60" s="70"/>
    </row>
    <row r="61" spans="1:7">
      <c r="A61" s="86">
        <v>20130121</v>
      </c>
      <c r="B61" s="2" t="s">
        <v>283</v>
      </c>
      <c r="C61" s="37" t="s">
        <v>287</v>
      </c>
      <c r="D61" s="3" t="s">
        <v>288</v>
      </c>
      <c r="E61" s="3" t="s">
        <v>289</v>
      </c>
      <c r="F61" s="49">
        <v>11500</v>
      </c>
      <c r="G61" s="70"/>
    </row>
    <row r="62" spans="1:7">
      <c r="A62" s="86">
        <v>20130121</v>
      </c>
      <c r="B62" s="33" t="s">
        <v>291</v>
      </c>
      <c r="C62" s="37" t="s">
        <v>293</v>
      </c>
      <c r="D62" s="3" t="s">
        <v>294</v>
      </c>
      <c r="E62" s="3" t="s">
        <v>296</v>
      </c>
      <c r="F62" s="49">
        <v>4800</v>
      </c>
      <c r="G62" t="s">
        <v>246</v>
      </c>
    </row>
    <row r="63" spans="1:7">
      <c r="A63" s="86">
        <v>20130122</v>
      </c>
      <c r="B63" s="33" t="s">
        <v>290</v>
      </c>
      <c r="C63" s="37" t="s">
        <v>292</v>
      </c>
      <c r="D63" s="53" t="s">
        <v>298</v>
      </c>
      <c r="E63" s="3" t="s">
        <v>295</v>
      </c>
      <c r="F63" s="49">
        <v>25000</v>
      </c>
      <c r="G63" s="49" t="s">
        <v>299</v>
      </c>
    </row>
    <row r="64" spans="1:7">
      <c r="A64" s="86">
        <v>20130122</v>
      </c>
      <c r="B64" s="54" t="s">
        <v>55</v>
      </c>
      <c r="C64" s="86" t="s">
        <v>300</v>
      </c>
      <c r="D64" s="86" t="s">
        <v>301</v>
      </c>
      <c r="E64" s="86" t="s">
        <v>302</v>
      </c>
      <c r="F64" s="49">
        <v>11301.12</v>
      </c>
      <c r="G64" s="70"/>
    </row>
    <row r="65" spans="1:7" s="40" customFormat="1">
      <c r="A65" s="86">
        <v>20130122</v>
      </c>
      <c r="B65" s="54" t="s">
        <v>55</v>
      </c>
      <c r="C65" s="86" t="s">
        <v>303</v>
      </c>
      <c r="D65" s="86" t="s">
        <v>304</v>
      </c>
      <c r="E65" s="86" t="s">
        <v>305</v>
      </c>
      <c r="F65" s="49">
        <v>11124.54</v>
      </c>
      <c r="G65" s="73"/>
    </row>
    <row r="66" spans="1:7">
      <c r="A66" s="54">
        <v>20130123</v>
      </c>
      <c r="B66" s="2" t="s">
        <v>55</v>
      </c>
      <c r="C66" s="37" t="s">
        <v>306</v>
      </c>
      <c r="D66" s="3" t="s">
        <v>307</v>
      </c>
      <c r="E66" s="3" t="s">
        <v>308</v>
      </c>
      <c r="F66" s="49">
        <v>15900</v>
      </c>
      <c r="G66" s="75"/>
    </row>
    <row r="67" spans="1:7">
      <c r="A67" s="54">
        <v>20130123</v>
      </c>
      <c r="B67" s="33" t="s">
        <v>309</v>
      </c>
      <c r="C67" s="37" t="s">
        <v>310</v>
      </c>
      <c r="D67" s="3" t="s">
        <v>311</v>
      </c>
      <c r="E67" s="3" t="s">
        <v>312</v>
      </c>
      <c r="F67" s="49">
        <v>9600</v>
      </c>
      <c r="G67" t="s">
        <v>316</v>
      </c>
    </row>
    <row r="68" spans="1:7">
      <c r="A68" s="54">
        <v>20130123</v>
      </c>
      <c r="B68" s="33" t="s">
        <v>309</v>
      </c>
      <c r="C68" s="54" t="s">
        <v>313</v>
      </c>
      <c r="D68" s="54" t="s">
        <v>314</v>
      </c>
      <c r="E68" s="85" t="s">
        <v>315</v>
      </c>
      <c r="F68" s="49">
        <v>31000</v>
      </c>
      <c r="G68" s="49" t="s">
        <v>299</v>
      </c>
    </row>
    <row r="69" spans="1:7">
      <c r="A69" s="38">
        <v>20130124</v>
      </c>
      <c r="B69" s="33" t="s">
        <v>55</v>
      </c>
      <c r="C69" s="35" t="s">
        <v>318</v>
      </c>
      <c r="D69" s="33" t="s">
        <v>319</v>
      </c>
      <c r="E69" s="3" t="s">
        <v>213</v>
      </c>
      <c r="F69" s="56">
        <v>16832.57</v>
      </c>
      <c r="G69" s="76"/>
    </row>
    <row r="70" spans="1:7">
      <c r="A70" s="38">
        <v>20130124</v>
      </c>
      <c r="B70" s="2" t="s">
        <v>55</v>
      </c>
      <c r="C70" s="37" t="s">
        <v>320</v>
      </c>
      <c r="D70" s="3" t="s">
        <v>321</v>
      </c>
      <c r="E70" s="3" t="s">
        <v>322</v>
      </c>
      <c r="F70" s="49">
        <v>69120</v>
      </c>
      <c r="G70" s="76"/>
    </row>
    <row r="71" spans="1:7">
      <c r="A71" s="86">
        <v>20130125</v>
      </c>
      <c r="B71" s="54" t="s">
        <v>55</v>
      </c>
      <c r="C71" s="37" t="s">
        <v>284</v>
      </c>
      <c r="D71" s="3" t="s">
        <v>323</v>
      </c>
      <c r="E71" s="3" t="s">
        <v>109</v>
      </c>
      <c r="F71" s="49">
        <v>49766.400000000001</v>
      </c>
      <c r="G71" s="50"/>
    </row>
    <row r="72" spans="1:7">
      <c r="A72" s="86">
        <v>20130125</v>
      </c>
      <c r="B72" s="54" t="s">
        <v>55</v>
      </c>
      <c r="C72" s="37" t="s">
        <v>324</v>
      </c>
      <c r="D72" s="3" t="s">
        <v>325</v>
      </c>
      <c r="E72" s="3" t="s">
        <v>109</v>
      </c>
      <c r="F72" s="49">
        <v>13382.5</v>
      </c>
      <c r="G72" s="50"/>
    </row>
    <row r="73" spans="1:7">
      <c r="A73" s="86">
        <v>20130125</v>
      </c>
      <c r="B73" s="54" t="s">
        <v>55</v>
      </c>
      <c r="C73" s="37" t="s">
        <v>326</v>
      </c>
      <c r="D73" s="3" t="s">
        <v>327</v>
      </c>
      <c r="E73" s="3" t="s">
        <v>328</v>
      </c>
      <c r="F73" s="49">
        <v>13503.46</v>
      </c>
      <c r="G73" s="50"/>
    </row>
    <row r="74" spans="1:7">
      <c r="A74" s="86">
        <v>20130125</v>
      </c>
      <c r="B74" s="2" t="s">
        <v>55</v>
      </c>
      <c r="C74" s="54" t="s">
        <v>329</v>
      </c>
      <c r="D74" s="54" t="s">
        <v>330</v>
      </c>
      <c r="E74" s="54" t="s">
        <v>159</v>
      </c>
      <c r="F74" s="49">
        <v>20000</v>
      </c>
      <c r="G74" s="76"/>
    </row>
    <row r="75" spans="1:7">
      <c r="A75" s="86">
        <v>20130125</v>
      </c>
      <c r="B75" s="33" t="s">
        <v>195</v>
      </c>
      <c r="C75" s="54" t="s">
        <v>331</v>
      </c>
      <c r="D75" s="54" t="s">
        <v>332</v>
      </c>
      <c r="E75" s="54" t="s">
        <v>333</v>
      </c>
      <c r="F75" s="49">
        <v>6000</v>
      </c>
      <c r="G75" t="s">
        <v>246</v>
      </c>
    </row>
    <row r="76" spans="1:7">
      <c r="A76" s="86">
        <v>20130125</v>
      </c>
      <c r="B76" s="2" t="s">
        <v>55</v>
      </c>
      <c r="C76" s="54" t="s">
        <v>334</v>
      </c>
      <c r="D76" s="54" t="s">
        <v>335</v>
      </c>
      <c r="E76" s="85" t="s">
        <v>144</v>
      </c>
      <c r="F76" s="49">
        <v>15597.9</v>
      </c>
      <c r="G76" s="76"/>
    </row>
    <row r="77" spans="1:7">
      <c r="A77" s="86">
        <v>20130125</v>
      </c>
      <c r="B77" s="33" t="s">
        <v>55</v>
      </c>
      <c r="C77" s="35" t="s">
        <v>336</v>
      </c>
      <c r="D77" s="33" t="s">
        <v>337</v>
      </c>
      <c r="E77" s="3" t="s">
        <v>338</v>
      </c>
      <c r="F77" s="49">
        <v>52031.37</v>
      </c>
      <c r="G77" s="76"/>
    </row>
    <row r="78" spans="1:7">
      <c r="A78" s="86">
        <v>20130125</v>
      </c>
      <c r="B78" s="33" t="s">
        <v>195</v>
      </c>
      <c r="C78" s="37" t="s">
        <v>339</v>
      </c>
      <c r="D78" s="3" t="s">
        <v>340</v>
      </c>
      <c r="E78" s="3" t="s">
        <v>147</v>
      </c>
      <c r="F78" s="49">
        <v>9600</v>
      </c>
      <c r="G78" t="s">
        <v>198</v>
      </c>
    </row>
    <row r="79" spans="1:7">
      <c r="A79" s="54">
        <v>20130128</v>
      </c>
      <c r="B79" s="33" t="s">
        <v>195</v>
      </c>
      <c r="C79" s="37" t="s">
        <v>292</v>
      </c>
      <c r="D79" s="3" t="s">
        <v>341</v>
      </c>
      <c r="E79" s="3" t="s">
        <v>295</v>
      </c>
      <c r="F79" s="49">
        <v>4800</v>
      </c>
      <c r="G79" t="s">
        <v>246</v>
      </c>
    </row>
    <row r="80" spans="1:7">
      <c r="A80" s="54">
        <v>20130128</v>
      </c>
      <c r="B80" s="33" t="s">
        <v>195</v>
      </c>
      <c r="C80" s="37" t="s">
        <v>342</v>
      </c>
      <c r="D80" s="3" t="s">
        <v>343</v>
      </c>
      <c r="E80" s="3" t="s">
        <v>295</v>
      </c>
      <c r="F80" s="49">
        <v>12960</v>
      </c>
      <c r="G80" t="s">
        <v>889</v>
      </c>
    </row>
    <row r="81" spans="1:7">
      <c r="A81" s="54">
        <v>20130128</v>
      </c>
      <c r="B81" s="2" t="s">
        <v>55</v>
      </c>
      <c r="C81" s="54" t="s">
        <v>344</v>
      </c>
      <c r="D81" s="54" t="s">
        <v>345</v>
      </c>
      <c r="E81" s="85" t="s">
        <v>346</v>
      </c>
      <c r="F81" s="49">
        <v>24444</v>
      </c>
      <c r="G81" s="76"/>
    </row>
    <row r="82" spans="1:7">
      <c r="A82" s="54">
        <v>20130128</v>
      </c>
      <c r="B82" s="33" t="s">
        <v>195</v>
      </c>
      <c r="C82" s="54" t="s">
        <v>347</v>
      </c>
      <c r="D82" s="54" t="s">
        <v>348</v>
      </c>
      <c r="E82" s="54" t="s">
        <v>131</v>
      </c>
      <c r="F82" s="49">
        <v>20000</v>
      </c>
      <c r="G82" t="s">
        <v>316</v>
      </c>
    </row>
    <row r="83" spans="1:7">
      <c r="A83" s="86">
        <v>20130130</v>
      </c>
      <c r="B83" s="33" t="s">
        <v>132</v>
      </c>
      <c r="C83" s="3" t="s">
        <v>349</v>
      </c>
      <c r="D83" s="3" t="s">
        <v>350</v>
      </c>
      <c r="E83" s="3" t="s">
        <v>296</v>
      </c>
      <c r="F83" s="49">
        <v>4500</v>
      </c>
    </row>
    <row r="84" spans="1:7">
      <c r="A84" s="86">
        <v>20130130</v>
      </c>
      <c r="B84" s="2" t="s">
        <v>351</v>
      </c>
      <c r="C84" s="37" t="s">
        <v>352</v>
      </c>
      <c r="D84" s="3" t="s">
        <v>353</v>
      </c>
      <c r="E84" s="3" t="s">
        <v>354</v>
      </c>
      <c r="F84" s="49">
        <v>41310</v>
      </c>
      <c r="G84" s="76"/>
    </row>
    <row r="85" spans="1:7">
      <c r="A85" s="54">
        <v>20130131</v>
      </c>
      <c r="B85" s="2" t="s">
        <v>55</v>
      </c>
      <c r="C85" s="54" t="s">
        <v>231</v>
      </c>
      <c r="D85" s="54" t="s">
        <v>355</v>
      </c>
      <c r="E85" s="85" t="s">
        <v>144</v>
      </c>
      <c r="F85" s="49">
        <v>10476</v>
      </c>
      <c r="G85" s="76"/>
    </row>
    <row r="86" spans="1:7">
      <c r="A86" s="54">
        <v>20130131</v>
      </c>
      <c r="B86" s="2" t="s">
        <v>55</v>
      </c>
      <c r="C86" s="54" t="s">
        <v>356</v>
      </c>
      <c r="D86" s="54" t="s">
        <v>357</v>
      </c>
      <c r="E86" s="85" t="s">
        <v>302</v>
      </c>
      <c r="F86" s="49">
        <v>11301.12</v>
      </c>
      <c r="G86" s="76"/>
    </row>
    <row r="87" spans="1:7">
      <c r="A87" s="54">
        <v>20130131</v>
      </c>
      <c r="B87" s="33" t="s">
        <v>195</v>
      </c>
      <c r="C87" s="37" t="s">
        <v>358</v>
      </c>
      <c r="D87" s="51" t="s">
        <v>359</v>
      </c>
      <c r="E87" s="3" t="s">
        <v>360</v>
      </c>
      <c r="F87" s="49">
        <v>4800</v>
      </c>
      <c r="G87" t="s">
        <v>246</v>
      </c>
    </row>
    <row r="88" spans="1:7">
      <c r="A88" s="86">
        <v>20130131</v>
      </c>
      <c r="B88" s="2" t="s">
        <v>55</v>
      </c>
      <c r="C88" s="37" t="s">
        <v>361</v>
      </c>
      <c r="D88" s="3" t="s">
        <v>362</v>
      </c>
      <c r="E88" s="3" t="s">
        <v>360</v>
      </c>
      <c r="F88" s="49">
        <v>12420</v>
      </c>
      <c r="G88" s="76"/>
    </row>
    <row r="89" spans="1:7">
      <c r="A89" s="86">
        <v>20130131</v>
      </c>
      <c r="B89" s="2" t="s">
        <v>55</v>
      </c>
      <c r="C89" s="37" t="s">
        <v>73</v>
      </c>
      <c r="D89" s="3" t="s">
        <v>363</v>
      </c>
      <c r="E89" s="3" t="s">
        <v>264</v>
      </c>
      <c r="F89" s="49">
        <v>14310</v>
      </c>
      <c r="G89" s="76"/>
    </row>
    <row r="90" spans="1:7">
      <c r="A90" s="86">
        <v>20130131</v>
      </c>
      <c r="B90" s="2" t="s">
        <v>55</v>
      </c>
      <c r="C90" s="37" t="s">
        <v>364</v>
      </c>
      <c r="D90" s="3" t="s">
        <v>365</v>
      </c>
      <c r="E90" s="3" t="s">
        <v>264</v>
      </c>
      <c r="F90" s="49">
        <v>10000</v>
      </c>
      <c r="G90" s="76"/>
    </row>
    <row r="91" spans="1:7">
      <c r="A91" s="86">
        <v>20130131</v>
      </c>
      <c r="B91" s="33" t="s">
        <v>195</v>
      </c>
      <c r="C91" s="37" t="s">
        <v>342</v>
      </c>
      <c r="D91" s="53" t="s">
        <v>366</v>
      </c>
      <c r="E91" s="3" t="s">
        <v>295</v>
      </c>
      <c r="F91" s="49">
        <v>2000</v>
      </c>
      <c r="G91" t="s">
        <v>890</v>
      </c>
    </row>
    <row r="92" spans="1:7">
      <c r="A92" s="86">
        <v>20130131</v>
      </c>
      <c r="B92" s="33" t="s">
        <v>132</v>
      </c>
      <c r="C92" s="35" t="s">
        <v>367</v>
      </c>
      <c r="D92" s="38" t="s">
        <v>368</v>
      </c>
      <c r="E92" s="3" t="s">
        <v>369</v>
      </c>
      <c r="F92" s="49">
        <v>75382</v>
      </c>
      <c r="G92" s="76"/>
    </row>
    <row r="93" spans="1:7">
      <c r="A93" s="54">
        <v>20120131</v>
      </c>
      <c r="B93" s="2" t="s">
        <v>132</v>
      </c>
      <c r="C93" s="51" t="s">
        <v>256</v>
      </c>
      <c r="D93" s="87" t="s">
        <v>370</v>
      </c>
      <c r="E93" s="54" t="s">
        <v>270</v>
      </c>
      <c r="F93" s="49">
        <v>30516.95</v>
      </c>
      <c r="G93" s="76"/>
    </row>
    <row r="94" spans="1:7">
      <c r="A94" s="54">
        <v>20120131</v>
      </c>
      <c r="B94" s="2" t="s">
        <v>132</v>
      </c>
      <c r="C94" s="51" t="s">
        <v>371</v>
      </c>
      <c r="D94" s="54" t="s">
        <v>372</v>
      </c>
      <c r="E94" s="53" t="s">
        <v>165</v>
      </c>
      <c r="F94" s="49">
        <v>55622.7</v>
      </c>
      <c r="G94" s="76"/>
    </row>
    <row r="95" spans="1:7">
      <c r="A95" s="86">
        <v>20130131</v>
      </c>
      <c r="B95" s="2" t="s">
        <v>132</v>
      </c>
      <c r="C95" s="37" t="s">
        <v>373</v>
      </c>
      <c r="D95" s="3" t="s">
        <v>374</v>
      </c>
      <c r="E95" s="3" t="s">
        <v>236</v>
      </c>
      <c r="F95" s="49">
        <v>2500</v>
      </c>
      <c r="G95" s="76"/>
    </row>
    <row r="96" spans="1:7" s="40" customFormat="1" ht="25.5" customHeight="1">
      <c r="A96" s="111" t="s">
        <v>376</v>
      </c>
      <c r="B96" s="111"/>
      <c r="C96" s="39"/>
      <c r="D96" s="39"/>
      <c r="E96" s="39"/>
      <c r="F96" s="43">
        <f>SUM(F37:F95)</f>
        <v>1391266.04</v>
      </c>
    </row>
    <row r="97" spans="1:7">
      <c r="A97" s="54">
        <v>20130201</v>
      </c>
      <c r="B97" s="2" t="s">
        <v>132</v>
      </c>
      <c r="C97" s="37" t="s">
        <v>377</v>
      </c>
      <c r="D97" s="3" t="s">
        <v>378</v>
      </c>
      <c r="E97" s="3" t="s">
        <v>354</v>
      </c>
      <c r="F97" s="49">
        <v>12505</v>
      </c>
      <c r="G97" s="76"/>
    </row>
    <row r="98" spans="1:7">
      <c r="A98" s="54">
        <v>20130204</v>
      </c>
      <c r="B98" s="2" t="s">
        <v>132</v>
      </c>
      <c r="C98" s="37" t="s">
        <v>145</v>
      </c>
      <c r="D98" s="3" t="s">
        <v>1131</v>
      </c>
      <c r="E98" s="3" t="s">
        <v>147</v>
      </c>
      <c r="F98" s="49">
        <v>10000</v>
      </c>
      <c r="G98" s="76"/>
    </row>
    <row r="99" spans="1:7">
      <c r="A99" s="54">
        <v>20130204</v>
      </c>
      <c r="B99" s="2" t="s">
        <v>204</v>
      </c>
      <c r="C99" s="51" t="s">
        <v>380</v>
      </c>
      <c r="D99" s="54" t="s">
        <v>381</v>
      </c>
      <c r="E99" s="53" t="s">
        <v>382</v>
      </c>
      <c r="F99" s="49">
        <v>48888</v>
      </c>
      <c r="G99" s="76"/>
    </row>
    <row r="100" spans="1:7">
      <c r="A100" s="86">
        <v>20130204</v>
      </c>
      <c r="B100" s="33" t="s">
        <v>291</v>
      </c>
      <c r="C100" s="37" t="s">
        <v>383</v>
      </c>
      <c r="D100" s="3" t="s">
        <v>384</v>
      </c>
      <c r="E100" s="3" t="s">
        <v>385</v>
      </c>
      <c r="F100" s="49">
        <v>5600</v>
      </c>
      <c r="G100" t="s">
        <v>246</v>
      </c>
    </row>
    <row r="101" spans="1:7">
      <c r="A101" s="86">
        <v>20130204</v>
      </c>
      <c r="B101" s="33" t="s">
        <v>195</v>
      </c>
      <c r="C101" s="37" t="s">
        <v>386</v>
      </c>
      <c r="D101" s="3" t="s">
        <v>387</v>
      </c>
      <c r="E101" s="3" t="s">
        <v>388</v>
      </c>
      <c r="F101" s="49">
        <v>20000</v>
      </c>
      <c r="G101" s="49" t="s">
        <v>299</v>
      </c>
    </row>
    <row r="102" spans="1:7">
      <c r="A102" s="54">
        <v>20130205</v>
      </c>
      <c r="B102" s="2" t="s">
        <v>132</v>
      </c>
      <c r="C102" s="51" t="s">
        <v>390</v>
      </c>
      <c r="D102" s="54" t="s">
        <v>391</v>
      </c>
      <c r="E102" s="54" t="s">
        <v>392</v>
      </c>
      <c r="F102" s="49">
        <v>49050</v>
      </c>
      <c r="G102" s="76"/>
    </row>
    <row r="103" spans="1:7">
      <c r="A103" s="54">
        <v>20130205</v>
      </c>
      <c r="B103" s="2" t="s">
        <v>132</v>
      </c>
      <c r="C103" s="51" t="s">
        <v>393</v>
      </c>
      <c r="D103" s="54" t="s">
        <v>394</v>
      </c>
      <c r="E103" s="54" t="s">
        <v>395</v>
      </c>
      <c r="F103" s="49">
        <v>16567.13</v>
      </c>
      <c r="G103" s="76"/>
    </row>
    <row r="104" spans="1:7">
      <c r="A104" s="54">
        <v>20130205</v>
      </c>
      <c r="B104" s="33" t="s">
        <v>132</v>
      </c>
      <c r="C104" s="35" t="s">
        <v>396</v>
      </c>
      <c r="D104" s="33" t="s">
        <v>397</v>
      </c>
      <c r="E104" s="33" t="s">
        <v>144</v>
      </c>
      <c r="F104" s="56">
        <v>13782.49</v>
      </c>
      <c r="G104" s="76"/>
    </row>
    <row r="105" spans="1:7">
      <c r="A105" s="86">
        <v>20130205</v>
      </c>
      <c r="B105" s="2" t="s">
        <v>132</v>
      </c>
      <c r="C105" s="37" t="s">
        <v>398</v>
      </c>
      <c r="D105" s="3" t="s">
        <v>399</v>
      </c>
      <c r="E105" s="3" t="s">
        <v>400</v>
      </c>
      <c r="F105" s="49">
        <v>24576</v>
      </c>
      <c r="G105" s="49"/>
    </row>
    <row r="106" spans="1:7">
      <c r="A106" s="33">
        <v>20130206</v>
      </c>
      <c r="B106" s="33" t="s">
        <v>195</v>
      </c>
      <c r="C106" s="37" t="s">
        <v>401</v>
      </c>
      <c r="D106" s="53" t="s">
        <v>402</v>
      </c>
      <c r="E106" s="3" t="s">
        <v>296</v>
      </c>
      <c r="F106" s="49">
        <v>4800</v>
      </c>
      <c r="G106" t="s">
        <v>246</v>
      </c>
    </row>
    <row r="107" spans="1:7">
      <c r="A107" s="33">
        <v>20130207</v>
      </c>
      <c r="B107" s="2" t="s">
        <v>132</v>
      </c>
      <c r="C107" s="51" t="s">
        <v>403</v>
      </c>
      <c r="D107" s="54" t="s">
        <v>404</v>
      </c>
      <c r="E107" s="54" t="s">
        <v>405</v>
      </c>
      <c r="F107" s="49">
        <v>18806</v>
      </c>
      <c r="G107" s="76"/>
    </row>
    <row r="108" spans="1:7">
      <c r="A108" s="33">
        <v>20130207</v>
      </c>
      <c r="B108" s="2" t="s">
        <v>132</v>
      </c>
      <c r="C108" s="76" t="s">
        <v>409</v>
      </c>
      <c r="D108" s="33" t="s">
        <v>408</v>
      </c>
      <c r="E108" s="33" t="s">
        <v>239</v>
      </c>
      <c r="F108" s="49">
        <v>35000</v>
      </c>
      <c r="G108" s="76"/>
    </row>
    <row r="109" spans="1:7">
      <c r="A109" s="33">
        <v>20130207</v>
      </c>
      <c r="B109" s="2" t="s">
        <v>132</v>
      </c>
      <c r="C109" s="76" t="s">
        <v>406</v>
      </c>
      <c r="D109" s="33" t="s">
        <v>407</v>
      </c>
      <c r="E109" s="33" t="s">
        <v>261</v>
      </c>
      <c r="F109" s="49">
        <v>15900</v>
      </c>
      <c r="G109" s="76"/>
    </row>
    <row r="110" spans="1:7">
      <c r="A110" s="33">
        <v>20130208</v>
      </c>
      <c r="B110" s="2" t="s">
        <v>55</v>
      </c>
      <c r="C110" s="76" t="s">
        <v>410</v>
      </c>
      <c r="D110" s="33" t="s">
        <v>257</v>
      </c>
      <c r="E110" s="33" t="s">
        <v>245</v>
      </c>
      <c r="F110" s="49">
        <v>9810</v>
      </c>
      <c r="G110" s="76"/>
    </row>
    <row r="111" spans="1:7">
      <c r="A111" s="33">
        <v>20130208</v>
      </c>
      <c r="B111" s="2" t="s">
        <v>55</v>
      </c>
      <c r="C111" s="37" t="s">
        <v>75</v>
      </c>
      <c r="D111" s="3" t="s">
        <v>411</v>
      </c>
      <c r="E111" s="33" t="s">
        <v>144</v>
      </c>
      <c r="F111" s="49">
        <v>21600</v>
      </c>
      <c r="G111" s="76"/>
    </row>
    <row r="112" spans="1:7">
      <c r="A112" s="33">
        <v>20130208</v>
      </c>
      <c r="B112" s="2" t="s">
        <v>55</v>
      </c>
      <c r="C112" s="86" t="s">
        <v>361</v>
      </c>
      <c r="D112" s="3" t="s">
        <v>412</v>
      </c>
      <c r="E112" s="3" t="s">
        <v>360</v>
      </c>
      <c r="F112" s="49">
        <v>6800</v>
      </c>
      <c r="G112" s="76"/>
    </row>
    <row r="113" spans="1:8">
      <c r="A113" s="54">
        <v>20130214</v>
      </c>
      <c r="B113" s="2" t="s">
        <v>413</v>
      </c>
      <c r="C113" s="76" t="s">
        <v>200</v>
      </c>
      <c r="D113" s="53" t="s">
        <v>414</v>
      </c>
      <c r="E113" s="33" t="s">
        <v>144</v>
      </c>
      <c r="F113" s="49">
        <v>15900</v>
      </c>
      <c r="G113" s="76"/>
    </row>
    <row r="114" spans="1:8">
      <c r="A114" s="54">
        <v>20130214</v>
      </c>
      <c r="B114" s="2" t="s">
        <v>413</v>
      </c>
      <c r="C114" s="51" t="s">
        <v>352</v>
      </c>
      <c r="D114" s="53" t="s">
        <v>415</v>
      </c>
      <c r="E114" s="53" t="s">
        <v>354</v>
      </c>
      <c r="F114" s="49">
        <v>27016.74</v>
      </c>
      <c r="G114" s="76"/>
    </row>
    <row r="115" spans="1:8">
      <c r="A115" s="54">
        <v>20130214</v>
      </c>
      <c r="B115" s="2" t="s">
        <v>413</v>
      </c>
      <c r="C115" s="51" t="s">
        <v>416</v>
      </c>
      <c r="D115" s="53" t="s">
        <v>417</v>
      </c>
      <c r="E115" s="54" t="s">
        <v>109</v>
      </c>
      <c r="F115" s="49">
        <v>12460.09</v>
      </c>
      <c r="G115" s="76"/>
    </row>
    <row r="116" spans="1:8">
      <c r="A116" s="54">
        <v>20130218</v>
      </c>
      <c r="B116" s="2" t="s">
        <v>55</v>
      </c>
      <c r="C116" s="54" t="s">
        <v>344</v>
      </c>
      <c r="D116" s="54" t="s">
        <v>420</v>
      </c>
      <c r="E116" s="54" t="s">
        <v>421</v>
      </c>
      <c r="F116" s="49">
        <v>16567.13</v>
      </c>
      <c r="G116" s="76"/>
    </row>
    <row r="117" spans="1:8">
      <c r="A117" s="54">
        <v>20130218</v>
      </c>
      <c r="B117" s="2" t="s">
        <v>55</v>
      </c>
      <c r="C117" s="51" t="s">
        <v>17</v>
      </c>
      <c r="D117" s="54" t="s">
        <v>422</v>
      </c>
      <c r="E117" s="54" t="s">
        <v>159</v>
      </c>
      <c r="F117" s="49">
        <v>9414.5</v>
      </c>
      <c r="G117" s="76"/>
    </row>
    <row r="118" spans="1:8">
      <c r="A118" s="38">
        <v>20130218</v>
      </c>
      <c r="B118" s="33" t="s">
        <v>55</v>
      </c>
      <c r="C118" s="35" t="s">
        <v>423</v>
      </c>
      <c r="D118" s="33" t="s">
        <v>424</v>
      </c>
      <c r="E118" s="33" t="s">
        <v>106</v>
      </c>
      <c r="F118" s="49">
        <v>15610.52</v>
      </c>
      <c r="G118" s="76"/>
    </row>
    <row r="119" spans="1:8">
      <c r="A119" s="38">
        <v>20130218</v>
      </c>
      <c r="B119" s="33" t="s">
        <v>55</v>
      </c>
      <c r="C119" s="35" t="s">
        <v>133</v>
      </c>
      <c r="D119" s="35" t="s">
        <v>425</v>
      </c>
      <c r="E119" s="33" t="s">
        <v>106</v>
      </c>
      <c r="F119" s="49">
        <v>67800.55</v>
      </c>
      <c r="G119" s="76"/>
    </row>
    <row r="120" spans="1:8">
      <c r="A120" s="54">
        <v>20130219</v>
      </c>
      <c r="B120" s="33" t="s">
        <v>55</v>
      </c>
      <c r="C120" s="35" t="s">
        <v>133</v>
      </c>
      <c r="D120" s="53" t="s">
        <v>426</v>
      </c>
      <c r="E120" s="33" t="s">
        <v>427</v>
      </c>
      <c r="F120" s="49">
        <v>13568.9</v>
      </c>
      <c r="G120" s="76"/>
    </row>
    <row r="121" spans="1:8">
      <c r="A121" s="54">
        <v>20130219</v>
      </c>
      <c r="B121" s="33" t="s">
        <v>55</v>
      </c>
      <c r="C121" s="35" t="s">
        <v>13</v>
      </c>
      <c r="D121" s="53" t="s">
        <v>428</v>
      </c>
      <c r="E121" s="33" t="s">
        <v>382</v>
      </c>
      <c r="F121" s="56">
        <v>35147.230000000003</v>
      </c>
      <c r="G121" s="76"/>
    </row>
    <row r="122" spans="1:8">
      <c r="A122" s="54">
        <v>20130219</v>
      </c>
      <c r="B122" s="2" t="s">
        <v>431</v>
      </c>
      <c r="C122" s="37" t="s">
        <v>17</v>
      </c>
      <c r="D122" s="37" t="s">
        <v>158</v>
      </c>
      <c r="E122" s="51" t="s">
        <v>159</v>
      </c>
      <c r="F122" s="49">
        <v>-11416.32</v>
      </c>
      <c r="G122" s="76"/>
    </row>
    <row r="123" spans="1:8">
      <c r="A123" s="54">
        <v>20130219</v>
      </c>
      <c r="B123" s="33" t="s">
        <v>55</v>
      </c>
      <c r="C123" s="35" t="s">
        <v>432</v>
      </c>
      <c r="D123" s="33" t="s">
        <v>433</v>
      </c>
      <c r="E123" s="33" t="s">
        <v>106</v>
      </c>
      <c r="F123" s="56">
        <v>13725.95</v>
      </c>
      <c r="G123" s="76" t="s">
        <v>435</v>
      </c>
    </row>
    <row r="124" spans="1:8">
      <c r="A124" s="54">
        <v>20130220</v>
      </c>
      <c r="B124" s="2" t="s">
        <v>55</v>
      </c>
      <c r="C124" s="51" t="s">
        <v>436</v>
      </c>
      <c r="D124" s="54" t="s">
        <v>437</v>
      </c>
      <c r="E124" s="54" t="s">
        <v>438</v>
      </c>
      <c r="F124" s="56">
        <v>13353.02</v>
      </c>
      <c r="G124" s="76"/>
    </row>
    <row r="125" spans="1:8">
      <c r="A125" s="54">
        <v>20130220</v>
      </c>
      <c r="B125" s="2" t="s">
        <v>55</v>
      </c>
      <c r="C125" s="87" t="s">
        <v>13</v>
      </c>
      <c r="D125" s="87" t="s">
        <v>391</v>
      </c>
      <c r="E125" s="87" t="s">
        <v>382</v>
      </c>
      <c r="F125" s="56">
        <v>43654.5</v>
      </c>
      <c r="G125" s="76"/>
    </row>
    <row r="126" spans="1:8">
      <c r="A126" s="86">
        <v>20130220</v>
      </c>
      <c r="B126" s="33" t="s">
        <v>309</v>
      </c>
      <c r="C126" s="37" t="s">
        <v>440</v>
      </c>
      <c r="D126" s="3" t="s">
        <v>441</v>
      </c>
      <c r="E126" s="3" t="s">
        <v>312</v>
      </c>
      <c r="F126" s="56">
        <v>4800</v>
      </c>
      <c r="G126" t="s">
        <v>246</v>
      </c>
    </row>
    <row r="127" spans="1:8">
      <c r="A127" s="54">
        <v>20130220</v>
      </c>
      <c r="B127" s="2" t="s">
        <v>55</v>
      </c>
      <c r="C127" s="37" t="s">
        <v>306</v>
      </c>
      <c r="D127" s="3" t="s">
        <v>442</v>
      </c>
      <c r="E127" s="3" t="s">
        <v>308</v>
      </c>
      <c r="F127" s="49">
        <v>12000</v>
      </c>
      <c r="G127" s="76"/>
      <c r="H127" s="35"/>
    </row>
    <row r="128" spans="1:8">
      <c r="A128" s="54">
        <v>20130221</v>
      </c>
      <c r="B128" s="33" t="s">
        <v>132</v>
      </c>
      <c r="C128" s="35" t="s">
        <v>444</v>
      </c>
      <c r="D128" s="33" t="s">
        <v>443</v>
      </c>
      <c r="E128" s="33" t="s">
        <v>445</v>
      </c>
      <c r="F128" s="56">
        <v>62617.98</v>
      </c>
      <c r="G128" s="76"/>
    </row>
    <row r="129" spans="1:7">
      <c r="A129" s="54">
        <v>20130222</v>
      </c>
      <c r="B129" s="33" t="s">
        <v>291</v>
      </c>
      <c r="C129" s="37" t="s">
        <v>389</v>
      </c>
      <c r="D129" s="53" t="s">
        <v>446</v>
      </c>
      <c r="E129" s="3" t="s">
        <v>385</v>
      </c>
      <c r="F129" s="49">
        <v>9600</v>
      </c>
      <c r="G129" t="s">
        <v>198</v>
      </c>
    </row>
    <row r="130" spans="1:7">
      <c r="A130" s="54">
        <v>20130222</v>
      </c>
      <c r="B130" s="33" t="s">
        <v>55</v>
      </c>
      <c r="C130" s="35" t="s">
        <v>318</v>
      </c>
      <c r="D130" s="35" t="s">
        <v>447</v>
      </c>
      <c r="E130" s="35" t="s">
        <v>213</v>
      </c>
      <c r="F130" s="56">
        <v>80334.38</v>
      </c>
      <c r="G130" s="76"/>
    </row>
    <row r="131" spans="1:7">
      <c r="A131" s="54">
        <v>20130222</v>
      </c>
      <c r="B131" s="2" t="s">
        <v>55</v>
      </c>
      <c r="C131" s="33" t="s">
        <v>85</v>
      </c>
      <c r="D131" s="3" t="s">
        <v>448</v>
      </c>
      <c r="E131" s="3" t="s">
        <v>147</v>
      </c>
      <c r="F131" s="49">
        <v>28620</v>
      </c>
      <c r="G131" s="76"/>
    </row>
    <row r="132" spans="1:7">
      <c r="A132" s="54">
        <v>20130222</v>
      </c>
      <c r="B132" s="54" t="s">
        <v>55</v>
      </c>
      <c r="C132" s="3" t="s">
        <v>449</v>
      </c>
      <c r="D132" s="3" t="s">
        <v>450</v>
      </c>
      <c r="E132" s="3" t="s">
        <v>451</v>
      </c>
      <c r="F132" s="56">
        <v>4905</v>
      </c>
      <c r="G132" s="76"/>
    </row>
    <row r="133" spans="1:7">
      <c r="A133" s="54">
        <v>20130225</v>
      </c>
      <c r="B133" s="2" t="s">
        <v>55</v>
      </c>
      <c r="C133" s="87" t="s">
        <v>452</v>
      </c>
      <c r="D133" s="87" t="s">
        <v>453</v>
      </c>
      <c r="E133" s="87" t="s">
        <v>144</v>
      </c>
      <c r="F133" s="56">
        <v>25176.959999999999</v>
      </c>
      <c r="G133" s="76"/>
    </row>
    <row r="134" spans="1:7">
      <c r="A134" s="54">
        <v>20130225</v>
      </c>
      <c r="B134" s="33" t="s">
        <v>195</v>
      </c>
      <c r="C134" s="33" t="s">
        <v>454</v>
      </c>
      <c r="D134" s="53" t="s">
        <v>455</v>
      </c>
      <c r="E134" s="3" t="s">
        <v>289</v>
      </c>
      <c r="F134" s="49">
        <v>13600</v>
      </c>
      <c r="G134" t="s">
        <v>198</v>
      </c>
    </row>
    <row r="135" spans="1:7">
      <c r="A135" s="54">
        <v>20130225</v>
      </c>
      <c r="B135" s="33" t="s">
        <v>55</v>
      </c>
      <c r="C135" s="35" t="s">
        <v>456</v>
      </c>
      <c r="D135" s="85" t="s">
        <v>457</v>
      </c>
      <c r="E135" s="35" t="s">
        <v>458</v>
      </c>
      <c r="F135" s="49">
        <v>6269.65</v>
      </c>
      <c r="G135" s="76"/>
    </row>
    <row r="136" spans="1:7">
      <c r="A136" s="54">
        <v>20130225</v>
      </c>
      <c r="B136" s="33" t="s">
        <v>195</v>
      </c>
      <c r="C136" s="76" t="s">
        <v>86</v>
      </c>
      <c r="D136" s="53" t="s">
        <v>459</v>
      </c>
      <c r="E136" s="53" t="s">
        <v>144</v>
      </c>
      <c r="F136" s="49">
        <v>27000</v>
      </c>
      <c r="G136" s="49" t="s">
        <v>299</v>
      </c>
    </row>
    <row r="137" spans="1:7">
      <c r="A137" s="86">
        <v>20130225</v>
      </c>
      <c r="B137" s="54" t="s">
        <v>55</v>
      </c>
      <c r="C137" s="3" t="s">
        <v>15</v>
      </c>
      <c r="D137" s="3" t="s">
        <v>460</v>
      </c>
      <c r="E137" s="3" t="s">
        <v>138</v>
      </c>
      <c r="F137" s="49">
        <v>40140.68</v>
      </c>
      <c r="G137" s="76"/>
    </row>
    <row r="138" spans="1:7">
      <c r="A138" s="86">
        <v>20130225</v>
      </c>
      <c r="B138" s="54" t="s">
        <v>55</v>
      </c>
      <c r="C138" s="3" t="s">
        <v>461</v>
      </c>
      <c r="D138" s="3" t="s">
        <v>462</v>
      </c>
      <c r="E138" s="3" t="s">
        <v>463</v>
      </c>
      <c r="F138" s="49">
        <v>48927.38</v>
      </c>
      <c r="G138" s="76"/>
    </row>
    <row r="139" spans="1:7">
      <c r="A139" s="86">
        <v>20130225</v>
      </c>
      <c r="B139" s="54" t="s">
        <v>55</v>
      </c>
      <c r="C139" s="3" t="s">
        <v>464</v>
      </c>
      <c r="D139" s="3" t="s">
        <v>465</v>
      </c>
      <c r="E139" s="3" t="s">
        <v>466</v>
      </c>
      <c r="F139" s="49">
        <v>15450.75</v>
      </c>
      <c r="G139" s="76"/>
    </row>
    <row r="140" spans="1:7">
      <c r="A140" s="86">
        <v>20130225</v>
      </c>
      <c r="B140" s="54" t="s">
        <v>55</v>
      </c>
      <c r="C140" s="3" t="s">
        <v>452</v>
      </c>
      <c r="D140" s="3" t="s">
        <v>467</v>
      </c>
      <c r="E140" s="3" t="s">
        <v>468</v>
      </c>
      <c r="F140" s="49">
        <v>15358.54</v>
      </c>
      <c r="G140" s="76"/>
    </row>
    <row r="141" spans="1:7">
      <c r="A141" s="38">
        <v>20130226</v>
      </c>
      <c r="B141" s="33" t="s">
        <v>290</v>
      </c>
      <c r="C141" s="37" t="s">
        <v>293</v>
      </c>
      <c r="D141" s="3" t="s">
        <v>469</v>
      </c>
      <c r="E141" s="3" t="s">
        <v>296</v>
      </c>
      <c r="F141" s="49">
        <v>4800</v>
      </c>
      <c r="G141" t="s">
        <v>246</v>
      </c>
    </row>
    <row r="142" spans="1:7">
      <c r="A142" s="38">
        <v>20130226</v>
      </c>
      <c r="B142" s="2" t="s">
        <v>55</v>
      </c>
      <c r="C142" s="37" t="s">
        <v>73</v>
      </c>
      <c r="D142" s="3" t="s">
        <v>470</v>
      </c>
      <c r="E142" s="3" t="s">
        <v>264</v>
      </c>
      <c r="F142" s="49">
        <v>14310</v>
      </c>
      <c r="G142" s="76"/>
    </row>
    <row r="143" spans="1:7">
      <c r="A143" s="86">
        <v>20130226</v>
      </c>
      <c r="B143" s="54" t="s">
        <v>55</v>
      </c>
      <c r="C143" s="3" t="s">
        <v>471</v>
      </c>
      <c r="D143" s="3" t="s">
        <v>472</v>
      </c>
      <c r="E143" s="3" t="s">
        <v>473</v>
      </c>
      <c r="F143" s="49">
        <v>21902.79</v>
      </c>
      <c r="G143" s="75"/>
    </row>
    <row r="144" spans="1:7">
      <c r="A144" s="86">
        <v>20130226</v>
      </c>
      <c r="B144" s="54" t="s">
        <v>55</v>
      </c>
      <c r="C144" s="3" t="s">
        <v>474</v>
      </c>
      <c r="D144" s="3" t="s">
        <v>475</v>
      </c>
      <c r="E144" s="3" t="s">
        <v>305</v>
      </c>
      <c r="F144" s="49">
        <v>5548.54</v>
      </c>
      <c r="G144" s="75"/>
    </row>
    <row r="145" spans="1:7">
      <c r="A145" s="86">
        <v>20130226</v>
      </c>
      <c r="B145" s="33" t="s">
        <v>55</v>
      </c>
      <c r="C145" s="35" t="s">
        <v>476</v>
      </c>
      <c r="D145" s="35" t="s">
        <v>477</v>
      </c>
      <c r="E145" s="35" t="s">
        <v>478</v>
      </c>
      <c r="F145" s="49">
        <v>62617.98</v>
      </c>
      <c r="G145" s="75"/>
    </row>
    <row r="146" spans="1:7">
      <c r="A146" s="54">
        <v>20130226</v>
      </c>
      <c r="B146" s="2" t="s">
        <v>55</v>
      </c>
      <c r="C146" s="51" t="s">
        <v>479</v>
      </c>
      <c r="D146" s="87" t="s">
        <v>480</v>
      </c>
      <c r="E146" s="54" t="s">
        <v>328</v>
      </c>
      <c r="F146" s="49">
        <v>85680</v>
      </c>
      <c r="G146" s="75"/>
    </row>
    <row r="147" spans="1:7">
      <c r="A147" s="54">
        <v>20130226</v>
      </c>
      <c r="B147" s="2" t="s">
        <v>55</v>
      </c>
      <c r="C147" s="85" t="s">
        <v>481</v>
      </c>
      <c r="D147" s="87" t="s">
        <v>482</v>
      </c>
      <c r="E147" s="54" t="s">
        <v>315</v>
      </c>
      <c r="F147" s="49">
        <v>6727</v>
      </c>
      <c r="G147" s="75"/>
    </row>
    <row r="148" spans="1:7">
      <c r="A148" s="38">
        <v>20130227</v>
      </c>
      <c r="B148" s="33" t="s">
        <v>195</v>
      </c>
      <c r="C148" s="37" t="s">
        <v>292</v>
      </c>
      <c r="D148" s="51" t="s">
        <v>483</v>
      </c>
      <c r="E148" s="3" t="s">
        <v>295</v>
      </c>
      <c r="F148" s="49">
        <v>4800</v>
      </c>
      <c r="G148" t="s">
        <v>246</v>
      </c>
    </row>
    <row r="149" spans="1:7">
      <c r="A149" s="38">
        <v>20130227</v>
      </c>
      <c r="B149" s="2" t="s">
        <v>132</v>
      </c>
      <c r="C149" s="37" t="s">
        <v>133</v>
      </c>
      <c r="D149" s="3" t="s">
        <v>484</v>
      </c>
      <c r="E149" s="3" t="s">
        <v>485</v>
      </c>
      <c r="F149" s="49">
        <v>82687.5</v>
      </c>
      <c r="G149" s="75"/>
    </row>
    <row r="150" spans="1:7">
      <c r="A150" s="38">
        <v>20130227</v>
      </c>
      <c r="B150" s="54" t="s">
        <v>132</v>
      </c>
      <c r="C150" s="3" t="s">
        <v>155</v>
      </c>
      <c r="D150" s="3" t="s">
        <v>486</v>
      </c>
      <c r="E150" s="3" t="s">
        <v>144</v>
      </c>
      <c r="F150" s="49">
        <v>12236.99</v>
      </c>
      <c r="G150" s="75"/>
    </row>
    <row r="151" spans="1:7">
      <c r="A151" s="86">
        <v>20130228</v>
      </c>
      <c r="B151" s="54" t="s">
        <v>55</v>
      </c>
      <c r="C151" s="3" t="s">
        <v>487</v>
      </c>
      <c r="D151" s="3" t="s">
        <v>488</v>
      </c>
      <c r="E151" s="3" t="s">
        <v>489</v>
      </c>
      <c r="F151" s="49">
        <v>9270.4500000000007</v>
      </c>
      <c r="G151" s="75"/>
    </row>
    <row r="152" spans="1:7">
      <c r="A152" s="86">
        <v>20130228</v>
      </c>
      <c r="B152" s="33" t="s">
        <v>223</v>
      </c>
      <c r="C152" s="37" t="s">
        <v>490</v>
      </c>
      <c r="D152" s="51" t="s">
        <v>491</v>
      </c>
      <c r="E152" s="3" t="s">
        <v>492</v>
      </c>
      <c r="F152" s="49">
        <v>3000</v>
      </c>
      <c r="G152" t="s">
        <v>246</v>
      </c>
    </row>
    <row r="153" spans="1:7">
      <c r="A153" s="86">
        <v>20130228</v>
      </c>
      <c r="B153" s="33" t="s">
        <v>223</v>
      </c>
      <c r="C153" s="37" t="s">
        <v>490</v>
      </c>
      <c r="D153" s="3" t="s">
        <v>493</v>
      </c>
      <c r="E153" s="3" t="s">
        <v>492</v>
      </c>
      <c r="F153" s="49">
        <v>35000</v>
      </c>
      <c r="G153" s="49" t="s">
        <v>299</v>
      </c>
    </row>
    <row r="154" spans="1:7">
      <c r="A154" s="86">
        <v>20130228</v>
      </c>
      <c r="B154" s="33" t="s">
        <v>223</v>
      </c>
      <c r="C154" s="3" t="s">
        <v>497</v>
      </c>
      <c r="D154" s="3" t="s">
        <v>494</v>
      </c>
      <c r="E154" s="3" t="s">
        <v>492</v>
      </c>
      <c r="F154" s="49">
        <v>9600</v>
      </c>
      <c r="G154" t="s">
        <v>198</v>
      </c>
    </row>
    <row r="155" spans="1:7">
      <c r="A155" s="86">
        <v>20130228</v>
      </c>
      <c r="B155" s="33" t="s">
        <v>223</v>
      </c>
      <c r="C155" s="37" t="s">
        <v>495</v>
      </c>
      <c r="D155" s="51" t="s">
        <v>496</v>
      </c>
      <c r="E155" s="3" t="s">
        <v>492</v>
      </c>
      <c r="F155" s="49">
        <v>5000</v>
      </c>
      <c r="G155" t="s">
        <v>246</v>
      </c>
    </row>
    <row r="156" spans="1:7">
      <c r="A156" s="86">
        <v>20130228</v>
      </c>
      <c r="B156" s="33" t="s">
        <v>195</v>
      </c>
      <c r="C156" s="4" t="s">
        <v>383</v>
      </c>
      <c r="D156" s="51" t="s">
        <v>498</v>
      </c>
      <c r="E156" s="3" t="s">
        <v>385</v>
      </c>
      <c r="F156" s="49">
        <v>4000</v>
      </c>
      <c r="G156" t="s">
        <v>246</v>
      </c>
    </row>
    <row r="157" spans="1:7">
      <c r="A157" s="54">
        <v>20130228</v>
      </c>
      <c r="B157" s="33" t="s">
        <v>195</v>
      </c>
      <c r="C157" s="51" t="s">
        <v>499</v>
      </c>
      <c r="D157" s="87" t="s">
        <v>500</v>
      </c>
      <c r="E157" s="54" t="s">
        <v>131</v>
      </c>
      <c r="F157" s="49">
        <v>55000</v>
      </c>
      <c r="G157" s="49" t="s">
        <v>299</v>
      </c>
    </row>
    <row r="158" spans="1:7">
      <c r="A158" s="54">
        <v>20130228</v>
      </c>
      <c r="B158" s="2" t="s">
        <v>55</v>
      </c>
      <c r="C158" s="51" t="s">
        <v>501</v>
      </c>
      <c r="D158" s="87" t="s">
        <v>502</v>
      </c>
      <c r="E158" s="54" t="s">
        <v>213</v>
      </c>
      <c r="F158" s="49">
        <v>16594.599999999999</v>
      </c>
      <c r="G158" s="75"/>
    </row>
    <row r="159" spans="1:7">
      <c r="A159" s="54">
        <v>20130228</v>
      </c>
      <c r="B159" s="2" t="s">
        <v>55</v>
      </c>
      <c r="C159" s="51" t="s">
        <v>205</v>
      </c>
      <c r="D159" s="87" t="s">
        <v>503</v>
      </c>
      <c r="E159" s="54" t="s">
        <v>159</v>
      </c>
      <c r="F159" s="49">
        <v>13667.3</v>
      </c>
      <c r="G159" s="75"/>
    </row>
    <row r="160" spans="1:7">
      <c r="A160" s="54">
        <v>20130228</v>
      </c>
      <c r="B160" s="2" t="s">
        <v>55</v>
      </c>
      <c r="C160" s="51" t="s">
        <v>57</v>
      </c>
      <c r="D160" s="87" t="s">
        <v>504</v>
      </c>
      <c r="E160" s="54" t="s">
        <v>213</v>
      </c>
      <c r="F160" s="49">
        <v>16407.55</v>
      </c>
      <c r="G160" s="75"/>
    </row>
    <row r="161" spans="1:7">
      <c r="A161" s="86">
        <v>20130228</v>
      </c>
      <c r="B161" s="2" t="s">
        <v>55</v>
      </c>
      <c r="C161" s="37" t="s">
        <v>505</v>
      </c>
      <c r="D161" s="51" t="s">
        <v>506</v>
      </c>
      <c r="E161" s="3" t="s">
        <v>507</v>
      </c>
      <c r="F161" s="49">
        <v>30050</v>
      </c>
      <c r="G161" s="75"/>
    </row>
    <row r="162" spans="1:7">
      <c r="A162" s="86">
        <v>20130228</v>
      </c>
      <c r="B162" s="33" t="s">
        <v>195</v>
      </c>
      <c r="C162" s="37" t="s">
        <v>293</v>
      </c>
      <c r="D162" s="51" t="s">
        <v>508</v>
      </c>
      <c r="E162" s="3" t="s">
        <v>295</v>
      </c>
      <c r="F162" s="49">
        <v>4800</v>
      </c>
      <c r="G162" t="s">
        <v>246</v>
      </c>
    </row>
    <row r="163" spans="1:7">
      <c r="A163" s="86">
        <v>20130228</v>
      </c>
      <c r="B163" s="33" t="s">
        <v>195</v>
      </c>
      <c r="C163" s="37" t="s">
        <v>293</v>
      </c>
      <c r="D163" s="51" t="s">
        <v>509</v>
      </c>
      <c r="E163" s="3" t="s">
        <v>295</v>
      </c>
      <c r="F163" s="49">
        <v>20000</v>
      </c>
      <c r="G163" s="49" t="s">
        <v>299</v>
      </c>
    </row>
    <row r="164" spans="1:7">
      <c r="A164" s="86">
        <v>20130228</v>
      </c>
      <c r="B164" s="33" t="s">
        <v>195</v>
      </c>
      <c r="C164" s="37" t="s">
        <v>497</v>
      </c>
      <c r="D164" s="51" t="s">
        <v>510</v>
      </c>
      <c r="E164" s="3" t="s">
        <v>295</v>
      </c>
      <c r="F164" s="49">
        <v>5800</v>
      </c>
      <c r="G164" t="s">
        <v>246</v>
      </c>
    </row>
    <row r="165" spans="1:7">
      <c r="A165" s="86">
        <v>20130228</v>
      </c>
      <c r="B165" s="33" t="s">
        <v>195</v>
      </c>
      <c r="C165" s="37" t="s">
        <v>67</v>
      </c>
      <c r="D165" s="51" t="s">
        <v>511</v>
      </c>
      <c r="E165" s="3" t="s">
        <v>524</v>
      </c>
      <c r="F165" s="49">
        <v>35800</v>
      </c>
      <c r="G165" s="49" t="s">
        <v>299</v>
      </c>
    </row>
    <row r="166" spans="1:7">
      <c r="A166" s="54">
        <v>20130228</v>
      </c>
      <c r="B166" s="33" t="s">
        <v>195</v>
      </c>
      <c r="C166" s="51" t="s">
        <v>512</v>
      </c>
      <c r="D166" s="87" t="s">
        <v>513</v>
      </c>
      <c r="E166" s="54" t="s">
        <v>514</v>
      </c>
      <c r="F166" s="49">
        <v>14000</v>
      </c>
      <c r="G166" t="s">
        <v>527</v>
      </c>
    </row>
    <row r="167" spans="1:7">
      <c r="A167" s="54">
        <v>20130228</v>
      </c>
      <c r="B167" s="2" t="s">
        <v>55</v>
      </c>
      <c r="C167" s="54" t="s">
        <v>515</v>
      </c>
      <c r="D167" s="54" t="s">
        <v>516</v>
      </c>
      <c r="E167" s="54" t="s">
        <v>159</v>
      </c>
      <c r="F167" s="49">
        <v>18241.82</v>
      </c>
      <c r="G167" s="75"/>
    </row>
    <row r="168" spans="1:7">
      <c r="A168" s="54">
        <v>20130228</v>
      </c>
      <c r="B168" s="2" t="s">
        <v>55</v>
      </c>
      <c r="C168" s="51" t="s">
        <v>471</v>
      </c>
      <c r="D168" s="87" t="s">
        <v>517</v>
      </c>
      <c r="E168" s="54" t="s">
        <v>382</v>
      </c>
      <c r="F168" s="49">
        <v>19065.73</v>
      </c>
      <c r="G168" s="75"/>
    </row>
    <row r="169" spans="1:7">
      <c r="A169" s="54">
        <v>20130228</v>
      </c>
      <c r="B169" s="2" t="s">
        <v>55</v>
      </c>
      <c r="C169" s="54" t="s">
        <v>136</v>
      </c>
      <c r="D169" s="54" t="s">
        <v>518</v>
      </c>
      <c r="E169" s="54" t="s">
        <v>109</v>
      </c>
      <c r="F169" s="49">
        <v>6180.3</v>
      </c>
      <c r="G169" s="75"/>
    </row>
    <row r="170" spans="1:7">
      <c r="A170" s="38">
        <v>20130228</v>
      </c>
      <c r="B170" s="33" t="s">
        <v>55</v>
      </c>
      <c r="C170" s="35" t="s">
        <v>139</v>
      </c>
      <c r="D170" s="35" t="s">
        <v>519</v>
      </c>
      <c r="E170" s="35" t="s">
        <v>165</v>
      </c>
      <c r="F170" s="49">
        <v>84761.68</v>
      </c>
      <c r="G170" s="75"/>
    </row>
    <row r="171" spans="1:7">
      <c r="A171" s="38">
        <v>20130228</v>
      </c>
      <c r="B171" s="33" t="s">
        <v>55</v>
      </c>
      <c r="C171" s="35" t="s">
        <v>525</v>
      </c>
      <c r="D171" s="35" t="s">
        <v>520</v>
      </c>
      <c r="E171" s="35" t="s">
        <v>521</v>
      </c>
      <c r="F171" s="49">
        <v>14354.14</v>
      </c>
      <c r="G171" s="75"/>
    </row>
    <row r="172" spans="1:7">
      <c r="A172" s="38">
        <v>20130228</v>
      </c>
      <c r="B172" s="33" t="s">
        <v>55</v>
      </c>
      <c r="C172" s="35" t="s">
        <v>501</v>
      </c>
      <c r="D172" s="35" t="s">
        <v>522</v>
      </c>
      <c r="E172" s="33" t="s">
        <v>213</v>
      </c>
      <c r="F172" s="49">
        <v>25083.63</v>
      </c>
      <c r="G172" s="75"/>
    </row>
    <row r="173" spans="1:7">
      <c r="A173" s="111" t="s">
        <v>523</v>
      </c>
      <c r="B173" s="111"/>
      <c r="C173" s="39"/>
      <c r="D173" s="39"/>
      <c r="E173" s="39"/>
      <c r="F173" s="43">
        <f>SUM(F97:F172)</f>
        <v>1728276.7500000002</v>
      </c>
      <c r="G173" s="75"/>
    </row>
    <row r="174" spans="1:7">
      <c r="A174" s="54">
        <v>20130304</v>
      </c>
      <c r="B174" s="2" t="s">
        <v>132</v>
      </c>
      <c r="C174" s="54" t="s">
        <v>528</v>
      </c>
      <c r="D174" s="54" t="s">
        <v>529</v>
      </c>
      <c r="E174" s="54" t="s">
        <v>213</v>
      </c>
      <c r="F174" s="49">
        <v>14934.74</v>
      </c>
      <c r="G174" s="75"/>
    </row>
    <row r="175" spans="1:7">
      <c r="A175" s="54">
        <v>20130304</v>
      </c>
      <c r="B175" s="33" t="s">
        <v>223</v>
      </c>
      <c r="C175" s="51" t="s">
        <v>530</v>
      </c>
      <c r="D175" s="87" t="s">
        <v>531</v>
      </c>
      <c r="E175" s="54" t="s">
        <v>532</v>
      </c>
      <c r="F175" s="49">
        <v>4756.6000000000004</v>
      </c>
      <c r="G175" t="s">
        <v>246</v>
      </c>
    </row>
    <row r="176" spans="1:7">
      <c r="A176" s="86">
        <v>20130304</v>
      </c>
      <c r="B176" s="33" t="s">
        <v>223</v>
      </c>
      <c r="C176" s="37" t="s">
        <v>342</v>
      </c>
      <c r="D176" s="51" t="s">
        <v>533</v>
      </c>
      <c r="E176" s="3" t="s">
        <v>312</v>
      </c>
      <c r="F176" s="49">
        <v>4800</v>
      </c>
      <c r="G176" t="s">
        <v>246</v>
      </c>
    </row>
    <row r="177" spans="1:7">
      <c r="A177" s="86">
        <v>20130304</v>
      </c>
      <c r="B177" s="2" t="s">
        <v>132</v>
      </c>
      <c r="C177" s="51" t="s">
        <v>205</v>
      </c>
      <c r="D177" s="87" t="s">
        <v>534</v>
      </c>
      <c r="E177" s="54" t="s">
        <v>159</v>
      </c>
      <c r="F177" s="49">
        <v>13980.1</v>
      </c>
      <c r="G177" s="75"/>
    </row>
    <row r="178" spans="1:7">
      <c r="A178" s="86">
        <v>20130304</v>
      </c>
      <c r="B178" s="2" t="s">
        <v>132</v>
      </c>
      <c r="C178" s="37" t="s">
        <v>145</v>
      </c>
      <c r="D178" s="51" t="s">
        <v>535</v>
      </c>
      <c r="E178" s="53" t="s">
        <v>147</v>
      </c>
      <c r="F178" s="49">
        <v>15656</v>
      </c>
      <c r="G178" s="75"/>
    </row>
    <row r="179" spans="1:7">
      <c r="A179" s="86">
        <v>20130304</v>
      </c>
      <c r="B179" s="2" t="s">
        <v>132</v>
      </c>
      <c r="C179" s="37" t="s">
        <v>406</v>
      </c>
      <c r="D179" s="51" t="s">
        <v>536</v>
      </c>
      <c r="E179" s="3" t="s">
        <v>147</v>
      </c>
      <c r="F179" s="49">
        <v>15656</v>
      </c>
      <c r="G179" s="75"/>
    </row>
    <row r="180" spans="1:7">
      <c r="A180" s="86">
        <v>20130304</v>
      </c>
      <c r="B180" s="33" t="s">
        <v>132</v>
      </c>
      <c r="C180" s="35" t="s">
        <v>537</v>
      </c>
      <c r="D180" s="35" t="s">
        <v>538</v>
      </c>
      <c r="E180" s="35" t="s">
        <v>382</v>
      </c>
      <c r="F180" s="49">
        <v>37509.25</v>
      </c>
      <c r="G180" s="75"/>
    </row>
    <row r="181" spans="1:7">
      <c r="A181" s="54">
        <v>20130304</v>
      </c>
      <c r="B181" s="2" t="s">
        <v>132</v>
      </c>
      <c r="C181" s="51" t="s">
        <v>205</v>
      </c>
      <c r="D181" s="87" t="s">
        <v>539</v>
      </c>
      <c r="E181" s="54" t="s">
        <v>159</v>
      </c>
      <c r="F181" s="49">
        <v>19000</v>
      </c>
      <c r="G181" s="75"/>
    </row>
    <row r="182" spans="1:7">
      <c r="A182" s="38">
        <v>20130304</v>
      </c>
      <c r="B182" s="33" t="s">
        <v>132</v>
      </c>
      <c r="C182" s="35" t="s">
        <v>540</v>
      </c>
      <c r="D182" s="35" t="s">
        <v>541</v>
      </c>
      <c r="E182" s="35" t="s">
        <v>213</v>
      </c>
      <c r="F182" s="56">
        <v>75313.64</v>
      </c>
      <c r="G182" s="75"/>
    </row>
    <row r="183" spans="1:7">
      <c r="A183" s="38">
        <v>20130305</v>
      </c>
      <c r="B183" s="33" t="s">
        <v>195</v>
      </c>
      <c r="C183" s="37" t="s">
        <v>383</v>
      </c>
      <c r="D183" s="51" t="s">
        <v>542</v>
      </c>
      <c r="E183" s="3" t="s">
        <v>385</v>
      </c>
      <c r="F183" s="49">
        <v>4800</v>
      </c>
      <c r="G183" t="s">
        <v>246</v>
      </c>
    </row>
    <row r="184" spans="1:7">
      <c r="A184" s="38">
        <v>20130305</v>
      </c>
      <c r="B184" s="2" t="s">
        <v>55</v>
      </c>
      <c r="C184" s="37" t="s">
        <v>543</v>
      </c>
      <c r="D184" s="51" t="s">
        <v>544</v>
      </c>
      <c r="E184" s="3" t="s">
        <v>545</v>
      </c>
      <c r="F184" s="49">
        <v>14378</v>
      </c>
      <c r="G184" s="75"/>
    </row>
    <row r="185" spans="1:7">
      <c r="A185" s="38">
        <v>20130305</v>
      </c>
      <c r="B185" s="2" t="s">
        <v>55</v>
      </c>
      <c r="C185" s="37" t="s">
        <v>73</v>
      </c>
      <c r="D185" s="51" t="s">
        <v>1134</v>
      </c>
      <c r="E185" s="3" t="s">
        <v>147</v>
      </c>
      <c r="F185" s="49">
        <v>28620</v>
      </c>
      <c r="G185" s="75"/>
    </row>
    <row r="186" spans="1:7">
      <c r="A186" s="54">
        <v>20130306</v>
      </c>
      <c r="B186" s="2" t="s">
        <v>55</v>
      </c>
      <c r="C186" s="54" t="s">
        <v>139</v>
      </c>
      <c r="D186" s="87" t="s">
        <v>546</v>
      </c>
      <c r="E186" s="54" t="s">
        <v>165</v>
      </c>
      <c r="F186" s="49">
        <v>8330.65</v>
      </c>
      <c r="G186" s="75"/>
    </row>
    <row r="187" spans="1:7">
      <c r="A187" s="54">
        <v>20130306</v>
      </c>
      <c r="B187" s="2" t="s">
        <v>55</v>
      </c>
      <c r="C187" s="51" t="s">
        <v>155</v>
      </c>
      <c r="D187" s="87" t="s">
        <v>547</v>
      </c>
      <c r="E187" s="54" t="s">
        <v>144</v>
      </c>
      <c r="F187" s="49">
        <v>12236.99</v>
      </c>
      <c r="G187" s="75"/>
    </row>
    <row r="188" spans="1:7">
      <c r="A188" s="54">
        <v>20130306</v>
      </c>
      <c r="B188" s="2" t="s">
        <v>55</v>
      </c>
      <c r="C188" s="51" t="s">
        <v>200</v>
      </c>
      <c r="D188" s="87" t="s">
        <v>548</v>
      </c>
      <c r="E188" s="54" t="s">
        <v>144</v>
      </c>
      <c r="F188" s="49">
        <v>15186.32</v>
      </c>
      <c r="G188" s="75"/>
    </row>
    <row r="189" spans="1:7">
      <c r="A189" s="86">
        <v>20130306</v>
      </c>
      <c r="B189" s="33" t="s">
        <v>195</v>
      </c>
      <c r="C189" s="37" t="s">
        <v>292</v>
      </c>
      <c r="D189" s="51" t="s">
        <v>549</v>
      </c>
      <c r="E189" s="3" t="s">
        <v>295</v>
      </c>
      <c r="F189" s="49">
        <v>6000</v>
      </c>
      <c r="G189" t="s">
        <v>198</v>
      </c>
    </row>
    <row r="190" spans="1:7">
      <c r="A190" s="86">
        <v>20130306</v>
      </c>
      <c r="B190" s="2" t="s">
        <v>55</v>
      </c>
      <c r="C190" s="86" t="s">
        <v>352</v>
      </c>
      <c r="D190" s="51" t="s">
        <v>550</v>
      </c>
      <c r="E190" s="3" t="s">
        <v>354</v>
      </c>
      <c r="F190" s="49">
        <v>50000</v>
      </c>
      <c r="G190" s="75"/>
    </row>
    <row r="191" spans="1:7">
      <c r="A191" s="86">
        <v>20130306</v>
      </c>
      <c r="B191" s="2" t="s">
        <v>55</v>
      </c>
      <c r="C191" s="86" t="s">
        <v>73</v>
      </c>
      <c r="D191" s="51" t="s">
        <v>551</v>
      </c>
      <c r="E191" s="3" t="s">
        <v>147</v>
      </c>
      <c r="F191" s="49">
        <v>15656</v>
      </c>
      <c r="G191" s="75"/>
    </row>
    <row r="192" spans="1:7">
      <c r="A192" s="86">
        <v>20130306</v>
      </c>
      <c r="B192" s="33" t="s">
        <v>552</v>
      </c>
      <c r="C192" s="37" t="s">
        <v>553</v>
      </c>
      <c r="D192" s="51" t="s">
        <v>554</v>
      </c>
      <c r="E192" s="3" t="s">
        <v>555</v>
      </c>
      <c r="F192" s="49">
        <v>12240</v>
      </c>
      <c r="G192" t="s">
        <v>198</v>
      </c>
    </row>
    <row r="193" spans="1:7" ht="12.75" customHeight="1">
      <c r="A193" s="86">
        <v>20130306</v>
      </c>
      <c r="B193" s="2" t="s">
        <v>55</v>
      </c>
      <c r="C193" s="54" t="s">
        <v>313</v>
      </c>
      <c r="D193" s="87" t="s">
        <v>556</v>
      </c>
      <c r="E193" s="54" t="s">
        <v>213</v>
      </c>
      <c r="F193" s="49">
        <v>13600</v>
      </c>
      <c r="G193" s="75"/>
    </row>
    <row r="194" spans="1:7">
      <c r="A194" s="86">
        <v>20130306</v>
      </c>
      <c r="B194" s="2" t="s">
        <v>55</v>
      </c>
      <c r="C194" s="37" t="s">
        <v>543</v>
      </c>
      <c r="D194" s="51" t="s">
        <v>557</v>
      </c>
      <c r="E194" s="3" t="s">
        <v>242</v>
      </c>
      <c r="F194" s="49">
        <v>16916</v>
      </c>
      <c r="G194" s="75"/>
    </row>
    <row r="195" spans="1:7">
      <c r="A195" s="86">
        <v>20130307</v>
      </c>
      <c r="B195" s="33" t="s">
        <v>223</v>
      </c>
      <c r="C195" s="51" t="s">
        <v>564</v>
      </c>
      <c r="D195" s="77" t="s">
        <v>558</v>
      </c>
      <c r="E195" s="3" t="s">
        <v>295</v>
      </c>
      <c r="F195" s="56">
        <v>20000</v>
      </c>
      <c r="G195" s="75" t="s">
        <v>590</v>
      </c>
    </row>
    <row r="196" spans="1:7">
      <c r="A196" s="86">
        <v>20130307</v>
      </c>
      <c r="B196" s="33" t="s">
        <v>223</v>
      </c>
      <c r="C196" s="51" t="s">
        <v>564</v>
      </c>
      <c r="D196" s="53" t="s">
        <v>559</v>
      </c>
      <c r="E196" s="3" t="s">
        <v>295</v>
      </c>
      <c r="F196" s="56">
        <v>9600</v>
      </c>
      <c r="G196" t="s">
        <v>589</v>
      </c>
    </row>
    <row r="197" spans="1:7">
      <c r="A197" s="86">
        <v>20130307</v>
      </c>
      <c r="B197" s="33" t="s">
        <v>223</v>
      </c>
      <c r="C197" s="51" t="s">
        <v>564</v>
      </c>
      <c r="D197" s="77" t="s">
        <v>560</v>
      </c>
      <c r="E197" s="3" t="s">
        <v>295</v>
      </c>
      <c r="F197" s="56">
        <v>4800</v>
      </c>
      <c r="G197" t="s">
        <v>246</v>
      </c>
    </row>
    <row r="198" spans="1:7">
      <c r="A198" s="86">
        <v>20130307</v>
      </c>
      <c r="B198" s="33" t="s">
        <v>223</v>
      </c>
      <c r="C198" s="37" t="s">
        <v>99</v>
      </c>
      <c r="D198" s="51" t="s">
        <v>563</v>
      </c>
      <c r="E198" s="3" t="s">
        <v>295</v>
      </c>
      <c r="F198" s="56">
        <v>3000</v>
      </c>
      <c r="G198" t="s">
        <v>246</v>
      </c>
    </row>
    <row r="199" spans="1:7">
      <c r="A199" s="86">
        <v>20130307</v>
      </c>
      <c r="B199" s="33" t="s">
        <v>195</v>
      </c>
      <c r="C199" s="37" t="s">
        <v>562</v>
      </c>
      <c r="D199" s="51" t="s">
        <v>561</v>
      </c>
      <c r="E199" s="54" t="s">
        <v>106</v>
      </c>
      <c r="F199" s="56">
        <v>7800</v>
      </c>
      <c r="G199" t="s">
        <v>246</v>
      </c>
    </row>
    <row r="200" spans="1:7">
      <c r="A200" s="38">
        <v>20130308</v>
      </c>
      <c r="B200" s="2" t="s">
        <v>55</v>
      </c>
      <c r="C200" s="51" t="s">
        <v>14</v>
      </c>
      <c r="D200" s="87" t="s">
        <v>565</v>
      </c>
      <c r="E200" s="54" t="s">
        <v>239</v>
      </c>
      <c r="F200" s="56">
        <v>9700</v>
      </c>
      <c r="G200" s="75"/>
    </row>
    <row r="201" spans="1:7">
      <c r="A201" s="38">
        <v>20130308</v>
      </c>
      <c r="B201" s="2" t="s">
        <v>55</v>
      </c>
      <c r="C201" s="51" t="s">
        <v>566</v>
      </c>
      <c r="D201" s="87" t="s">
        <v>567</v>
      </c>
      <c r="E201" s="54" t="s">
        <v>568</v>
      </c>
      <c r="F201" s="56">
        <v>14818</v>
      </c>
      <c r="G201" s="75"/>
    </row>
    <row r="202" spans="1:7">
      <c r="A202" s="38">
        <v>20130308</v>
      </c>
      <c r="B202" s="2" t="s">
        <v>55</v>
      </c>
      <c r="C202" s="54" t="s">
        <v>14</v>
      </c>
      <c r="D202" s="87" t="s">
        <v>569</v>
      </c>
      <c r="E202" s="54" t="s">
        <v>239</v>
      </c>
      <c r="F202" s="56">
        <v>16594.599999999999</v>
      </c>
      <c r="G202" s="75"/>
    </row>
    <row r="203" spans="1:7">
      <c r="A203" s="38">
        <v>20130308</v>
      </c>
      <c r="B203" s="2" t="s">
        <v>55</v>
      </c>
      <c r="C203" s="51" t="s">
        <v>570</v>
      </c>
      <c r="D203" s="87" t="s">
        <v>571</v>
      </c>
      <c r="E203" s="54" t="s">
        <v>572</v>
      </c>
      <c r="F203" s="56">
        <v>37081.800000000003</v>
      </c>
      <c r="G203" s="75"/>
    </row>
    <row r="204" spans="1:7">
      <c r="A204" s="38">
        <v>20130308</v>
      </c>
      <c r="B204" s="33" t="s">
        <v>132</v>
      </c>
      <c r="C204" s="37" t="s">
        <v>574</v>
      </c>
      <c r="D204" s="3" t="s">
        <v>575</v>
      </c>
      <c r="E204" s="3" t="s">
        <v>576</v>
      </c>
      <c r="F204" s="56">
        <v>4800</v>
      </c>
    </row>
    <row r="205" spans="1:7">
      <c r="A205" s="86">
        <v>20130308</v>
      </c>
      <c r="B205" s="33" t="s">
        <v>573</v>
      </c>
      <c r="C205" s="37" t="s">
        <v>577</v>
      </c>
      <c r="D205" s="3" t="s">
        <v>578</v>
      </c>
      <c r="E205" s="3" t="s">
        <v>576</v>
      </c>
      <c r="F205" s="49">
        <v>4800</v>
      </c>
      <c r="G205" t="s">
        <v>246</v>
      </c>
    </row>
    <row r="206" spans="1:7">
      <c r="A206" s="86">
        <v>20130308</v>
      </c>
      <c r="B206" s="2" t="s">
        <v>55</v>
      </c>
      <c r="C206" s="37" t="s">
        <v>579</v>
      </c>
      <c r="D206" s="3" t="s">
        <v>580</v>
      </c>
      <c r="E206" s="3" t="s">
        <v>591</v>
      </c>
      <c r="F206" s="49">
        <v>15656</v>
      </c>
      <c r="G206" s="75"/>
    </row>
    <row r="207" spans="1:7">
      <c r="A207" s="86">
        <v>20130308</v>
      </c>
      <c r="B207" s="33" t="s">
        <v>573</v>
      </c>
      <c r="C207" s="37" t="s">
        <v>64</v>
      </c>
      <c r="D207" s="3" t="s">
        <v>581</v>
      </c>
      <c r="E207" s="3" t="s">
        <v>591</v>
      </c>
      <c r="F207" s="49">
        <v>9600</v>
      </c>
      <c r="G207" t="s">
        <v>589</v>
      </c>
    </row>
    <row r="208" spans="1:7">
      <c r="A208" s="86">
        <v>20130308</v>
      </c>
      <c r="B208" s="33" t="s">
        <v>573</v>
      </c>
      <c r="C208" s="37" t="s">
        <v>102</v>
      </c>
      <c r="D208" s="3" t="s">
        <v>583</v>
      </c>
      <c r="E208" s="3" t="s">
        <v>584</v>
      </c>
      <c r="F208" s="49">
        <v>4800</v>
      </c>
      <c r="G208" t="s">
        <v>246</v>
      </c>
    </row>
    <row r="209" spans="1:9">
      <c r="A209" s="86">
        <v>20130308</v>
      </c>
      <c r="B209" s="33" t="s">
        <v>573</v>
      </c>
      <c r="C209" s="37" t="s">
        <v>102</v>
      </c>
      <c r="D209" s="3" t="s">
        <v>583</v>
      </c>
      <c r="E209" s="3" t="s">
        <v>584</v>
      </c>
      <c r="F209" s="49">
        <v>4800</v>
      </c>
      <c r="G209" t="s">
        <v>246</v>
      </c>
    </row>
    <row r="210" spans="1:9">
      <c r="A210" s="86">
        <v>20130308</v>
      </c>
      <c r="B210" s="33" t="s">
        <v>573</v>
      </c>
      <c r="C210" s="37" t="s">
        <v>585</v>
      </c>
      <c r="D210" s="51" t="s">
        <v>586</v>
      </c>
      <c r="E210" s="3" t="s">
        <v>584</v>
      </c>
      <c r="F210" s="49">
        <v>4800</v>
      </c>
      <c r="G210" t="s">
        <v>246</v>
      </c>
    </row>
    <row r="211" spans="1:9">
      <c r="A211" s="86">
        <v>20130308</v>
      </c>
      <c r="B211" s="33" t="s">
        <v>55</v>
      </c>
      <c r="C211" s="2" t="s">
        <v>588</v>
      </c>
      <c r="D211" s="2" t="s">
        <v>587</v>
      </c>
      <c r="E211" s="3" t="s">
        <v>222</v>
      </c>
      <c r="F211" s="49">
        <v>16822.93</v>
      </c>
      <c r="G211" s="2"/>
      <c r="H211" s="2"/>
      <c r="I211" s="3"/>
    </row>
    <row r="212" spans="1:9">
      <c r="A212" s="77">
        <v>20130311</v>
      </c>
      <c r="B212" s="33" t="s">
        <v>413</v>
      </c>
      <c r="C212" s="53" t="s">
        <v>592</v>
      </c>
      <c r="D212" s="53" t="s">
        <v>593</v>
      </c>
      <c r="E212" s="53" t="s">
        <v>594</v>
      </c>
      <c r="F212" s="56">
        <v>14599.45</v>
      </c>
      <c r="G212" s="75"/>
    </row>
    <row r="213" spans="1:9">
      <c r="A213" s="38">
        <v>20130311</v>
      </c>
      <c r="B213" s="33" t="s">
        <v>413</v>
      </c>
      <c r="C213" s="53" t="s">
        <v>595</v>
      </c>
      <c r="D213" s="53" t="s">
        <v>596</v>
      </c>
      <c r="E213" s="53" t="s">
        <v>346</v>
      </c>
      <c r="F213" s="56">
        <v>13510</v>
      </c>
      <c r="G213" s="75"/>
    </row>
    <row r="214" spans="1:9">
      <c r="A214" s="38">
        <v>20130311</v>
      </c>
      <c r="B214" s="33" t="s">
        <v>413</v>
      </c>
      <c r="C214" s="53" t="s">
        <v>597</v>
      </c>
      <c r="D214" s="53" t="s">
        <v>598</v>
      </c>
      <c r="E214" s="53" t="s">
        <v>599</v>
      </c>
      <c r="F214" s="56">
        <v>18835.2</v>
      </c>
      <c r="G214" s="75"/>
    </row>
    <row r="215" spans="1:9">
      <c r="A215" s="38">
        <v>20130311</v>
      </c>
      <c r="B215" s="33" t="s">
        <v>413</v>
      </c>
      <c r="C215" s="54" t="s">
        <v>600</v>
      </c>
      <c r="D215" s="77" t="s">
        <v>601</v>
      </c>
      <c r="E215" s="54" t="s">
        <v>602</v>
      </c>
      <c r="F215" s="56">
        <v>16915.5</v>
      </c>
      <c r="G215" s="75"/>
    </row>
    <row r="216" spans="1:9">
      <c r="A216" s="38">
        <v>20130311</v>
      </c>
      <c r="B216" s="33" t="s">
        <v>603</v>
      </c>
      <c r="C216" s="51" t="s">
        <v>604</v>
      </c>
      <c r="D216" s="54" t="s">
        <v>605</v>
      </c>
      <c r="E216" s="54" t="s">
        <v>606</v>
      </c>
      <c r="F216" s="56">
        <v>4800</v>
      </c>
      <c r="G216" t="s">
        <v>246</v>
      </c>
    </row>
    <row r="217" spans="1:9">
      <c r="A217" s="38">
        <v>20130311</v>
      </c>
      <c r="B217" s="33" t="s">
        <v>132</v>
      </c>
      <c r="C217" s="51" t="s">
        <v>607</v>
      </c>
      <c r="D217" s="54" t="s">
        <v>608</v>
      </c>
      <c r="E217" s="54" t="s">
        <v>609</v>
      </c>
      <c r="F217" s="56">
        <v>11600</v>
      </c>
    </row>
    <row r="218" spans="1:9">
      <c r="A218" s="38">
        <v>20130311</v>
      </c>
      <c r="B218" s="33" t="s">
        <v>413</v>
      </c>
      <c r="C218" s="51" t="s">
        <v>610</v>
      </c>
      <c r="D218" s="54" t="s">
        <v>611</v>
      </c>
      <c r="E218" s="54" t="s">
        <v>606</v>
      </c>
      <c r="F218" s="56">
        <v>22680</v>
      </c>
      <c r="G218" s="75"/>
    </row>
    <row r="219" spans="1:9">
      <c r="A219" s="54">
        <v>20130312</v>
      </c>
      <c r="B219" s="54" t="s">
        <v>55</v>
      </c>
      <c r="C219" s="51" t="s">
        <v>14</v>
      </c>
      <c r="D219" s="87" t="s">
        <v>612</v>
      </c>
      <c r="E219" s="54" t="s">
        <v>613</v>
      </c>
      <c r="F219" s="56">
        <v>16677</v>
      </c>
      <c r="G219" s="75"/>
    </row>
    <row r="220" spans="1:9">
      <c r="A220" s="54">
        <v>20130312</v>
      </c>
      <c r="B220" s="54" t="s">
        <v>55</v>
      </c>
      <c r="C220" s="51" t="s">
        <v>614</v>
      </c>
      <c r="D220" s="87" t="s">
        <v>615</v>
      </c>
      <c r="E220" s="54" t="s">
        <v>613</v>
      </c>
      <c r="F220" s="56">
        <v>19819.04</v>
      </c>
      <c r="G220" s="75"/>
    </row>
    <row r="221" spans="1:9">
      <c r="A221" s="54">
        <v>20130312</v>
      </c>
      <c r="B221" s="54" t="s">
        <v>55</v>
      </c>
      <c r="C221" s="51" t="s">
        <v>616</v>
      </c>
      <c r="D221" s="87" t="s">
        <v>617</v>
      </c>
      <c r="E221" s="54" t="s">
        <v>618</v>
      </c>
      <c r="F221" s="56">
        <v>27927.27</v>
      </c>
      <c r="G221" s="75"/>
    </row>
    <row r="222" spans="1:9">
      <c r="A222" s="54">
        <v>20130312</v>
      </c>
      <c r="B222" s="33" t="s">
        <v>619</v>
      </c>
      <c r="C222" s="51" t="s">
        <v>620</v>
      </c>
      <c r="D222" s="87" t="s">
        <v>621</v>
      </c>
      <c r="E222" s="54" t="s">
        <v>622</v>
      </c>
      <c r="F222" s="56">
        <v>2971</v>
      </c>
      <c r="G222" t="s">
        <v>246</v>
      </c>
    </row>
    <row r="223" spans="1:9">
      <c r="A223" s="86">
        <v>20130312</v>
      </c>
      <c r="B223" s="33" t="s">
        <v>619</v>
      </c>
      <c r="C223" s="37" t="s">
        <v>386</v>
      </c>
      <c r="D223" s="3" t="s">
        <v>623</v>
      </c>
      <c r="E223" s="86" t="s">
        <v>388</v>
      </c>
      <c r="F223" s="49">
        <v>25000</v>
      </c>
      <c r="G223" s="75" t="s">
        <v>590</v>
      </c>
    </row>
    <row r="224" spans="1:9" ht="21" customHeight="1">
      <c r="A224" s="86">
        <v>20130312</v>
      </c>
      <c r="B224" s="2" t="s">
        <v>55</v>
      </c>
      <c r="C224" s="37" t="s">
        <v>624</v>
      </c>
      <c r="D224" s="3" t="s">
        <v>625</v>
      </c>
      <c r="E224" s="86" t="s">
        <v>626</v>
      </c>
      <c r="F224" s="49">
        <v>47250</v>
      </c>
      <c r="G224" s="76"/>
    </row>
    <row r="225" spans="1:7">
      <c r="A225" s="86">
        <v>20130312</v>
      </c>
      <c r="B225" s="33" t="s">
        <v>619</v>
      </c>
      <c r="C225" s="86" t="s">
        <v>440</v>
      </c>
      <c r="D225" s="3" t="s">
        <v>627</v>
      </c>
      <c r="E225" s="86" t="s">
        <v>388</v>
      </c>
      <c r="F225" s="49">
        <v>4800</v>
      </c>
      <c r="G225" t="s">
        <v>246</v>
      </c>
    </row>
    <row r="226" spans="1:7">
      <c r="A226" s="86">
        <v>20130312</v>
      </c>
      <c r="B226" s="33" t="s">
        <v>619</v>
      </c>
      <c r="C226" s="3" t="s">
        <v>628</v>
      </c>
      <c r="D226" s="3" t="s">
        <v>629</v>
      </c>
      <c r="E226" s="3" t="s">
        <v>360</v>
      </c>
      <c r="F226" s="49">
        <v>5800</v>
      </c>
      <c r="G226" t="s">
        <v>246</v>
      </c>
    </row>
    <row r="227" spans="1:7">
      <c r="A227" s="86">
        <v>20130312</v>
      </c>
      <c r="B227" s="33" t="s">
        <v>619</v>
      </c>
      <c r="C227" s="37" t="s">
        <v>630</v>
      </c>
      <c r="D227" s="3" t="s">
        <v>631</v>
      </c>
      <c r="E227" s="3" t="s">
        <v>388</v>
      </c>
      <c r="F227" s="49">
        <v>4800</v>
      </c>
      <c r="G227" t="s">
        <v>246</v>
      </c>
    </row>
    <row r="228" spans="1:7">
      <c r="A228" s="86">
        <v>20130312</v>
      </c>
      <c r="B228" s="33" t="s">
        <v>619</v>
      </c>
      <c r="C228" s="37" t="s">
        <v>632</v>
      </c>
      <c r="D228" s="3" t="s">
        <v>633</v>
      </c>
      <c r="E228" s="3" t="s">
        <v>400</v>
      </c>
      <c r="F228" s="49">
        <v>5800</v>
      </c>
      <c r="G228" t="s">
        <v>634</v>
      </c>
    </row>
    <row r="229" spans="1:7">
      <c r="A229" s="38">
        <v>20130313</v>
      </c>
      <c r="B229" s="54" t="s">
        <v>55</v>
      </c>
      <c r="C229" s="37" t="s">
        <v>15</v>
      </c>
      <c r="D229" s="3" t="s">
        <v>635</v>
      </c>
      <c r="E229" s="3" t="s">
        <v>109</v>
      </c>
      <c r="F229" s="49">
        <v>50400</v>
      </c>
      <c r="G229" s="75"/>
    </row>
    <row r="230" spans="1:7">
      <c r="A230" s="38">
        <v>20130313</v>
      </c>
      <c r="B230" s="54" t="s">
        <v>55</v>
      </c>
      <c r="C230" s="51" t="s">
        <v>636</v>
      </c>
      <c r="D230" s="87" t="s">
        <v>637</v>
      </c>
      <c r="E230" s="54" t="s">
        <v>521</v>
      </c>
      <c r="F230" s="49">
        <v>36666</v>
      </c>
      <c r="G230" s="75"/>
    </row>
    <row r="231" spans="1:7">
      <c r="A231" s="38">
        <v>20130313</v>
      </c>
      <c r="B231" s="33" t="s">
        <v>638</v>
      </c>
      <c r="C231" s="35" t="s">
        <v>639</v>
      </c>
      <c r="D231" s="35" t="s">
        <v>640</v>
      </c>
      <c r="E231" s="35" t="s">
        <v>641</v>
      </c>
      <c r="F231" s="56">
        <v>67706.320000000007</v>
      </c>
      <c r="G231" s="75"/>
    </row>
    <row r="232" spans="1:7">
      <c r="A232" s="38">
        <v>20130313</v>
      </c>
      <c r="B232" s="33" t="s">
        <v>55</v>
      </c>
      <c r="C232" s="35" t="s">
        <v>642</v>
      </c>
      <c r="D232" s="35" t="s">
        <v>643</v>
      </c>
      <c r="E232" s="35" t="s">
        <v>644</v>
      </c>
      <c r="F232" s="56">
        <v>62775.03</v>
      </c>
      <c r="G232" s="75"/>
    </row>
    <row r="233" spans="1:7">
      <c r="A233" s="38">
        <v>20130314</v>
      </c>
      <c r="B233" s="54" t="s">
        <v>647</v>
      </c>
      <c r="C233" s="51" t="s">
        <v>570</v>
      </c>
      <c r="D233" s="87" t="s">
        <v>648</v>
      </c>
      <c r="E233" s="54" t="s">
        <v>572</v>
      </c>
      <c r="F233" s="56">
        <v>8652.42</v>
      </c>
      <c r="G233" s="75"/>
    </row>
    <row r="234" spans="1:7">
      <c r="A234" s="38">
        <v>20130314</v>
      </c>
      <c r="B234" s="33" t="s">
        <v>132</v>
      </c>
      <c r="C234" s="86" t="s">
        <v>574</v>
      </c>
      <c r="D234" s="3" t="s">
        <v>649</v>
      </c>
      <c r="E234" s="86" t="s">
        <v>576</v>
      </c>
      <c r="F234" s="49">
        <v>6263</v>
      </c>
    </row>
    <row r="235" spans="1:7">
      <c r="A235" s="38">
        <v>20130314</v>
      </c>
      <c r="B235" s="33" t="s">
        <v>647</v>
      </c>
      <c r="C235" s="35" t="s">
        <v>650</v>
      </c>
      <c r="D235" s="35" t="s">
        <v>651</v>
      </c>
      <c r="E235" s="35" t="s">
        <v>652</v>
      </c>
      <c r="F235" s="56">
        <v>14215.94</v>
      </c>
      <c r="G235" s="75"/>
    </row>
    <row r="236" spans="1:7">
      <c r="A236" s="86">
        <v>20130314</v>
      </c>
      <c r="B236" s="33" t="s">
        <v>552</v>
      </c>
      <c r="C236" s="86" t="s">
        <v>653</v>
      </c>
      <c r="D236" s="3" t="s">
        <v>654</v>
      </c>
      <c r="E236" s="86" t="s">
        <v>576</v>
      </c>
      <c r="F236" s="49">
        <v>3800</v>
      </c>
      <c r="G236" t="s">
        <v>634</v>
      </c>
    </row>
    <row r="237" spans="1:7">
      <c r="A237" s="86">
        <v>20130314</v>
      </c>
      <c r="B237" s="2" t="s">
        <v>647</v>
      </c>
      <c r="C237" s="3" t="s">
        <v>655</v>
      </c>
      <c r="D237" s="3" t="s">
        <v>656</v>
      </c>
      <c r="E237" s="3" t="s">
        <v>657</v>
      </c>
      <c r="F237" s="49">
        <v>15656</v>
      </c>
      <c r="G237" s="75"/>
    </row>
    <row r="238" spans="1:7">
      <c r="A238" s="86">
        <v>20130314</v>
      </c>
      <c r="B238" s="33" t="s">
        <v>552</v>
      </c>
      <c r="C238" s="86" t="s">
        <v>658</v>
      </c>
      <c r="D238" s="86" t="s">
        <v>659</v>
      </c>
      <c r="E238" s="86" t="s">
        <v>584</v>
      </c>
      <c r="F238" s="49">
        <v>3000</v>
      </c>
      <c r="G238" t="s">
        <v>246</v>
      </c>
    </row>
    <row r="239" spans="1:7">
      <c r="A239" s="86">
        <v>20130315</v>
      </c>
      <c r="B239" s="54" t="s">
        <v>290</v>
      </c>
      <c r="C239" s="54" t="s">
        <v>620</v>
      </c>
      <c r="D239" s="54" t="s">
        <v>660</v>
      </c>
      <c r="E239" s="54" t="s">
        <v>532</v>
      </c>
      <c r="F239" s="49">
        <v>4800</v>
      </c>
      <c r="G239" t="s">
        <v>246</v>
      </c>
    </row>
    <row r="240" spans="1:7">
      <c r="A240" s="86">
        <v>20130315</v>
      </c>
      <c r="B240" s="54" t="s">
        <v>290</v>
      </c>
      <c r="C240" s="54" t="s">
        <v>620</v>
      </c>
      <c r="D240" s="54" t="s">
        <v>661</v>
      </c>
      <c r="E240" s="54" t="s">
        <v>532</v>
      </c>
      <c r="F240" s="49">
        <v>12000</v>
      </c>
      <c r="G240" t="s">
        <v>720</v>
      </c>
    </row>
    <row r="241" spans="1:7">
      <c r="A241" s="86">
        <v>20130315</v>
      </c>
      <c r="B241" s="54" t="s">
        <v>290</v>
      </c>
      <c r="C241" s="54" t="s">
        <v>662</v>
      </c>
      <c r="D241" s="54" t="s">
        <v>663</v>
      </c>
      <c r="E241" s="54" t="s">
        <v>532</v>
      </c>
      <c r="F241" s="49">
        <v>4800</v>
      </c>
      <c r="G241" t="s">
        <v>246</v>
      </c>
    </row>
    <row r="242" spans="1:7">
      <c r="A242" s="86">
        <v>20130315</v>
      </c>
      <c r="B242" s="54" t="s">
        <v>55</v>
      </c>
      <c r="C242" s="54" t="s">
        <v>664</v>
      </c>
      <c r="D242" s="54" t="s">
        <v>665</v>
      </c>
      <c r="E242" s="54" t="s">
        <v>159</v>
      </c>
      <c r="F242" s="49">
        <v>28350</v>
      </c>
      <c r="G242" s="75"/>
    </row>
    <row r="243" spans="1:7">
      <c r="A243" s="86">
        <v>20130315</v>
      </c>
      <c r="B243" s="54" t="s">
        <v>55</v>
      </c>
      <c r="C243" s="54" t="s">
        <v>666</v>
      </c>
      <c r="D243" s="54" t="s">
        <v>667</v>
      </c>
      <c r="E243" s="54" t="s">
        <v>473</v>
      </c>
      <c r="F243" s="49">
        <v>13135</v>
      </c>
      <c r="G243" s="75"/>
    </row>
    <row r="244" spans="1:7">
      <c r="A244" s="38">
        <v>20130315</v>
      </c>
      <c r="B244" s="33" t="s">
        <v>55</v>
      </c>
      <c r="C244" s="35" t="s">
        <v>668</v>
      </c>
      <c r="D244" s="35" t="s">
        <v>669</v>
      </c>
      <c r="E244" s="35" t="s">
        <v>463</v>
      </c>
      <c r="F244" s="56">
        <v>37534.35</v>
      </c>
      <c r="G244" s="75"/>
    </row>
    <row r="245" spans="1:7">
      <c r="A245" s="38">
        <v>20130315</v>
      </c>
      <c r="B245" s="33" t="s">
        <v>55</v>
      </c>
      <c r="C245" s="35" t="s">
        <v>670</v>
      </c>
      <c r="D245" s="35" t="s">
        <v>671</v>
      </c>
      <c r="E245" s="35" t="s">
        <v>216</v>
      </c>
      <c r="F245" s="56">
        <v>94228.5</v>
      </c>
      <c r="G245" s="75"/>
    </row>
    <row r="246" spans="1:7" s="90" customFormat="1">
      <c r="A246" s="38">
        <v>20130318</v>
      </c>
      <c r="B246" s="33" t="s">
        <v>195</v>
      </c>
      <c r="C246" s="51" t="s">
        <v>673</v>
      </c>
      <c r="D246" s="51" t="s">
        <v>674</v>
      </c>
      <c r="E246" s="54" t="s">
        <v>106</v>
      </c>
      <c r="F246" s="56">
        <v>6800</v>
      </c>
      <c r="G246" t="s">
        <v>246</v>
      </c>
    </row>
    <row r="247" spans="1:7" s="90" customFormat="1">
      <c r="A247" s="54">
        <v>20130318</v>
      </c>
      <c r="B247" s="54" t="s">
        <v>132</v>
      </c>
      <c r="C247" s="51" t="s">
        <v>157</v>
      </c>
      <c r="D247" s="51" t="s">
        <v>1135</v>
      </c>
      <c r="E247" s="54" t="s">
        <v>159</v>
      </c>
      <c r="F247" s="56">
        <v>25200</v>
      </c>
      <c r="G247" s="75"/>
    </row>
    <row r="248" spans="1:7" s="90" customFormat="1">
      <c r="A248" s="54">
        <v>20130318</v>
      </c>
      <c r="B248" s="33" t="s">
        <v>195</v>
      </c>
      <c r="C248" s="51" t="s">
        <v>675</v>
      </c>
      <c r="D248" s="51" t="s">
        <v>676</v>
      </c>
      <c r="E248" s="54" t="s">
        <v>165</v>
      </c>
      <c r="F248" s="56">
        <v>40000</v>
      </c>
      <c r="G248" t="s">
        <v>672</v>
      </c>
    </row>
    <row r="249" spans="1:7" s="90" customFormat="1">
      <c r="A249" s="54">
        <v>20130318</v>
      </c>
      <c r="B249" s="33" t="s">
        <v>603</v>
      </c>
      <c r="C249" s="54" t="s">
        <v>677</v>
      </c>
      <c r="D249" s="54" t="s">
        <v>678</v>
      </c>
      <c r="E249" s="54" t="s">
        <v>609</v>
      </c>
      <c r="F249" s="56">
        <v>4800</v>
      </c>
      <c r="G249" t="s">
        <v>246</v>
      </c>
    </row>
    <row r="250" spans="1:7" s="90" customFormat="1">
      <c r="A250" s="38">
        <v>20130318</v>
      </c>
      <c r="B250" s="33" t="s">
        <v>413</v>
      </c>
      <c r="C250" s="54" t="s">
        <v>679</v>
      </c>
      <c r="D250" s="51" t="s">
        <v>680</v>
      </c>
      <c r="E250" s="53" t="s">
        <v>681</v>
      </c>
      <c r="F250" s="56">
        <v>16647.04</v>
      </c>
      <c r="G250" s="75"/>
    </row>
    <row r="251" spans="1:7" s="90" customFormat="1">
      <c r="A251" s="38">
        <v>20130318</v>
      </c>
      <c r="B251" s="33" t="s">
        <v>413</v>
      </c>
      <c r="C251" s="54" t="s">
        <v>682</v>
      </c>
      <c r="D251" s="54" t="s">
        <v>683</v>
      </c>
      <c r="E251" s="54" t="s">
        <v>681</v>
      </c>
      <c r="F251" s="56">
        <v>19335.689999999999</v>
      </c>
      <c r="G251" s="75"/>
    </row>
    <row r="252" spans="1:7">
      <c r="A252" s="38">
        <v>20130319</v>
      </c>
      <c r="B252" s="54" t="s">
        <v>223</v>
      </c>
      <c r="C252" s="54" t="s">
        <v>685</v>
      </c>
      <c r="D252" s="54" t="s">
        <v>686</v>
      </c>
      <c r="E252" s="54" t="s">
        <v>213</v>
      </c>
      <c r="F252" s="56">
        <v>20400</v>
      </c>
      <c r="G252" t="s">
        <v>672</v>
      </c>
    </row>
    <row r="253" spans="1:7">
      <c r="A253" s="38">
        <v>20130319</v>
      </c>
      <c r="B253" s="54" t="s">
        <v>223</v>
      </c>
      <c r="C253" s="54" t="s">
        <v>687</v>
      </c>
      <c r="D253" s="54" t="s">
        <v>688</v>
      </c>
      <c r="E253" s="54" t="s">
        <v>270</v>
      </c>
      <c r="F253" s="56">
        <v>10440</v>
      </c>
      <c r="G253" t="s">
        <v>589</v>
      </c>
    </row>
    <row r="254" spans="1:7">
      <c r="A254" s="38">
        <v>20130319</v>
      </c>
      <c r="B254" s="54" t="s">
        <v>204</v>
      </c>
      <c r="C254" s="54" t="s">
        <v>200</v>
      </c>
      <c r="D254" s="54" t="s">
        <v>689</v>
      </c>
      <c r="E254" s="54" t="s">
        <v>144</v>
      </c>
      <c r="F254" s="56">
        <v>14087</v>
      </c>
      <c r="G254" s="75"/>
    </row>
    <row r="255" spans="1:7">
      <c r="A255" s="38">
        <v>20130319</v>
      </c>
      <c r="B255" s="54" t="s">
        <v>204</v>
      </c>
      <c r="C255" s="51" t="s">
        <v>157</v>
      </c>
      <c r="D255" s="87" t="s">
        <v>690</v>
      </c>
      <c r="E255" s="54" t="s">
        <v>159</v>
      </c>
      <c r="F255" s="56">
        <v>12360.6</v>
      </c>
      <c r="G255" s="75"/>
    </row>
    <row r="256" spans="1:7">
      <c r="A256" s="38">
        <v>20130319</v>
      </c>
      <c r="B256" s="54" t="s">
        <v>204</v>
      </c>
      <c r="C256" s="54" t="s">
        <v>155</v>
      </c>
      <c r="D256" s="54" t="s">
        <v>269</v>
      </c>
      <c r="E256" s="54" t="s">
        <v>144</v>
      </c>
      <c r="F256" s="56">
        <v>12236.99</v>
      </c>
      <c r="G256" s="75"/>
    </row>
    <row r="257" spans="1:7">
      <c r="A257" s="38">
        <v>20130319</v>
      </c>
      <c r="B257" s="54" t="s">
        <v>204</v>
      </c>
      <c r="C257" s="54" t="s">
        <v>694</v>
      </c>
      <c r="D257" s="87" t="s">
        <v>691</v>
      </c>
      <c r="E257" s="54" t="s">
        <v>144</v>
      </c>
      <c r="F257" s="56">
        <v>5737</v>
      </c>
      <c r="G257" s="75"/>
    </row>
    <row r="258" spans="1:7">
      <c r="A258" s="38">
        <v>20130319</v>
      </c>
      <c r="B258" s="33" t="s">
        <v>223</v>
      </c>
      <c r="C258" s="54" t="s">
        <v>692</v>
      </c>
      <c r="D258" s="87" t="s">
        <v>693</v>
      </c>
      <c r="E258" s="54" t="s">
        <v>109</v>
      </c>
      <c r="F258" s="56">
        <v>5440</v>
      </c>
      <c r="G258" t="s">
        <v>714</v>
      </c>
    </row>
    <row r="259" spans="1:7">
      <c r="A259" s="86">
        <v>20130320</v>
      </c>
      <c r="B259" s="54" t="s">
        <v>290</v>
      </c>
      <c r="C259" s="54" t="s">
        <v>695</v>
      </c>
      <c r="D259" s="54" t="s">
        <v>696</v>
      </c>
      <c r="E259" s="54" t="s">
        <v>697</v>
      </c>
      <c r="F259" s="49">
        <v>5000</v>
      </c>
      <c r="G259" t="s">
        <v>198</v>
      </c>
    </row>
    <row r="260" spans="1:7">
      <c r="A260" s="86">
        <v>20130320</v>
      </c>
      <c r="B260" s="54" t="s">
        <v>290</v>
      </c>
      <c r="C260" s="54" t="s">
        <v>715</v>
      </c>
      <c r="D260" s="54" t="s">
        <v>698</v>
      </c>
      <c r="E260" s="54" t="s">
        <v>697</v>
      </c>
      <c r="F260" s="49">
        <v>9600</v>
      </c>
      <c r="G260" t="s">
        <v>589</v>
      </c>
    </row>
    <row r="261" spans="1:7">
      <c r="A261" s="86">
        <v>20130320</v>
      </c>
      <c r="B261" s="54" t="s">
        <v>290</v>
      </c>
      <c r="C261" s="54" t="s">
        <v>699</v>
      </c>
      <c r="D261" s="54" t="s">
        <v>700</v>
      </c>
      <c r="E261" s="54" t="s">
        <v>701</v>
      </c>
      <c r="F261" s="49">
        <v>9600</v>
      </c>
      <c r="G261" t="s">
        <v>589</v>
      </c>
    </row>
    <row r="262" spans="1:7">
      <c r="A262" s="54">
        <v>20130320</v>
      </c>
      <c r="B262" s="54" t="s">
        <v>274</v>
      </c>
      <c r="C262" s="54" t="s">
        <v>702</v>
      </c>
      <c r="D262" s="54" t="s">
        <v>703</v>
      </c>
      <c r="E262" s="54" t="s">
        <v>704</v>
      </c>
      <c r="F262" s="49">
        <v>13851.6</v>
      </c>
      <c r="G262" s="75"/>
    </row>
    <row r="263" spans="1:7">
      <c r="A263" s="86">
        <v>20130320</v>
      </c>
      <c r="B263" s="54" t="s">
        <v>705</v>
      </c>
      <c r="C263" s="54" t="s">
        <v>706</v>
      </c>
      <c r="D263" s="54" t="s">
        <v>707</v>
      </c>
      <c r="E263" s="54" t="s">
        <v>708</v>
      </c>
      <c r="F263" s="49">
        <v>36352</v>
      </c>
      <c r="G263" s="75"/>
    </row>
    <row r="264" spans="1:7">
      <c r="A264" s="86">
        <v>20130320</v>
      </c>
      <c r="B264" s="54" t="s">
        <v>274</v>
      </c>
      <c r="C264" s="51" t="s">
        <v>709</v>
      </c>
      <c r="D264" s="87" t="s">
        <v>710</v>
      </c>
      <c r="E264" s="54" t="s">
        <v>711</v>
      </c>
      <c r="F264" s="49">
        <v>37808</v>
      </c>
      <c r="G264" s="75"/>
    </row>
    <row r="265" spans="1:7">
      <c r="A265" s="86">
        <v>20130320</v>
      </c>
      <c r="B265" s="33" t="s">
        <v>274</v>
      </c>
      <c r="C265" s="35" t="s">
        <v>709</v>
      </c>
      <c r="D265" s="35" t="s">
        <v>712</v>
      </c>
      <c r="E265" s="35" t="s">
        <v>711</v>
      </c>
      <c r="F265" s="49">
        <v>6771.89</v>
      </c>
      <c r="G265" s="75"/>
    </row>
    <row r="266" spans="1:7">
      <c r="A266" s="86">
        <v>20130321</v>
      </c>
      <c r="B266" s="54" t="s">
        <v>195</v>
      </c>
      <c r="C266" s="54" t="s">
        <v>716</v>
      </c>
      <c r="D266" s="54" t="s">
        <v>717</v>
      </c>
      <c r="E266" s="54" t="s">
        <v>392</v>
      </c>
      <c r="F266" s="49">
        <v>5800</v>
      </c>
      <c r="G266" t="s">
        <v>246</v>
      </c>
    </row>
    <row r="267" spans="1:7">
      <c r="A267" s="86">
        <v>20130321</v>
      </c>
      <c r="B267" s="54" t="s">
        <v>195</v>
      </c>
      <c r="C267" s="54" t="s">
        <v>718</v>
      </c>
      <c r="D267" s="54" t="s">
        <v>719</v>
      </c>
      <c r="E267" s="54" t="s">
        <v>270</v>
      </c>
      <c r="F267" s="49">
        <v>24480</v>
      </c>
      <c r="G267" t="s">
        <v>720</v>
      </c>
    </row>
    <row r="268" spans="1:7">
      <c r="A268" s="86">
        <v>20130321</v>
      </c>
      <c r="B268" s="54" t="s">
        <v>55</v>
      </c>
      <c r="C268" s="54" t="s">
        <v>721</v>
      </c>
      <c r="D268" s="54" t="s">
        <v>722</v>
      </c>
      <c r="E268" s="54" t="s">
        <v>131</v>
      </c>
      <c r="F268" s="49">
        <v>4800</v>
      </c>
      <c r="G268" s="75"/>
    </row>
    <row r="269" spans="1:7">
      <c r="A269" s="86">
        <v>20130321</v>
      </c>
      <c r="B269" s="33" t="s">
        <v>55</v>
      </c>
      <c r="C269" s="35" t="s">
        <v>723</v>
      </c>
      <c r="D269" s="35" t="s">
        <v>724</v>
      </c>
      <c r="E269" s="35" t="s">
        <v>725</v>
      </c>
      <c r="F269" s="56">
        <v>22482.92</v>
      </c>
      <c r="G269" s="75"/>
    </row>
    <row r="270" spans="1:7">
      <c r="A270" s="38">
        <v>20130322</v>
      </c>
      <c r="B270" s="54" t="s">
        <v>55</v>
      </c>
      <c r="C270" s="53" t="s">
        <v>728</v>
      </c>
      <c r="D270" s="54" t="s">
        <v>729</v>
      </c>
      <c r="E270" s="4" t="s">
        <v>730</v>
      </c>
      <c r="F270" s="49">
        <v>23040</v>
      </c>
      <c r="G270" s="75"/>
    </row>
    <row r="271" spans="1:7">
      <c r="A271" s="38">
        <v>20130322</v>
      </c>
      <c r="B271" s="33" t="s">
        <v>55</v>
      </c>
      <c r="C271" s="35" t="s">
        <v>172</v>
      </c>
      <c r="D271" s="35" t="s">
        <v>731</v>
      </c>
      <c r="E271" s="35" t="s">
        <v>732</v>
      </c>
      <c r="F271" s="56">
        <v>10688.02</v>
      </c>
      <c r="G271" s="75"/>
    </row>
    <row r="272" spans="1:7">
      <c r="A272" s="38">
        <v>20130325</v>
      </c>
      <c r="B272" s="54" t="s">
        <v>619</v>
      </c>
      <c r="C272" s="54" t="s">
        <v>685</v>
      </c>
      <c r="D272" s="54" t="s">
        <v>733</v>
      </c>
      <c r="E272" s="54" t="s">
        <v>734</v>
      </c>
      <c r="F272" s="56">
        <v>5800</v>
      </c>
      <c r="G272" t="s">
        <v>246</v>
      </c>
    </row>
    <row r="273" spans="1:8">
      <c r="A273" s="38">
        <v>20130325</v>
      </c>
      <c r="B273" s="54" t="s">
        <v>619</v>
      </c>
      <c r="C273" s="54" t="s">
        <v>735</v>
      </c>
      <c r="D273" s="54" t="s">
        <v>736</v>
      </c>
      <c r="E273" s="54" t="s">
        <v>737</v>
      </c>
      <c r="F273" s="56">
        <v>4800</v>
      </c>
      <c r="G273" t="s">
        <v>246</v>
      </c>
    </row>
    <row r="274" spans="1:8">
      <c r="A274" s="38">
        <v>20130325</v>
      </c>
      <c r="B274" s="54" t="s">
        <v>195</v>
      </c>
      <c r="C274" s="54" t="s">
        <v>752</v>
      </c>
      <c r="D274" s="54" t="s">
        <v>753</v>
      </c>
      <c r="E274" s="54" t="s">
        <v>144</v>
      </c>
      <c r="F274" s="56">
        <v>10000</v>
      </c>
      <c r="G274" t="s">
        <v>801</v>
      </c>
    </row>
    <row r="275" spans="1:8">
      <c r="A275" s="38">
        <v>20130325</v>
      </c>
      <c r="B275" s="54" t="s">
        <v>55</v>
      </c>
      <c r="C275" s="54" t="s">
        <v>739</v>
      </c>
      <c r="D275" s="54" t="s">
        <v>740</v>
      </c>
      <c r="E275" s="54" t="s">
        <v>760</v>
      </c>
      <c r="F275" s="56">
        <v>21459.37</v>
      </c>
      <c r="G275" s="75"/>
    </row>
    <row r="276" spans="1:8">
      <c r="A276" s="38">
        <v>20130325</v>
      </c>
      <c r="B276" s="54" t="s">
        <v>55</v>
      </c>
      <c r="C276" s="54" t="s">
        <v>34</v>
      </c>
      <c r="D276" s="54" t="s">
        <v>741</v>
      </c>
      <c r="E276" s="54" t="s">
        <v>270</v>
      </c>
      <c r="F276" s="56">
        <v>16272.83</v>
      </c>
      <c r="G276" s="75"/>
    </row>
    <row r="277" spans="1:8">
      <c r="A277" s="38">
        <v>20130325</v>
      </c>
      <c r="B277" s="54" t="s">
        <v>742</v>
      </c>
      <c r="C277" s="3" t="s">
        <v>743</v>
      </c>
      <c r="D277" s="3" t="s">
        <v>744</v>
      </c>
      <c r="E277" s="3" t="s">
        <v>745</v>
      </c>
      <c r="F277" s="56">
        <v>9600</v>
      </c>
      <c r="G277" t="s">
        <v>801</v>
      </c>
    </row>
    <row r="278" spans="1:8">
      <c r="A278" s="86">
        <v>20130325</v>
      </c>
      <c r="B278" s="54" t="s">
        <v>195</v>
      </c>
      <c r="C278" s="54" t="s">
        <v>530</v>
      </c>
      <c r="D278" s="54" t="s">
        <v>746</v>
      </c>
      <c r="E278" s="54" t="s">
        <v>532</v>
      </c>
      <c r="F278" s="56">
        <v>9600</v>
      </c>
      <c r="G278" t="s">
        <v>801</v>
      </c>
    </row>
    <row r="279" spans="1:8">
      <c r="A279" s="86">
        <v>20130325</v>
      </c>
      <c r="B279" s="54" t="s">
        <v>195</v>
      </c>
      <c r="C279" s="54" t="s">
        <v>715</v>
      </c>
      <c r="D279" s="54" t="s">
        <v>747</v>
      </c>
      <c r="E279" s="54" t="s">
        <v>532</v>
      </c>
      <c r="F279" s="56">
        <v>4800</v>
      </c>
      <c r="G279" t="s">
        <v>246</v>
      </c>
    </row>
    <row r="280" spans="1:8">
      <c r="A280" s="86">
        <v>20130325</v>
      </c>
      <c r="B280" s="54" t="s">
        <v>195</v>
      </c>
      <c r="C280" s="54" t="s">
        <v>530</v>
      </c>
      <c r="D280" s="54" t="s">
        <v>748</v>
      </c>
      <c r="E280" s="54" t="s">
        <v>532</v>
      </c>
      <c r="F280" s="56">
        <v>4800</v>
      </c>
      <c r="G280" t="s">
        <v>246</v>
      </c>
    </row>
    <row r="281" spans="1:8">
      <c r="A281" s="86">
        <v>20130325</v>
      </c>
      <c r="B281" s="54" t="s">
        <v>195</v>
      </c>
      <c r="C281" s="54" t="s">
        <v>749</v>
      </c>
      <c r="D281" s="53" t="s">
        <v>738</v>
      </c>
      <c r="E281" s="53" t="s">
        <v>270</v>
      </c>
      <c r="F281" s="56">
        <v>5800</v>
      </c>
      <c r="G281" t="s">
        <v>246</v>
      </c>
    </row>
    <row r="282" spans="1:8">
      <c r="A282" s="86">
        <v>20130325</v>
      </c>
      <c r="B282" s="54" t="s">
        <v>413</v>
      </c>
      <c r="C282" s="54" t="s">
        <v>750</v>
      </c>
      <c r="D282" s="54" t="s">
        <v>751</v>
      </c>
      <c r="E282" s="54" t="s">
        <v>606</v>
      </c>
      <c r="F282" s="56">
        <v>12444.44</v>
      </c>
      <c r="G282" s="75"/>
    </row>
    <row r="283" spans="1:8">
      <c r="A283" s="86">
        <v>20130325</v>
      </c>
      <c r="B283" s="54" t="s">
        <v>413</v>
      </c>
      <c r="C283" s="54" t="s">
        <v>757</v>
      </c>
      <c r="D283" s="54" t="s">
        <v>758</v>
      </c>
      <c r="E283" s="54" t="s">
        <v>463</v>
      </c>
      <c r="F283" s="56">
        <v>37301.919999999998</v>
      </c>
    </row>
    <row r="284" spans="1:8" s="90" customFormat="1">
      <c r="A284" s="77">
        <v>20130325</v>
      </c>
      <c r="B284" s="54" t="s">
        <v>888</v>
      </c>
      <c r="C284" s="54" t="s">
        <v>754</v>
      </c>
      <c r="D284" s="54" t="s">
        <v>755</v>
      </c>
      <c r="E284" s="54" t="s">
        <v>756</v>
      </c>
      <c r="F284" s="56">
        <v>4800</v>
      </c>
      <c r="G284" t="s">
        <v>246</v>
      </c>
      <c r="H284" s="54" t="s">
        <v>764</v>
      </c>
    </row>
    <row r="285" spans="1:8">
      <c r="A285" s="54">
        <v>20130326</v>
      </c>
      <c r="B285" s="54" t="s">
        <v>132</v>
      </c>
      <c r="C285" s="54" t="s">
        <v>155</v>
      </c>
      <c r="D285" s="54" t="s">
        <v>475</v>
      </c>
      <c r="E285" s="54" t="s">
        <v>144</v>
      </c>
      <c r="F285" s="56">
        <v>9810</v>
      </c>
      <c r="G285" s="75"/>
    </row>
    <row r="286" spans="1:8">
      <c r="A286" s="54">
        <v>20130326</v>
      </c>
      <c r="B286" s="54" t="s">
        <v>132</v>
      </c>
      <c r="C286" s="85" t="s">
        <v>155</v>
      </c>
      <c r="D286" s="54" t="s">
        <v>766</v>
      </c>
      <c r="E286" s="85" t="s">
        <v>144</v>
      </c>
      <c r="F286" s="56">
        <v>14038.11</v>
      </c>
      <c r="G286" s="75"/>
    </row>
    <row r="287" spans="1:8">
      <c r="A287" s="54">
        <v>20130326</v>
      </c>
      <c r="B287" s="54" t="s">
        <v>132</v>
      </c>
      <c r="C287" s="54" t="s">
        <v>57</v>
      </c>
      <c r="D287" s="54" t="s">
        <v>767</v>
      </c>
      <c r="E287" s="54" t="s">
        <v>213</v>
      </c>
      <c r="F287" s="56">
        <v>16736.84</v>
      </c>
      <c r="G287" s="75"/>
    </row>
    <row r="288" spans="1:8">
      <c r="A288" s="54">
        <v>20130326</v>
      </c>
      <c r="B288" s="33" t="s">
        <v>132</v>
      </c>
      <c r="C288" s="54" t="s">
        <v>768</v>
      </c>
      <c r="D288" s="54" t="s">
        <v>769</v>
      </c>
      <c r="E288" s="54" t="s">
        <v>532</v>
      </c>
      <c r="F288" s="56">
        <v>12267.4</v>
      </c>
    </row>
    <row r="289" spans="1:7">
      <c r="A289" s="86">
        <v>20130326</v>
      </c>
      <c r="B289" s="54" t="s">
        <v>195</v>
      </c>
      <c r="C289" s="3" t="s">
        <v>530</v>
      </c>
      <c r="D289" s="3" t="s">
        <v>770</v>
      </c>
      <c r="E289" s="3" t="s">
        <v>532</v>
      </c>
      <c r="F289" s="56">
        <v>9600</v>
      </c>
      <c r="G289" t="s">
        <v>801</v>
      </c>
    </row>
    <row r="290" spans="1:7">
      <c r="A290" s="86">
        <v>20130326</v>
      </c>
      <c r="B290" s="54" t="s">
        <v>195</v>
      </c>
      <c r="C290" s="54" t="s">
        <v>530</v>
      </c>
      <c r="D290" s="54" t="s">
        <v>771</v>
      </c>
      <c r="E290" s="54" t="s">
        <v>532</v>
      </c>
      <c r="F290" s="56">
        <v>9600</v>
      </c>
      <c r="G290" t="s">
        <v>801</v>
      </c>
    </row>
    <row r="291" spans="1:7">
      <c r="A291" s="86">
        <v>20130326</v>
      </c>
      <c r="B291" s="54" t="s">
        <v>132</v>
      </c>
      <c r="C291" s="54" t="s">
        <v>772</v>
      </c>
      <c r="D291" s="54" t="s">
        <v>773</v>
      </c>
      <c r="E291" s="54" t="s">
        <v>802</v>
      </c>
      <c r="F291" s="56">
        <v>7800</v>
      </c>
      <c r="G291" s="75"/>
    </row>
    <row r="292" spans="1:7">
      <c r="A292" s="86">
        <v>20130326</v>
      </c>
      <c r="B292" s="33" t="s">
        <v>132</v>
      </c>
      <c r="C292" s="35" t="s">
        <v>464</v>
      </c>
      <c r="D292" s="35" t="s">
        <v>774</v>
      </c>
      <c r="E292" s="35" t="s">
        <v>466</v>
      </c>
      <c r="F292" s="56">
        <v>50255.199999999997</v>
      </c>
      <c r="G292" s="75"/>
    </row>
    <row r="293" spans="1:7">
      <c r="A293" s="86">
        <v>20130326</v>
      </c>
      <c r="B293" s="54" t="s">
        <v>195</v>
      </c>
      <c r="C293" s="54" t="s">
        <v>673</v>
      </c>
      <c r="D293" s="54" t="s">
        <v>775</v>
      </c>
      <c r="E293" s="54" t="s">
        <v>106</v>
      </c>
      <c r="F293" s="56">
        <v>12400</v>
      </c>
      <c r="G293" t="s">
        <v>198</v>
      </c>
    </row>
    <row r="294" spans="1:7">
      <c r="A294" s="38">
        <v>20130327</v>
      </c>
      <c r="B294" s="54" t="s">
        <v>55</v>
      </c>
      <c r="C294" s="54" t="s">
        <v>344</v>
      </c>
      <c r="D294" s="54" t="s">
        <v>805</v>
      </c>
      <c r="E294" s="54" t="s">
        <v>109</v>
      </c>
      <c r="F294" s="56">
        <v>16465.8</v>
      </c>
      <c r="G294" s="75"/>
    </row>
    <row r="295" spans="1:7">
      <c r="A295" s="38">
        <v>20130327</v>
      </c>
      <c r="B295" s="54" t="s">
        <v>55</v>
      </c>
      <c r="C295" s="54" t="s">
        <v>15</v>
      </c>
      <c r="D295" s="54" t="s">
        <v>806</v>
      </c>
      <c r="E295" s="54" t="s">
        <v>109</v>
      </c>
      <c r="F295" s="56">
        <v>31101.62</v>
      </c>
      <c r="G295" s="75"/>
    </row>
    <row r="296" spans="1:7">
      <c r="A296" s="38">
        <v>20130327</v>
      </c>
      <c r="B296" s="54" t="s">
        <v>807</v>
      </c>
      <c r="C296" s="3" t="s">
        <v>530</v>
      </c>
      <c r="D296" s="3" t="s">
        <v>808</v>
      </c>
      <c r="E296" s="3" t="s">
        <v>532</v>
      </c>
      <c r="F296" s="56">
        <v>4800</v>
      </c>
      <c r="G296" t="s">
        <v>246</v>
      </c>
    </row>
    <row r="297" spans="1:7">
      <c r="A297" s="86">
        <v>20130327</v>
      </c>
      <c r="B297" s="54" t="s">
        <v>807</v>
      </c>
      <c r="C297" s="3" t="s">
        <v>809</v>
      </c>
      <c r="D297" s="3" t="s">
        <v>810</v>
      </c>
      <c r="E297" s="3" t="s">
        <v>106</v>
      </c>
      <c r="F297" s="56">
        <v>30000</v>
      </c>
      <c r="G297" s="75" t="s">
        <v>299</v>
      </c>
    </row>
    <row r="298" spans="1:7">
      <c r="A298" s="86">
        <v>20130327</v>
      </c>
      <c r="B298" s="54" t="s">
        <v>195</v>
      </c>
      <c r="C298" s="54" t="s">
        <v>811</v>
      </c>
      <c r="D298" s="54" t="s">
        <v>812</v>
      </c>
      <c r="E298" s="54" t="s">
        <v>532</v>
      </c>
      <c r="F298" s="56">
        <v>11600</v>
      </c>
      <c r="G298" t="s">
        <v>801</v>
      </c>
    </row>
    <row r="299" spans="1:7">
      <c r="A299" s="86">
        <v>20130327</v>
      </c>
      <c r="B299" s="54" t="s">
        <v>195</v>
      </c>
      <c r="C299" s="54" t="s">
        <v>530</v>
      </c>
      <c r="D299" s="54" t="s">
        <v>813</v>
      </c>
      <c r="E299" s="54" t="s">
        <v>532</v>
      </c>
      <c r="F299" s="49">
        <v>3000</v>
      </c>
      <c r="G299" t="s">
        <v>246</v>
      </c>
    </row>
    <row r="300" spans="1:7">
      <c r="A300" s="86">
        <v>20130327</v>
      </c>
      <c r="B300" s="54" t="s">
        <v>195</v>
      </c>
      <c r="C300" s="54" t="s">
        <v>814</v>
      </c>
      <c r="D300" s="54" t="s">
        <v>815</v>
      </c>
      <c r="E300" s="54" t="s">
        <v>532</v>
      </c>
      <c r="F300" s="49">
        <v>3800</v>
      </c>
      <c r="G300" t="s">
        <v>246</v>
      </c>
    </row>
    <row r="301" spans="1:7">
      <c r="A301" s="86">
        <v>20130327</v>
      </c>
      <c r="B301" s="54" t="s">
        <v>195</v>
      </c>
      <c r="C301" s="54" t="s">
        <v>817</v>
      </c>
      <c r="D301" s="54" t="s">
        <v>818</v>
      </c>
      <c r="E301" s="54" t="s">
        <v>144</v>
      </c>
      <c r="F301" s="49">
        <v>30000</v>
      </c>
      <c r="G301" s="75" t="s">
        <v>299</v>
      </c>
    </row>
    <row r="302" spans="1:7">
      <c r="A302" s="38">
        <v>20130328</v>
      </c>
      <c r="B302" s="54" t="s">
        <v>55</v>
      </c>
      <c r="C302" s="54" t="s">
        <v>13</v>
      </c>
      <c r="D302" s="54" t="s">
        <v>819</v>
      </c>
      <c r="E302" s="54" t="s">
        <v>382</v>
      </c>
      <c r="F302" s="49">
        <v>37800</v>
      </c>
      <c r="G302" s="75"/>
    </row>
    <row r="303" spans="1:7">
      <c r="A303" s="38">
        <v>20130328</v>
      </c>
      <c r="B303" s="33" t="s">
        <v>413</v>
      </c>
      <c r="C303" s="51" t="s">
        <v>820</v>
      </c>
      <c r="D303" s="53" t="s">
        <v>821</v>
      </c>
      <c r="E303" s="53" t="s">
        <v>822</v>
      </c>
      <c r="F303" s="56">
        <v>12563.8</v>
      </c>
      <c r="G303" s="75"/>
    </row>
    <row r="304" spans="1:7">
      <c r="A304" s="38">
        <v>20130328</v>
      </c>
      <c r="B304" s="33" t="s">
        <v>413</v>
      </c>
      <c r="C304" s="51" t="s">
        <v>823</v>
      </c>
      <c r="D304" s="53" t="s">
        <v>824</v>
      </c>
      <c r="E304" s="53" t="s">
        <v>599</v>
      </c>
      <c r="F304" s="56">
        <v>33375.730000000003</v>
      </c>
      <c r="G304" s="75"/>
    </row>
    <row r="305" spans="1:7">
      <c r="A305" s="38">
        <v>20130328</v>
      </c>
      <c r="B305" s="54" t="s">
        <v>413</v>
      </c>
      <c r="C305" s="54" t="s">
        <v>823</v>
      </c>
      <c r="D305" s="54" t="s">
        <v>825</v>
      </c>
      <c r="E305" s="54" t="s">
        <v>826</v>
      </c>
      <c r="F305" s="56">
        <v>50556.73</v>
      </c>
      <c r="G305" s="75"/>
    </row>
    <row r="306" spans="1:7">
      <c r="A306" s="38">
        <v>20130328</v>
      </c>
      <c r="B306" s="54" t="s">
        <v>413</v>
      </c>
      <c r="C306" s="77" t="s">
        <v>827</v>
      </c>
      <c r="D306" s="54" t="s">
        <v>828</v>
      </c>
      <c r="E306" s="77" t="s">
        <v>829</v>
      </c>
      <c r="F306" s="56">
        <v>3090.15</v>
      </c>
      <c r="G306" s="75"/>
    </row>
    <row r="307" spans="1:7">
      <c r="A307" s="38">
        <v>20130328</v>
      </c>
      <c r="B307" s="54" t="s">
        <v>413</v>
      </c>
      <c r="C307" s="77" t="s">
        <v>827</v>
      </c>
      <c r="D307" s="54" t="s">
        <v>830</v>
      </c>
      <c r="E307" s="77" t="s">
        <v>829</v>
      </c>
      <c r="F307" s="56">
        <v>14126.4</v>
      </c>
      <c r="G307" s="75"/>
    </row>
    <row r="308" spans="1:7">
      <c r="A308" s="38">
        <v>20130328</v>
      </c>
      <c r="B308" s="54" t="s">
        <v>413</v>
      </c>
      <c r="C308" s="77" t="s">
        <v>831</v>
      </c>
      <c r="D308" s="54" t="s">
        <v>832</v>
      </c>
      <c r="E308" s="77" t="s">
        <v>346</v>
      </c>
      <c r="F308" s="56">
        <v>10386.83</v>
      </c>
      <c r="G308" s="75"/>
    </row>
    <row r="309" spans="1:7">
      <c r="A309" s="38">
        <v>20130328</v>
      </c>
      <c r="B309" s="54" t="s">
        <v>413</v>
      </c>
      <c r="C309" s="77" t="s">
        <v>833</v>
      </c>
      <c r="D309" s="54" t="s">
        <v>475</v>
      </c>
      <c r="E309" s="77" t="s">
        <v>606</v>
      </c>
      <c r="F309" s="56">
        <v>31648.04</v>
      </c>
      <c r="G309" s="75"/>
    </row>
    <row r="310" spans="1:7">
      <c r="A310" s="38">
        <v>20130328</v>
      </c>
      <c r="B310" s="33" t="s">
        <v>413</v>
      </c>
      <c r="C310" s="54" t="s">
        <v>136</v>
      </c>
      <c r="D310" s="54" t="s">
        <v>836</v>
      </c>
      <c r="E310" s="54" t="s">
        <v>109</v>
      </c>
      <c r="F310" s="56">
        <v>18544.820000000007</v>
      </c>
      <c r="G310" s="75"/>
    </row>
    <row r="311" spans="1:7">
      <c r="A311" s="38">
        <v>20130328</v>
      </c>
      <c r="B311" s="33" t="s">
        <v>413</v>
      </c>
      <c r="C311" s="54" t="s">
        <v>834</v>
      </c>
      <c r="D311" s="54" t="s">
        <v>835</v>
      </c>
      <c r="E311" s="54" t="s">
        <v>599</v>
      </c>
      <c r="F311" s="56">
        <v>16408.52</v>
      </c>
      <c r="G311" s="75"/>
    </row>
    <row r="312" spans="1:7">
      <c r="A312" s="86">
        <v>20130328</v>
      </c>
      <c r="B312" s="54" t="s">
        <v>195</v>
      </c>
      <c r="C312" s="54" t="s">
        <v>811</v>
      </c>
      <c r="D312" s="54" t="s">
        <v>838</v>
      </c>
      <c r="E312" s="54" t="s">
        <v>532</v>
      </c>
      <c r="F312" s="49">
        <v>4800</v>
      </c>
      <c r="G312" t="s">
        <v>246</v>
      </c>
    </row>
    <row r="313" spans="1:7">
      <c r="A313" s="86">
        <v>20130328</v>
      </c>
      <c r="B313" s="54" t="s">
        <v>195</v>
      </c>
      <c r="C313" s="54" t="s">
        <v>699</v>
      </c>
      <c r="D313" s="54" t="s">
        <v>837</v>
      </c>
      <c r="E313" s="54" t="s">
        <v>144</v>
      </c>
      <c r="F313" s="49">
        <v>35700</v>
      </c>
      <c r="G313" s="75" t="s">
        <v>299</v>
      </c>
    </row>
    <row r="314" spans="1:7">
      <c r="A314" s="86">
        <v>20130328</v>
      </c>
      <c r="B314" s="54" t="s">
        <v>55</v>
      </c>
      <c r="C314" s="54" t="s">
        <v>155</v>
      </c>
      <c r="D314" s="54" t="s">
        <v>1130</v>
      </c>
      <c r="E314" s="54" t="s">
        <v>144</v>
      </c>
      <c r="F314" s="49">
        <v>12690</v>
      </c>
      <c r="G314" s="75"/>
    </row>
    <row r="315" spans="1:7">
      <c r="A315" s="86">
        <v>20130328</v>
      </c>
      <c r="B315" s="54" t="s">
        <v>55</v>
      </c>
      <c r="C315" s="54" t="s">
        <v>840</v>
      </c>
      <c r="D315" s="54" t="s">
        <v>841</v>
      </c>
      <c r="E315" s="54" t="s">
        <v>270</v>
      </c>
      <c r="F315" s="49">
        <v>39218</v>
      </c>
      <c r="G315" s="75"/>
    </row>
    <row r="316" spans="1:7">
      <c r="A316" s="38">
        <v>20130329</v>
      </c>
      <c r="B316" s="54" t="s">
        <v>195</v>
      </c>
      <c r="C316" s="54" t="s">
        <v>817</v>
      </c>
      <c r="D316" s="54" t="s">
        <v>842</v>
      </c>
      <c r="E316" s="54" t="s">
        <v>202</v>
      </c>
      <c r="F316" s="49">
        <v>6000</v>
      </c>
      <c r="G316" t="s">
        <v>246</v>
      </c>
    </row>
    <row r="317" spans="1:7">
      <c r="A317" s="38">
        <v>20130329</v>
      </c>
      <c r="B317" s="54" t="s">
        <v>195</v>
      </c>
      <c r="C317" s="54" t="s">
        <v>843</v>
      </c>
      <c r="D317" s="54" t="s">
        <v>844</v>
      </c>
      <c r="E317" s="54" t="s">
        <v>106</v>
      </c>
      <c r="F317" s="49">
        <v>6200</v>
      </c>
      <c r="G317" t="s">
        <v>246</v>
      </c>
    </row>
    <row r="318" spans="1:7">
      <c r="A318" s="38">
        <v>20130329</v>
      </c>
      <c r="B318" s="54" t="s">
        <v>195</v>
      </c>
      <c r="C318" s="54" t="s">
        <v>530</v>
      </c>
      <c r="D318" s="54" t="s">
        <v>845</v>
      </c>
      <c r="E318" s="54" t="s">
        <v>532</v>
      </c>
      <c r="F318" s="49">
        <v>5000</v>
      </c>
      <c r="G318" t="s">
        <v>198</v>
      </c>
    </row>
    <row r="319" spans="1:7">
      <c r="A319" s="38">
        <v>20130329</v>
      </c>
      <c r="B319" s="54" t="s">
        <v>195</v>
      </c>
      <c r="C319" s="54" t="s">
        <v>817</v>
      </c>
      <c r="D319" s="54" t="s">
        <v>846</v>
      </c>
      <c r="E319" s="54" t="s">
        <v>202</v>
      </c>
      <c r="F319" s="49">
        <v>5800</v>
      </c>
      <c r="G319" t="s">
        <v>198</v>
      </c>
    </row>
    <row r="320" spans="1:7">
      <c r="A320" s="38">
        <v>20130329</v>
      </c>
      <c r="B320" s="54" t="s">
        <v>55</v>
      </c>
      <c r="C320" s="51" t="s">
        <v>205</v>
      </c>
      <c r="D320" s="54" t="s">
        <v>847</v>
      </c>
      <c r="E320" s="54" t="s">
        <v>159</v>
      </c>
      <c r="F320" s="49">
        <v>15656</v>
      </c>
      <c r="G320" s="75"/>
    </row>
    <row r="321" spans="1:7">
      <c r="A321" s="54">
        <v>20130329</v>
      </c>
      <c r="B321" s="33" t="s">
        <v>195</v>
      </c>
      <c r="C321" s="54" t="s">
        <v>848</v>
      </c>
      <c r="D321" s="54" t="s">
        <v>849</v>
      </c>
      <c r="E321" s="54" t="s">
        <v>850</v>
      </c>
      <c r="F321" s="49">
        <v>14400</v>
      </c>
      <c r="G321" t="s">
        <v>198</v>
      </c>
    </row>
    <row r="322" spans="1:7">
      <c r="A322" s="54">
        <v>20130329</v>
      </c>
      <c r="B322" s="33" t="s">
        <v>55</v>
      </c>
      <c r="C322" s="35" t="s">
        <v>14</v>
      </c>
      <c r="D322" s="35" t="s">
        <v>851</v>
      </c>
      <c r="E322" s="35" t="s">
        <v>106</v>
      </c>
      <c r="F322" s="49">
        <v>16866.900000000001</v>
      </c>
      <c r="G322" s="75"/>
    </row>
    <row r="323" spans="1:7">
      <c r="A323" s="54">
        <v>20130331</v>
      </c>
      <c r="B323" s="54" t="s">
        <v>853</v>
      </c>
      <c r="C323" s="54" t="s">
        <v>843</v>
      </c>
      <c r="D323" s="54" t="s">
        <v>854</v>
      </c>
      <c r="E323" s="54" t="s">
        <v>855</v>
      </c>
      <c r="F323" s="56">
        <v>49500</v>
      </c>
      <c r="G323" s="75" t="s">
        <v>299</v>
      </c>
    </row>
    <row r="324" spans="1:7">
      <c r="A324" s="54">
        <v>20130331</v>
      </c>
      <c r="B324" s="54" t="s">
        <v>853</v>
      </c>
      <c r="C324" s="54" t="s">
        <v>975</v>
      </c>
      <c r="D324" s="54" t="s">
        <v>856</v>
      </c>
      <c r="E324" s="54" t="s">
        <v>857</v>
      </c>
      <c r="F324" s="56">
        <v>4800</v>
      </c>
      <c r="G324" t="s">
        <v>246</v>
      </c>
    </row>
    <row r="325" spans="1:7">
      <c r="A325" s="54">
        <v>20130331</v>
      </c>
      <c r="B325" s="54" t="s">
        <v>852</v>
      </c>
      <c r="C325" s="54" t="s">
        <v>858</v>
      </c>
      <c r="D325" s="54" t="s">
        <v>859</v>
      </c>
      <c r="E325" s="54" t="s">
        <v>725</v>
      </c>
      <c r="F325" s="56">
        <v>11900</v>
      </c>
      <c r="G325" s="75"/>
    </row>
    <row r="326" spans="1:7">
      <c r="A326" s="54">
        <v>20130331</v>
      </c>
      <c r="B326" s="54" t="s">
        <v>853</v>
      </c>
      <c r="C326" s="54" t="s">
        <v>860</v>
      </c>
      <c r="D326" s="54" t="s">
        <v>861</v>
      </c>
      <c r="E326" s="54" t="s">
        <v>857</v>
      </c>
      <c r="F326" s="56">
        <v>9600</v>
      </c>
      <c r="G326" t="s">
        <v>198</v>
      </c>
    </row>
    <row r="327" spans="1:7">
      <c r="A327" s="54">
        <v>20130331</v>
      </c>
      <c r="B327" s="54" t="s">
        <v>853</v>
      </c>
      <c r="C327" s="54" t="s">
        <v>975</v>
      </c>
      <c r="D327" s="54" t="s">
        <v>862</v>
      </c>
      <c r="E327" s="54" t="s">
        <v>857</v>
      </c>
      <c r="F327" s="56">
        <v>3000</v>
      </c>
      <c r="G327" t="s">
        <v>246</v>
      </c>
    </row>
    <row r="328" spans="1:7">
      <c r="A328" s="54">
        <v>20130331</v>
      </c>
      <c r="B328" s="54" t="s">
        <v>853</v>
      </c>
      <c r="C328" s="54" t="s">
        <v>809</v>
      </c>
      <c r="D328" s="54" t="s">
        <v>863</v>
      </c>
      <c r="E328" s="54" t="s">
        <v>864</v>
      </c>
      <c r="F328" s="56">
        <v>5800</v>
      </c>
      <c r="G328" t="s">
        <v>246</v>
      </c>
    </row>
    <row r="329" spans="1:7">
      <c r="A329" s="54">
        <v>20130331</v>
      </c>
      <c r="B329" s="54" t="s">
        <v>853</v>
      </c>
      <c r="C329" s="54" t="s">
        <v>975</v>
      </c>
      <c r="D329" s="54" t="s">
        <v>865</v>
      </c>
      <c r="E329" s="54" t="s">
        <v>857</v>
      </c>
      <c r="F329" s="56">
        <v>1000</v>
      </c>
      <c r="G329" s="75"/>
    </row>
    <row r="330" spans="1:7">
      <c r="A330" s="54">
        <v>20130331</v>
      </c>
      <c r="B330" s="54" t="s">
        <v>853</v>
      </c>
      <c r="C330" s="54" t="s">
        <v>811</v>
      </c>
      <c r="D330" s="54" t="s">
        <v>866</v>
      </c>
      <c r="E330" s="54" t="s">
        <v>857</v>
      </c>
      <c r="F330" s="56">
        <v>4800</v>
      </c>
      <c r="G330" t="s">
        <v>246</v>
      </c>
    </row>
    <row r="331" spans="1:7">
      <c r="A331" s="54">
        <v>20130331</v>
      </c>
      <c r="B331" s="54" t="s">
        <v>853</v>
      </c>
      <c r="C331" s="54" t="s">
        <v>975</v>
      </c>
      <c r="D331" s="54" t="s">
        <v>867</v>
      </c>
      <c r="E331" s="54" t="s">
        <v>857</v>
      </c>
      <c r="F331" s="56">
        <v>6000</v>
      </c>
      <c r="G331" t="s">
        <v>198</v>
      </c>
    </row>
    <row r="332" spans="1:7">
      <c r="A332" s="54">
        <v>20130331</v>
      </c>
      <c r="B332" s="54" t="s">
        <v>853</v>
      </c>
      <c r="C332" s="54" t="s">
        <v>868</v>
      </c>
      <c r="D332" s="54" t="s">
        <v>869</v>
      </c>
      <c r="E332" s="54" t="s">
        <v>857</v>
      </c>
      <c r="F332" s="56">
        <v>2000</v>
      </c>
      <c r="G332" s="75"/>
    </row>
    <row r="333" spans="1:7">
      <c r="A333" s="54">
        <v>20130331</v>
      </c>
      <c r="B333" s="54" t="s">
        <v>853</v>
      </c>
      <c r="C333" s="54" t="s">
        <v>975</v>
      </c>
      <c r="D333" s="54" t="s">
        <v>870</v>
      </c>
      <c r="E333" s="54" t="s">
        <v>886</v>
      </c>
      <c r="F333" s="56">
        <v>2000</v>
      </c>
      <c r="G333" s="75"/>
    </row>
    <row r="334" spans="1:7">
      <c r="A334" s="54">
        <v>20130331</v>
      </c>
      <c r="B334" s="54" t="s">
        <v>853</v>
      </c>
      <c r="C334" s="54" t="s">
        <v>871</v>
      </c>
      <c r="D334" s="54" t="s">
        <v>872</v>
      </c>
      <c r="E334" s="54" t="s">
        <v>850</v>
      </c>
      <c r="F334" s="56">
        <v>3000</v>
      </c>
      <c r="G334" s="75"/>
    </row>
    <row r="335" spans="1:7">
      <c r="A335" s="54">
        <v>20130331</v>
      </c>
      <c r="B335" s="54" t="s">
        <v>55</v>
      </c>
      <c r="C335" s="3" t="s">
        <v>873</v>
      </c>
      <c r="D335" s="3" t="s">
        <v>874</v>
      </c>
      <c r="E335" s="3" t="s">
        <v>302</v>
      </c>
      <c r="F335" s="56">
        <v>8003.21</v>
      </c>
      <c r="G335" s="75"/>
    </row>
    <row r="336" spans="1:7">
      <c r="A336" s="54">
        <v>20130331</v>
      </c>
      <c r="B336" s="54" t="s">
        <v>55</v>
      </c>
      <c r="C336" s="51" t="s">
        <v>875</v>
      </c>
      <c r="D336" s="54" t="s">
        <v>876</v>
      </c>
      <c r="E336" s="54" t="s">
        <v>877</v>
      </c>
      <c r="F336" s="56">
        <v>16330.71</v>
      </c>
      <c r="G336" s="50"/>
    </row>
    <row r="337" spans="1:7">
      <c r="A337" s="54">
        <v>20130331</v>
      </c>
      <c r="B337" s="54" t="s">
        <v>431</v>
      </c>
      <c r="C337" s="54" t="s">
        <v>878</v>
      </c>
      <c r="D337" s="54" t="s">
        <v>879</v>
      </c>
      <c r="E337" s="54" t="s">
        <v>880</v>
      </c>
      <c r="F337" s="56">
        <v>-3055.5</v>
      </c>
      <c r="G337" s="50"/>
    </row>
    <row r="338" spans="1:7">
      <c r="A338" s="54">
        <v>20130331</v>
      </c>
      <c r="B338" s="33" t="s">
        <v>55</v>
      </c>
      <c r="C338" s="35" t="s">
        <v>231</v>
      </c>
      <c r="D338" s="85" t="s">
        <v>1132</v>
      </c>
      <c r="E338" s="35" t="s">
        <v>216</v>
      </c>
      <c r="F338" s="56">
        <v>30791.42</v>
      </c>
      <c r="G338" s="50"/>
    </row>
    <row r="339" spans="1:7">
      <c r="A339" s="111" t="s">
        <v>881</v>
      </c>
      <c r="B339" s="111"/>
      <c r="C339" s="39"/>
      <c r="D339" s="39"/>
      <c r="E339" s="39"/>
      <c r="F339" s="43">
        <f>SUM(F174:F338)</f>
        <v>2687624.6799999992</v>
      </c>
      <c r="G339" s="75"/>
    </row>
    <row r="340" spans="1:7">
      <c r="A340" s="38">
        <v>20130401</v>
      </c>
      <c r="B340" s="54" t="s">
        <v>882</v>
      </c>
      <c r="C340" s="54" t="s">
        <v>883</v>
      </c>
      <c r="D340" s="54" t="s">
        <v>884</v>
      </c>
      <c r="E340" s="54" t="s">
        <v>885</v>
      </c>
      <c r="F340" s="56">
        <v>4800</v>
      </c>
      <c r="G340" t="s">
        <v>246</v>
      </c>
    </row>
    <row r="341" spans="1:7">
      <c r="A341" s="86">
        <v>20130402</v>
      </c>
      <c r="B341" s="54" t="s">
        <v>55</v>
      </c>
      <c r="C341" s="54" t="s">
        <v>891</v>
      </c>
      <c r="D341" s="54" t="s">
        <v>892</v>
      </c>
      <c r="E341" s="54" t="s">
        <v>213</v>
      </c>
      <c r="F341" s="56">
        <v>4500</v>
      </c>
      <c r="G341" s="75"/>
    </row>
    <row r="342" spans="1:7">
      <c r="A342" s="86">
        <v>20130402</v>
      </c>
      <c r="B342" s="54" t="s">
        <v>195</v>
      </c>
      <c r="C342" s="54" t="s">
        <v>699</v>
      </c>
      <c r="D342" s="54" t="s">
        <v>893</v>
      </c>
      <c r="E342" s="54" t="s">
        <v>144</v>
      </c>
      <c r="F342" s="56">
        <v>9600</v>
      </c>
      <c r="G342" t="s">
        <v>198</v>
      </c>
    </row>
    <row r="343" spans="1:7">
      <c r="A343" s="86">
        <v>20130402</v>
      </c>
      <c r="B343" s="54" t="s">
        <v>195</v>
      </c>
      <c r="C343" s="54" t="s">
        <v>975</v>
      </c>
      <c r="D343" s="54" t="s">
        <v>894</v>
      </c>
      <c r="E343" s="54" t="s">
        <v>532</v>
      </c>
      <c r="F343" s="56">
        <v>2500</v>
      </c>
      <c r="G343" s="75"/>
    </row>
    <row r="344" spans="1:7">
      <c r="A344" s="86">
        <v>20130402</v>
      </c>
      <c r="B344" s="54" t="s">
        <v>888</v>
      </c>
      <c r="C344" s="54" t="s">
        <v>754</v>
      </c>
      <c r="D344" s="54" t="s">
        <v>895</v>
      </c>
      <c r="E344" s="54" t="s">
        <v>896</v>
      </c>
      <c r="F344" s="56">
        <v>7800</v>
      </c>
      <c r="G344" s="75"/>
    </row>
    <row r="345" spans="1:7">
      <c r="A345" s="86">
        <v>20130402</v>
      </c>
      <c r="B345" s="54" t="s">
        <v>195</v>
      </c>
      <c r="C345" s="54" t="s">
        <v>7</v>
      </c>
      <c r="D345" s="54" t="s">
        <v>897</v>
      </c>
      <c r="E345" s="54" t="s">
        <v>270</v>
      </c>
      <c r="F345" s="56">
        <v>13600</v>
      </c>
      <c r="G345" t="s">
        <v>198</v>
      </c>
    </row>
    <row r="346" spans="1:7">
      <c r="A346" s="86">
        <v>20130402</v>
      </c>
      <c r="B346" s="54" t="s">
        <v>195</v>
      </c>
      <c r="C346" s="54" t="s">
        <v>512</v>
      </c>
      <c r="D346" s="54" t="s">
        <v>898</v>
      </c>
      <c r="E346" s="54" t="s">
        <v>106</v>
      </c>
      <c r="F346" s="56">
        <v>6800</v>
      </c>
      <c r="G346" t="s">
        <v>246</v>
      </c>
    </row>
    <row r="347" spans="1:7">
      <c r="A347" s="54">
        <v>20130402</v>
      </c>
      <c r="B347" s="54" t="s">
        <v>899</v>
      </c>
      <c r="C347" s="54" t="s">
        <v>900</v>
      </c>
      <c r="D347" s="54" t="s">
        <v>901</v>
      </c>
      <c r="E347" s="54" t="s">
        <v>902</v>
      </c>
      <c r="F347" s="56">
        <v>6180.3</v>
      </c>
      <c r="G347" s="75"/>
    </row>
    <row r="348" spans="1:7">
      <c r="A348" s="54">
        <v>20130402</v>
      </c>
      <c r="B348" s="54" t="s">
        <v>899</v>
      </c>
      <c r="C348" s="54" t="s">
        <v>903</v>
      </c>
      <c r="D348" s="54" t="s">
        <v>904</v>
      </c>
      <c r="E348" s="54" t="s">
        <v>905</v>
      </c>
      <c r="F348" s="56">
        <v>16677</v>
      </c>
      <c r="G348" s="75"/>
    </row>
    <row r="349" spans="1:7">
      <c r="A349" s="54">
        <v>20130402</v>
      </c>
      <c r="B349" s="54" t="s">
        <v>899</v>
      </c>
      <c r="C349" s="54" t="s">
        <v>906</v>
      </c>
      <c r="D349" s="54" t="s">
        <v>907</v>
      </c>
      <c r="E349" s="54" t="s">
        <v>908</v>
      </c>
      <c r="F349" s="56">
        <v>13414.73</v>
      </c>
      <c r="G349" s="75"/>
    </row>
    <row r="350" spans="1:7">
      <c r="A350" s="54">
        <v>20130402</v>
      </c>
      <c r="B350" s="54" t="s">
        <v>195</v>
      </c>
      <c r="C350" s="54" t="s">
        <v>909</v>
      </c>
      <c r="D350" s="54" t="s">
        <v>910</v>
      </c>
      <c r="E350" s="54" t="s">
        <v>131</v>
      </c>
      <c r="F350" s="56">
        <v>9600</v>
      </c>
      <c r="G350" s="75"/>
    </row>
    <row r="351" spans="1:7">
      <c r="A351" s="86">
        <v>20130402</v>
      </c>
      <c r="B351" s="54" t="s">
        <v>195</v>
      </c>
      <c r="C351" s="54" t="s">
        <v>911</v>
      </c>
      <c r="D351" s="54" t="s">
        <v>912</v>
      </c>
      <c r="E351" s="54" t="s">
        <v>532</v>
      </c>
      <c r="F351" s="56">
        <v>2500</v>
      </c>
      <c r="G351" s="75"/>
    </row>
    <row r="352" spans="1:7">
      <c r="A352" s="86">
        <v>20130402</v>
      </c>
      <c r="B352" s="54" t="s">
        <v>195</v>
      </c>
      <c r="C352" s="54" t="s">
        <v>913</v>
      </c>
      <c r="D352" s="54" t="s">
        <v>914</v>
      </c>
      <c r="E352" s="54" t="s">
        <v>532</v>
      </c>
      <c r="F352" s="56">
        <v>35000</v>
      </c>
      <c r="G352" t="s">
        <v>915</v>
      </c>
    </row>
    <row r="353" spans="1:7">
      <c r="A353" s="54">
        <v>20130403</v>
      </c>
      <c r="B353" s="54" t="s">
        <v>55</v>
      </c>
      <c r="C353" s="54" t="s">
        <v>139</v>
      </c>
      <c r="D353" s="54" t="s">
        <v>916</v>
      </c>
      <c r="E353" s="54" t="s">
        <v>165</v>
      </c>
      <c r="F353" s="56">
        <v>4234</v>
      </c>
      <c r="G353" s="75"/>
    </row>
    <row r="354" spans="1:7">
      <c r="A354" s="54">
        <v>20130403</v>
      </c>
      <c r="B354" s="54" t="s">
        <v>55</v>
      </c>
      <c r="C354" s="54" t="s">
        <v>456</v>
      </c>
      <c r="D354" s="54" t="s">
        <v>917</v>
      </c>
      <c r="E354" s="54" t="s">
        <v>159</v>
      </c>
      <c r="F354" s="56">
        <v>31067.77</v>
      </c>
      <c r="G354" s="75"/>
    </row>
    <row r="355" spans="1:7">
      <c r="A355" s="54">
        <v>20130403</v>
      </c>
      <c r="B355" s="33" t="s">
        <v>195</v>
      </c>
      <c r="C355" s="54" t="s">
        <v>918</v>
      </c>
      <c r="D355" s="54" t="s">
        <v>919</v>
      </c>
      <c r="E355" s="54" t="s">
        <v>270</v>
      </c>
      <c r="F355" s="56">
        <v>5800</v>
      </c>
      <c r="G355" t="s">
        <v>246</v>
      </c>
    </row>
    <row r="356" spans="1:7">
      <c r="A356" s="54">
        <v>20130403</v>
      </c>
      <c r="B356" s="33" t="s">
        <v>195</v>
      </c>
      <c r="C356" s="54" t="s">
        <v>918</v>
      </c>
      <c r="D356" s="54" t="s">
        <v>920</v>
      </c>
      <c r="E356" s="54" t="s">
        <v>270</v>
      </c>
      <c r="F356" s="56">
        <v>5800</v>
      </c>
      <c r="G356" t="s">
        <v>246</v>
      </c>
    </row>
    <row r="357" spans="1:7">
      <c r="A357" s="54">
        <v>20130403</v>
      </c>
      <c r="B357" s="54" t="s">
        <v>55</v>
      </c>
      <c r="C357" s="54" t="s">
        <v>271</v>
      </c>
      <c r="D357" s="92" t="s">
        <v>921</v>
      </c>
      <c r="E357" s="54" t="s">
        <v>213</v>
      </c>
      <c r="F357" s="56">
        <v>34100</v>
      </c>
      <c r="G357" s="75"/>
    </row>
    <row r="358" spans="1:7">
      <c r="A358" s="54">
        <v>20130403</v>
      </c>
      <c r="B358" s="54" t="s">
        <v>55</v>
      </c>
      <c r="C358" s="54" t="s">
        <v>284</v>
      </c>
      <c r="D358" s="92" t="s">
        <v>922</v>
      </c>
      <c r="E358" s="54" t="s">
        <v>109</v>
      </c>
      <c r="F358" s="56">
        <v>50664</v>
      </c>
      <c r="G358" s="75"/>
    </row>
    <row r="359" spans="1:7">
      <c r="A359" s="86">
        <v>20130403</v>
      </c>
      <c r="B359" s="54" t="s">
        <v>195</v>
      </c>
      <c r="C359" s="54" t="s">
        <v>975</v>
      </c>
      <c r="D359" s="54" t="s">
        <v>923</v>
      </c>
      <c r="E359" s="54" t="s">
        <v>532</v>
      </c>
      <c r="F359" s="56">
        <v>5000</v>
      </c>
      <c r="G359" t="s">
        <v>198</v>
      </c>
    </row>
    <row r="360" spans="1:7">
      <c r="A360" s="86">
        <v>20130403</v>
      </c>
      <c r="B360" s="54" t="s">
        <v>195</v>
      </c>
      <c r="C360" s="54" t="s">
        <v>685</v>
      </c>
      <c r="D360" s="54" t="s">
        <v>924</v>
      </c>
      <c r="E360" s="54" t="s">
        <v>213</v>
      </c>
      <c r="F360" s="56">
        <v>20400</v>
      </c>
      <c r="G360" t="s">
        <v>527</v>
      </c>
    </row>
    <row r="361" spans="1:7">
      <c r="A361" s="86">
        <v>20130403</v>
      </c>
      <c r="B361" s="54" t="s">
        <v>195</v>
      </c>
      <c r="C361" s="54" t="s">
        <v>975</v>
      </c>
      <c r="D361" s="54" t="s">
        <v>925</v>
      </c>
      <c r="E361" s="54" t="s">
        <v>532</v>
      </c>
      <c r="F361" s="56">
        <v>4800</v>
      </c>
      <c r="G361" t="s">
        <v>246</v>
      </c>
    </row>
    <row r="362" spans="1:7">
      <c r="A362" s="86">
        <v>20130403</v>
      </c>
      <c r="B362" s="54" t="s">
        <v>195</v>
      </c>
      <c r="C362" s="54" t="s">
        <v>530</v>
      </c>
      <c r="D362" s="54" t="s">
        <v>926</v>
      </c>
      <c r="E362" s="54" t="s">
        <v>532</v>
      </c>
      <c r="F362" s="56">
        <v>20000</v>
      </c>
      <c r="G362" s="75" t="s">
        <v>299</v>
      </c>
    </row>
    <row r="363" spans="1:7">
      <c r="A363" s="86">
        <v>20130403</v>
      </c>
      <c r="B363" s="54" t="s">
        <v>195</v>
      </c>
      <c r="C363" s="54" t="s">
        <v>530</v>
      </c>
      <c r="D363" s="54" t="s">
        <v>927</v>
      </c>
      <c r="E363" s="54" t="s">
        <v>532</v>
      </c>
      <c r="F363" s="56">
        <v>5800</v>
      </c>
      <c r="G363" t="s">
        <v>246</v>
      </c>
    </row>
    <row r="364" spans="1:7">
      <c r="A364" s="86">
        <v>20130403</v>
      </c>
      <c r="B364" s="54" t="s">
        <v>195</v>
      </c>
      <c r="C364" s="54" t="s">
        <v>975</v>
      </c>
      <c r="D364" s="54" t="s">
        <v>928</v>
      </c>
      <c r="E364" s="54" t="s">
        <v>532</v>
      </c>
      <c r="F364" s="56">
        <v>4800</v>
      </c>
      <c r="G364" t="s">
        <v>246</v>
      </c>
    </row>
    <row r="365" spans="1:7">
      <c r="A365" s="86">
        <v>20130403</v>
      </c>
      <c r="B365" s="54" t="s">
        <v>195</v>
      </c>
      <c r="C365" s="54" t="s">
        <v>929</v>
      </c>
      <c r="D365" s="54" t="s">
        <v>930</v>
      </c>
      <c r="E365" s="54" t="s">
        <v>931</v>
      </c>
      <c r="F365" s="56">
        <v>2500</v>
      </c>
      <c r="G365" s="75"/>
    </row>
    <row r="366" spans="1:7">
      <c r="A366" s="86">
        <v>20130403</v>
      </c>
      <c r="B366" s="33" t="s">
        <v>55</v>
      </c>
      <c r="C366" s="35" t="s">
        <v>136</v>
      </c>
      <c r="D366" s="85" t="s">
        <v>932</v>
      </c>
      <c r="E366" s="35" t="s">
        <v>109</v>
      </c>
      <c r="F366" s="56">
        <v>16784.099999999999</v>
      </c>
      <c r="G366" s="75"/>
    </row>
    <row r="367" spans="1:7">
      <c r="A367" s="86">
        <v>20130403</v>
      </c>
      <c r="B367" s="54" t="s">
        <v>888</v>
      </c>
      <c r="C367" s="54" t="s">
        <v>336</v>
      </c>
      <c r="D367" s="54" t="s">
        <v>933</v>
      </c>
      <c r="E367" s="54" t="s">
        <v>934</v>
      </c>
      <c r="F367" s="56">
        <v>2600</v>
      </c>
      <c r="G367" s="75"/>
    </row>
    <row r="368" spans="1:7">
      <c r="A368" s="38">
        <v>20130403</v>
      </c>
      <c r="B368" s="33" t="s">
        <v>55</v>
      </c>
      <c r="C368" s="35" t="s">
        <v>935</v>
      </c>
      <c r="D368" s="35" t="s">
        <v>936</v>
      </c>
      <c r="E368" s="35" t="s">
        <v>937</v>
      </c>
      <c r="F368" s="56">
        <v>5972.83</v>
      </c>
      <c r="G368" s="75"/>
    </row>
    <row r="369" spans="1:7">
      <c r="A369" s="86">
        <v>20130405</v>
      </c>
      <c r="B369" s="54" t="s">
        <v>195</v>
      </c>
      <c r="C369" s="54" t="s">
        <v>975</v>
      </c>
      <c r="D369" s="54" t="s">
        <v>938</v>
      </c>
      <c r="E369" s="54" t="s">
        <v>532</v>
      </c>
      <c r="F369" s="56">
        <v>4800</v>
      </c>
      <c r="G369" t="s">
        <v>246</v>
      </c>
    </row>
    <row r="370" spans="1:7">
      <c r="A370" s="86">
        <v>20130405</v>
      </c>
      <c r="B370" s="54" t="s">
        <v>195</v>
      </c>
      <c r="C370" s="54" t="s">
        <v>939</v>
      </c>
      <c r="D370" s="54" t="s">
        <v>940</v>
      </c>
      <c r="E370" s="54" t="s">
        <v>941</v>
      </c>
      <c r="F370" s="56">
        <v>4500</v>
      </c>
      <c r="G370" t="s">
        <v>246</v>
      </c>
    </row>
    <row r="371" spans="1:7">
      <c r="A371" s="38">
        <v>20130405</v>
      </c>
      <c r="B371" s="54" t="s">
        <v>195</v>
      </c>
      <c r="C371" s="54" t="s">
        <v>975</v>
      </c>
      <c r="D371" s="54" t="s">
        <v>942</v>
      </c>
      <c r="E371" s="54" t="s">
        <v>532</v>
      </c>
      <c r="F371" s="56">
        <v>1200</v>
      </c>
      <c r="G371" s="75"/>
    </row>
    <row r="372" spans="1:7">
      <c r="A372" s="86">
        <v>20130405</v>
      </c>
      <c r="B372" s="54" t="s">
        <v>195</v>
      </c>
      <c r="C372" s="54" t="s">
        <v>975</v>
      </c>
      <c r="D372" s="54" t="s">
        <v>943</v>
      </c>
      <c r="E372" s="54" t="s">
        <v>532</v>
      </c>
      <c r="F372" s="56">
        <v>1200</v>
      </c>
      <c r="G372" s="75"/>
    </row>
    <row r="373" spans="1:7">
      <c r="A373" s="86">
        <v>20130405</v>
      </c>
      <c r="B373" s="54" t="s">
        <v>195</v>
      </c>
      <c r="C373" s="54" t="s">
        <v>687</v>
      </c>
      <c r="D373" s="54" t="s">
        <v>944</v>
      </c>
      <c r="E373" s="54" t="s">
        <v>270</v>
      </c>
      <c r="F373" s="56">
        <v>5800</v>
      </c>
      <c r="G373" t="s">
        <v>246</v>
      </c>
    </row>
    <row r="374" spans="1:7">
      <c r="A374" s="86">
        <v>20130405</v>
      </c>
      <c r="B374" s="54" t="s">
        <v>195</v>
      </c>
      <c r="C374" s="54" t="s">
        <v>685</v>
      </c>
      <c r="D374" s="54" t="s">
        <v>945</v>
      </c>
      <c r="E374" s="54" t="s">
        <v>144</v>
      </c>
      <c r="F374" s="56">
        <v>11600</v>
      </c>
      <c r="G374" t="s">
        <v>198</v>
      </c>
    </row>
    <row r="375" spans="1:7">
      <c r="A375" s="86">
        <v>20130405</v>
      </c>
      <c r="B375" s="54" t="s">
        <v>195</v>
      </c>
      <c r="C375" s="54" t="s">
        <v>673</v>
      </c>
      <c r="D375" s="54" t="s">
        <v>946</v>
      </c>
      <c r="E375" s="54" t="s">
        <v>245</v>
      </c>
      <c r="F375" s="56">
        <v>17400</v>
      </c>
      <c r="G375" t="s">
        <v>527</v>
      </c>
    </row>
    <row r="376" spans="1:7">
      <c r="A376" s="86">
        <v>20130405</v>
      </c>
      <c r="B376" s="54" t="s">
        <v>55</v>
      </c>
      <c r="C376" s="54" t="s">
        <v>947</v>
      </c>
      <c r="D376" s="54" t="s">
        <v>948</v>
      </c>
      <c r="E376" s="54" t="s">
        <v>886</v>
      </c>
      <c r="F376" s="56">
        <v>4000</v>
      </c>
      <c r="G376" s="75"/>
    </row>
    <row r="377" spans="1:7">
      <c r="A377" s="86">
        <v>20130405</v>
      </c>
      <c r="B377" s="54" t="s">
        <v>55</v>
      </c>
      <c r="C377" s="54" t="s">
        <v>57</v>
      </c>
      <c r="D377" s="54" t="s">
        <v>949</v>
      </c>
      <c r="E377" s="54" t="s">
        <v>213</v>
      </c>
      <c r="F377" s="56">
        <v>85050</v>
      </c>
      <c r="G377" s="75"/>
    </row>
    <row r="378" spans="1:7">
      <c r="A378" s="86">
        <v>20130405</v>
      </c>
      <c r="B378" s="54" t="s">
        <v>195</v>
      </c>
      <c r="C378" s="54" t="s">
        <v>950</v>
      </c>
      <c r="D378" s="54" t="s">
        <v>951</v>
      </c>
      <c r="E378" s="54" t="s">
        <v>131</v>
      </c>
      <c r="F378" s="56">
        <v>1000</v>
      </c>
      <c r="G378" s="75"/>
    </row>
    <row r="379" spans="1:7">
      <c r="A379" s="86">
        <v>20130405</v>
      </c>
      <c r="B379" s="54" t="s">
        <v>195</v>
      </c>
      <c r="C379" s="54" t="s">
        <v>811</v>
      </c>
      <c r="D379" s="54" t="s">
        <v>952</v>
      </c>
      <c r="E379" s="54" t="s">
        <v>532</v>
      </c>
      <c r="F379" s="56">
        <v>6000</v>
      </c>
      <c r="G379" t="s">
        <v>198</v>
      </c>
    </row>
    <row r="380" spans="1:7">
      <c r="A380" s="86">
        <v>20130405</v>
      </c>
      <c r="B380" s="54" t="s">
        <v>195</v>
      </c>
      <c r="C380" s="54" t="s">
        <v>975</v>
      </c>
      <c r="D380" s="54" t="s">
        <v>953</v>
      </c>
      <c r="E380" s="54" t="s">
        <v>532</v>
      </c>
      <c r="F380" s="56">
        <v>4000</v>
      </c>
      <c r="G380" t="s">
        <v>198</v>
      </c>
    </row>
    <row r="381" spans="1:7">
      <c r="A381" s="86">
        <v>20130405</v>
      </c>
      <c r="B381" s="54" t="s">
        <v>195</v>
      </c>
      <c r="C381" s="54" t="s">
        <v>954</v>
      </c>
      <c r="D381" s="54" t="s">
        <v>955</v>
      </c>
      <c r="E381" s="54" t="s">
        <v>532</v>
      </c>
      <c r="F381" s="56">
        <v>4800</v>
      </c>
      <c r="G381" t="s">
        <v>246</v>
      </c>
    </row>
    <row r="382" spans="1:7">
      <c r="A382" s="86">
        <v>20130405</v>
      </c>
      <c r="B382" s="54" t="s">
        <v>55</v>
      </c>
      <c r="C382" s="54" t="s">
        <v>13</v>
      </c>
      <c r="D382" s="54" t="s">
        <v>956</v>
      </c>
      <c r="E382" s="54" t="s">
        <v>382</v>
      </c>
      <c r="F382" s="56">
        <v>42525</v>
      </c>
      <c r="G382" s="75"/>
    </row>
    <row r="383" spans="1:7">
      <c r="A383" s="86">
        <v>20130405</v>
      </c>
      <c r="B383" s="54" t="s">
        <v>195</v>
      </c>
      <c r="C383" s="54" t="s">
        <v>950</v>
      </c>
      <c r="D383" s="54" t="s">
        <v>957</v>
      </c>
      <c r="E383" s="54" t="s">
        <v>131</v>
      </c>
      <c r="F383" s="56">
        <v>6800</v>
      </c>
      <c r="G383" t="s">
        <v>246</v>
      </c>
    </row>
    <row r="384" spans="1:7">
      <c r="A384" s="86">
        <v>20130405</v>
      </c>
      <c r="B384" s="54" t="s">
        <v>55</v>
      </c>
      <c r="C384" s="54" t="s">
        <v>380</v>
      </c>
      <c r="D384" s="54" t="s">
        <v>958</v>
      </c>
      <c r="E384" s="54" t="s">
        <v>382</v>
      </c>
      <c r="F384" s="56">
        <v>13136</v>
      </c>
      <c r="G384" s="75"/>
    </row>
    <row r="385" spans="1:7">
      <c r="A385" s="86">
        <v>20130405</v>
      </c>
      <c r="B385" s="54" t="s">
        <v>195</v>
      </c>
      <c r="C385" s="54" t="s">
        <v>975</v>
      </c>
      <c r="D385" s="54" t="s">
        <v>959</v>
      </c>
      <c r="E385" s="54" t="s">
        <v>532</v>
      </c>
      <c r="F385" s="56">
        <v>5800</v>
      </c>
      <c r="G385" t="s">
        <v>246</v>
      </c>
    </row>
    <row r="386" spans="1:7">
      <c r="A386" s="86">
        <v>20130405</v>
      </c>
      <c r="B386" s="33" t="s">
        <v>413</v>
      </c>
      <c r="C386" s="76" t="s">
        <v>960</v>
      </c>
      <c r="D386" s="53" t="s">
        <v>961</v>
      </c>
      <c r="E386" s="54" t="s">
        <v>962</v>
      </c>
      <c r="F386" s="56">
        <v>31543.82</v>
      </c>
      <c r="G386" s="75"/>
    </row>
    <row r="387" spans="1:7">
      <c r="A387" s="86">
        <v>20130405</v>
      </c>
      <c r="B387" s="33" t="s">
        <v>195</v>
      </c>
      <c r="C387" s="54" t="s">
        <v>963</v>
      </c>
      <c r="D387" s="54" t="s">
        <v>964</v>
      </c>
      <c r="E387" s="54" t="s">
        <v>270</v>
      </c>
      <c r="F387" s="56">
        <v>5800</v>
      </c>
      <c r="G387" t="s">
        <v>246</v>
      </c>
    </row>
    <row r="388" spans="1:7">
      <c r="A388" s="86">
        <v>20130405</v>
      </c>
      <c r="B388" s="54" t="s">
        <v>55</v>
      </c>
      <c r="C388" s="54" t="s">
        <v>965</v>
      </c>
      <c r="D388" s="54" t="s">
        <v>966</v>
      </c>
      <c r="E388" s="54" t="s">
        <v>270</v>
      </c>
      <c r="F388" s="56">
        <f>9810+9810</f>
        <v>19620</v>
      </c>
      <c r="G388" s="75"/>
    </row>
    <row r="389" spans="1:7">
      <c r="A389" s="86">
        <v>20130405</v>
      </c>
      <c r="B389" s="54" t="s">
        <v>55</v>
      </c>
      <c r="C389" s="54" t="s">
        <v>139</v>
      </c>
      <c r="D389" s="54" t="s">
        <v>967</v>
      </c>
      <c r="E389" s="54" t="s">
        <v>165</v>
      </c>
      <c r="F389" s="56">
        <v>1143.8499999999999</v>
      </c>
      <c r="G389" s="75"/>
    </row>
    <row r="390" spans="1:7">
      <c r="A390" s="38">
        <v>20130405</v>
      </c>
      <c r="B390" s="33" t="s">
        <v>603</v>
      </c>
      <c r="C390" s="54" t="s">
        <v>968</v>
      </c>
      <c r="D390" s="53" t="s">
        <v>969</v>
      </c>
      <c r="E390" s="53" t="s">
        <v>606</v>
      </c>
      <c r="F390" s="56">
        <v>30000</v>
      </c>
      <c r="G390" s="75"/>
    </row>
    <row r="391" spans="1:7">
      <c r="A391" s="86">
        <v>20130407</v>
      </c>
      <c r="B391" s="54" t="s">
        <v>290</v>
      </c>
      <c r="C391" s="54" t="s">
        <v>970</v>
      </c>
      <c r="D391" s="54" t="s">
        <v>971</v>
      </c>
      <c r="E391" s="54" t="s">
        <v>202</v>
      </c>
      <c r="F391" s="56">
        <v>4800</v>
      </c>
      <c r="G391" t="s">
        <v>246</v>
      </c>
    </row>
    <row r="392" spans="1:7">
      <c r="A392" s="86">
        <v>20130407</v>
      </c>
      <c r="B392" s="54" t="s">
        <v>290</v>
      </c>
      <c r="C392" s="54" t="s">
        <v>662</v>
      </c>
      <c r="D392" s="54" t="s">
        <v>972</v>
      </c>
      <c r="E392" s="54" t="s">
        <v>532</v>
      </c>
      <c r="F392" s="56">
        <v>5800</v>
      </c>
      <c r="G392" t="s">
        <v>246</v>
      </c>
    </row>
    <row r="393" spans="1:7">
      <c r="A393" s="86">
        <v>20130407</v>
      </c>
      <c r="B393" s="33" t="s">
        <v>132</v>
      </c>
      <c r="C393" s="35" t="s">
        <v>214</v>
      </c>
      <c r="D393" s="35" t="s">
        <v>973</v>
      </c>
      <c r="E393" s="35" t="s">
        <v>202</v>
      </c>
      <c r="F393" s="56">
        <v>41552.86</v>
      </c>
      <c r="G393" s="75"/>
    </row>
    <row r="394" spans="1:7">
      <c r="A394" s="86">
        <v>20130407</v>
      </c>
      <c r="B394" s="33" t="s">
        <v>132</v>
      </c>
      <c r="C394" s="35" t="s">
        <v>14</v>
      </c>
      <c r="D394" s="93" t="s">
        <v>974</v>
      </c>
      <c r="E394" s="54" t="s">
        <v>106</v>
      </c>
      <c r="F394" s="56">
        <v>2692.48</v>
      </c>
      <c r="G394" s="75"/>
    </row>
    <row r="395" spans="1:7">
      <c r="A395" s="38">
        <v>20130408</v>
      </c>
      <c r="B395" s="54" t="s">
        <v>290</v>
      </c>
      <c r="C395" s="54" t="s">
        <v>975</v>
      </c>
      <c r="D395" s="54" t="s">
        <v>976</v>
      </c>
      <c r="E395" s="54" t="s">
        <v>532</v>
      </c>
      <c r="F395" s="56">
        <v>2400</v>
      </c>
      <c r="G395" s="75"/>
    </row>
    <row r="396" spans="1:7">
      <c r="A396" s="38">
        <v>20130408</v>
      </c>
      <c r="B396" s="54" t="s">
        <v>55</v>
      </c>
      <c r="C396" s="54" t="s">
        <v>464</v>
      </c>
      <c r="D396" s="54" t="s">
        <v>977</v>
      </c>
      <c r="E396" s="54" t="s">
        <v>978</v>
      </c>
      <c r="F396" s="56">
        <v>9915</v>
      </c>
      <c r="G396" s="75"/>
    </row>
    <row r="397" spans="1:7">
      <c r="A397" s="38">
        <v>20130408</v>
      </c>
      <c r="B397" s="54" t="s">
        <v>55</v>
      </c>
      <c r="C397" s="54" t="s">
        <v>256</v>
      </c>
      <c r="D397" s="54" t="s">
        <v>979</v>
      </c>
      <c r="E397" s="54" t="s">
        <v>270</v>
      </c>
      <c r="F397" s="56">
        <v>10896.95</v>
      </c>
      <c r="G397" s="75"/>
    </row>
    <row r="398" spans="1:7">
      <c r="A398" s="38">
        <v>20130408</v>
      </c>
      <c r="B398" s="33" t="s">
        <v>980</v>
      </c>
      <c r="C398" s="35" t="s">
        <v>981</v>
      </c>
      <c r="D398" s="85" t="s">
        <v>982</v>
      </c>
      <c r="E398" s="35" t="s">
        <v>983</v>
      </c>
      <c r="F398" s="56">
        <v>33655.94</v>
      </c>
      <c r="G398" s="75"/>
    </row>
    <row r="399" spans="1:7">
      <c r="A399" s="38">
        <v>20130408</v>
      </c>
      <c r="B399" s="33" t="s">
        <v>980</v>
      </c>
      <c r="C399" s="35" t="s">
        <v>984</v>
      </c>
      <c r="D399" s="93" t="s">
        <v>985</v>
      </c>
      <c r="E399" s="35" t="s">
        <v>986</v>
      </c>
      <c r="F399" s="56">
        <v>23093.3</v>
      </c>
      <c r="G399" s="75"/>
    </row>
    <row r="400" spans="1:7">
      <c r="A400" s="86">
        <v>20130408</v>
      </c>
      <c r="B400" s="33" t="s">
        <v>132</v>
      </c>
      <c r="C400" s="54" t="s">
        <v>768</v>
      </c>
      <c r="D400" s="54" t="s">
        <v>987</v>
      </c>
      <c r="E400" s="54" t="s">
        <v>532</v>
      </c>
      <c r="F400" s="56">
        <v>6263</v>
      </c>
    </row>
    <row r="401" spans="1:7">
      <c r="A401" s="86">
        <v>20130408</v>
      </c>
      <c r="B401" s="54" t="s">
        <v>195</v>
      </c>
      <c r="C401" s="54" t="s">
        <v>530</v>
      </c>
      <c r="D401" s="54" t="s">
        <v>988</v>
      </c>
      <c r="E401" s="54" t="s">
        <v>532</v>
      </c>
      <c r="F401" s="56">
        <v>3000</v>
      </c>
      <c r="G401" s="75"/>
    </row>
    <row r="402" spans="1:7">
      <c r="A402" s="86">
        <v>20130408</v>
      </c>
      <c r="B402" s="54" t="s">
        <v>195</v>
      </c>
      <c r="C402" s="54" t="s">
        <v>989</v>
      </c>
      <c r="D402" s="54" t="s">
        <v>990</v>
      </c>
      <c r="E402" s="54" t="s">
        <v>245</v>
      </c>
      <c r="F402" s="56">
        <v>5600</v>
      </c>
      <c r="G402" t="s">
        <v>246</v>
      </c>
    </row>
    <row r="403" spans="1:7">
      <c r="A403" s="86">
        <v>20130409</v>
      </c>
      <c r="B403" s="54" t="s">
        <v>290</v>
      </c>
      <c r="C403" s="54" t="s">
        <v>564</v>
      </c>
      <c r="D403" s="54" t="s">
        <v>999</v>
      </c>
      <c r="E403" s="54" t="s">
        <v>697</v>
      </c>
      <c r="F403" s="56">
        <v>2500</v>
      </c>
      <c r="G403" s="75"/>
    </row>
    <row r="404" spans="1:7">
      <c r="A404" s="86">
        <v>20130409</v>
      </c>
      <c r="B404" s="54" t="s">
        <v>55</v>
      </c>
      <c r="C404" s="54" t="s">
        <v>136</v>
      </c>
      <c r="D404" s="54" t="s">
        <v>1000</v>
      </c>
      <c r="E404" s="54" t="s">
        <v>109</v>
      </c>
      <c r="F404" s="56">
        <v>49875.02</v>
      </c>
      <c r="G404" s="75"/>
    </row>
    <row r="405" spans="1:7">
      <c r="A405" s="54">
        <v>20130409</v>
      </c>
      <c r="B405" s="54" t="s">
        <v>55</v>
      </c>
      <c r="C405" s="54" t="s">
        <v>155</v>
      </c>
      <c r="D405" s="54" t="s">
        <v>1001</v>
      </c>
      <c r="E405" s="54" t="s">
        <v>737</v>
      </c>
      <c r="F405" s="56">
        <v>13974.3</v>
      </c>
      <c r="G405" s="75"/>
    </row>
    <row r="406" spans="1:7">
      <c r="A406" s="54">
        <v>20130409</v>
      </c>
      <c r="B406" s="33" t="s">
        <v>132</v>
      </c>
      <c r="C406" s="54" t="s">
        <v>768</v>
      </c>
      <c r="D406" s="54" t="s">
        <v>1002</v>
      </c>
      <c r="E406" s="54" t="s">
        <v>622</v>
      </c>
      <c r="F406" s="56">
        <v>3600</v>
      </c>
    </row>
    <row r="407" spans="1:7">
      <c r="A407" s="86">
        <v>20130409</v>
      </c>
      <c r="B407" s="54" t="s">
        <v>290</v>
      </c>
      <c r="C407" s="54" t="s">
        <v>743</v>
      </c>
      <c r="D407" s="54" t="s">
        <v>1003</v>
      </c>
      <c r="E407" s="54" t="s">
        <v>622</v>
      </c>
      <c r="F407" s="56">
        <v>5000</v>
      </c>
      <c r="G407" t="s">
        <v>246</v>
      </c>
    </row>
    <row r="408" spans="1:7">
      <c r="A408" s="86">
        <v>20130409</v>
      </c>
      <c r="B408" s="54" t="s">
        <v>290</v>
      </c>
      <c r="C408" s="54" t="s">
        <v>1004</v>
      </c>
      <c r="D408" s="54" t="s">
        <v>1005</v>
      </c>
      <c r="E408" s="54" t="s">
        <v>622</v>
      </c>
      <c r="F408" s="56">
        <v>4800</v>
      </c>
      <c r="G408" t="s">
        <v>246</v>
      </c>
    </row>
    <row r="409" spans="1:7">
      <c r="A409" s="86">
        <v>20130409</v>
      </c>
      <c r="B409" s="54" t="s">
        <v>290</v>
      </c>
      <c r="C409" s="54" t="s">
        <v>1004</v>
      </c>
      <c r="D409" s="54" t="s">
        <v>1006</v>
      </c>
      <c r="E409" s="54" t="s">
        <v>622</v>
      </c>
      <c r="F409" s="56">
        <v>4200</v>
      </c>
      <c r="G409" t="s">
        <v>246</v>
      </c>
    </row>
    <row r="410" spans="1:7">
      <c r="A410" s="86">
        <v>20130409</v>
      </c>
      <c r="B410" s="54" t="s">
        <v>290</v>
      </c>
      <c r="C410" s="54" t="s">
        <v>743</v>
      </c>
      <c r="D410" s="3" t="s">
        <v>1007</v>
      </c>
      <c r="E410" s="54" t="s">
        <v>622</v>
      </c>
      <c r="F410" s="56">
        <v>9600</v>
      </c>
      <c r="G410" t="s">
        <v>316</v>
      </c>
    </row>
    <row r="411" spans="1:7">
      <c r="A411" s="86">
        <v>20130409</v>
      </c>
      <c r="B411" s="54" t="s">
        <v>1008</v>
      </c>
      <c r="C411" s="86" t="s">
        <v>1009</v>
      </c>
      <c r="D411" s="3" t="s">
        <v>1010</v>
      </c>
      <c r="E411" s="54" t="s">
        <v>1011</v>
      </c>
      <c r="F411" s="56">
        <v>1200</v>
      </c>
      <c r="G411" s="75"/>
    </row>
    <row r="412" spans="1:7">
      <c r="A412" s="86">
        <v>20130409</v>
      </c>
      <c r="B412" s="54" t="s">
        <v>290</v>
      </c>
      <c r="C412" s="54" t="s">
        <v>743</v>
      </c>
      <c r="D412" s="95" t="s">
        <v>1012</v>
      </c>
      <c r="E412" s="54" t="s">
        <v>622</v>
      </c>
      <c r="F412" s="56">
        <v>4800</v>
      </c>
      <c r="G412" t="s">
        <v>246</v>
      </c>
    </row>
    <row r="413" spans="1:7">
      <c r="A413" s="86">
        <v>20130409</v>
      </c>
      <c r="B413" s="33" t="s">
        <v>132</v>
      </c>
      <c r="C413" s="35" t="s">
        <v>1013</v>
      </c>
      <c r="D413" s="35" t="s">
        <v>1014</v>
      </c>
      <c r="E413" s="35" t="s">
        <v>1015</v>
      </c>
      <c r="F413" s="56">
        <v>19291.060000000001</v>
      </c>
    </row>
    <row r="414" spans="1:7">
      <c r="A414" s="38">
        <v>20130409</v>
      </c>
      <c r="B414" s="33" t="s">
        <v>55</v>
      </c>
      <c r="C414" s="35" t="s">
        <v>14</v>
      </c>
      <c r="D414" s="35" t="s">
        <v>1016</v>
      </c>
      <c r="E414" s="35" t="s">
        <v>106</v>
      </c>
      <c r="F414" s="56">
        <v>36119.03</v>
      </c>
      <c r="G414" s="75"/>
    </row>
    <row r="415" spans="1:7">
      <c r="A415" s="38">
        <v>20130409</v>
      </c>
      <c r="B415" s="33" t="s">
        <v>55</v>
      </c>
      <c r="C415" s="35" t="s">
        <v>1017</v>
      </c>
      <c r="D415" s="85" t="s">
        <v>1018</v>
      </c>
      <c r="E415" s="35" t="s">
        <v>315</v>
      </c>
      <c r="F415" s="56">
        <v>67325.48</v>
      </c>
      <c r="G415" s="75"/>
    </row>
    <row r="416" spans="1:7">
      <c r="A416" s="38">
        <v>20130409</v>
      </c>
      <c r="B416" s="33" t="s">
        <v>55</v>
      </c>
      <c r="C416" s="35" t="s">
        <v>1019</v>
      </c>
      <c r="D416" s="85" t="s">
        <v>1018</v>
      </c>
      <c r="E416" s="35" t="s">
        <v>106</v>
      </c>
      <c r="F416" s="56">
        <v>27362.720000000001</v>
      </c>
      <c r="G416" s="75"/>
    </row>
    <row r="417" spans="1:7">
      <c r="A417" s="86">
        <v>20130409</v>
      </c>
      <c r="B417" s="54" t="s">
        <v>55</v>
      </c>
      <c r="C417" s="54" t="s">
        <v>17</v>
      </c>
      <c r="D417" s="95" t="s">
        <v>1020</v>
      </c>
      <c r="E417" s="54" t="s">
        <v>159</v>
      </c>
      <c r="F417" s="56">
        <v>37800</v>
      </c>
      <c r="G417" s="75"/>
    </row>
    <row r="418" spans="1:7">
      <c r="A418" s="86">
        <v>20130409</v>
      </c>
      <c r="B418" s="54" t="s">
        <v>1021</v>
      </c>
      <c r="C418" s="54" t="s">
        <v>1022</v>
      </c>
      <c r="D418" s="95" t="s">
        <v>1020</v>
      </c>
      <c r="E418" s="54" t="s">
        <v>1023</v>
      </c>
      <c r="F418" s="56">
        <v>47250</v>
      </c>
      <c r="G418" s="75"/>
    </row>
    <row r="419" spans="1:7" ht="18.75" customHeight="1">
      <c r="A419" s="86">
        <v>20130409</v>
      </c>
      <c r="B419" s="54" t="s">
        <v>290</v>
      </c>
      <c r="C419" s="86" t="s">
        <v>1024</v>
      </c>
      <c r="D419" s="95" t="s">
        <v>1025</v>
      </c>
      <c r="E419" s="3" t="s">
        <v>1026</v>
      </c>
      <c r="F419" s="56">
        <v>3840</v>
      </c>
      <c r="G419" t="s">
        <v>246</v>
      </c>
    </row>
    <row r="420" spans="1:7">
      <c r="A420" s="38">
        <v>20130410</v>
      </c>
      <c r="B420" s="54" t="s">
        <v>1027</v>
      </c>
      <c r="C420" s="54" t="s">
        <v>1028</v>
      </c>
      <c r="D420" s="54" t="s">
        <v>1029</v>
      </c>
      <c r="E420" s="54" t="s">
        <v>1030</v>
      </c>
      <c r="F420" s="56">
        <v>2500</v>
      </c>
      <c r="G420" s="75"/>
    </row>
    <row r="421" spans="1:7">
      <c r="A421" s="54">
        <v>20130410</v>
      </c>
      <c r="B421" s="54" t="s">
        <v>55</v>
      </c>
      <c r="C421" s="54" t="s">
        <v>1032</v>
      </c>
      <c r="D421" s="54" t="s">
        <v>1033</v>
      </c>
      <c r="E421" s="54" t="s">
        <v>106</v>
      </c>
      <c r="F421" s="56">
        <v>16408.52</v>
      </c>
      <c r="G421" s="75"/>
    </row>
    <row r="422" spans="1:7">
      <c r="A422" s="86">
        <v>20130410</v>
      </c>
      <c r="B422" s="54" t="s">
        <v>853</v>
      </c>
      <c r="C422" s="54" t="s">
        <v>662</v>
      </c>
      <c r="D422" s="3" t="s">
        <v>1034</v>
      </c>
      <c r="E422" s="54" t="s">
        <v>697</v>
      </c>
      <c r="F422" s="56">
        <v>5800</v>
      </c>
      <c r="G422" t="s">
        <v>246</v>
      </c>
    </row>
    <row r="423" spans="1:7">
      <c r="A423" s="86">
        <v>20130410</v>
      </c>
      <c r="B423" s="54" t="s">
        <v>853</v>
      </c>
      <c r="C423" s="86" t="s">
        <v>1035</v>
      </c>
      <c r="D423" s="3" t="s">
        <v>1036</v>
      </c>
      <c r="E423" s="3" t="s">
        <v>644</v>
      </c>
      <c r="F423" s="56">
        <v>10440</v>
      </c>
      <c r="G423" t="s">
        <v>198</v>
      </c>
    </row>
    <row r="424" spans="1:7">
      <c r="A424" s="86">
        <v>20130410</v>
      </c>
      <c r="B424" s="54" t="s">
        <v>853</v>
      </c>
      <c r="C424" s="54" t="s">
        <v>1037</v>
      </c>
      <c r="D424" s="3" t="s">
        <v>1038</v>
      </c>
      <c r="E424" s="3" t="s">
        <v>697</v>
      </c>
      <c r="F424" s="56">
        <v>4800</v>
      </c>
      <c r="G424" t="s">
        <v>246</v>
      </c>
    </row>
    <row r="425" spans="1:7">
      <c r="A425" s="86">
        <v>20130410</v>
      </c>
      <c r="B425" s="54" t="s">
        <v>853</v>
      </c>
      <c r="C425" s="37" t="s">
        <v>1004</v>
      </c>
      <c r="D425" s="3" t="s">
        <v>1039</v>
      </c>
      <c r="E425" s="3" t="s">
        <v>697</v>
      </c>
      <c r="F425" s="56">
        <v>4800</v>
      </c>
      <c r="G425" t="s">
        <v>246</v>
      </c>
    </row>
    <row r="426" spans="1:7">
      <c r="A426" s="86">
        <v>20130410</v>
      </c>
      <c r="B426" s="54" t="s">
        <v>55</v>
      </c>
      <c r="C426" s="86" t="s">
        <v>706</v>
      </c>
      <c r="D426" s="3" t="s">
        <v>1040</v>
      </c>
      <c r="E426" s="3" t="s">
        <v>701</v>
      </c>
      <c r="F426" s="56">
        <v>14310</v>
      </c>
      <c r="G426" s="75"/>
    </row>
    <row r="427" spans="1:7">
      <c r="A427" s="86">
        <v>20130410</v>
      </c>
      <c r="B427" s="54" t="s">
        <v>55</v>
      </c>
      <c r="C427" s="86" t="s">
        <v>1041</v>
      </c>
      <c r="D427" s="3" t="s">
        <v>1042</v>
      </c>
      <c r="E427" s="3" t="s">
        <v>701</v>
      </c>
      <c r="F427" s="56">
        <v>15656</v>
      </c>
      <c r="G427" s="75"/>
    </row>
    <row r="428" spans="1:7">
      <c r="A428" s="86">
        <v>20130410</v>
      </c>
      <c r="B428" s="54" t="s">
        <v>853</v>
      </c>
      <c r="C428" s="54" t="s">
        <v>662</v>
      </c>
      <c r="D428" s="3" t="s">
        <v>1043</v>
      </c>
      <c r="E428" s="3" t="s">
        <v>697</v>
      </c>
      <c r="F428" s="56">
        <v>4800</v>
      </c>
      <c r="G428" t="s">
        <v>246</v>
      </c>
    </row>
    <row r="429" spans="1:7">
      <c r="A429" s="86">
        <v>20130410</v>
      </c>
      <c r="B429" s="54" t="s">
        <v>1027</v>
      </c>
      <c r="C429" s="54" t="s">
        <v>1044</v>
      </c>
      <c r="D429" s="54" t="s">
        <v>1045</v>
      </c>
      <c r="E429" s="54" t="s">
        <v>1046</v>
      </c>
      <c r="F429" s="56">
        <v>7800</v>
      </c>
      <c r="G429" s="75"/>
    </row>
    <row r="430" spans="1:7">
      <c r="A430" s="86">
        <v>20130410</v>
      </c>
      <c r="B430" s="54" t="s">
        <v>853</v>
      </c>
      <c r="C430" s="86" t="s">
        <v>685</v>
      </c>
      <c r="D430" s="3" t="s">
        <v>1047</v>
      </c>
      <c r="E430" s="3" t="s">
        <v>701</v>
      </c>
      <c r="F430" s="56">
        <v>4800</v>
      </c>
      <c r="G430" t="s">
        <v>246</v>
      </c>
    </row>
    <row r="431" spans="1:7">
      <c r="A431" s="86">
        <v>20130410</v>
      </c>
      <c r="B431" s="54" t="s">
        <v>853</v>
      </c>
      <c r="C431" s="86" t="s">
        <v>1048</v>
      </c>
      <c r="D431" s="95" t="s">
        <v>1049</v>
      </c>
      <c r="E431" s="3" t="s">
        <v>697</v>
      </c>
      <c r="F431" s="56">
        <v>1200</v>
      </c>
      <c r="G431" s="75"/>
    </row>
    <row r="432" spans="1:7">
      <c r="A432" s="86">
        <v>20130410</v>
      </c>
      <c r="B432" s="54" t="s">
        <v>55</v>
      </c>
      <c r="C432" s="86" t="s">
        <v>1050</v>
      </c>
      <c r="D432" s="95" t="s">
        <v>1051</v>
      </c>
      <c r="E432" s="3" t="s">
        <v>983</v>
      </c>
      <c r="F432" s="56">
        <v>15223</v>
      </c>
      <c r="G432" s="75"/>
    </row>
    <row r="433" spans="1:7">
      <c r="A433" s="86">
        <v>20130410</v>
      </c>
      <c r="B433" s="54" t="s">
        <v>853</v>
      </c>
      <c r="C433" s="86" t="s">
        <v>1052</v>
      </c>
      <c r="D433" s="95" t="s">
        <v>1054</v>
      </c>
      <c r="E433" s="54" t="s">
        <v>697</v>
      </c>
      <c r="F433" s="56">
        <v>4000</v>
      </c>
      <c r="G433" t="s">
        <v>246</v>
      </c>
    </row>
    <row r="434" spans="1:7">
      <c r="A434" s="86">
        <v>20130410</v>
      </c>
      <c r="B434" s="54" t="s">
        <v>853</v>
      </c>
      <c r="C434" s="86" t="s">
        <v>1053</v>
      </c>
      <c r="D434" s="95" t="s">
        <v>1055</v>
      </c>
      <c r="E434" s="77" t="s">
        <v>850</v>
      </c>
      <c r="F434" s="56">
        <v>1000</v>
      </c>
      <c r="G434" s="75"/>
    </row>
    <row r="435" spans="1:7">
      <c r="A435" s="86">
        <v>20130410</v>
      </c>
      <c r="B435" s="54" t="s">
        <v>55</v>
      </c>
      <c r="C435" s="86" t="s">
        <v>670</v>
      </c>
      <c r="D435" s="95" t="s">
        <v>1057</v>
      </c>
      <c r="E435" s="3" t="s">
        <v>701</v>
      </c>
      <c r="F435" s="56">
        <v>14087</v>
      </c>
      <c r="G435" s="75"/>
    </row>
    <row r="436" spans="1:7">
      <c r="A436" s="38">
        <v>20130411</v>
      </c>
      <c r="B436" s="54" t="s">
        <v>55</v>
      </c>
      <c r="C436" s="53" t="s">
        <v>1058</v>
      </c>
      <c r="D436" s="54" t="s">
        <v>1059</v>
      </c>
      <c r="E436" s="4" t="s">
        <v>1060</v>
      </c>
      <c r="F436" s="56">
        <v>34020</v>
      </c>
      <c r="G436" s="75"/>
    </row>
    <row r="437" spans="1:7">
      <c r="A437" s="86">
        <v>20130411</v>
      </c>
      <c r="B437" s="54" t="s">
        <v>291</v>
      </c>
      <c r="C437" s="86" t="s">
        <v>1061</v>
      </c>
      <c r="D437" s="3" t="s">
        <v>1062</v>
      </c>
      <c r="E437" s="3" t="s">
        <v>1063</v>
      </c>
      <c r="F437" s="56">
        <v>4000</v>
      </c>
      <c r="G437" t="s">
        <v>246</v>
      </c>
    </row>
    <row r="438" spans="1:7">
      <c r="A438" s="86">
        <v>20130411</v>
      </c>
      <c r="B438" s="54" t="s">
        <v>291</v>
      </c>
      <c r="C438" s="37" t="s">
        <v>1064</v>
      </c>
      <c r="D438" s="3" t="s">
        <v>1065</v>
      </c>
      <c r="E438" s="3" t="s">
        <v>144</v>
      </c>
      <c r="F438" s="56">
        <v>11600</v>
      </c>
      <c r="G438" t="s">
        <v>198</v>
      </c>
    </row>
    <row r="439" spans="1:7">
      <c r="A439" s="86">
        <v>20130411</v>
      </c>
      <c r="B439" s="54" t="s">
        <v>291</v>
      </c>
      <c r="C439" s="86" t="s">
        <v>1061</v>
      </c>
      <c r="D439" s="3" t="s">
        <v>1066</v>
      </c>
      <c r="E439" s="86" t="s">
        <v>1063</v>
      </c>
      <c r="F439" s="56">
        <v>5000</v>
      </c>
      <c r="G439" t="s">
        <v>246</v>
      </c>
    </row>
    <row r="440" spans="1:7">
      <c r="A440" s="86">
        <v>20130411</v>
      </c>
      <c r="B440" s="54" t="s">
        <v>291</v>
      </c>
      <c r="C440" s="37" t="s">
        <v>530</v>
      </c>
      <c r="D440" s="3" t="s">
        <v>1067</v>
      </c>
      <c r="E440" s="86" t="s">
        <v>1063</v>
      </c>
      <c r="F440" s="56">
        <v>12600</v>
      </c>
      <c r="G440" t="s">
        <v>527</v>
      </c>
    </row>
    <row r="441" spans="1:7">
      <c r="A441" s="86">
        <v>20130411</v>
      </c>
      <c r="B441" s="54" t="s">
        <v>291</v>
      </c>
      <c r="C441" s="37" t="s">
        <v>817</v>
      </c>
      <c r="D441" s="95" t="s">
        <v>1083</v>
      </c>
      <c r="E441" s="86" t="s">
        <v>144</v>
      </c>
      <c r="F441" s="56">
        <v>10800</v>
      </c>
      <c r="G441" t="s">
        <v>198</v>
      </c>
    </row>
    <row r="442" spans="1:7">
      <c r="A442" s="54">
        <v>20130411</v>
      </c>
      <c r="B442" s="54" t="s">
        <v>55</v>
      </c>
      <c r="C442" s="54" t="s">
        <v>906</v>
      </c>
      <c r="D442" s="54" t="s">
        <v>1068</v>
      </c>
      <c r="E442" s="54" t="s">
        <v>908</v>
      </c>
      <c r="F442" s="56">
        <v>16594.599999999999</v>
      </c>
      <c r="G442" s="75"/>
    </row>
    <row r="443" spans="1:7">
      <c r="A443" s="54">
        <v>20130411</v>
      </c>
      <c r="B443" s="54" t="s">
        <v>55</v>
      </c>
      <c r="C443" s="54" t="s">
        <v>906</v>
      </c>
      <c r="D443" s="54" t="s">
        <v>1068</v>
      </c>
      <c r="E443" s="54" t="s">
        <v>908</v>
      </c>
      <c r="F443" s="56">
        <v>16594.599999999999</v>
      </c>
      <c r="G443" s="75"/>
    </row>
    <row r="444" spans="1:7">
      <c r="A444" s="54">
        <v>20130411</v>
      </c>
      <c r="B444" s="54" t="s">
        <v>55</v>
      </c>
      <c r="C444" s="87" t="s">
        <v>13</v>
      </c>
      <c r="D444" s="54" t="s">
        <v>1069</v>
      </c>
      <c r="E444" s="87" t="s">
        <v>473</v>
      </c>
      <c r="F444" s="56">
        <v>30717.07</v>
      </c>
      <c r="G444" s="75"/>
    </row>
    <row r="445" spans="1:7">
      <c r="A445" s="86">
        <v>20130411</v>
      </c>
      <c r="B445" s="54" t="s">
        <v>1070</v>
      </c>
      <c r="C445" s="86" t="s">
        <v>1071</v>
      </c>
      <c r="D445" s="3" t="s">
        <v>1072</v>
      </c>
      <c r="E445" s="86" t="s">
        <v>1073</v>
      </c>
      <c r="F445" s="56">
        <v>6000</v>
      </c>
      <c r="G445" t="s">
        <v>246</v>
      </c>
    </row>
    <row r="446" spans="1:7">
      <c r="A446" s="54">
        <v>20130411</v>
      </c>
      <c r="B446" s="54" t="s">
        <v>55</v>
      </c>
      <c r="C446" s="87" t="s">
        <v>1074</v>
      </c>
      <c r="D446" s="54" t="s">
        <v>1075</v>
      </c>
      <c r="E446" s="87" t="s">
        <v>286</v>
      </c>
      <c r="F446" s="56">
        <v>15088</v>
      </c>
      <c r="G446" s="75"/>
    </row>
    <row r="447" spans="1:7">
      <c r="A447" s="54">
        <v>20130411</v>
      </c>
      <c r="B447" s="54" t="s">
        <v>55</v>
      </c>
      <c r="C447" s="87" t="s">
        <v>1074</v>
      </c>
      <c r="D447" s="54" t="s">
        <v>1076</v>
      </c>
      <c r="E447" s="87" t="s">
        <v>286</v>
      </c>
      <c r="F447" s="56">
        <v>15088</v>
      </c>
      <c r="G447" s="75"/>
    </row>
    <row r="448" spans="1:7">
      <c r="A448" s="54">
        <v>20130411</v>
      </c>
      <c r="B448" s="33" t="s">
        <v>742</v>
      </c>
      <c r="C448" s="54" t="s">
        <v>1077</v>
      </c>
      <c r="D448" s="54" t="s">
        <v>1078</v>
      </c>
      <c r="E448" s="54" t="s">
        <v>213</v>
      </c>
      <c r="F448" s="56">
        <v>31600</v>
      </c>
      <c r="G448" s="75" t="s">
        <v>299</v>
      </c>
    </row>
    <row r="449" spans="1:7">
      <c r="A449" s="86">
        <v>20130411</v>
      </c>
      <c r="B449" s="54" t="s">
        <v>291</v>
      </c>
      <c r="C449" s="37" t="s">
        <v>1079</v>
      </c>
      <c r="D449" s="95" t="s">
        <v>1081</v>
      </c>
      <c r="E449" s="86" t="s">
        <v>144</v>
      </c>
      <c r="F449" s="56">
        <v>4800</v>
      </c>
      <c r="G449" t="s">
        <v>246</v>
      </c>
    </row>
    <row r="450" spans="1:7">
      <c r="A450" s="86">
        <v>20130411</v>
      </c>
      <c r="B450" s="54" t="s">
        <v>291</v>
      </c>
      <c r="C450" s="86" t="s">
        <v>1080</v>
      </c>
      <c r="D450" s="95" t="s">
        <v>1082</v>
      </c>
      <c r="E450" s="3" t="s">
        <v>473</v>
      </c>
      <c r="F450" s="56">
        <v>5800</v>
      </c>
      <c r="G450" t="s">
        <v>246</v>
      </c>
    </row>
    <row r="451" spans="1:7">
      <c r="A451" s="38">
        <v>20130412</v>
      </c>
      <c r="B451" s="54" t="s">
        <v>132</v>
      </c>
      <c r="C451" s="3" t="s">
        <v>1099</v>
      </c>
      <c r="D451" s="3" t="s">
        <v>1100</v>
      </c>
      <c r="E451" s="3" t="s">
        <v>1362</v>
      </c>
      <c r="F451" s="50">
        <v>9419</v>
      </c>
      <c r="G451" s="75"/>
    </row>
    <row r="452" spans="1:7">
      <c r="A452" s="54">
        <v>20130412</v>
      </c>
      <c r="B452" s="54" t="s">
        <v>132</v>
      </c>
      <c r="C452" s="87" t="s">
        <v>127</v>
      </c>
      <c r="D452" s="54" t="s">
        <v>1084</v>
      </c>
      <c r="E452" s="87" t="s">
        <v>165</v>
      </c>
      <c r="F452" s="56">
        <v>2285.73</v>
      </c>
      <c r="G452" s="75"/>
    </row>
    <row r="453" spans="1:7">
      <c r="A453" s="54">
        <v>20130412</v>
      </c>
      <c r="B453" s="54" t="s">
        <v>132</v>
      </c>
      <c r="C453" s="54" t="s">
        <v>139</v>
      </c>
      <c r="D453" s="54" t="s">
        <v>1085</v>
      </c>
      <c r="E453" s="87" t="s">
        <v>165</v>
      </c>
      <c r="F453" s="56">
        <v>1236.06</v>
      </c>
      <c r="G453" s="75"/>
    </row>
    <row r="454" spans="1:7">
      <c r="A454" s="54">
        <v>20130412</v>
      </c>
      <c r="B454" s="54" t="s">
        <v>132</v>
      </c>
      <c r="C454" s="54" t="s">
        <v>172</v>
      </c>
      <c r="D454" s="54" t="s">
        <v>1086</v>
      </c>
      <c r="E454" s="87" t="s">
        <v>135</v>
      </c>
      <c r="F454" s="56">
        <v>16594.599999999999</v>
      </c>
      <c r="G454" s="75"/>
    </row>
    <row r="455" spans="1:7">
      <c r="A455" s="54">
        <v>20130412</v>
      </c>
      <c r="B455" s="54" t="s">
        <v>132</v>
      </c>
      <c r="C455" s="3" t="s">
        <v>155</v>
      </c>
      <c r="D455" s="3" t="s">
        <v>1087</v>
      </c>
      <c r="E455" s="3" t="s">
        <v>144</v>
      </c>
      <c r="F455" s="56">
        <v>37422</v>
      </c>
      <c r="G455" s="75"/>
    </row>
    <row r="456" spans="1:7">
      <c r="A456" s="86">
        <v>20130412</v>
      </c>
      <c r="B456" s="54" t="s">
        <v>195</v>
      </c>
      <c r="C456" s="86" t="s">
        <v>699</v>
      </c>
      <c r="D456" s="3" t="s">
        <v>1088</v>
      </c>
      <c r="E456" s="86" t="s">
        <v>144</v>
      </c>
      <c r="F456" s="56">
        <v>4320</v>
      </c>
      <c r="G456" t="s">
        <v>246</v>
      </c>
    </row>
    <row r="457" spans="1:7">
      <c r="A457" s="86">
        <v>20130412</v>
      </c>
      <c r="B457" s="54" t="s">
        <v>195</v>
      </c>
      <c r="C457" s="54" t="s">
        <v>530</v>
      </c>
      <c r="D457" s="3" t="s">
        <v>1089</v>
      </c>
      <c r="E457" s="3" t="s">
        <v>532</v>
      </c>
      <c r="F457" s="56">
        <v>6000</v>
      </c>
      <c r="G457" t="s">
        <v>198</v>
      </c>
    </row>
    <row r="458" spans="1:7">
      <c r="A458" s="86">
        <v>20130412</v>
      </c>
      <c r="B458" s="54" t="s">
        <v>195</v>
      </c>
      <c r="C458" s="86" t="s">
        <v>673</v>
      </c>
      <c r="D458" s="3" t="s">
        <v>1090</v>
      </c>
      <c r="E458" s="86" t="s">
        <v>135</v>
      </c>
      <c r="F458" s="56">
        <v>12400</v>
      </c>
      <c r="G458" t="s">
        <v>198</v>
      </c>
    </row>
    <row r="459" spans="1:7">
      <c r="A459" s="86">
        <v>20130412</v>
      </c>
      <c r="B459" s="54" t="s">
        <v>195</v>
      </c>
      <c r="C459" s="86" t="s">
        <v>1091</v>
      </c>
      <c r="D459" s="3" t="s">
        <v>1092</v>
      </c>
      <c r="E459" s="3" t="s">
        <v>532</v>
      </c>
      <c r="F459" s="56">
        <v>4800</v>
      </c>
      <c r="G459" t="s">
        <v>246</v>
      </c>
    </row>
    <row r="460" spans="1:7">
      <c r="A460" s="86">
        <v>20130412</v>
      </c>
      <c r="B460" s="54" t="s">
        <v>132</v>
      </c>
      <c r="C460" s="37" t="s">
        <v>1093</v>
      </c>
      <c r="D460" s="3" t="s">
        <v>1094</v>
      </c>
      <c r="E460" s="86" t="s">
        <v>213</v>
      </c>
      <c r="F460" s="56">
        <v>17600</v>
      </c>
      <c r="G460" s="75"/>
    </row>
    <row r="461" spans="1:7">
      <c r="A461" s="86">
        <v>20130412</v>
      </c>
      <c r="B461" s="54" t="s">
        <v>195</v>
      </c>
      <c r="C461" s="37" t="s">
        <v>817</v>
      </c>
      <c r="D461" s="3" t="s">
        <v>1095</v>
      </c>
      <c r="E461" s="86" t="s">
        <v>144</v>
      </c>
      <c r="F461" s="56">
        <v>5200</v>
      </c>
      <c r="G461" t="s">
        <v>246</v>
      </c>
    </row>
    <row r="462" spans="1:7">
      <c r="A462" s="86">
        <v>20130412</v>
      </c>
      <c r="B462" s="54" t="s">
        <v>195</v>
      </c>
      <c r="C462" s="86" t="s">
        <v>814</v>
      </c>
      <c r="D462" s="3" t="s">
        <v>1096</v>
      </c>
      <c r="E462" s="86" t="s">
        <v>532</v>
      </c>
      <c r="F462" s="56">
        <v>2400</v>
      </c>
      <c r="G462" s="75"/>
    </row>
    <row r="463" spans="1:7">
      <c r="A463" s="54">
        <v>20130415</v>
      </c>
      <c r="B463" s="54" t="s">
        <v>132</v>
      </c>
      <c r="C463" s="51" t="s">
        <v>1097</v>
      </c>
      <c r="D463" s="54" t="s">
        <v>1098</v>
      </c>
      <c r="E463" s="54" t="s">
        <v>382</v>
      </c>
      <c r="F463" s="56">
        <v>13136</v>
      </c>
      <c r="G463" s="50"/>
    </row>
    <row r="464" spans="1:7">
      <c r="A464" s="54">
        <v>20130415</v>
      </c>
      <c r="B464" s="33" t="s">
        <v>1102</v>
      </c>
      <c r="C464" s="51" t="s">
        <v>1103</v>
      </c>
      <c r="D464" s="95" t="s">
        <v>1129</v>
      </c>
      <c r="E464" s="54" t="s">
        <v>144</v>
      </c>
      <c r="F464" s="56">
        <v>8548.6</v>
      </c>
      <c r="G464" t="s">
        <v>316</v>
      </c>
    </row>
    <row r="465" spans="1:7">
      <c r="A465" s="86">
        <v>20130415</v>
      </c>
      <c r="B465" s="54" t="s">
        <v>309</v>
      </c>
      <c r="C465" s="3" t="s">
        <v>1104</v>
      </c>
      <c r="D465" s="3" t="s">
        <v>1105</v>
      </c>
      <c r="E465" s="3" t="s">
        <v>622</v>
      </c>
      <c r="F465" s="56">
        <v>4800</v>
      </c>
      <c r="G465" t="s">
        <v>246</v>
      </c>
    </row>
    <row r="466" spans="1:7">
      <c r="A466" s="86">
        <v>20130415</v>
      </c>
      <c r="B466" s="54" t="s">
        <v>309</v>
      </c>
      <c r="C466" s="86" t="s">
        <v>1106</v>
      </c>
      <c r="D466" s="3" t="s">
        <v>1107</v>
      </c>
      <c r="E466" s="86" t="s">
        <v>622</v>
      </c>
      <c r="F466" s="56">
        <v>2400</v>
      </c>
      <c r="G466" s="75"/>
    </row>
    <row r="467" spans="1:7">
      <c r="A467" s="86">
        <v>20130415</v>
      </c>
      <c r="B467" s="54" t="s">
        <v>309</v>
      </c>
      <c r="C467" s="86" t="s">
        <v>1108</v>
      </c>
      <c r="D467" s="3" t="s">
        <v>1109</v>
      </c>
      <c r="E467" s="86" t="s">
        <v>106</v>
      </c>
      <c r="F467" s="56">
        <v>13600</v>
      </c>
      <c r="G467" t="s">
        <v>316</v>
      </c>
    </row>
    <row r="468" spans="1:7">
      <c r="A468" s="86">
        <v>20130415</v>
      </c>
      <c r="B468" s="54" t="s">
        <v>309</v>
      </c>
      <c r="C468" s="3" t="s">
        <v>1104</v>
      </c>
      <c r="D468" s="3" t="s">
        <v>1110</v>
      </c>
      <c r="E468" s="86" t="s">
        <v>622</v>
      </c>
      <c r="F468" s="56">
        <v>4000</v>
      </c>
      <c r="G468" t="s">
        <v>316</v>
      </c>
    </row>
    <row r="469" spans="1:7">
      <c r="A469" s="86">
        <v>20130415</v>
      </c>
      <c r="B469" s="54" t="s">
        <v>309</v>
      </c>
      <c r="C469" s="86" t="s">
        <v>530</v>
      </c>
      <c r="D469" s="3" t="s">
        <v>1111</v>
      </c>
      <c r="E469" s="86" t="s">
        <v>622</v>
      </c>
      <c r="F469" s="56">
        <v>22000</v>
      </c>
      <c r="G469" s="75" t="s">
        <v>299</v>
      </c>
    </row>
    <row r="470" spans="1:7">
      <c r="A470" s="86">
        <v>20130415</v>
      </c>
      <c r="B470" s="54" t="s">
        <v>309</v>
      </c>
      <c r="C470" s="37" t="s">
        <v>1112</v>
      </c>
      <c r="D470" s="3" t="s">
        <v>1113</v>
      </c>
      <c r="E470" s="3" t="s">
        <v>131</v>
      </c>
      <c r="F470" s="56">
        <v>2000</v>
      </c>
      <c r="G470" s="75"/>
    </row>
    <row r="471" spans="1:7">
      <c r="A471" s="86">
        <v>20130415</v>
      </c>
      <c r="B471" s="33" t="s">
        <v>55</v>
      </c>
      <c r="C471" s="37" t="s">
        <v>1114</v>
      </c>
      <c r="D471" s="33" t="s">
        <v>1115</v>
      </c>
      <c r="E471" s="3" t="s">
        <v>1116</v>
      </c>
      <c r="F471" s="56">
        <v>15292.77</v>
      </c>
      <c r="G471" s="75"/>
    </row>
    <row r="472" spans="1:7">
      <c r="A472" s="86">
        <v>20130415</v>
      </c>
      <c r="B472" s="33" t="s">
        <v>1117</v>
      </c>
      <c r="C472" s="51" t="s">
        <v>1118</v>
      </c>
      <c r="D472" s="87" t="s">
        <v>1119</v>
      </c>
      <c r="E472" s="54" t="s">
        <v>1120</v>
      </c>
      <c r="F472" s="56">
        <v>13600</v>
      </c>
      <c r="G472" t="s">
        <v>316</v>
      </c>
    </row>
    <row r="473" spans="1:7">
      <c r="A473" s="86">
        <v>20130415</v>
      </c>
      <c r="B473" s="54" t="s">
        <v>55</v>
      </c>
      <c r="C473" s="37" t="s">
        <v>155</v>
      </c>
      <c r="D473" s="95" t="s">
        <v>1126</v>
      </c>
      <c r="E473" s="3" t="s">
        <v>144</v>
      </c>
      <c r="F473" s="56">
        <v>12690</v>
      </c>
      <c r="G473" s="75" t="s">
        <v>1133</v>
      </c>
    </row>
    <row r="474" spans="1:7">
      <c r="A474" s="86">
        <v>20130415</v>
      </c>
      <c r="B474" s="54" t="s">
        <v>55</v>
      </c>
      <c r="C474" s="37" t="s">
        <v>155</v>
      </c>
      <c r="D474" s="95" t="s">
        <v>1126</v>
      </c>
      <c r="E474" s="3" t="s">
        <v>144</v>
      </c>
      <c r="F474" s="56">
        <v>12690</v>
      </c>
      <c r="G474" s="75" t="s">
        <v>1133</v>
      </c>
    </row>
    <row r="475" spans="1:7">
      <c r="A475" s="38">
        <v>20130415</v>
      </c>
      <c r="B475" s="33" t="s">
        <v>55</v>
      </c>
      <c r="C475" s="2" t="s">
        <v>396</v>
      </c>
      <c r="D475" s="35" t="s">
        <v>1122</v>
      </c>
      <c r="E475" s="35" t="s">
        <v>144</v>
      </c>
      <c r="F475" s="56">
        <v>15311.26</v>
      </c>
      <c r="G475" s="75"/>
    </row>
    <row r="476" spans="1:7">
      <c r="A476" s="38">
        <v>20130415</v>
      </c>
      <c r="B476" s="54" t="s">
        <v>309</v>
      </c>
      <c r="C476" s="86" t="s">
        <v>1123</v>
      </c>
      <c r="D476" s="95" t="s">
        <v>1127</v>
      </c>
      <c r="E476" s="86" t="s">
        <v>144</v>
      </c>
      <c r="F476" s="56">
        <v>5800</v>
      </c>
      <c r="G476" t="s">
        <v>246</v>
      </c>
    </row>
    <row r="477" spans="1:7">
      <c r="A477" s="54">
        <v>20130415</v>
      </c>
      <c r="B477" s="54" t="s">
        <v>55</v>
      </c>
      <c r="C477" s="51" t="s">
        <v>1124</v>
      </c>
      <c r="D477" s="95" t="s">
        <v>1128</v>
      </c>
      <c r="E477" s="87" t="s">
        <v>315</v>
      </c>
      <c r="F477" s="56">
        <v>9400</v>
      </c>
      <c r="G477" s="50"/>
    </row>
    <row r="478" spans="1:7">
      <c r="A478" s="86">
        <v>20130415</v>
      </c>
      <c r="B478" s="54" t="s">
        <v>309</v>
      </c>
      <c r="C478" s="86" t="s">
        <v>1106</v>
      </c>
      <c r="D478" s="3" t="s">
        <v>1125</v>
      </c>
      <c r="E478" s="3" t="s">
        <v>622</v>
      </c>
      <c r="F478" s="56">
        <v>1200</v>
      </c>
      <c r="G478" s="75"/>
    </row>
    <row r="479" spans="1:7">
      <c r="A479" s="38">
        <v>20130416</v>
      </c>
      <c r="B479" s="33" t="s">
        <v>742</v>
      </c>
      <c r="C479" s="54" t="s">
        <v>530</v>
      </c>
      <c r="D479" s="54" t="s">
        <v>1136</v>
      </c>
      <c r="E479" s="54" t="s">
        <v>532</v>
      </c>
      <c r="F479" s="56">
        <v>30000</v>
      </c>
      <c r="G479" s="75" t="s">
        <v>299</v>
      </c>
    </row>
    <row r="480" spans="1:7">
      <c r="A480" s="38">
        <v>20130416</v>
      </c>
      <c r="B480" s="33" t="s">
        <v>742</v>
      </c>
      <c r="C480" s="51" t="s">
        <v>685</v>
      </c>
      <c r="D480" s="87" t="s">
        <v>1137</v>
      </c>
      <c r="E480" s="54" t="s">
        <v>144</v>
      </c>
      <c r="F480" s="56">
        <v>5748.6</v>
      </c>
      <c r="G480" s="75"/>
    </row>
    <row r="481" spans="1:7">
      <c r="A481" s="38">
        <v>20130416</v>
      </c>
      <c r="B481" s="54" t="s">
        <v>223</v>
      </c>
      <c r="C481" s="37" t="s">
        <v>814</v>
      </c>
      <c r="D481" s="3" t="s">
        <v>1138</v>
      </c>
      <c r="E481" s="3" t="s">
        <v>532</v>
      </c>
      <c r="F481" s="56">
        <v>5000</v>
      </c>
      <c r="G481" t="s">
        <v>316</v>
      </c>
    </row>
    <row r="482" spans="1:7">
      <c r="A482" s="38">
        <v>20130416</v>
      </c>
      <c r="B482" s="54" t="s">
        <v>223</v>
      </c>
      <c r="C482" s="86" t="s">
        <v>530</v>
      </c>
      <c r="D482" s="3" t="s">
        <v>1139</v>
      </c>
      <c r="E482" s="3" t="s">
        <v>532</v>
      </c>
      <c r="F482" s="56">
        <v>9600</v>
      </c>
      <c r="G482" t="s">
        <v>316</v>
      </c>
    </row>
    <row r="483" spans="1:7">
      <c r="A483" s="38">
        <v>20130416</v>
      </c>
      <c r="B483" s="54" t="s">
        <v>223</v>
      </c>
      <c r="C483" s="3" t="s">
        <v>975</v>
      </c>
      <c r="D483" s="3" t="s">
        <v>1140</v>
      </c>
      <c r="E483" s="3" t="s">
        <v>532</v>
      </c>
      <c r="F483" s="56">
        <v>4800</v>
      </c>
      <c r="G483" t="s">
        <v>246</v>
      </c>
    </row>
    <row r="484" spans="1:7">
      <c r="A484" s="38">
        <v>20130416</v>
      </c>
      <c r="B484" s="54" t="s">
        <v>223</v>
      </c>
      <c r="C484" s="86" t="s">
        <v>530</v>
      </c>
      <c r="D484" s="3" t="s">
        <v>1141</v>
      </c>
      <c r="E484" s="3" t="s">
        <v>532</v>
      </c>
      <c r="F484" s="56">
        <v>30000</v>
      </c>
      <c r="G484" s="75" t="s">
        <v>299</v>
      </c>
    </row>
    <row r="485" spans="1:7">
      <c r="A485" s="38">
        <v>20130416</v>
      </c>
      <c r="B485" s="54" t="s">
        <v>223</v>
      </c>
      <c r="C485" s="37" t="s">
        <v>814</v>
      </c>
      <c r="D485" s="3" t="s">
        <v>1142</v>
      </c>
      <c r="E485" s="3" t="s">
        <v>532</v>
      </c>
      <c r="F485" s="56">
        <v>4800</v>
      </c>
      <c r="G485" t="s">
        <v>246</v>
      </c>
    </row>
    <row r="486" spans="1:7">
      <c r="A486" s="38">
        <v>20130416</v>
      </c>
      <c r="B486" s="54" t="s">
        <v>132</v>
      </c>
      <c r="C486" s="3" t="s">
        <v>17</v>
      </c>
      <c r="D486" s="3" t="s">
        <v>1143</v>
      </c>
      <c r="E486" s="3" t="s">
        <v>207</v>
      </c>
      <c r="F486" s="56">
        <v>11875</v>
      </c>
      <c r="G486" s="75"/>
    </row>
    <row r="487" spans="1:7">
      <c r="A487" s="86">
        <v>20130416</v>
      </c>
      <c r="B487" s="54" t="s">
        <v>223</v>
      </c>
      <c r="C487" s="37" t="s">
        <v>814</v>
      </c>
      <c r="D487" s="3" t="s">
        <v>1147</v>
      </c>
      <c r="E487" s="3" t="s">
        <v>532</v>
      </c>
      <c r="F487" s="56">
        <v>1200</v>
      </c>
      <c r="G487" s="75"/>
    </row>
    <row r="488" spans="1:7">
      <c r="A488" s="86">
        <v>20130416</v>
      </c>
      <c r="B488" s="33" t="s">
        <v>132</v>
      </c>
      <c r="C488" s="37" t="s">
        <v>15</v>
      </c>
      <c r="D488" s="33" t="s">
        <v>1144</v>
      </c>
      <c r="E488" s="3" t="s">
        <v>109</v>
      </c>
      <c r="F488" s="56">
        <v>16784.099999999999</v>
      </c>
      <c r="G488" s="75"/>
    </row>
    <row r="489" spans="1:7">
      <c r="A489" s="86">
        <v>20130416</v>
      </c>
      <c r="B489" s="54" t="s">
        <v>132</v>
      </c>
      <c r="C489" s="37" t="s">
        <v>396</v>
      </c>
      <c r="D489" s="3" t="s">
        <v>1145</v>
      </c>
      <c r="E489" s="86" t="s">
        <v>144</v>
      </c>
      <c r="F489" s="56">
        <v>2520</v>
      </c>
      <c r="G489" s="75"/>
    </row>
    <row r="490" spans="1:7">
      <c r="A490" s="86">
        <v>20130416</v>
      </c>
      <c r="B490" s="54" t="s">
        <v>223</v>
      </c>
      <c r="C490" s="86" t="s">
        <v>18</v>
      </c>
      <c r="D490" s="3" t="s">
        <v>1146</v>
      </c>
      <c r="E490" s="86" t="s">
        <v>131</v>
      </c>
      <c r="F490" s="56">
        <v>4800</v>
      </c>
      <c r="G490" s="49"/>
    </row>
    <row r="491" spans="1:7">
      <c r="A491" s="38">
        <v>20130417</v>
      </c>
      <c r="B491" s="54" t="s">
        <v>55</v>
      </c>
      <c r="C491" s="51" t="s">
        <v>14</v>
      </c>
      <c r="D491" s="87" t="s">
        <v>1148</v>
      </c>
      <c r="E491" s="54" t="s">
        <v>106</v>
      </c>
      <c r="F491" s="56">
        <v>16594.599999999999</v>
      </c>
      <c r="G491" s="75"/>
    </row>
    <row r="492" spans="1:7">
      <c r="A492" s="38">
        <v>20130417</v>
      </c>
      <c r="B492" s="54" t="s">
        <v>55</v>
      </c>
      <c r="C492" s="54" t="s">
        <v>15</v>
      </c>
      <c r="D492" s="54" t="s">
        <v>1149</v>
      </c>
      <c r="E492" s="54" t="s">
        <v>109</v>
      </c>
      <c r="F492" s="56">
        <v>16567.13</v>
      </c>
      <c r="G492" s="75"/>
    </row>
    <row r="493" spans="1:7">
      <c r="A493" s="38">
        <v>20130417</v>
      </c>
      <c r="B493" s="33" t="s">
        <v>55</v>
      </c>
      <c r="C493" s="2" t="s">
        <v>650</v>
      </c>
      <c r="D493" s="35" t="s">
        <v>1150</v>
      </c>
      <c r="E493" s="35" t="s">
        <v>652</v>
      </c>
      <c r="F493" s="56">
        <v>9263.2199999999993</v>
      </c>
      <c r="G493" s="75"/>
    </row>
    <row r="494" spans="1:7">
      <c r="A494" s="38">
        <v>20130417</v>
      </c>
      <c r="B494" s="33" t="s">
        <v>55</v>
      </c>
      <c r="C494" s="2" t="s">
        <v>1151</v>
      </c>
      <c r="D494" s="35" t="s">
        <v>1152</v>
      </c>
      <c r="E494" s="35" t="s">
        <v>618</v>
      </c>
      <c r="F494" s="56">
        <v>33655.94</v>
      </c>
      <c r="G494" s="75"/>
    </row>
    <row r="495" spans="1:7">
      <c r="A495" s="86">
        <v>20130417</v>
      </c>
      <c r="B495" s="54" t="s">
        <v>552</v>
      </c>
      <c r="C495" s="2" t="s">
        <v>685</v>
      </c>
      <c r="D495" s="3" t="s">
        <v>1153</v>
      </c>
      <c r="E495" s="3" t="s">
        <v>734</v>
      </c>
      <c r="F495" s="56">
        <v>20000</v>
      </c>
      <c r="G495" t="s">
        <v>672</v>
      </c>
    </row>
    <row r="496" spans="1:7">
      <c r="A496" s="86">
        <v>20130417</v>
      </c>
      <c r="B496" s="54" t="s">
        <v>55</v>
      </c>
      <c r="C496" s="2" t="s">
        <v>772</v>
      </c>
      <c r="D496" s="3" t="s">
        <v>1154</v>
      </c>
      <c r="E496" s="86" t="s">
        <v>886</v>
      </c>
      <c r="F496" s="56">
        <v>20000</v>
      </c>
      <c r="G496" s="75"/>
    </row>
    <row r="497" spans="1:7">
      <c r="A497" s="86">
        <v>20130417</v>
      </c>
      <c r="B497" s="54" t="s">
        <v>552</v>
      </c>
      <c r="C497" s="2" t="s">
        <v>814</v>
      </c>
      <c r="D497" s="3" t="s">
        <v>1155</v>
      </c>
      <c r="E497" s="86" t="s">
        <v>697</v>
      </c>
      <c r="F497" s="56">
        <v>1200</v>
      </c>
      <c r="G497" s="75"/>
    </row>
    <row r="498" spans="1:7">
      <c r="A498" s="86">
        <v>20130417</v>
      </c>
      <c r="B498" s="54" t="s">
        <v>552</v>
      </c>
      <c r="C498" s="86" t="s">
        <v>564</v>
      </c>
      <c r="D498" s="3" t="s">
        <v>1156</v>
      </c>
      <c r="E498" s="86" t="s">
        <v>697</v>
      </c>
      <c r="F498" s="56">
        <v>4800</v>
      </c>
      <c r="G498" t="s">
        <v>246</v>
      </c>
    </row>
    <row r="499" spans="1:7">
      <c r="A499" s="86">
        <v>20130417</v>
      </c>
      <c r="B499" s="54" t="s">
        <v>552</v>
      </c>
      <c r="C499" s="2" t="s">
        <v>1024</v>
      </c>
      <c r="D499" s="3" t="s">
        <v>1157</v>
      </c>
      <c r="E499" s="86" t="s">
        <v>109</v>
      </c>
      <c r="F499" s="56">
        <v>5000</v>
      </c>
      <c r="G499" s="102" t="s">
        <v>1158</v>
      </c>
    </row>
    <row r="500" spans="1:7">
      <c r="A500" s="86">
        <v>20130417</v>
      </c>
      <c r="B500" s="54" t="s">
        <v>55</v>
      </c>
      <c r="C500" s="2" t="s">
        <v>694</v>
      </c>
      <c r="D500" s="3" t="s">
        <v>1159</v>
      </c>
      <c r="E500" s="3" t="s">
        <v>591</v>
      </c>
      <c r="F500" s="56">
        <v>25033</v>
      </c>
      <c r="G500" s="75"/>
    </row>
    <row r="501" spans="1:7">
      <c r="A501" s="86">
        <v>20130417</v>
      </c>
      <c r="B501" s="54" t="s">
        <v>552</v>
      </c>
      <c r="C501" s="86" t="s">
        <v>564</v>
      </c>
      <c r="D501" s="53" t="s">
        <v>1160</v>
      </c>
      <c r="E501" s="86" t="s">
        <v>532</v>
      </c>
      <c r="F501" s="56">
        <v>5800</v>
      </c>
      <c r="G501" t="s">
        <v>246</v>
      </c>
    </row>
    <row r="502" spans="1:7">
      <c r="A502" s="98">
        <v>20130418</v>
      </c>
      <c r="B502" s="33" t="s">
        <v>195</v>
      </c>
      <c r="C502" s="98" t="s">
        <v>685</v>
      </c>
      <c r="D502" s="38" t="s">
        <v>1161</v>
      </c>
      <c r="E502" s="38" t="s">
        <v>144</v>
      </c>
      <c r="F502" s="99">
        <v>5800</v>
      </c>
      <c r="G502" t="s">
        <v>246</v>
      </c>
    </row>
    <row r="503" spans="1:7">
      <c r="A503" s="98">
        <v>20130418</v>
      </c>
      <c r="B503" s="33" t="s">
        <v>195</v>
      </c>
      <c r="C503" s="38" t="s">
        <v>814</v>
      </c>
      <c r="D503" s="38" t="s">
        <v>1277</v>
      </c>
      <c r="E503" s="38" t="s">
        <v>532</v>
      </c>
      <c r="F503" s="99">
        <v>1200</v>
      </c>
      <c r="G503" s="75"/>
    </row>
    <row r="504" spans="1:7">
      <c r="A504" s="98">
        <v>20130418</v>
      </c>
      <c r="B504" s="33" t="s">
        <v>195</v>
      </c>
      <c r="C504" s="38" t="s">
        <v>1162</v>
      </c>
      <c r="D504" s="38" t="s">
        <v>1163</v>
      </c>
      <c r="E504" s="38" t="s">
        <v>466</v>
      </c>
      <c r="F504" s="99">
        <v>8600</v>
      </c>
      <c r="G504" t="s">
        <v>1207</v>
      </c>
    </row>
    <row r="505" spans="1:7">
      <c r="A505" s="98">
        <v>20130418</v>
      </c>
      <c r="B505" s="33" t="s">
        <v>55</v>
      </c>
      <c r="C505" s="33" t="s">
        <v>1172</v>
      </c>
      <c r="D505" s="97" t="s">
        <v>1173</v>
      </c>
      <c r="E505" s="97" t="s">
        <v>245</v>
      </c>
      <c r="F505" s="100">
        <v>102898.17</v>
      </c>
      <c r="G505" s="96"/>
    </row>
    <row r="506" spans="1:7">
      <c r="A506" s="38">
        <v>20130418</v>
      </c>
      <c r="B506" s="33" t="s">
        <v>55</v>
      </c>
      <c r="C506" s="33" t="s">
        <v>1174</v>
      </c>
      <c r="D506" s="97" t="s">
        <v>1175</v>
      </c>
      <c r="E506" s="97" t="s">
        <v>466</v>
      </c>
      <c r="F506" s="100">
        <v>6223.53</v>
      </c>
      <c r="G506" s="96"/>
    </row>
    <row r="507" spans="1:7">
      <c r="A507" s="98">
        <v>20130418</v>
      </c>
      <c r="B507" s="33" t="s">
        <v>195</v>
      </c>
      <c r="C507" s="38" t="s">
        <v>1164</v>
      </c>
      <c r="D507" s="38" t="s">
        <v>1165</v>
      </c>
      <c r="E507" s="38" t="s">
        <v>159</v>
      </c>
      <c r="F507" s="99">
        <v>50000</v>
      </c>
      <c r="G507" s="75" t="s">
        <v>299</v>
      </c>
    </row>
    <row r="508" spans="1:7">
      <c r="A508" s="98">
        <v>20130418</v>
      </c>
      <c r="B508" s="33" t="s">
        <v>55</v>
      </c>
      <c r="C508" s="38" t="s">
        <v>1170</v>
      </c>
      <c r="D508" s="38" t="s">
        <v>1166</v>
      </c>
      <c r="E508" s="38" t="s">
        <v>213</v>
      </c>
      <c r="F508" s="99">
        <v>32986.199999999997</v>
      </c>
      <c r="G508" s="75"/>
    </row>
    <row r="509" spans="1:7">
      <c r="A509" s="98">
        <v>20130418</v>
      </c>
      <c r="B509" s="33" t="s">
        <v>55</v>
      </c>
      <c r="C509" s="38" t="s">
        <v>1167</v>
      </c>
      <c r="D509" s="38" t="s">
        <v>1168</v>
      </c>
      <c r="E509" s="38" t="s">
        <v>270</v>
      </c>
      <c r="F509" s="99">
        <v>14310.83</v>
      </c>
      <c r="G509" s="75"/>
    </row>
    <row r="510" spans="1:7">
      <c r="A510" s="98">
        <v>20130418</v>
      </c>
      <c r="B510" s="33" t="s">
        <v>55</v>
      </c>
      <c r="C510" s="38" t="s">
        <v>1171</v>
      </c>
      <c r="D510" s="38" t="s">
        <v>1169</v>
      </c>
      <c r="E510" s="38" t="s">
        <v>165</v>
      </c>
      <c r="F510" s="99">
        <v>9810</v>
      </c>
      <c r="G510" s="75"/>
    </row>
    <row r="511" spans="1:7">
      <c r="A511" s="54">
        <v>20130419</v>
      </c>
      <c r="B511" s="33" t="s">
        <v>1176</v>
      </c>
      <c r="C511" s="87" t="s">
        <v>1177</v>
      </c>
      <c r="D511" s="87" t="s">
        <v>1178</v>
      </c>
      <c r="E511" s="54" t="s">
        <v>1179</v>
      </c>
      <c r="F511" s="99">
        <v>5800</v>
      </c>
      <c r="G511" t="s">
        <v>246</v>
      </c>
    </row>
    <row r="512" spans="1:7">
      <c r="A512" s="54">
        <v>20130419</v>
      </c>
      <c r="B512" s="101" t="s">
        <v>1181</v>
      </c>
      <c r="C512" s="77" t="s">
        <v>396</v>
      </c>
      <c r="D512" s="77" t="s">
        <v>1180</v>
      </c>
      <c r="E512" s="77" t="s">
        <v>144</v>
      </c>
      <c r="F512" s="99">
        <v>15568.5</v>
      </c>
      <c r="G512" s="75"/>
    </row>
    <row r="513" spans="1:8">
      <c r="A513" s="54">
        <v>20130419</v>
      </c>
      <c r="B513" s="54" t="s">
        <v>1182</v>
      </c>
      <c r="C513" s="54" t="s">
        <v>1183</v>
      </c>
      <c r="D513" s="54" t="s">
        <v>1184</v>
      </c>
      <c r="E513" s="53" t="s">
        <v>1185</v>
      </c>
      <c r="F513" s="99">
        <v>20497.009999999998</v>
      </c>
      <c r="G513" s="75"/>
    </row>
    <row r="514" spans="1:8">
      <c r="A514" s="86">
        <v>20130419</v>
      </c>
      <c r="B514" s="54" t="s">
        <v>1008</v>
      </c>
      <c r="C514" s="2" t="s">
        <v>1024</v>
      </c>
      <c r="D514" s="3" t="s">
        <v>1186</v>
      </c>
      <c r="E514" s="3" t="s">
        <v>109</v>
      </c>
      <c r="F514" s="99">
        <v>15000</v>
      </c>
      <c r="G514" s="102" t="s">
        <v>1252</v>
      </c>
    </row>
    <row r="515" spans="1:8">
      <c r="A515" s="86">
        <v>20130419</v>
      </c>
      <c r="B515" s="54" t="s">
        <v>1008</v>
      </c>
      <c r="C515" s="86" t="s">
        <v>1187</v>
      </c>
      <c r="D515" s="3" t="s">
        <v>1188</v>
      </c>
      <c r="E515" s="86" t="s">
        <v>1116</v>
      </c>
      <c r="F515" s="99">
        <v>1000</v>
      </c>
      <c r="G515" s="75"/>
    </row>
    <row r="516" spans="1:8">
      <c r="A516" s="86">
        <v>20130419</v>
      </c>
      <c r="B516" s="54" t="s">
        <v>1008</v>
      </c>
      <c r="C516" s="2" t="s">
        <v>1189</v>
      </c>
      <c r="D516" s="3" t="s">
        <v>1190</v>
      </c>
      <c r="E516" s="86" t="s">
        <v>106</v>
      </c>
      <c r="F516" s="99">
        <v>5800</v>
      </c>
      <c r="G516" t="s">
        <v>246</v>
      </c>
    </row>
    <row r="517" spans="1:8">
      <c r="A517" s="86">
        <v>20130419</v>
      </c>
      <c r="B517" s="54" t="s">
        <v>1008</v>
      </c>
      <c r="C517" s="37" t="s">
        <v>1191</v>
      </c>
      <c r="D517" s="3" t="s">
        <v>1192</v>
      </c>
      <c r="E517" s="3" t="s">
        <v>1193</v>
      </c>
      <c r="F517" s="99">
        <v>15000</v>
      </c>
      <c r="G517" t="s">
        <v>1206</v>
      </c>
    </row>
    <row r="518" spans="1:8">
      <c r="A518" s="38">
        <v>20130419</v>
      </c>
      <c r="B518" s="33" t="s">
        <v>55</v>
      </c>
      <c r="C518" s="2" t="s">
        <v>157</v>
      </c>
      <c r="D518" s="85" t="s">
        <v>1194</v>
      </c>
      <c r="E518" s="85" t="s">
        <v>1195</v>
      </c>
      <c r="F518" s="99">
        <v>35241.589999999997</v>
      </c>
      <c r="G518" s="75"/>
    </row>
    <row r="519" spans="1:8">
      <c r="A519" s="86">
        <v>20130419</v>
      </c>
      <c r="B519" s="54" t="s">
        <v>55</v>
      </c>
      <c r="C519" s="37" t="s">
        <v>1196</v>
      </c>
      <c r="D519" s="3" t="s">
        <v>1197</v>
      </c>
      <c r="E519" s="86" t="s">
        <v>106</v>
      </c>
      <c r="F519" s="99">
        <v>11164.56</v>
      </c>
      <c r="G519" s="75"/>
    </row>
    <row r="520" spans="1:8">
      <c r="A520" s="86">
        <v>20130419</v>
      </c>
      <c r="B520" s="54" t="s">
        <v>1008</v>
      </c>
      <c r="C520" s="86" t="s">
        <v>1198</v>
      </c>
      <c r="D520" s="3" t="s">
        <v>1199</v>
      </c>
      <c r="E520" s="86" t="s">
        <v>106</v>
      </c>
      <c r="F520" s="99">
        <v>20000</v>
      </c>
      <c r="G520" s="75" t="s">
        <v>299</v>
      </c>
    </row>
    <row r="521" spans="1:8">
      <c r="A521" s="86">
        <v>20130419</v>
      </c>
      <c r="B521" s="54" t="s">
        <v>1102</v>
      </c>
      <c r="C521" s="3" t="s">
        <v>1200</v>
      </c>
      <c r="D521" s="3" t="s">
        <v>1201</v>
      </c>
      <c r="E521" s="3" t="s">
        <v>1202</v>
      </c>
      <c r="F521" s="99">
        <v>6800</v>
      </c>
      <c r="G521" t="s">
        <v>246</v>
      </c>
    </row>
    <row r="522" spans="1:8">
      <c r="A522" s="86">
        <v>20130419</v>
      </c>
      <c r="B522" s="33" t="s">
        <v>1102</v>
      </c>
      <c r="C522" s="54" t="s">
        <v>848</v>
      </c>
      <c r="D522" s="54" t="s">
        <v>1204</v>
      </c>
      <c r="E522" s="54" t="s">
        <v>1205</v>
      </c>
      <c r="F522" s="99">
        <v>15000</v>
      </c>
      <c r="G522" t="s">
        <v>246</v>
      </c>
    </row>
    <row r="523" spans="1:8">
      <c r="A523" s="38">
        <v>20130422</v>
      </c>
      <c r="B523" s="54" t="s">
        <v>1208</v>
      </c>
      <c r="C523" s="54" t="s">
        <v>1209</v>
      </c>
      <c r="D523" s="85" t="s">
        <v>1210</v>
      </c>
      <c r="E523" s="85" t="s">
        <v>1211</v>
      </c>
      <c r="F523" s="99">
        <v>14415.02</v>
      </c>
    </row>
    <row r="524" spans="1:8">
      <c r="A524" s="38">
        <v>20130422</v>
      </c>
      <c r="B524" s="54" t="s">
        <v>195</v>
      </c>
      <c r="C524" s="51" t="s">
        <v>975</v>
      </c>
      <c r="D524" s="53" t="s">
        <v>1212</v>
      </c>
      <c r="E524" s="77" t="s">
        <v>532</v>
      </c>
      <c r="F524" s="99">
        <v>5500</v>
      </c>
      <c r="G524" s="75"/>
    </row>
    <row r="525" spans="1:8">
      <c r="A525" s="54">
        <v>20130422</v>
      </c>
      <c r="B525" s="33" t="s">
        <v>742</v>
      </c>
      <c r="C525" s="51" t="s">
        <v>1213</v>
      </c>
      <c r="D525" s="87" t="s">
        <v>1214</v>
      </c>
      <c r="E525" s="54" t="s">
        <v>532</v>
      </c>
      <c r="F525" s="99">
        <v>9499</v>
      </c>
      <c r="G525" s="79"/>
      <c r="H525" s="79"/>
    </row>
    <row r="526" spans="1:8">
      <c r="A526" s="54">
        <v>20130422</v>
      </c>
      <c r="B526" s="54" t="s">
        <v>55</v>
      </c>
      <c r="C526" s="87" t="s">
        <v>57</v>
      </c>
      <c r="D526" s="87" t="s">
        <v>1222</v>
      </c>
      <c r="E526" s="87" t="s">
        <v>106</v>
      </c>
      <c r="F526" s="99">
        <v>16408.52</v>
      </c>
      <c r="G526" s="79"/>
      <c r="H526" s="79"/>
    </row>
    <row r="527" spans="1:8">
      <c r="A527" s="54">
        <v>20130422</v>
      </c>
      <c r="B527" s="33" t="s">
        <v>1215</v>
      </c>
      <c r="C527" s="54" t="s">
        <v>1216</v>
      </c>
      <c r="D527" s="85" t="s">
        <v>1217</v>
      </c>
      <c r="E527" s="85" t="s">
        <v>1218</v>
      </c>
      <c r="F527" s="99">
        <v>18507.63</v>
      </c>
      <c r="G527" s="96"/>
      <c r="H527" s="79"/>
    </row>
    <row r="528" spans="1:8">
      <c r="A528" s="38">
        <v>20130422</v>
      </c>
      <c r="B528" s="33" t="s">
        <v>1215</v>
      </c>
      <c r="C528" s="51" t="s">
        <v>1219</v>
      </c>
      <c r="D528" s="85" t="s">
        <v>1220</v>
      </c>
      <c r="E528" s="85" t="s">
        <v>1221</v>
      </c>
      <c r="F528" s="99">
        <v>37530.949999999997</v>
      </c>
      <c r="G528" s="96"/>
      <c r="H528" s="79"/>
    </row>
    <row r="529" spans="1:8">
      <c r="A529" s="38">
        <v>20130422</v>
      </c>
      <c r="B529" s="33" t="s">
        <v>55</v>
      </c>
      <c r="C529" s="54" t="s">
        <v>1225</v>
      </c>
      <c r="D529" s="85" t="s">
        <v>1223</v>
      </c>
      <c r="E529" s="85" t="s">
        <v>382</v>
      </c>
      <c r="F529" s="99">
        <v>11636.99</v>
      </c>
      <c r="G529" s="96"/>
      <c r="H529" s="79"/>
    </row>
    <row r="530" spans="1:8">
      <c r="A530" s="38">
        <v>20130422</v>
      </c>
      <c r="B530" s="33" t="s">
        <v>55</v>
      </c>
      <c r="C530" s="85" t="s">
        <v>1227</v>
      </c>
      <c r="D530" s="85" t="s">
        <v>1224</v>
      </c>
      <c r="E530" s="85" t="s">
        <v>213</v>
      </c>
      <c r="F530" s="99">
        <v>45426.43</v>
      </c>
      <c r="G530" s="96"/>
      <c r="H530" s="79"/>
    </row>
    <row r="531" spans="1:8">
      <c r="A531" s="38">
        <v>20130423</v>
      </c>
      <c r="B531" s="54" t="s">
        <v>1231</v>
      </c>
      <c r="C531" s="54" t="s">
        <v>1229</v>
      </c>
      <c r="D531" s="77" t="s">
        <v>1232</v>
      </c>
      <c r="E531" s="77" t="s">
        <v>532</v>
      </c>
      <c r="F531" s="99">
        <v>1200</v>
      </c>
      <c r="G531" s="79"/>
      <c r="H531" s="79"/>
    </row>
    <row r="532" spans="1:8">
      <c r="A532" s="38">
        <v>20130423</v>
      </c>
      <c r="B532" s="54" t="s">
        <v>1231</v>
      </c>
      <c r="C532" s="51" t="s">
        <v>677</v>
      </c>
      <c r="D532" s="77" t="s">
        <v>1233</v>
      </c>
      <c r="E532" s="77" t="s">
        <v>532</v>
      </c>
      <c r="F532" s="99">
        <v>3000</v>
      </c>
      <c r="G532" s="79"/>
      <c r="H532" s="79"/>
    </row>
    <row r="533" spans="1:8">
      <c r="A533" s="38">
        <v>20130423</v>
      </c>
      <c r="B533" s="54" t="s">
        <v>1231</v>
      </c>
      <c r="C533" s="51" t="s">
        <v>677</v>
      </c>
      <c r="D533" s="77" t="s">
        <v>1234</v>
      </c>
      <c r="E533" s="77" t="s">
        <v>532</v>
      </c>
      <c r="F533" s="99">
        <v>4600</v>
      </c>
      <c r="G533" t="s">
        <v>246</v>
      </c>
      <c r="H533" s="79"/>
    </row>
    <row r="534" spans="1:8">
      <c r="A534" s="38">
        <v>20130423</v>
      </c>
      <c r="B534" s="54" t="s">
        <v>1231</v>
      </c>
      <c r="C534" s="77" t="s">
        <v>1230</v>
      </c>
      <c r="D534" s="53" t="s">
        <v>1235</v>
      </c>
      <c r="E534" s="77" t="s">
        <v>532</v>
      </c>
      <c r="F534" s="99">
        <v>1200</v>
      </c>
      <c r="G534" s="79"/>
      <c r="H534" s="79"/>
    </row>
    <row r="535" spans="1:8">
      <c r="A535" s="38">
        <v>20130423</v>
      </c>
      <c r="B535" s="54" t="s">
        <v>1231</v>
      </c>
      <c r="C535" s="77" t="s">
        <v>677</v>
      </c>
      <c r="D535" s="53" t="s">
        <v>1236</v>
      </c>
      <c r="E535" s="77" t="s">
        <v>532</v>
      </c>
      <c r="F535" s="99">
        <v>3000</v>
      </c>
      <c r="G535" s="79"/>
      <c r="H535" s="79"/>
    </row>
    <row r="536" spans="1:8">
      <c r="A536" s="38">
        <v>20130423</v>
      </c>
      <c r="B536" s="54" t="s">
        <v>1231</v>
      </c>
      <c r="C536" s="77" t="s">
        <v>677</v>
      </c>
      <c r="D536" s="53" t="s">
        <v>1236</v>
      </c>
      <c r="E536" s="77" t="s">
        <v>532</v>
      </c>
      <c r="F536" s="99">
        <v>3000</v>
      </c>
      <c r="G536" s="79"/>
      <c r="H536" s="79"/>
    </row>
    <row r="537" spans="1:8">
      <c r="A537" s="38">
        <v>20130423</v>
      </c>
      <c r="B537" s="54" t="s">
        <v>1231</v>
      </c>
      <c r="C537" s="77" t="s">
        <v>677</v>
      </c>
      <c r="D537" s="53" t="s">
        <v>1237</v>
      </c>
      <c r="E537" s="77" t="s">
        <v>532</v>
      </c>
      <c r="F537" s="99">
        <v>3000</v>
      </c>
      <c r="G537" s="79"/>
      <c r="H537" s="79"/>
    </row>
    <row r="538" spans="1:8">
      <c r="A538" s="38">
        <v>20130423</v>
      </c>
      <c r="B538" s="54" t="s">
        <v>1231</v>
      </c>
      <c r="C538" s="77" t="s">
        <v>677</v>
      </c>
      <c r="D538" s="53" t="s">
        <v>1238</v>
      </c>
      <c r="E538" s="77" t="s">
        <v>532</v>
      </c>
      <c r="F538" s="99">
        <v>3000</v>
      </c>
      <c r="G538" s="79"/>
      <c r="H538" s="79"/>
    </row>
    <row r="539" spans="1:8">
      <c r="A539" s="38">
        <v>20130423</v>
      </c>
      <c r="B539" s="54" t="s">
        <v>1231</v>
      </c>
      <c r="C539" s="54" t="s">
        <v>677</v>
      </c>
      <c r="D539" s="77" t="s">
        <v>1239</v>
      </c>
      <c r="E539" s="77" t="s">
        <v>532</v>
      </c>
      <c r="F539" s="99">
        <v>4800</v>
      </c>
      <c r="G539" t="s">
        <v>246</v>
      </c>
      <c r="H539" s="79"/>
    </row>
    <row r="540" spans="1:8">
      <c r="A540" s="38">
        <v>20130423</v>
      </c>
      <c r="B540" s="54" t="s">
        <v>1231</v>
      </c>
      <c r="C540" s="51" t="s">
        <v>607</v>
      </c>
      <c r="D540" s="77" t="s">
        <v>1240</v>
      </c>
      <c r="E540" s="77" t="s">
        <v>532</v>
      </c>
      <c r="F540" s="99">
        <v>4500</v>
      </c>
      <c r="G540" t="s">
        <v>246</v>
      </c>
      <c r="H540" s="79"/>
    </row>
    <row r="541" spans="1:8">
      <c r="A541" s="38">
        <v>20130423</v>
      </c>
      <c r="B541" s="54" t="s">
        <v>1231</v>
      </c>
      <c r="C541" s="54" t="s">
        <v>1229</v>
      </c>
      <c r="D541" s="77" t="s">
        <v>1241</v>
      </c>
      <c r="E541" s="77" t="s">
        <v>532</v>
      </c>
      <c r="F541" s="99">
        <v>2000</v>
      </c>
      <c r="G541" s="79"/>
      <c r="H541" s="79"/>
    </row>
    <row r="542" spans="1:8">
      <c r="A542" s="54">
        <v>20130423</v>
      </c>
      <c r="B542" s="54" t="s">
        <v>55</v>
      </c>
      <c r="C542" s="51" t="s">
        <v>1242</v>
      </c>
      <c r="D542" s="54" t="s">
        <v>1243</v>
      </c>
      <c r="E542" s="54" t="s">
        <v>109</v>
      </c>
      <c r="F542" s="99">
        <v>39412.660000000003</v>
      </c>
      <c r="G542" s="79"/>
      <c r="H542" s="79"/>
    </row>
    <row r="543" spans="1:8">
      <c r="A543" s="54">
        <v>20130423</v>
      </c>
      <c r="B543" s="54" t="s">
        <v>55</v>
      </c>
      <c r="C543" s="51" t="s">
        <v>139</v>
      </c>
      <c r="D543" s="54" t="s">
        <v>1244</v>
      </c>
      <c r="E543" s="54" t="s">
        <v>165</v>
      </c>
      <c r="F543" s="99">
        <v>1143.8499999999999</v>
      </c>
      <c r="G543" s="79"/>
      <c r="H543" s="79"/>
    </row>
    <row r="544" spans="1:8">
      <c r="A544" s="54">
        <v>20130423</v>
      </c>
      <c r="B544" s="54" t="s">
        <v>55</v>
      </c>
      <c r="C544" s="51" t="s">
        <v>528</v>
      </c>
      <c r="D544" s="54" t="s">
        <v>1245</v>
      </c>
      <c r="E544" s="54" t="s">
        <v>273</v>
      </c>
      <c r="F544" s="99">
        <v>16408.52</v>
      </c>
      <c r="G544" s="79"/>
      <c r="H544" s="79"/>
    </row>
    <row r="545" spans="1:8">
      <c r="A545" s="86">
        <v>20130423</v>
      </c>
      <c r="B545" s="54" t="s">
        <v>195</v>
      </c>
      <c r="C545" s="54" t="s">
        <v>1079</v>
      </c>
      <c r="D545" s="3" t="s">
        <v>1246</v>
      </c>
      <c r="E545" s="86" t="s">
        <v>261</v>
      </c>
      <c r="F545" s="49">
        <v>53550</v>
      </c>
      <c r="G545" s="75" t="s">
        <v>299</v>
      </c>
      <c r="H545" s="79"/>
    </row>
    <row r="546" spans="1:8">
      <c r="A546" s="86">
        <v>20130423</v>
      </c>
      <c r="B546" s="54" t="s">
        <v>195</v>
      </c>
      <c r="C546" s="37" t="s">
        <v>814</v>
      </c>
      <c r="D546" s="3" t="s">
        <v>1247</v>
      </c>
      <c r="E546" s="86" t="s">
        <v>532</v>
      </c>
      <c r="F546" s="49">
        <v>1200</v>
      </c>
      <c r="G546" s="79"/>
      <c r="H546" s="79"/>
    </row>
    <row r="547" spans="1:8">
      <c r="A547" s="86">
        <v>20130423</v>
      </c>
      <c r="B547" s="54" t="s">
        <v>55</v>
      </c>
      <c r="C547" s="37" t="s">
        <v>1248</v>
      </c>
      <c r="D547" s="3" t="s">
        <v>1249</v>
      </c>
      <c r="E547" s="86" t="s">
        <v>1250</v>
      </c>
      <c r="F547" s="49">
        <v>13532.8</v>
      </c>
      <c r="G547" s="49"/>
      <c r="H547" s="79"/>
    </row>
    <row r="548" spans="1:8">
      <c r="A548" s="86">
        <v>20130423</v>
      </c>
      <c r="B548" s="54" t="s">
        <v>195</v>
      </c>
      <c r="C548" s="37" t="s">
        <v>716</v>
      </c>
      <c r="D548" s="3" t="s">
        <v>1251</v>
      </c>
      <c r="E548" s="86" t="s">
        <v>392</v>
      </c>
      <c r="F548" s="49">
        <v>10000</v>
      </c>
      <c r="G548" t="s">
        <v>246</v>
      </c>
      <c r="H548" s="79"/>
    </row>
    <row r="549" spans="1:8">
      <c r="A549" s="86">
        <v>20130423</v>
      </c>
      <c r="B549" s="54" t="s">
        <v>195</v>
      </c>
      <c r="C549" s="37" t="s">
        <v>512</v>
      </c>
      <c r="D549" s="3" t="s">
        <v>1253</v>
      </c>
      <c r="E549" s="86" t="s">
        <v>466</v>
      </c>
      <c r="F549" s="49">
        <v>12000</v>
      </c>
      <c r="G549" t="s">
        <v>801</v>
      </c>
      <c r="H549" s="79"/>
    </row>
    <row r="550" spans="1:8">
      <c r="A550" s="54">
        <v>20130423</v>
      </c>
      <c r="B550" s="54" t="s">
        <v>55</v>
      </c>
      <c r="C550" s="54" t="s">
        <v>17</v>
      </c>
      <c r="D550" s="54" t="s">
        <v>1254</v>
      </c>
      <c r="E550" s="54" t="s">
        <v>159</v>
      </c>
      <c r="F550" s="49">
        <v>15844</v>
      </c>
      <c r="G550" s="79"/>
      <c r="H550" s="79"/>
    </row>
    <row r="551" spans="1:8">
      <c r="A551" s="54">
        <v>20130423</v>
      </c>
      <c r="B551" s="54" t="s">
        <v>55</v>
      </c>
      <c r="C551" s="54" t="s">
        <v>456</v>
      </c>
      <c r="D551" s="54" t="s">
        <v>1254</v>
      </c>
      <c r="E551" s="54" t="s">
        <v>159</v>
      </c>
      <c r="F551" s="49">
        <v>15656</v>
      </c>
      <c r="G551" s="79"/>
      <c r="H551" s="79"/>
    </row>
    <row r="552" spans="1:8">
      <c r="A552" s="54">
        <v>20130423</v>
      </c>
      <c r="B552" s="54" t="s">
        <v>55</v>
      </c>
      <c r="C552" s="51" t="s">
        <v>1357</v>
      </c>
      <c r="D552" s="87" t="s">
        <v>1255</v>
      </c>
      <c r="E552" s="54" t="s">
        <v>159</v>
      </c>
      <c r="F552" s="49">
        <v>15904</v>
      </c>
      <c r="G552" s="79"/>
      <c r="H552" s="79"/>
    </row>
    <row r="553" spans="1:8">
      <c r="A553" s="54">
        <v>20130423</v>
      </c>
      <c r="B553" s="54" t="s">
        <v>55</v>
      </c>
      <c r="C553" s="104" t="s">
        <v>1256</v>
      </c>
      <c r="D553" s="105" t="s">
        <v>1259</v>
      </c>
      <c r="E553" s="105" t="s">
        <v>1257</v>
      </c>
      <c r="F553" s="74">
        <v>15656</v>
      </c>
      <c r="G553" s="79"/>
      <c r="H553" s="79"/>
    </row>
    <row r="554" spans="1:8">
      <c r="A554" s="54">
        <v>20130423</v>
      </c>
      <c r="B554" s="54" t="s">
        <v>195</v>
      </c>
      <c r="C554" s="104" t="s">
        <v>1258</v>
      </c>
      <c r="D554" s="105" t="s">
        <v>1260</v>
      </c>
      <c r="E554" s="105" t="s">
        <v>1257</v>
      </c>
      <c r="F554" s="74">
        <v>8000</v>
      </c>
      <c r="G554" s="79"/>
      <c r="H554" s="79"/>
    </row>
    <row r="555" spans="1:8">
      <c r="A555" s="54">
        <v>20130424</v>
      </c>
      <c r="B555" s="54" t="s">
        <v>132</v>
      </c>
      <c r="C555" s="51" t="s">
        <v>1262</v>
      </c>
      <c r="D555" s="54" t="s">
        <v>1263</v>
      </c>
      <c r="E555" s="54" t="s">
        <v>106</v>
      </c>
      <c r="F555" s="74">
        <v>11673.9</v>
      </c>
      <c r="G555" s="79"/>
      <c r="H555" s="79"/>
    </row>
    <row r="556" spans="1:8">
      <c r="A556" s="54">
        <v>20130424</v>
      </c>
      <c r="B556" s="54" t="s">
        <v>132</v>
      </c>
      <c r="C556" s="51" t="s">
        <v>172</v>
      </c>
      <c r="D556" s="54" t="s">
        <v>1264</v>
      </c>
      <c r="E556" s="54" t="s">
        <v>106</v>
      </c>
      <c r="F556" s="49">
        <v>10947.96</v>
      </c>
      <c r="G556" s="79"/>
      <c r="H556" s="79"/>
    </row>
    <row r="557" spans="1:8" ht="18.75" customHeight="1">
      <c r="A557" s="54">
        <v>20130424</v>
      </c>
      <c r="B557" s="54" t="s">
        <v>132</v>
      </c>
      <c r="C557" s="87" t="s">
        <v>1265</v>
      </c>
      <c r="D557" s="87" t="s">
        <v>1266</v>
      </c>
      <c r="E557" s="54" t="s">
        <v>463</v>
      </c>
      <c r="F557" s="49">
        <v>74163.600000000006</v>
      </c>
      <c r="G557" s="79"/>
      <c r="H557" s="79"/>
    </row>
    <row r="558" spans="1:8">
      <c r="A558" s="54">
        <v>20130424</v>
      </c>
      <c r="B558" s="54" t="s">
        <v>132</v>
      </c>
      <c r="C558" s="51" t="s">
        <v>515</v>
      </c>
      <c r="D558" s="54" t="s">
        <v>1267</v>
      </c>
      <c r="E558" s="54" t="s">
        <v>159</v>
      </c>
      <c r="F558" s="49">
        <v>42261</v>
      </c>
      <c r="G558" s="79"/>
      <c r="H558" s="79"/>
    </row>
    <row r="559" spans="1:8">
      <c r="A559" s="54">
        <v>20130424</v>
      </c>
      <c r="B559" s="54" t="s">
        <v>132</v>
      </c>
      <c r="C559" s="37" t="s">
        <v>172</v>
      </c>
      <c r="D559" s="3" t="s">
        <v>1268</v>
      </c>
      <c r="E559" s="86" t="s">
        <v>106</v>
      </c>
      <c r="F559" s="74">
        <v>22329.119999999999</v>
      </c>
      <c r="G559" s="79"/>
      <c r="H559" s="79"/>
    </row>
    <row r="560" spans="1:8">
      <c r="A560" s="86">
        <v>20130424</v>
      </c>
      <c r="B560" s="54" t="s">
        <v>853</v>
      </c>
      <c r="C560" s="37" t="s">
        <v>843</v>
      </c>
      <c r="D560" s="3" t="s">
        <v>1269</v>
      </c>
      <c r="E560" s="86" t="s">
        <v>106</v>
      </c>
      <c r="F560" s="74">
        <v>6000</v>
      </c>
      <c r="G560" t="s">
        <v>246</v>
      </c>
      <c r="H560" s="79"/>
    </row>
    <row r="561" spans="1:8">
      <c r="A561" s="54">
        <v>20130424</v>
      </c>
      <c r="B561" s="54" t="s">
        <v>1270</v>
      </c>
      <c r="C561" s="51" t="s">
        <v>1271</v>
      </c>
      <c r="D561" s="54" t="s">
        <v>1272</v>
      </c>
      <c r="E561" s="54" t="s">
        <v>1273</v>
      </c>
      <c r="F561" s="74">
        <v>5200</v>
      </c>
      <c r="G561" s="79"/>
      <c r="H561" s="79"/>
    </row>
    <row r="562" spans="1:8" ht="24">
      <c r="A562" s="86">
        <v>20130424</v>
      </c>
      <c r="B562" s="54" t="s">
        <v>853</v>
      </c>
      <c r="C562" s="37" t="s">
        <v>512</v>
      </c>
      <c r="D562" s="3" t="s">
        <v>1275</v>
      </c>
      <c r="E562" s="86" t="s">
        <v>466</v>
      </c>
      <c r="F562" s="74">
        <v>7800</v>
      </c>
      <c r="G562" t="s">
        <v>246</v>
      </c>
      <c r="H562" s="79"/>
    </row>
    <row r="563" spans="1:8">
      <c r="A563" s="54">
        <v>20130425</v>
      </c>
      <c r="B563" s="54" t="s">
        <v>55</v>
      </c>
      <c r="C563" s="51" t="s">
        <v>1278</v>
      </c>
      <c r="D563" s="87" t="s">
        <v>1279</v>
      </c>
      <c r="E563" s="54" t="s">
        <v>466</v>
      </c>
      <c r="F563" s="74">
        <v>31953.14</v>
      </c>
      <c r="G563" s="79"/>
      <c r="H563" s="79"/>
    </row>
    <row r="564" spans="1:8">
      <c r="A564" s="54">
        <v>20130425</v>
      </c>
      <c r="B564" s="54" t="s">
        <v>55</v>
      </c>
      <c r="C564" s="54" t="s">
        <v>476</v>
      </c>
      <c r="D564" s="54" t="s">
        <v>1169</v>
      </c>
      <c r="E564" s="54" t="s">
        <v>165</v>
      </c>
      <c r="F564" s="74">
        <v>6757.13</v>
      </c>
      <c r="G564" s="79"/>
      <c r="H564" s="79"/>
    </row>
    <row r="565" spans="1:8">
      <c r="A565" s="54">
        <v>20130425</v>
      </c>
      <c r="B565" s="54" t="s">
        <v>55</v>
      </c>
      <c r="C565" s="51" t="s">
        <v>1280</v>
      </c>
      <c r="D565" s="87" t="s">
        <v>1281</v>
      </c>
      <c r="E565" s="85" t="s">
        <v>1282</v>
      </c>
      <c r="F565" s="74">
        <v>5886</v>
      </c>
      <c r="G565" s="79"/>
      <c r="H565" s="79"/>
    </row>
    <row r="566" spans="1:8">
      <c r="A566" s="54">
        <v>20130425</v>
      </c>
      <c r="B566" s="33" t="s">
        <v>742</v>
      </c>
      <c r="C566" s="51" t="s">
        <v>1285</v>
      </c>
      <c r="D566" s="54" t="s">
        <v>1286</v>
      </c>
      <c r="E566" s="54" t="s">
        <v>159</v>
      </c>
      <c r="F566" s="74">
        <v>15000</v>
      </c>
      <c r="G566" t="s">
        <v>1288</v>
      </c>
      <c r="H566" s="79"/>
    </row>
    <row r="567" spans="1:8">
      <c r="A567" s="54">
        <v>20130425</v>
      </c>
      <c r="B567" s="54" t="s">
        <v>223</v>
      </c>
      <c r="C567" s="37" t="s">
        <v>929</v>
      </c>
      <c r="D567" s="3" t="s">
        <v>1287</v>
      </c>
      <c r="E567" s="86" t="s">
        <v>106</v>
      </c>
      <c r="F567" s="74">
        <v>6800</v>
      </c>
      <c r="G567" t="s">
        <v>246</v>
      </c>
      <c r="H567" s="79"/>
    </row>
    <row r="568" spans="1:8">
      <c r="A568" s="54">
        <v>20130425</v>
      </c>
      <c r="B568" s="54" t="s">
        <v>55</v>
      </c>
      <c r="C568" s="51" t="s">
        <v>935</v>
      </c>
      <c r="D568" s="54" t="s">
        <v>1289</v>
      </c>
      <c r="E568" s="54" t="s">
        <v>451</v>
      </c>
      <c r="F568" s="74">
        <v>23750</v>
      </c>
      <c r="G568" s="50"/>
      <c r="H568" s="79"/>
    </row>
    <row r="569" spans="1:8">
      <c r="A569" s="86">
        <v>20130426</v>
      </c>
      <c r="B569" s="54" t="s">
        <v>1291</v>
      </c>
      <c r="C569" s="54" t="s">
        <v>530</v>
      </c>
      <c r="D569" s="54" t="s">
        <v>999</v>
      </c>
      <c r="E569" s="54" t="s">
        <v>532</v>
      </c>
      <c r="F569" s="56">
        <v>-2500</v>
      </c>
      <c r="G569" s="79"/>
      <c r="H569" s="79"/>
    </row>
    <row r="570" spans="1:8">
      <c r="A570" s="86">
        <v>20130426</v>
      </c>
      <c r="B570" s="33" t="s">
        <v>1292</v>
      </c>
      <c r="C570" s="2" t="s">
        <v>1293</v>
      </c>
      <c r="D570" s="85" t="s">
        <v>1294</v>
      </c>
      <c r="E570" s="85" t="s">
        <v>1295</v>
      </c>
      <c r="F570" s="56">
        <v>13418.5</v>
      </c>
      <c r="G570" s="79"/>
      <c r="H570" s="79"/>
    </row>
    <row r="571" spans="1:8">
      <c r="A571" s="86">
        <v>20130426</v>
      </c>
      <c r="B571" s="54" t="s">
        <v>195</v>
      </c>
      <c r="C571" s="37" t="s">
        <v>848</v>
      </c>
      <c r="D571" s="3" t="s">
        <v>1296</v>
      </c>
      <c r="E571" s="3" t="s">
        <v>466</v>
      </c>
      <c r="F571" s="49">
        <v>4300</v>
      </c>
      <c r="G571" t="s">
        <v>246</v>
      </c>
      <c r="H571" s="79"/>
    </row>
    <row r="572" spans="1:8">
      <c r="A572" s="54">
        <v>20130426</v>
      </c>
      <c r="B572" s="54" t="s">
        <v>55</v>
      </c>
      <c r="C572" s="51" t="s">
        <v>461</v>
      </c>
      <c r="D572" s="87" t="s">
        <v>1297</v>
      </c>
      <c r="E572" s="85" t="s">
        <v>463</v>
      </c>
      <c r="F572" s="50">
        <v>24500</v>
      </c>
      <c r="G572" s="79"/>
      <c r="H572" s="79"/>
    </row>
    <row r="573" spans="1:8">
      <c r="A573" s="54">
        <v>20130426</v>
      </c>
      <c r="B573" s="54" t="s">
        <v>55</v>
      </c>
      <c r="C573" s="51" t="s">
        <v>456</v>
      </c>
      <c r="D573" s="54" t="s">
        <v>1298</v>
      </c>
      <c r="E573" s="54" t="s">
        <v>159</v>
      </c>
      <c r="F573" s="74">
        <v>4800</v>
      </c>
      <c r="G573" s="79"/>
      <c r="H573" s="79"/>
    </row>
    <row r="574" spans="1:8">
      <c r="A574" s="77">
        <v>20130427</v>
      </c>
      <c r="B574" s="33" t="s">
        <v>1299</v>
      </c>
      <c r="C574" s="54" t="s">
        <v>1300</v>
      </c>
      <c r="D574" s="54" t="s">
        <v>1301</v>
      </c>
      <c r="E574" s="54" t="s">
        <v>1302</v>
      </c>
      <c r="F574" s="50">
        <v>2000</v>
      </c>
      <c r="G574" t="s">
        <v>246</v>
      </c>
      <c r="H574" s="79"/>
    </row>
    <row r="575" spans="1:8">
      <c r="A575" s="77">
        <v>20130427</v>
      </c>
      <c r="B575" s="54" t="s">
        <v>55</v>
      </c>
      <c r="C575" s="37" t="s">
        <v>318</v>
      </c>
      <c r="D575" s="53" t="s">
        <v>1303</v>
      </c>
      <c r="E575" s="3" t="s">
        <v>213</v>
      </c>
      <c r="F575" s="49">
        <v>47882</v>
      </c>
      <c r="G575" s="79"/>
      <c r="H575" s="79"/>
    </row>
    <row r="576" spans="1:8">
      <c r="A576" s="86">
        <v>20130427</v>
      </c>
      <c r="B576" s="54" t="s">
        <v>1304</v>
      </c>
      <c r="C576" s="37" t="s">
        <v>1305</v>
      </c>
      <c r="D576" s="3" t="s">
        <v>1306</v>
      </c>
      <c r="E576" s="86" t="s">
        <v>1307</v>
      </c>
      <c r="F576" s="49">
        <v>13600</v>
      </c>
      <c r="G576" t="s">
        <v>198</v>
      </c>
      <c r="H576" s="79"/>
    </row>
    <row r="577" spans="1:8">
      <c r="A577" s="86">
        <v>20130427</v>
      </c>
      <c r="B577" s="54" t="s">
        <v>1304</v>
      </c>
      <c r="C577" s="37" t="s">
        <v>1308</v>
      </c>
      <c r="D577" s="3" t="s">
        <v>1309</v>
      </c>
      <c r="E577" s="86" t="s">
        <v>1307</v>
      </c>
      <c r="F577" s="49">
        <v>6200</v>
      </c>
      <c r="G577" t="s">
        <v>246</v>
      </c>
      <c r="H577" s="79"/>
    </row>
    <row r="578" spans="1:8">
      <c r="A578" s="86">
        <v>20130427</v>
      </c>
      <c r="B578" s="54" t="s">
        <v>1304</v>
      </c>
      <c r="C578" s="37" t="s">
        <v>1310</v>
      </c>
      <c r="D578" s="3" t="s">
        <v>1311</v>
      </c>
      <c r="E578" s="86" t="s">
        <v>1307</v>
      </c>
      <c r="F578" s="49">
        <v>24000</v>
      </c>
      <c r="G578" t="s">
        <v>915</v>
      </c>
      <c r="H578" s="79"/>
    </row>
    <row r="579" spans="1:8">
      <c r="A579" s="86">
        <v>20130427</v>
      </c>
      <c r="B579" s="54" t="s">
        <v>1304</v>
      </c>
      <c r="C579" s="37" t="s">
        <v>1312</v>
      </c>
      <c r="D579" s="3" t="s">
        <v>1313</v>
      </c>
      <c r="E579" s="86" t="s">
        <v>1314</v>
      </c>
      <c r="F579" s="49">
        <v>2400</v>
      </c>
      <c r="G579" t="s">
        <v>198</v>
      </c>
      <c r="H579" s="79"/>
    </row>
    <row r="580" spans="1:8">
      <c r="A580" s="86">
        <v>20130427</v>
      </c>
      <c r="B580" s="54" t="s">
        <v>55</v>
      </c>
      <c r="C580" s="54" t="s">
        <v>14</v>
      </c>
      <c r="D580" s="54" t="s">
        <v>1315</v>
      </c>
      <c r="E580" s="54" t="s">
        <v>106</v>
      </c>
      <c r="F580" s="49">
        <v>21904.75</v>
      </c>
      <c r="G580" s="79"/>
      <c r="H580" s="79"/>
    </row>
    <row r="581" spans="1:8">
      <c r="A581" s="54">
        <v>20130427</v>
      </c>
      <c r="B581" s="54" t="s">
        <v>1270</v>
      </c>
      <c r="C581" s="51" t="s">
        <v>1316</v>
      </c>
      <c r="D581" s="87" t="s">
        <v>1317</v>
      </c>
      <c r="E581" s="54" t="s">
        <v>756</v>
      </c>
      <c r="F581" s="49">
        <v>3600</v>
      </c>
      <c r="G581" s="79"/>
      <c r="H581" s="79"/>
    </row>
    <row r="582" spans="1:8">
      <c r="A582" s="77">
        <v>20130429</v>
      </c>
      <c r="B582" s="33" t="s">
        <v>55</v>
      </c>
      <c r="C582" s="54" t="s">
        <v>1318</v>
      </c>
      <c r="D582" s="85" t="s">
        <v>1319</v>
      </c>
      <c r="E582" s="85" t="s">
        <v>1320</v>
      </c>
      <c r="F582" s="56">
        <v>24963.05</v>
      </c>
      <c r="G582" s="79"/>
      <c r="H582" s="79"/>
    </row>
    <row r="583" spans="1:8">
      <c r="A583" s="86">
        <v>20130429</v>
      </c>
      <c r="B583" s="54" t="s">
        <v>55</v>
      </c>
      <c r="C583" s="86" t="s">
        <v>1322</v>
      </c>
      <c r="D583" s="3" t="s">
        <v>1323</v>
      </c>
      <c r="E583" s="86" t="s">
        <v>644</v>
      </c>
      <c r="F583" s="49">
        <v>7500</v>
      </c>
      <c r="G583" s="79"/>
      <c r="H583" s="79"/>
    </row>
    <row r="584" spans="1:8">
      <c r="A584" s="86">
        <v>20130429</v>
      </c>
      <c r="B584" s="54" t="s">
        <v>1324</v>
      </c>
      <c r="C584" s="37" t="s">
        <v>1325</v>
      </c>
      <c r="D584" s="3" t="s">
        <v>1326</v>
      </c>
      <c r="E584" s="86" t="s">
        <v>1327</v>
      </c>
      <c r="F584" s="49">
        <v>3000</v>
      </c>
      <c r="G584" t="s">
        <v>634</v>
      </c>
      <c r="H584" s="79"/>
    </row>
    <row r="585" spans="1:8">
      <c r="A585" s="86">
        <v>20130429</v>
      </c>
      <c r="B585" s="54" t="s">
        <v>55</v>
      </c>
      <c r="C585" s="86" t="s">
        <v>1322</v>
      </c>
      <c r="D585" s="53" t="s">
        <v>1328</v>
      </c>
      <c r="E585" s="86" t="s">
        <v>644</v>
      </c>
      <c r="F585" s="49">
        <v>12524</v>
      </c>
      <c r="G585" s="79"/>
      <c r="H585" s="79"/>
    </row>
    <row r="586" spans="1:8">
      <c r="A586" s="86">
        <v>20130429</v>
      </c>
      <c r="B586" s="54" t="s">
        <v>290</v>
      </c>
      <c r="C586" s="86" t="s">
        <v>1329</v>
      </c>
      <c r="D586" s="3" t="s">
        <v>1330</v>
      </c>
      <c r="E586" s="86" t="s">
        <v>106</v>
      </c>
      <c r="F586" s="49">
        <v>6200</v>
      </c>
      <c r="G586" t="s">
        <v>634</v>
      </c>
      <c r="H586" s="79"/>
    </row>
    <row r="587" spans="1:8">
      <c r="A587" s="86">
        <v>20130429</v>
      </c>
      <c r="B587" s="54" t="s">
        <v>290</v>
      </c>
      <c r="C587" s="37" t="s">
        <v>1331</v>
      </c>
      <c r="D587" s="3" t="s">
        <v>1332</v>
      </c>
      <c r="E587" s="86" t="s">
        <v>109</v>
      </c>
      <c r="F587" s="49">
        <v>5800</v>
      </c>
      <c r="G587" t="s">
        <v>634</v>
      </c>
      <c r="H587" s="79"/>
    </row>
    <row r="588" spans="1:8">
      <c r="A588" s="86">
        <v>20130429</v>
      </c>
      <c r="B588" s="54" t="s">
        <v>290</v>
      </c>
      <c r="C588" s="37" t="s">
        <v>685</v>
      </c>
      <c r="D588" s="3" t="s">
        <v>1333</v>
      </c>
      <c r="E588" s="86" t="s">
        <v>213</v>
      </c>
      <c r="F588" s="49">
        <v>6800</v>
      </c>
      <c r="G588" t="s">
        <v>634</v>
      </c>
      <c r="H588" s="79"/>
    </row>
    <row r="589" spans="1:8">
      <c r="A589" s="86">
        <v>20130429</v>
      </c>
      <c r="B589" s="54" t="s">
        <v>290</v>
      </c>
      <c r="C589" s="86" t="s">
        <v>1329</v>
      </c>
      <c r="D589" s="3" t="s">
        <v>1334</v>
      </c>
      <c r="E589" s="86" t="s">
        <v>106</v>
      </c>
      <c r="F589" s="49">
        <v>2900</v>
      </c>
      <c r="G589" t="s">
        <v>634</v>
      </c>
      <c r="H589" s="79"/>
    </row>
    <row r="590" spans="1:8">
      <c r="A590" s="86">
        <v>20130429</v>
      </c>
      <c r="B590" s="54" t="s">
        <v>1335</v>
      </c>
      <c r="C590" s="37" t="s">
        <v>1336</v>
      </c>
      <c r="D590" s="3" t="s">
        <v>1337</v>
      </c>
      <c r="E590" s="86" t="s">
        <v>1338</v>
      </c>
      <c r="F590" s="49">
        <v>10000</v>
      </c>
      <c r="G590" s="79"/>
      <c r="H590" s="79"/>
    </row>
    <row r="591" spans="1:8">
      <c r="A591" s="54">
        <v>20130429</v>
      </c>
      <c r="B591" s="33" t="s">
        <v>742</v>
      </c>
      <c r="C591" s="51" t="s">
        <v>1339</v>
      </c>
      <c r="D591" s="54" t="s">
        <v>1340</v>
      </c>
      <c r="E591" s="54" t="s">
        <v>644</v>
      </c>
      <c r="F591" s="49">
        <v>5220</v>
      </c>
      <c r="G591" t="s">
        <v>634</v>
      </c>
      <c r="H591" s="79"/>
    </row>
    <row r="592" spans="1:8">
      <c r="A592" s="54">
        <v>20130429</v>
      </c>
      <c r="B592" s="54" t="s">
        <v>1341</v>
      </c>
      <c r="C592" s="51" t="s">
        <v>1342</v>
      </c>
      <c r="D592" s="87" t="s">
        <v>1343</v>
      </c>
      <c r="E592" s="54" t="s">
        <v>756</v>
      </c>
      <c r="F592" s="49">
        <v>25000</v>
      </c>
      <c r="G592" s="79"/>
      <c r="H592" s="79"/>
    </row>
    <row r="593" spans="1:8">
      <c r="A593" s="54">
        <v>20130429</v>
      </c>
      <c r="B593" s="54" t="s">
        <v>55</v>
      </c>
      <c r="C593" s="51" t="s">
        <v>1344</v>
      </c>
      <c r="D593" s="54" t="s">
        <v>1345</v>
      </c>
      <c r="E593" s="54" t="s">
        <v>1346</v>
      </c>
      <c r="F593" s="49">
        <v>23750</v>
      </c>
      <c r="G593" s="79"/>
      <c r="H593" s="79"/>
    </row>
    <row r="594" spans="1:8">
      <c r="A594" s="86">
        <v>20130429</v>
      </c>
      <c r="B594" s="54" t="s">
        <v>290</v>
      </c>
      <c r="C594" s="3" t="s">
        <v>1108</v>
      </c>
      <c r="D594" s="87" t="s">
        <v>1348</v>
      </c>
      <c r="E594" s="3" t="s">
        <v>106</v>
      </c>
      <c r="F594" s="49">
        <v>4800</v>
      </c>
      <c r="G594" t="s">
        <v>246</v>
      </c>
      <c r="H594" s="79"/>
    </row>
    <row r="595" spans="1:8">
      <c r="A595" s="86">
        <v>20130429</v>
      </c>
      <c r="B595" s="54" t="s">
        <v>290</v>
      </c>
      <c r="C595" s="86" t="s">
        <v>1329</v>
      </c>
      <c r="D595" s="95" t="s">
        <v>1349</v>
      </c>
      <c r="E595" s="86" t="s">
        <v>644</v>
      </c>
      <c r="F595" s="49">
        <v>11600</v>
      </c>
      <c r="G595" t="s">
        <v>198</v>
      </c>
      <c r="H595" s="79"/>
    </row>
    <row r="596" spans="1:8">
      <c r="A596" s="38">
        <v>20130430</v>
      </c>
      <c r="B596" s="33" t="s">
        <v>55</v>
      </c>
      <c r="C596" s="2" t="s">
        <v>1350</v>
      </c>
      <c r="D596" s="85" t="s">
        <v>1351</v>
      </c>
      <c r="E596" s="35" t="s">
        <v>1352</v>
      </c>
      <c r="F596" s="49">
        <v>15530.62</v>
      </c>
      <c r="G596" s="79"/>
      <c r="H596" s="79"/>
    </row>
    <row r="597" spans="1:8">
      <c r="A597" s="38">
        <v>20130430</v>
      </c>
      <c r="B597" s="54" t="s">
        <v>1353</v>
      </c>
      <c r="C597" s="2" t="s">
        <v>1354</v>
      </c>
      <c r="D597" s="93" t="s">
        <v>1355</v>
      </c>
      <c r="E597" s="85" t="s">
        <v>1356</v>
      </c>
      <c r="F597" s="56">
        <v>80178.850000000006</v>
      </c>
      <c r="G597" s="79"/>
      <c r="H597" s="79"/>
    </row>
    <row r="598" spans="1:8">
      <c r="A598" s="77">
        <v>20130430</v>
      </c>
      <c r="B598" s="33" t="s">
        <v>413</v>
      </c>
      <c r="C598" s="51" t="s">
        <v>1358</v>
      </c>
      <c r="D598" s="53" t="s">
        <v>1359</v>
      </c>
      <c r="E598" s="77" t="s">
        <v>1361</v>
      </c>
      <c r="F598" s="56">
        <v>9231.8799999999992</v>
      </c>
      <c r="G598" s="79"/>
      <c r="H598" s="79"/>
    </row>
    <row r="599" spans="1:8">
      <c r="A599" s="77">
        <v>20130430</v>
      </c>
      <c r="B599" s="33" t="s">
        <v>413</v>
      </c>
      <c r="C599" s="53" t="s">
        <v>1363</v>
      </c>
      <c r="D599" s="54" t="s">
        <v>1364</v>
      </c>
      <c r="E599" s="54" t="s">
        <v>1365</v>
      </c>
      <c r="F599" s="56">
        <v>37500</v>
      </c>
      <c r="G599" s="79"/>
      <c r="H599" s="79"/>
    </row>
    <row r="600" spans="1:8">
      <c r="A600" s="77">
        <v>20130430</v>
      </c>
      <c r="B600" s="54" t="s">
        <v>195</v>
      </c>
      <c r="C600" s="107" t="s">
        <v>1371</v>
      </c>
      <c r="D600" s="108" t="s">
        <v>1368</v>
      </c>
      <c r="E600" s="109" t="s">
        <v>1366</v>
      </c>
      <c r="F600" s="110">
        <v>1000</v>
      </c>
      <c r="G600" s="110"/>
      <c r="H600" s="79"/>
    </row>
    <row r="601" spans="1:8">
      <c r="A601" s="77">
        <v>20130430</v>
      </c>
      <c r="B601" s="54" t="s">
        <v>195</v>
      </c>
      <c r="C601" s="107" t="s">
        <v>1371</v>
      </c>
      <c r="D601" s="108" t="s">
        <v>1369</v>
      </c>
      <c r="E601" s="109" t="s">
        <v>1366</v>
      </c>
      <c r="F601" s="110">
        <v>2000</v>
      </c>
      <c r="G601" t="s">
        <v>198</v>
      </c>
      <c r="H601" s="79"/>
    </row>
    <row r="602" spans="1:8">
      <c r="A602" s="77">
        <v>20130430</v>
      </c>
      <c r="B602" s="54" t="s">
        <v>195</v>
      </c>
      <c r="C602" s="104" t="s">
        <v>1367</v>
      </c>
      <c r="D602" s="108" t="s">
        <v>1370</v>
      </c>
      <c r="E602" s="109" t="s">
        <v>1366</v>
      </c>
      <c r="F602" s="110">
        <v>5800</v>
      </c>
      <c r="G602" t="s">
        <v>246</v>
      </c>
      <c r="H602" s="79"/>
    </row>
    <row r="603" spans="1:8">
      <c r="A603" s="111" t="s">
        <v>1360</v>
      </c>
      <c r="B603" s="111"/>
      <c r="C603" s="39"/>
      <c r="D603" s="39"/>
      <c r="E603" s="39"/>
      <c r="F603" s="39">
        <f>SUM(F340:F602)</f>
        <v>3605493.2000000011</v>
      </c>
      <c r="G603" s="79"/>
      <c r="H603" s="79"/>
    </row>
    <row r="604" spans="1:8">
      <c r="A604" s="86">
        <v>20130503</v>
      </c>
      <c r="B604" s="54" t="s">
        <v>55</v>
      </c>
      <c r="C604" s="37" t="s">
        <v>14</v>
      </c>
      <c r="D604" s="3" t="s">
        <v>1372</v>
      </c>
      <c r="E604" s="86" t="s">
        <v>106</v>
      </c>
      <c r="F604" s="56">
        <v>16916</v>
      </c>
      <c r="G604" s="79"/>
      <c r="H604" s="79"/>
    </row>
    <row r="605" spans="1:8">
      <c r="A605" s="38">
        <v>20130503</v>
      </c>
      <c r="B605" s="54" t="s">
        <v>55</v>
      </c>
      <c r="C605" s="87" t="s">
        <v>14</v>
      </c>
      <c r="D605" s="87" t="s">
        <v>1373</v>
      </c>
      <c r="E605" s="87" t="s">
        <v>106</v>
      </c>
      <c r="F605" s="56">
        <v>16741.84</v>
      </c>
      <c r="G605" s="79"/>
      <c r="H605" s="79"/>
    </row>
    <row r="606" spans="1:8">
      <c r="A606" s="38">
        <v>20130503</v>
      </c>
      <c r="B606" s="33" t="s">
        <v>742</v>
      </c>
      <c r="C606" s="87" t="s">
        <v>685</v>
      </c>
      <c r="D606" s="87" t="s">
        <v>1374</v>
      </c>
      <c r="E606" s="87" t="s">
        <v>213</v>
      </c>
      <c r="F606" s="56">
        <v>6727</v>
      </c>
      <c r="G606" t="s">
        <v>246</v>
      </c>
      <c r="H606" s="79"/>
    </row>
    <row r="607" spans="1:8">
      <c r="A607" s="38">
        <v>20130503</v>
      </c>
      <c r="B607" s="54" t="s">
        <v>55</v>
      </c>
      <c r="C607" s="87" t="s">
        <v>57</v>
      </c>
      <c r="D607" s="87" t="s">
        <v>1375</v>
      </c>
      <c r="E607" s="87" t="s">
        <v>213</v>
      </c>
      <c r="F607" s="56">
        <v>16408.52</v>
      </c>
      <c r="G607" s="79"/>
      <c r="H607" s="79"/>
    </row>
    <row r="608" spans="1:8">
      <c r="A608" s="38">
        <v>20130503</v>
      </c>
      <c r="B608" s="54" t="s">
        <v>55</v>
      </c>
      <c r="C608" s="87" t="s">
        <v>15</v>
      </c>
      <c r="D608" s="87" t="s">
        <v>1376</v>
      </c>
      <c r="E608" s="87" t="s">
        <v>109</v>
      </c>
      <c r="F608" s="56">
        <v>13423.8</v>
      </c>
      <c r="G608" s="79"/>
      <c r="H608" s="79"/>
    </row>
    <row r="609" spans="1:8">
      <c r="A609" s="38">
        <v>20130503</v>
      </c>
      <c r="B609" s="54" t="s">
        <v>55</v>
      </c>
      <c r="C609" s="87" t="s">
        <v>1377</v>
      </c>
      <c r="D609" s="87" t="s">
        <v>1435</v>
      </c>
      <c r="E609" s="87" t="s">
        <v>270</v>
      </c>
      <c r="F609" s="56">
        <v>13318.06</v>
      </c>
      <c r="G609" s="79"/>
      <c r="H609" s="79"/>
    </row>
    <row r="610" spans="1:8">
      <c r="A610" s="38">
        <v>20130503</v>
      </c>
      <c r="B610" s="54" t="s">
        <v>55</v>
      </c>
      <c r="C610" s="87" t="s">
        <v>1377</v>
      </c>
      <c r="D610" s="87" t="s">
        <v>1378</v>
      </c>
      <c r="E610" s="87" t="s">
        <v>270</v>
      </c>
      <c r="F610" s="56">
        <v>49050</v>
      </c>
      <c r="G610" s="79"/>
      <c r="H610" s="79"/>
    </row>
    <row r="611" spans="1:8">
      <c r="A611" s="38">
        <v>20130503</v>
      </c>
      <c r="B611" s="54" t="s">
        <v>55</v>
      </c>
      <c r="C611" s="87" t="s">
        <v>205</v>
      </c>
      <c r="D611" s="87" t="s">
        <v>1379</v>
      </c>
      <c r="E611" s="87" t="s">
        <v>159</v>
      </c>
      <c r="F611" s="56">
        <v>15358.54</v>
      </c>
      <c r="G611" s="79"/>
      <c r="H611" s="79"/>
    </row>
    <row r="612" spans="1:8">
      <c r="A612" s="38">
        <v>20130503</v>
      </c>
      <c r="B612" s="54" t="s">
        <v>55</v>
      </c>
      <c r="C612" s="87" t="s">
        <v>17</v>
      </c>
      <c r="D612" s="87" t="s">
        <v>1380</v>
      </c>
      <c r="E612" s="87" t="s">
        <v>159</v>
      </c>
      <c r="F612" s="56">
        <v>12886.42</v>
      </c>
      <c r="G612" s="79"/>
      <c r="H612" s="79"/>
    </row>
    <row r="613" spans="1:8">
      <c r="A613" s="38">
        <v>20130503</v>
      </c>
      <c r="B613" s="54" t="s">
        <v>55</v>
      </c>
      <c r="C613" s="87" t="s">
        <v>57</v>
      </c>
      <c r="D613" s="87" t="s">
        <v>1381</v>
      </c>
      <c r="E613" s="87" t="s">
        <v>213</v>
      </c>
      <c r="F613" s="56">
        <v>16251.25</v>
      </c>
      <c r="G613" s="79"/>
      <c r="H613" s="79"/>
    </row>
    <row r="614" spans="1:8">
      <c r="A614" s="38">
        <v>20130503</v>
      </c>
      <c r="B614" s="54" t="s">
        <v>55</v>
      </c>
      <c r="C614" s="87" t="s">
        <v>1382</v>
      </c>
      <c r="D614" s="87" t="s">
        <v>1383</v>
      </c>
      <c r="E614" s="87" t="s">
        <v>1282</v>
      </c>
      <c r="F614" s="56">
        <v>5886</v>
      </c>
      <c r="G614" s="79"/>
      <c r="H614" s="79"/>
    </row>
    <row r="615" spans="1:8">
      <c r="A615" s="38">
        <v>20130503</v>
      </c>
      <c r="B615" s="33" t="s">
        <v>413</v>
      </c>
      <c r="C615" s="77" t="s">
        <v>831</v>
      </c>
      <c r="D615" s="77" t="s">
        <v>1393</v>
      </c>
      <c r="E615" s="4" t="s">
        <v>346</v>
      </c>
      <c r="F615" s="56">
        <v>16419.8</v>
      </c>
      <c r="G615" s="79"/>
      <c r="H615" s="79"/>
    </row>
    <row r="616" spans="1:8">
      <c r="A616" s="54">
        <v>20130506</v>
      </c>
      <c r="B616" s="54" t="s">
        <v>204</v>
      </c>
      <c r="C616" s="87" t="s">
        <v>423</v>
      </c>
      <c r="D616" s="87" t="s">
        <v>1394</v>
      </c>
      <c r="E616" s="87" t="s">
        <v>239</v>
      </c>
      <c r="F616" s="56">
        <v>16408.52</v>
      </c>
      <c r="G616" s="79"/>
      <c r="H616" s="79"/>
    </row>
    <row r="617" spans="1:8">
      <c r="A617" s="54">
        <v>20130506</v>
      </c>
      <c r="B617" s="54" t="s">
        <v>204</v>
      </c>
      <c r="C617" s="87" t="s">
        <v>324</v>
      </c>
      <c r="D617" s="87" t="s">
        <v>1395</v>
      </c>
      <c r="E617" s="87" t="s">
        <v>210</v>
      </c>
      <c r="F617" s="56">
        <v>16567.13</v>
      </c>
      <c r="G617" s="79"/>
      <c r="H617" s="79"/>
    </row>
    <row r="618" spans="1:8">
      <c r="A618" s="54">
        <v>20130506</v>
      </c>
      <c r="B618" s="54" t="s">
        <v>204</v>
      </c>
      <c r="C618" s="87" t="s">
        <v>1396</v>
      </c>
      <c r="D618" s="87" t="s">
        <v>1397</v>
      </c>
      <c r="E618" s="87" t="s">
        <v>931</v>
      </c>
      <c r="F618" s="56">
        <v>21287.7</v>
      </c>
      <c r="G618" s="79"/>
      <c r="H618" s="79"/>
    </row>
    <row r="619" spans="1:8">
      <c r="A619" s="54">
        <v>20130506</v>
      </c>
      <c r="B619" s="54" t="s">
        <v>204</v>
      </c>
      <c r="C619" s="87" t="s">
        <v>324</v>
      </c>
      <c r="D619" s="87" t="s">
        <v>1398</v>
      </c>
      <c r="E619" s="87" t="s">
        <v>210</v>
      </c>
      <c r="F619" s="56">
        <v>16756.27</v>
      </c>
      <c r="G619" s="79"/>
      <c r="H619" s="79"/>
    </row>
    <row r="620" spans="1:8">
      <c r="A620" s="54">
        <v>20130506</v>
      </c>
      <c r="B620" s="54" t="s">
        <v>204</v>
      </c>
      <c r="C620" s="87" t="s">
        <v>1399</v>
      </c>
      <c r="D620" s="87" t="s">
        <v>1400</v>
      </c>
      <c r="E620" s="87" t="s">
        <v>1282</v>
      </c>
      <c r="F620" s="56">
        <v>9600</v>
      </c>
      <c r="H620" s="79"/>
    </row>
    <row r="621" spans="1:8">
      <c r="A621" s="54">
        <v>20130506</v>
      </c>
      <c r="B621" s="54" t="s">
        <v>223</v>
      </c>
      <c r="C621" s="37" t="s">
        <v>1103</v>
      </c>
      <c r="D621" s="3" t="s">
        <v>1402</v>
      </c>
      <c r="E621" s="86" t="s">
        <v>210</v>
      </c>
      <c r="F621" s="49">
        <v>4000</v>
      </c>
      <c r="G621" t="s">
        <v>246</v>
      </c>
      <c r="H621" s="79"/>
    </row>
    <row r="622" spans="1:8">
      <c r="A622" s="86">
        <v>20130506</v>
      </c>
      <c r="B622" s="54" t="s">
        <v>223</v>
      </c>
      <c r="C622" s="37" t="s">
        <v>1080</v>
      </c>
      <c r="D622" s="3" t="s">
        <v>1403</v>
      </c>
      <c r="E622" s="86" t="s">
        <v>382</v>
      </c>
      <c r="F622" s="49">
        <v>5000</v>
      </c>
      <c r="G622" t="s">
        <v>246</v>
      </c>
      <c r="H622" s="79"/>
    </row>
    <row r="623" spans="1:8">
      <c r="A623" s="86">
        <v>20130506</v>
      </c>
      <c r="B623" s="54" t="s">
        <v>1404</v>
      </c>
      <c r="C623" s="37" t="s">
        <v>1405</v>
      </c>
      <c r="D623" s="3" t="s">
        <v>1406</v>
      </c>
      <c r="E623" s="86" t="s">
        <v>1407</v>
      </c>
      <c r="F623" s="49">
        <v>4900</v>
      </c>
      <c r="G623" s="79"/>
      <c r="H623" s="79"/>
    </row>
    <row r="624" spans="1:8">
      <c r="A624" s="86">
        <v>20130506</v>
      </c>
      <c r="B624" s="54" t="s">
        <v>204</v>
      </c>
      <c r="C624" s="37" t="s">
        <v>1408</v>
      </c>
      <c r="D624" s="3" t="s">
        <v>1409</v>
      </c>
      <c r="E624" s="86" t="s">
        <v>1410</v>
      </c>
      <c r="F624" s="49">
        <v>63000</v>
      </c>
      <c r="G624" s="79"/>
      <c r="H624" s="79"/>
    </row>
    <row r="625" spans="1:8">
      <c r="A625" s="86">
        <v>20130506</v>
      </c>
      <c r="B625" s="54" t="s">
        <v>1411</v>
      </c>
      <c r="C625" s="37" t="s">
        <v>1412</v>
      </c>
      <c r="D625" s="3" t="s">
        <v>1413</v>
      </c>
      <c r="E625" s="86" t="s">
        <v>1414</v>
      </c>
      <c r="F625" s="49">
        <v>5000</v>
      </c>
      <c r="G625" t="s">
        <v>246</v>
      </c>
      <c r="H625" s="79"/>
    </row>
    <row r="626" spans="1:8">
      <c r="A626" s="86">
        <v>20130506</v>
      </c>
      <c r="B626" s="33" t="s">
        <v>204</v>
      </c>
      <c r="C626" s="2" t="s">
        <v>303</v>
      </c>
      <c r="D626" s="85" t="s">
        <v>1415</v>
      </c>
      <c r="E626" s="35" t="s">
        <v>239</v>
      </c>
      <c r="F626" s="49">
        <v>932.8</v>
      </c>
      <c r="G626" s="79"/>
      <c r="H626" s="79"/>
    </row>
    <row r="627" spans="1:8">
      <c r="A627" s="38">
        <v>20130507</v>
      </c>
      <c r="B627" s="33" t="s">
        <v>742</v>
      </c>
      <c r="C627" s="54" t="s">
        <v>1416</v>
      </c>
      <c r="D627" s="54" t="s">
        <v>1417</v>
      </c>
      <c r="E627" s="54" t="s">
        <v>159</v>
      </c>
      <c r="F627" s="49">
        <v>15000</v>
      </c>
      <c r="G627" t="s">
        <v>527</v>
      </c>
      <c r="H627" s="79"/>
    </row>
    <row r="628" spans="1:8">
      <c r="A628" s="54">
        <v>20130507</v>
      </c>
      <c r="B628" s="33" t="s">
        <v>742</v>
      </c>
      <c r="C628" s="54" t="s">
        <v>1416</v>
      </c>
      <c r="D628" s="87" t="s">
        <v>1418</v>
      </c>
      <c r="E628" s="54" t="s">
        <v>159</v>
      </c>
      <c r="F628" s="49">
        <v>8000</v>
      </c>
      <c r="G628" t="s">
        <v>801</v>
      </c>
      <c r="H628" s="79"/>
    </row>
    <row r="629" spans="1:8">
      <c r="A629" s="54">
        <v>20130507</v>
      </c>
      <c r="B629" s="54" t="s">
        <v>55</v>
      </c>
      <c r="C629" s="51" t="s">
        <v>444</v>
      </c>
      <c r="D629" s="54" t="s">
        <v>1419</v>
      </c>
      <c r="E629" s="54" t="s">
        <v>445</v>
      </c>
      <c r="F629" s="49">
        <v>16736.84</v>
      </c>
      <c r="G629" s="79"/>
      <c r="H629" s="79"/>
    </row>
    <row r="630" spans="1:8">
      <c r="A630" s="54">
        <v>20130507</v>
      </c>
      <c r="B630" s="54" t="s">
        <v>1304</v>
      </c>
      <c r="C630" s="37" t="s">
        <v>1420</v>
      </c>
      <c r="D630" s="3" t="s">
        <v>1421</v>
      </c>
      <c r="E630" s="86" t="s">
        <v>1422</v>
      </c>
      <c r="F630" s="49">
        <v>6800</v>
      </c>
      <c r="G630" t="s">
        <v>246</v>
      </c>
      <c r="H630" s="79"/>
    </row>
    <row r="631" spans="1:8">
      <c r="A631" s="86">
        <v>20130507</v>
      </c>
      <c r="B631" s="54" t="s">
        <v>1304</v>
      </c>
      <c r="C631" s="37" t="s">
        <v>1423</v>
      </c>
      <c r="D631" s="3" t="s">
        <v>1424</v>
      </c>
      <c r="E631" s="3" t="s">
        <v>1425</v>
      </c>
      <c r="F631" s="49">
        <v>11600</v>
      </c>
      <c r="G631" t="s">
        <v>801</v>
      </c>
      <c r="H631" s="79"/>
    </row>
    <row r="632" spans="1:8">
      <c r="A632" s="86">
        <v>20130507</v>
      </c>
      <c r="B632" s="54" t="s">
        <v>1304</v>
      </c>
      <c r="C632" s="37" t="s">
        <v>1426</v>
      </c>
      <c r="D632" s="3" t="s">
        <v>1427</v>
      </c>
      <c r="E632" s="3" t="s">
        <v>445</v>
      </c>
      <c r="F632" s="49">
        <v>13600</v>
      </c>
      <c r="G632" t="s">
        <v>801</v>
      </c>
      <c r="H632" s="79"/>
    </row>
    <row r="633" spans="1:8">
      <c r="A633" s="86">
        <v>20130507</v>
      </c>
      <c r="B633" s="54" t="s">
        <v>55</v>
      </c>
      <c r="C633" s="37" t="s">
        <v>1428</v>
      </c>
      <c r="D633" s="3" t="s">
        <v>1429</v>
      </c>
      <c r="E633" s="3" t="s">
        <v>135</v>
      </c>
      <c r="F633" s="49">
        <v>15224.4</v>
      </c>
      <c r="G633" s="79"/>
      <c r="H633" s="79"/>
    </row>
    <row r="634" spans="1:8">
      <c r="A634" s="86">
        <v>20130507</v>
      </c>
      <c r="B634" s="54" t="s">
        <v>1304</v>
      </c>
      <c r="C634" s="37" t="s">
        <v>499</v>
      </c>
      <c r="D634" s="3" t="s">
        <v>1432</v>
      </c>
      <c r="E634" s="3" t="s">
        <v>1433</v>
      </c>
      <c r="F634" s="49">
        <v>5800</v>
      </c>
      <c r="G634" t="s">
        <v>246</v>
      </c>
      <c r="H634" s="79"/>
    </row>
    <row r="635" spans="1:8">
      <c r="A635" s="38">
        <v>20130508</v>
      </c>
      <c r="B635" s="54" t="s">
        <v>55</v>
      </c>
      <c r="C635" s="87" t="s">
        <v>1357</v>
      </c>
      <c r="D635" s="87" t="s">
        <v>1436</v>
      </c>
      <c r="E635" s="87" t="s">
        <v>1195</v>
      </c>
      <c r="F635" s="49">
        <v>30716.09</v>
      </c>
      <c r="G635" s="79"/>
      <c r="H635" s="79"/>
    </row>
    <row r="636" spans="1:8">
      <c r="A636" s="86">
        <v>20130508</v>
      </c>
      <c r="B636" s="54" t="s">
        <v>55</v>
      </c>
      <c r="C636" s="87" t="s">
        <v>17</v>
      </c>
      <c r="D636" s="87" t="s">
        <v>1437</v>
      </c>
      <c r="E636" s="87" t="s">
        <v>1195</v>
      </c>
      <c r="F636" s="49">
        <v>15358.54</v>
      </c>
      <c r="G636" s="79"/>
      <c r="H636" s="79"/>
    </row>
    <row r="637" spans="1:8">
      <c r="A637" s="86">
        <v>20130508</v>
      </c>
      <c r="B637" s="54" t="s">
        <v>55</v>
      </c>
      <c r="C637" s="54" t="s">
        <v>1344</v>
      </c>
      <c r="D637" s="54" t="s">
        <v>1438</v>
      </c>
      <c r="E637" s="54" t="s">
        <v>1346</v>
      </c>
      <c r="F637" s="49">
        <v>13353.02</v>
      </c>
      <c r="G637" s="79"/>
      <c r="H637" s="79"/>
    </row>
    <row r="638" spans="1:8">
      <c r="A638" s="86">
        <v>20130508</v>
      </c>
      <c r="B638" s="54" t="s">
        <v>1070</v>
      </c>
      <c r="C638" s="37" t="s">
        <v>1189</v>
      </c>
      <c r="D638" s="3" t="s">
        <v>1439</v>
      </c>
      <c r="E638" s="3" t="s">
        <v>106</v>
      </c>
      <c r="F638" s="49">
        <v>12400</v>
      </c>
      <c r="G638" t="s">
        <v>801</v>
      </c>
      <c r="H638" s="79"/>
    </row>
    <row r="639" spans="1:8">
      <c r="A639" s="86">
        <v>20130508</v>
      </c>
      <c r="B639" s="54" t="s">
        <v>1070</v>
      </c>
      <c r="C639" s="37" t="s">
        <v>1198</v>
      </c>
      <c r="D639" s="3" t="s">
        <v>1440</v>
      </c>
      <c r="E639" s="3" t="s">
        <v>106</v>
      </c>
      <c r="F639" s="49">
        <v>5800</v>
      </c>
      <c r="G639" t="s">
        <v>246</v>
      </c>
      <c r="H639" s="79"/>
    </row>
    <row r="640" spans="1:8">
      <c r="A640" s="38">
        <v>2013058</v>
      </c>
      <c r="B640" s="33" t="s">
        <v>55</v>
      </c>
      <c r="C640" s="2" t="s">
        <v>14</v>
      </c>
      <c r="D640" s="85" t="s">
        <v>1441</v>
      </c>
      <c r="E640" s="35" t="s">
        <v>106</v>
      </c>
      <c r="F640" s="56">
        <v>16586.59</v>
      </c>
      <c r="G640" s="56"/>
      <c r="H640" s="79"/>
    </row>
    <row r="641" spans="1:8">
      <c r="A641" s="38">
        <v>2013058</v>
      </c>
      <c r="B641" s="33" t="s">
        <v>55</v>
      </c>
      <c r="C641" s="2" t="s">
        <v>1322</v>
      </c>
      <c r="D641" s="85" t="s">
        <v>1442</v>
      </c>
      <c r="E641" s="35" t="s">
        <v>1443</v>
      </c>
      <c r="F641" s="56">
        <v>49321.47</v>
      </c>
      <c r="G641" s="56"/>
      <c r="H641" s="79"/>
    </row>
    <row r="642" spans="1:8">
      <c r="A642" s="38"/>
      <c r="B642" s="54"/>
      <c r="C642" s="77"/>
      <c r="D642" s="53"/>
      <c r="E642" s="77"/>
      <c r="F642" s="56"/>
      <c r="G642" s="79"/>
      <c r="H642" s="79"/>
    </row>
    <row r="643" spans="1:8">
      <c r="A643" s="38"/>
      <c r="B643" s="33"/>
      <c r="C643" s="54"/>
      <c r="D643" s="77"/>
      <c r="E643" s="77"/>
      <c r="F643" s="56"/>
      <c r="G643" s="79"/>
      <c r="H643" s="79"/>
    </row>
    <row r="644" spans="1:8">
      <c r="A644" s="38"/>
      <c r="B644" s="33"/>
      <c r="C644" s="54"/>
      <c r="D644" s="77"/>
      <c r="E644" s="77"/>
      <c r="F644" s="56"/>
      <c r="G644" s="79"/>
      <c r="H644" s="79"/>
    </row>
    <row r="645" spans="1:8">
      <c r="A645" s="38"/>
      <c r="B645" s="33"/>
      <c r="C645" s="54"/>
      <c r="D645" s="77"/>
      <c r="E645" s="77"/>
      <c r="F645" s="56"/>
      <c r="G645" s="79"/>
      <c r="H645" s="79"/>
    </row>
    <row r="646" spans="1:8">
      <c r="A646" s="38"/>
      <c r="B646" s="33"/>
      <c r="C646" s="54"/>
      <c r="D646" s="77"/>
      <c r="E646" s="77"/>
      <c r="F646" s="56"/>
      <c r="G646" s="79"/>
      <c r="H646" s="79"/>
    </row>
    <row r="647" spans="1:8">
      <c r="A647" s="38"/>
      <c r="B647" s="54"/>
      <c r="C647" s="54"/>
      <c r="D647" s="53"/>
      <c r="E647" s="77"/>
      <c r="F647" s="56"/>
      <c r="G647" s="79"/>
      <c r="H647" s="79"/>
    </row>
    <row r="648" spans="1:8">
      <c r="A648" s="38"/>
      <c r="B648" s="54"/>
      <c r="C648" s="54"/>
      <c r="D648" s="77"/>
      <c r="E648" s="77"/>
      <c r="F648" s="56"/>
      <c r="G648" s="79"/>
      <c r="H648" s="79"/>
    </row>
    <row r="649" spans="1:8">
      <c r="A649" s="77"/>
      <c r="B649" s="54"/>
      <c r="C649" s="77"/>
      <c r="D649" s="77"/>
      <c r="E649" s="77"/>
      <c r="F649" s="56"/>
      <c r="G649" s="79"/>
      <c r="H649" s="79"/>
    </row>
    <row r="650" spans="1:8">
      <c r="A650" s="77"/>
      <c r="B650" s="54"/>
      <c r="C650" s="77"/>
      <c r="D650" s="77"/>
      <c r="E650" s="77"/>
      <c r="F650" s="56"/>
      <c r="G650" s="79"/>
      <c r="H650" s="79"/>
    </row>
    <row r="651" spans="1:8">
      <c r="A651" s="77"/>
      <c r="B651" s="54"/>
      <c r="C651" s="77"/>
      <c r="D651" s="77"/>
      <c r="E651" s="77"/>
      <c r="F651" s="56"/>
      <c r="G651" s="79"/>
      <c r="H651" s="79"/>
    </row>
    <row r="652" spans="1:8">
      <c r="A652" s="77"/>
      <c r="B652" s="54"/>
      <c r="C652" s="77"/>
      <c r="D652" s="77"/>
      <c r="E652" s="77"/>
      <c r="F652" s="56"/>
      <c r="G652" s="79"/>
      <c r="H652" s="79"/>
    </row>
    <row r="653" spans="1:8">
      <c r="A653" s="77"/>
      <c r="B653" s="33"/>
      <c r="C653" s="77"/>
      <c r="D653" s="77"/>
      <c r="E653" s="77"/>
      <c r="F653" s="56"/>
      <c r="G653" s="79"/>
      <c r="H653" s="79"/>
    </row>
    <row r="654" spans="1:8">
      <c r="A654" s="38"/>
      <c r="B654" s="33"/>
      <c r="C654" s="54"/>
      <c r="D654" s="53"/>
      <c r="E654" s="77"/>
      <c r="F654" s="56"/>
      <c r="G654" s="79"/>
      <c r="H654" s="79"/>
    </row>
    <row r="655" spans="1:8">
      <c r="A655" s="38"/>
      <c r="B655" s="33"/>
      <c r="C655" s="54"/>
      <c r="D655" s="77"/>
      <c r="E655" s="77"/>
      <c r="F655" s="56"/>
      <c r="G655" s="79"/>
      <c r="H655" s="79"/>
    </row>
    <row r="656" spans="1:8">
      <c r="A656" s="38"/>
      <c r="B656" s="33"/>
      <c r="C656" s="77"/>
      <c r="D656" s="53"/>
      <c r="E656" s="77"/>
      <c r="F656" s="56"/>
      <c r="G656" s="79"/>
      <c r="H656" s="79"/>
    </row>
    <row r="657" spans="1:8">
      <c r="A657" s="77"/>
      <c r="B657" s="54"/>
      <c r="C657" s="77"/>
      <c r="D657" s="77"/>
      <c r="E657" s="77"/>
      <c r="F657" s="56"/>
      <c r="G657" s="50"/>
      <c r="H657" s="79"/>
    </row>
    <row r="658" spans="1:8">
      <c r="A658" s="77"/>
      <c r="B658" s="54"/>
      <c r="C658" s="77"/>
      <c r="D658" s="77"/>
      <c r="E658" s="77"/>
      <c r="F658" s="56"/>
      <c r="G658" s="50"/>
      <c r="H658" s="79"/>
    </row>
    <row r="659" spans="1:8">
      <c r="A659" s="77"/>
      <c r="B659" s="33"/>
      <c r="C659" s="51"/>
      <c r="D659" s="53"/>
      <c r="E659" s="77"/>
      <c r="F659" s="56"/>
      <c r="G659" s="79"/>
      <c r="H659" s="79"/>
    </row>
    <row r="660" spans="1:8">
      <c r="A660" s="77"/>
      <c r="B660" s="54"/>
      <c r="C660" s="77"/>
      <c r="D660" s="77"/>
      <c r="E660" s="77"/>
      <c r="F660" s="56"/>
      <c r="G660" s="79"/>
      <c r="H660" s="79"/>
    </row>
    <row r="661" spans="1:8">
      <c r="A661" s="38"/>
      <c r="B661" s="33"/>
      <c r="C661" s="77"/>
      <c r="D661" s="53"/>
      <c r="E661" s="77"/>
      <c r="F661" s="56"/>
      <c r="G661" s="79"/>
      <c r="H661" s="79"/>
    </row>
    <row r="662" spans="1:8">
      <c r="A662" s="77"/>
      <c r="B662" s="54"/>
      <c r="C662" s="77"/>
      <c r="D662" s="77"/>
      <c r="E662" s="77"/>
      <c r="F662" s="56"/>
      <c r="G662" s="79"/>
      <c r="H662" s="79"/>
    </row>
    <row r="663" spans="1:8">
      <c r="A663" s="77"/>
      <c r="B663" s="33"/>
      <c r="C663" s="51"/>
      <c r="D663" s="53"/>
      <c r="E663" s="53"/>
      <c r="F663" s="56"/>
      <c r="G663" s="79"/>
      <c r="H663" s="79"/>
    </row>
    <row r="664" spans="1:8">
      <c r="A664" s="77"/>
      <c r="B664" s="54"/>
      <c r="C664" s="51"/>
      <c r="D664" s="53"/>
      <c r="E664" s="53"/>
      <c r="F664" s="56"/>
      <c r="G664" s="79"/>
      <c r="H664" s="79"/>
    </row>
    <row r="665" spans="1:8">
      <c r="A665" s="77"/>
      <c r="B665" s="33"/>
      <c r="C665" s="77"/>
      <c r="D665" s="77"/>
      <c r="E665" s="77"/>
      <c r="F665" s="56"/>
      <c r="G665" s="79"/>
      <c r="H665" s="79"/>
    </row>
    <row r="666" spans="1:8">
      <c r="A666" s="77"/>
      <c r="B666" s="33"/>
      <c r="C666" s="77"/>
      <c r="D666" s="53"/>
      <c r="E666" s="77"/>
      <c r="F666" s="56"/>
      <c r="G666" s="79"/>
      <c r="H666" s="79"/>
    </row>
    <row r="667" spans="1:8">
      <c r="A667" s="77"/>
      <c r="B667" s="33"/>
      <c r="C667" s="54"/>
      <c r="D667" s="77"/>
      <c r="E667" s="77"/>
      <c r="F667" s="56"/>
      <c r="G667" s="79"/>
      <c r="H667" s="79"/>
    </row>
    <row r="668" spans="1:8">
      <c r="A668" s="77"/>
      <c r="B668" s="33"/>
      <c r="C668" s="54"/>
      <c r="D668" s="77"/>
      <c r="E668" s="77"/>
      <c r="F668" s="56"/>
      <c r="G668" s="79"/>
      <c r="H668" s="79"/>
    </row>
    <row r="669" spans="1:8">
      <c r="A669" s="77"/>
      <c r="B669" s="33"/>
      <c r="C669" s="51"/>
      <c r="D669" s="77"/>
      <c r="E669" s="77"/>
      <c r="F669" s="56"/>
      <c r="G669" s="79"/>
      <c r="H669" s="79"/>
    </row>
    <row r="670" spans="1:8">
      <c r="A670" s="77"/>
      <c r="B670" s="33"/>
      <c r="C670" s="51"/>
      <c r="D670" s="77"/>
      <c r="E670" s="77"/>
      <c r="F670" s="56"/>
      <c r="G670" s="79"/>
      <c r="H670" s="79"/>
    </row>
    <row r="671" spans="1:8">
      <c r="A671" s="77"/>
      <c r="B671" s="54"/>
      <c r="C671" s="51"/>
      <c r="D671" s="53"/>
      <c r="E671" s="77"/>
      <c r="F671" s="56"/>
      <c r="G671" s="79"/>
      <c r="H671" s="79"/>
    </row>
    <row r="672" spans="1:8">
      <c r="A672" s="77"/>
      <c r="B672" s="33"/>
      <c r="C672" s="77"/>
      <c r="D672" s="53"/>
      <c r="E672" s="77"/>
      <c r="F672" s="56"/>
      <c r="G672" s="79"/>
      <c r="H672" s="79"/>
    </row>
    <row r="673" spans="1:8">
      <c r="A673" s="77"/>
      <c r="B673" s="33"/>
      <c r="C673" s="51"/>
      <c r="D673" s="53"/>
      <c r="E673" s="77"/>
      <c r="F673" s="56"/>
      <c r="G673" s="79"/>
      <c r="H673" s="79"/>
    </row>
    <row r="674" spans="1:8">
      <c r="A674" s="77"/>
      <c r="B674" s="54"/>
      <c r="C674" s="54"/>
      <c r="D674" s="53"/>
      <c r="E674" s="77"/>
      <c r="F674" s="56"/>
      <c r="G674" s="79"/>
      <c r="H674" s="79"/>
    </row>
    <row r="675" spans="1:8">
      <c r="A675" s="77"/>
      <c r="B675" s="33"/>
      <c r="C675" s="51"/>
      <c r="D675" s="77"/>
      <c r="E675" s="77"/>
      <c r="F675" s="56"/>
      <c r="G675" s="79"/>
      <c r="H675" s="79"/>
    </row>
    <row r="676" spans="1:8">
      <c r="A676" s="77"/>
      <c r="B676" s="33"/>
      <c r="C676" s="77"/>
      <c r="D676" s="77"/>
      <c r="E676" s="77"/>
      <c r="F676" s="56"/>
      <c r="G676" s="79"/>
      <c r="H676" s="79"/>
    </row>
    <row r="677" spans="1:8">
      <c r="A677" s="77"/>
      <c r="B677" s="33"/>
      <c r="C677" s="51"/>
      <c r="D677" s="53"/>
      <c r="E677" s="77"/>
      <c r="F677" s="56"/>
      <c r="G677" s="79"/>
      <c r="H677" s="79"/>
    </row>
    <row r="678" spans="1:8">
      <c r="A678" s="77"/>
      <c r="B678" s="33"/>
      <c r="C678" s="51"/>
      <c r="D678" s="53"/>
      <c r="E678" s="77"/>
      <c r="F678" s="56"/>
      <c r="G678" s="79"/>
      <c r="H678" s="79"/>
    </row>
    <row r="679" spans="1:8">
      <c r="A679" s="77"/>
      <c r="B679" s="54"/>
      <c r="C679" s="51"/>
      <c r="D679" s="53"/>
      <c r="E679" s="77"/>
      <c r="F679" s="56"/>
      <c r="G679" s="79"/>
      <c r="H679" s="79"/>
    </row>
    <row r="680" spans="1:8">
      <c r="A680" s="38"/>
      <c r="B680" s="33"/>
      <c r="C680" s="77"/>
      <c r="D680" s="53"/>
      <c r="E680" s="77"/>
      <c r="F680" s="56"/>
      <c r="G680" s="79"/>
      <c r="H680" s="79"/>
    </row>
    <row r="681" spans="1:8">
      <c r="A681" s="38"/>
      <c r="B681" s="33"/>
      <c r="C681" s="51"/>
      <c r="D681" s="53"/>
      <c r="E681" s="77"/>
      <c r="F681" s="56"/>
      <c r="G681" s="56"/>
      <c r="H681" s="79"/>
    </row>
    <row r="682" spans="1:8">
      <c r="A682" s="38"/>
      <c r="B682" s="54"/>
      <c r="C682" s="51"/>
      <c r="D682" s="53"/>
      <c r="E682" s="77"/>
      <c r="F682" s="56"/>
      <c r="G682" s="79"/>
      <c r="H682" s="79"/>
    </row>
    <row r="683" spans="1:8">
      <c r="A683" s="38"/>
      <c r="B683" s="33"/>
      <c r="C683" s="51"/>
      <c r="D683" s="77"/>
      <c r="E683" s="77"/>
      <c r="F683" s="56"/>
      <c r="G683" s="79"/>
      <c r="H683" s="79"/>
    </row>
    <row r="684" spans="1:8">
      <c r="A684" s="38"/>
      <c r="B684" s="33"/>
      <c r="C684" s="51"/>
      <c r="D684" s="77"/>
      <c r="E684" s="77"/>
      <c r="F684" s="56"/>
      <c r="G684" s="79"/>
      <c r="H684" s="79"/>
    </row>
    <row r="685" spans="1:8">
      <c r="A685" s="38"/>
      <c r="B685" s="33"/>
      <c r="C685" s="51"/>
      <c r="D685" s="53"/>
      <c r="E685" s="77"/>
      <c r="F685" s="56"/>
      <c r="G685" s="79"/>
      <c r="H685" s="79"/>
    </row>
    <row r="686" spans="1:8">
      <c r="A686" s="38"/>
      <c r="B686" s="33"/>
      <c r="C686" s="77"/>
      <c r="D686" s="77"/>
      <c r="E686" s="77"/>
      <c r="F686" s="56"/>
      <c r="G686" s="79"/>
      <c r="H686" s="79"/>
    </row>
    <row r="687" spans="1:8">
      <c r="A687" s="38"/>
      <c r="B687" s="54"/>
      <c r="C687" s="77"/>
      <c r="D687" s="77"/>
      <c r="E687" s="77"/>
      <c r="F687" s="56"/>
      <c r="G687" s="79"/>
      <c r="H687" s="79"/>
    </row>
    <row r="688" spans="1:8">
      <c r="A688" s="38"/>
      <c r="B688" s="54"/>
      <c r="C688" s="77"/>
      <c r="D688" s="77"/>
      <c r="E688" s="77"/>
      <c r="F688" s="56"/>
      <c r="G688" s="79"/>
      <c r="H688" s="79"/>
    </row>
    <row r="689" spans="1:8">
      <c r="A689" s="38"/>
      <c r="B689" s="33"/>
      <c r="C689" s="77"/>
      <c r="D689" s="77"/>
      <c r="E689" s="77"/>
      <c r="F689" s="56"/>
      <c r="G689" s="79"/>
      <c r="H689" s="79"/>
    </row>
    <row r="690" spans="1:8">
      <c r="A690" s="38"/>
      <c r="B690" s="33"/>
      <c r="C690" s="77"/>
      <c r="D690" s="77"/>
      <c r="E690" s="77"/>
      <c r="F690" s="56"/>
      <c r="G690" s="79"/>
      <c r="H690" s="79"/>
    </row>
    <row r="691" spans="1:8">
      <c r="A691" s="38"/>
      <c r="B691" s="33"/>
      <c r="C691" s="77"/>
      <c r="D691" s="77"/>
      <c r="E691" s="77"/>
      <c r="F691" s="56"/>
      <c r="G691" s="79"/>
      <c r="H691" s="79"/>
    </row>
    <row r="692" spans="1:8">
      <c r="A692" s="38"/>
      <c r="B692" s="33"/>
      <c r="C692" s="51"/>
      <c r="D692" s="77"/>
      <c r="E692" s="4"/>
      <c r="F692" s="74"/>
      <c r="G692" s="79"/>
      <c r="H692" s="79"/>
    </row>
    <row r="693" spans="1:8">
      <c r="A693" s="38"/>
      <c r="B693" s="33"/>
      <c r="C693" s="51"/>
      <c r="D693" s="77"/>
      <c r="E693" s="4"/>
      <c r="F693" s="74"/>
      <c r="G693" s="79"/>
      <c r="H693" s="79"/>
    </row>
    <row r="694" spans="1:8">
      <c r="A694" s="38"/>
      <c r="B694" s="33"/>
      <c r="C694" s="51"/>
      <c r="D694" s="77"/>
      <c r="E694" s="4"/>
      <c r="F694" s="74"/>
      <c r="G694" s="79"/>
      <c r="H694" s="79"/>
    </row>
    <row r="695" spans="1:8">
      <c r="A695" s="38"/>
      <c r="B695" s="33"/>
      <c r="C695" s="77"/>
      <c r="D695" s="77"/>
      <c r="E695" s="4"/>
      <c r="F695" s="74"/>
      <c r="G695" s="79"/>
      <c r="H695" s="79"/>
    </row>
    <row r="696" spans="1:8">
      <c r="A696" s="38"/>
      <c r="B696" s="33"/>
      <c r="C696" s="77"/>
      <c r="D696" s="77"/>
      <c r="E696" s="4"/>
      <c r="F696" s="56"/>
      <c r="G696" s="79"/>
      <c r="H696" s="79"/>
    </row>
    <row r="697" spans="1:8">
      <c r="A697" s="38"/>
      <c r="B697" s="33"/>
      <c r="C697" s="77"/>
      <c r="D697" s="77"/>
      <c r="E697" s="4"/>
      <c r="F697" s="56"/>
      <c r="G697" s="79"/>
      <c r="H697" s="79"/>
    </row>
    <row r="698" spans="1:8">
      <c r="A698" s="38"/>
      <c r="B698" s="33"/>
      <c r="C698" s="77"/>
      <c r="D698" s="77"/>
      <c r="E698" s="4"/>
      <c r="F698" s="56"/>
      <c r="G698" s="79"/>
      <c r="H698" s="79"/>
    </row>
    <row r="699" spans="1:8">
      <c r="A699" s="38"/>
      <c r="B699" s="33"/>
      <c r="C699" s="77"/>
      <c r="D699" s="77"/>
      <c r="E699" s="4"/>
      <c r="F699" s="56"/>
      <c r="G699" s="79"/>
      <c r="H699" s="79"/>
    </row>
    <row r="700" spans="1:8">
      <c r="A700" s="38"/>
      <c r="B700" s="33"/>
      <c r="C700" s="77"/>
      <c r="D700" s="77"/>
      <c r="E700" s="4"/>
      <c r="F700" s="56"/>
      <c r="G700" s="79"/>
      <c r="H700" s="79"/>
    </row>
    <row r="701" spans="1:8">
      <c r="A701" s="38"/>
      <c r="B701" s="33"/>
      <c r="C701" s="77"/>
      <c r="D701" s="77"/>
      <c r="E701" s="4"/>
      <c r="F701" s="56"/>
      <c r="G701" s="79"/>
      <c r="H701" s="79"/>
    </row>
    <row r="702" spans="1:8">
      <c r="A702" s="38"/>
      <c r="B702" s="33"/>
      <c r="C702" s="77"/>
      <c r="D702" s="77"/>
      <c r="E702" s="4"/>
      <c r="F702" s="56"/>
      <c r="G702" s="79"/>
      <c r="H702" s="79"/>
    </row>
    <row r="703" spans="1:8">
      <c r="A703" s="38"/>
      <c r="B703" s="33"/>
      <c r="C703" s="77"/>
      <c r="D703" s="54"/>
      <c r="E703" s="4"/>
      <c r="F703" s="56"/>
      <c r="G703" s="79"/>
      <c r="H703" s="79"/>
    </row>
    <row r="704" spans="1:8">
      <c r="A704" s="77"/>
      <c r="B704" s="54"/>
      <c r="C704" s="77"/>
      <c r="D704" s="77"/>
      <c r="E704" s="77"/>
      <c r="F704" s="56"/>
      <c r="G704" s="79"/>
      <c r="H704" s="79"/>
    </row>
    <row r="705" spans="1:8">
      <c r="A705" s="77"/>
      <c r="B705" s="33"/>
      <c r="C705" s="51"/>
      <c r="D705" s="53"/>
      <c r="E705" s="77"/>
      <c r="F705" s="56"/>
      <c r="G705" s="79"/>
      <c r="H705" s="79"/>
    </row>
    <row r="706" spans="1:8">
      <c r="A706" s="77"/>
      <c r="B706" s="33"/>
      <c r="C706" s="51"/>
      <c r="D706" s="53"/>
      <c r="E706" s="77"/>
      <c r="F706" s="56"/>
      <c r="G706" s="79"/>
      <c r="H706" s="79"/>
    </row>
    <row r="707" spans="1:8">
      <c r="A707" s="77"/>
      <c r="B707" s="54"/>
      <c r="C707" s="77"/>
      <c r="D707" s="77"/>
      <c r="E707" s="77"/>
      <c r="F707" s="56"/>
      <c r="G707" s="79"/>
      <c r="H707" s="79"/>
    </row>
    <row r="708" spans="1:8">
      <c r="A708" s="77"/>
      <c r="B708" s="54"/>
      <c r="C708" s="77"/>
      <c r="D708" s="77"/>
      <c r="E708" s="77"/>
      <c r="F708" s="56"/>
      <c r="G708" s="79"/>
      <c r="H708" s="79"/>
    </row>
    <row r="709" spans="1:8">
      <c r="A709" s="77"/>
      <c r="B709" s="33"/>
      <c r="C709" s="51"/>
      <c r="D709" s="53"/>
      <c r="E709" s="77"/>
      <c r="F709" s="56"/>
      <c r="G709" s="79"/>
      <c r="H709" s="79"/>
    </row>
    <row r="710" spans="1:8">
      <c r="A710" s="38"/>
      <c r="B710" s="33"/>
      <c r="C710" s="51"/>
      <c r="D710" s="53"/>
      <c r="E710" s="77"/>
      <c r="F710" s="56"/>
      <c r="G710" s="79"/>
      <c r="H710" s="79"/>
    </row>
    <row r="711" spans="1:8">
      <c r="A711" s="38"/>
      <c r="B711" s="33"/>
      <c r="C711" s="51"/>
      <c r="D711" s="53"/>
      <c r="E711" s="77"/>
      <c r="F711" s="56"/>
      <c r="G711" s="79"/>
      <c r="H711" s="79"/>
    </row>
    <row r="712" spans="1:8">
      <c r="A712" s="38"/>
      <c r="B712" s="33"/>
      <c r="C712" s="51"/>
      <c r="D712" s="53"/>
      <c r="E712" s="77"/>
      <c r="F712" s="56"/>
      <c r="G712" s="79"/>
      <c r="H712" s="79"/>
    </row>
    <row r="713" spans="1:8">
      <c r="A713" s="77"/>
      <c r="B713" s="33"/>
      <c r="C713" s="77"/>
      <c r="D713" s="77"/>
      <c r="E713" s="77"/>
      <c r="F713" s="56"/>
      <c r="G713" s="79"/>
      <c r="H713" s="79"/>
    </row>
    <row r="714" spans="1:8">
      <c r="A714" s="77"/>
      <c r="B714" s="54"/>
      <c r="C714" s="77"/>
      <c r="D714" s="77"/>
      <c r="E714" s="77"/>
      <c r="F714" s="56"/>
      <c r="G714" s="79"/>
      <c r="H714" s="79"/>
    </row>
    <row r="715" spans="1:8">
      <c r="A715" s="77"/>
      <c r="B715" s="54"/>
      <c r="C715" s="77"/>
      <c r="D715" s="77"/>
      <c r="E715" s="77"/>
      <c r="F715" s="56"/>
      <c r="G715" s="79"/>
      <c r="H715" s="79"/>
    </row>
    <row r="716" spans="1:8">
      <c r="A716" s="77"/>
      <c r="B716" s="54"/>
      <c r="C716" s="51"/>
      <c r="D716" s="77"/>
      <c r="E716" s="54"/>
      <c r="F716" s="56"/>
      <c r="G716" s="79"/>
      <c r="H716" s="79"/>
    </row>
    <row r="717" spans="1:8">
      <c r="A717" s="38"/>
      <c r="B717" s="33"/>
      <c r="C717" s="51"/>
      <c r="D717" s="53"/>
      <c r="E717" s="77"/>
      <c r="F717" s="56"/>
      <c r="G717" s="79"/>
      <c r="H717" s="79"/>
    </row>
    <row r="718" spans="1:8">
      <c r="A718" s="38"/>
      <c r="B718" s="33"/>
      <c r="C718" s="51"/>
      <c r="D718" s="53"/>
      <c r="E718" s="77"/>
      <c r="F718" s="56"/>
      <c r="G718" s="79"/>
      <c r="H718" s="79"/>
    </row>
    <row r="719" spans="1:8">
      <c r="A719" s="38"/>
      <c r="B719" s="33"/>
      <c r="C719" s="51"/>
      <c r="D719" s="53"/>
      <c r="E719" s="77"/>
      <c r="F719" s="56"/>
      <c r="G719" s="79"/>
      <c r="H719" s="79"/>
    </row>
    <row r="720" spans="1:8">
      <c r="A720" s="38"/>
      <c r="B720" s="33"/>
      <c r="C720" s="77"/>
      <c r="D720" s="77"/>
      <c r="E720" s="4"/>
      <c r="F720" s="56"/>
      <c r="G720" s="79"/>
      <c r="H720" s="79"/>
    </row>
    <row r="721" spans="1:8">
      <c r="A721" s="38"/>
      <c r="B721" s="54"/>
      <c r="C721" s="77"/>
      <c r="D721" s="53"/>
      <c r="E721" s="77"/>
      <c r="F721" s="56"/>
      <c r="G721" s="79"/>
      <c r="H721" s="79"/>
    </row>
    <row r="722" spans="1:8">
      <c r="A722" s="38"/>
      <c r="B722" s="33"/>
      <c r="C722" s="77"/>
      <c r="D722" s="77"/>
      <c r="E722" s="77"/>
      <c r="F722" s="56"/>
      <c r="G722" s="79"/>
      <c r="H722" s="79"/>
    </row>
    <row r="723" spans="1:8" ht="18.75" customHeight="1">
      <c r="A723" s="71"/>
      <c r="B723" s="71"/>
      <c r="C723" s="71"/>
      <c r="D723" s="71"/>
      <c r="E723" s="71"/>
      <c r="F723" s="72"/>
      <c r="G723" s="79"/>
      <c r="H723" s="79"/>
    </row>
    <row r="724" spans="1:8">
      <c r="A724" s="77"/>
      <c r="B724" s="54"/>
      <c r="C724" s="51"/>
      <c r="D724" s="77"/>
      <c r="E724" s="54"/>
      <c r="F724" s="56"/>
      <c r="G724" s="79"/>
      <c r="H724" s="79"/>
    </row>
    <row r="725" spans="1:8">
      <c r="A725" s="77"/>
      <c r="B725" s="54"/>
      <c r="C725" s="51"/>
      <c r="D725" s="77"/>
      <c r="E725" s="54"/>
      <c r="F725" s="56"/>
      <c r="G725" s="79"/>
      <c r="H725" s="79"/>
    </row>
    <row r="726" spans="1:8">
      <c r="A726" s="77"/>
      <c r="B726" s="33"/>
      <c r="C726" s="77"/>
      <c r="D726" s="77"/>
      <c r="E726" s="77"/>
      <c r="F726" s="56"/>
      <c r="G726" s="79"/>
      <c r="H726" s="79"/>
    </row>
    <row r="727" spans="1:8">
      <c r="A727" s="77"/>
      <c r="B727" s="33"/>
      <c r="C727" s="51"/>
      <c r="D727" s="53"/>
      <c r="E727" s="77"/>
      <c r="F727" s="56"/>
      <c r="G727" s="79"/>
      <c r="H727" s="79"/>
    </row>
    <row r="728" spans="1:8">
      <c r="A728" s="77"/>
      <c r="B728" s="54"/>
      <c r="C728" s="51"/>
      <c r="D728" s="77"/>
      <c r="E728" s="54"/>
      <c r="F728" s="56"/>
      <c r="G728" s="79"/>
      <c r="H728" s="79"/>
    </row>
    <row r="729" spans="1:8">
      <c r="A729" s="77"/>
      <c r="B729" s="33"/>
      <c r="C729" s="51"/>
      <c r="D729" s="77"/>
      <c r="E729" s="54"/>
      <c r="F729" s="56"/>
      <c r="G729" s="79"/>
      <c r="H729" s="79"/>
    </row>
    <row r="730" spans="1:8">
      <c r="A730" s="77"/>
      <c r="B730" s="33"/>
      <c r="C730" s="77"/>
      <c r="D730" s="53"/>
      <c r="E730" s="77"/>
      <c r="F730" s="56"/>
      <c r="G730" s="79"/>
      <c r="H730" s="79"/>
    </row>
    <row r="731" spans="1:8">
      <c r="A731" s="77"/>
      <c r="B731" s="54"/>
      <c r="C731" s="51"/>
      <c r="D731" s="77"/>
      <c r="E731" s="54"/>
      <c r="F731" s="56"/>
      <c r="G731" s="79"/>
      <c r="H731" s="79"/>
    </row>
    <row r="732" spans="1:8">
      <c r="A732" s="77"/>
      <c r="B732" s="54"/>
      <c r="C732" s="51"/>
      <c r="D732" s="77"/>
      <c r="E732" s="54"/>
      <c r="F732" s="56"/>
      <c r="G732" s="79"/>
      <c r="H732" s="79"/>
    </row>
    <row r="733" spans="1:8">
      <c r="A733" s="77"/>
      <c r="B733" s="54"/>
      <c r="C733" s="51"/>
      <c r="D733" s="77"/>
      <c r="E733" s="54"/>
      <c r="F733" s="56"/>
      <c r="G733" s="79"/>
      <c r="H733" s="79"/>
    </row>
    <row r="734" spans="1:8">
      <c r="A734" s="77"/>
      <c r="B734" s="33"/>
      <c r="C734" s="51"/>
      <c r="D734" s="53"/>
      <c r="E734" s="77"/>
      <c r="F734" s="56"/>
      <c r="G734" s="79"/>
      <c r="H734" s="79"/>
    </row>
    <row r="735" spans="1:8">
      <c r="A735" s="38"/>
      <c r="B735" s="54"/>
      <c r="C735" s="51"/>
      <c r="D735" s="53"/>
      <c r="E735" s="77"/>
      <c r="F735" s="56"/>
      <c r="G735" s="79"/>
      <c r="H735" s="79"/>
    </row>
    <row r="736" spans="1:8">
      <c r="A736" s="38"/>
      <c r="B736" s="33"/>
      <c r="C736" s="51"/>
      <c r="D736" s="53"/>
      <c r="E736" s="77"/>
      <c r="F736" s="56"/>
      <c r="G736" s="79"/>
      <c r="H736" s="79"/>
    </row>
    <row r="737" spans="1:8">
      <c r="A737" s="38"/>
      <c r="B737" s="33"/>
      <c r="C737" s="51"/>
      <c r="D737" s="53"/>
      <c r="E737" s="77"/>
      <c r="F737" s="56"/>
      <c r="G737" s="79"/>
      <c r="H737" s="79"/>
    </row>
    <row r="738" spans="1:8">
      <c r="A738" s="38"/>
      <c r="B738" s="33"/>
      <c r="C738" s="77"/>
      <c r="D738" s="77"/>
      <c r="E738" s="77"/>
      <c r="F738" s="56"/>
      <c r="G738" s="79"/>
      <c r="H738" s="79"/>
    </row>
    <row r="739" spans="1:8">
      <c r="A739" s="38"/>
      <c r="B739" s="33"/>
      <c r="C739" s="77"/>
      <c r="D739" s="77"/>
      <c r="E739" s="77"/>
      <c r="F739" s="56"/>
      <c r="G739" s="79"/>
      <c r="H739" s="79"/>
    </row>
    <row r="740" spans="1:8">
      <c r="A740" s="38"/>
      <c r="B740" s="33"/>
      <c r="C740" s="51"/>
      <c r="D740" s="53"/>
      <c r="E740" s="77"/>
      <c r="F740" s="56"/>
      <c r="G740" s="79"/>
      <c r="H740" s="79"/>
    </row>
    <row r="741" spans="1:8">
      <c r="A741" s="38"/>
      <c r="B741" s="33"/>
      <c r="C741" s="51"/>
      <c r="D741" s="53"/>
      <c r="E741" s="77"/>
      <c r="F741" s="56"/>
      <c r="G741" s="79"/>
      <c r="H741" s="79"/>
    </row>
    <row r="742" spans="1:8">
      <c r="A742" s="38"/>
      <c r="B742" s="33"/>
      <c r="C742" s="51"/>
      <c r="D742" s="53"/>
      <c r="E742" s="77"/>
      <c r="F742" s="56"/>
      <c r="G742" s="79"/>
      <c r="H742" s="79"/>
    </row>
    <row r="743" spans="1:8">
      <c r="A743" s="38"/>
      <c r="B743" s="33"/>
      <c r="C743" s="51"/>
      <c r="D743" s="53"/>
      <c r="E743" s="77"/>
      <c r="F743" s="56"/>
      <c r="G743" s="79"/>
      <c r="H743" s="79"/>
    </row>
    <row r="744" spans="1:8">
      <c r="A744" s="38"/>
      <c r="B744" s="54"/>
      <c r="C744" s="54"/>
      <c r="D744" s="54"/>
      <c r="E744" s="54"/>
      <c r="F744" s="56"/>
      <c r="G744" s="79"/>
      <c r="H744" s="79"/>
    </row>
    <row r="745" spans="1:8">
      <c r="A745" s="38"/>
      <c r="B745" s="33"/>
      <c r="C745" s="51"/>
      <c r="D745" s="53"/>
      <c r="E745" s="77"/>
      <c r="F745" s="56"/>
      <c r="G745" s="56"/>
      <c r="H745" s="79"/>
    </row>
    <row r="746" spans="1:8" ht="14.25" customHeight="1">
      <c r="A746" s="38"/>
      <c r="B746" s="54"/>
      <c r="C746" s="51"/>
      <c r="D746" s="53"/>
      <c r="E746" s="77"/>
      <c r="F746" s="56"/>
      <c r="G746" s="56"/>
      <c r="H746" s="79"/>
    </row>
    <row r="747" spans="1:8">
      <c r="A747" s="38"/>
      <c r="B747" s="33"/>
      <c r="C747" s="51"/>
      <c r="D747" s="54"/>
      <c r="E747" s="54"/>
      <c r="F747" s="56"/>
      <c r="G747" s="79"/>
      <c r="H747" s="79"/>
    </row>
    <row r="748" spans="1:8">
      <c r="A748" s="38"/>
      <c r="B748" s="54"/>
      <c r="C748" s="54"/>
      <c r="D748" s="54"/>
      <c r="E748" s="54"/>
      <c r="F748" s="56"/>
      <c r="G748" s="79"/>
      <c r="H748" s="79"/>
    </row>
    <row r="749" spans="1:8">
      <c r="A749" s="38"/>
      <c r="B749" s="33"/>
      <c r="C749" s="51"/>
      <c r="D749" s="54"/>
      <c r="E749" s="54"/>
      <c r="F749" s="56"/>
      <c r="G749" s="79"/>
      <c r="H749" s="79"/>
    </row>
    <row r="750" spans="1:8">
      <c r="A750" s="38"/>
      <c r="B750" s="33"/>
      <c r="C750" s="51"/>
      <c r="D750" s="53"/>
      <c r="E750" s="77"/>
      <c r="F750" s="56"/>
      <c r="G750" s="79"/>
      <c r="H750" s="79"/>
    </row>
    <row r="751" spans="1:8">
      <c r="A751" s="38"/>
      <c r="B751" s="33"/>
      <c r="C751" s="51"/>
      <c r="D751" s="53"/>
      <c r="E751" s="77"/>
      <c r="F751" s="56"/>
      <c r="G751" s="79"/>
      <c r="H751" s="79"/>
    </row>
    <row r="752" spans="1:8">
      <c r="A752" s="38"/>
      <c r="B752" s="33"/>
      <c r="C752" s="51"/>
      <c r="D752" s="53"/>
      <c r="E752" s="77"/>
      <c r="F752" s="56"/>
      <c r="G752" s="79"/>
      <c r="H752" s="79"/>
    </row>
    <row r="753" spans="1:8">
      <c r="A753" s="38"/>
      <c r="B753" s="54"/>
      <c r="C753" s="54"/>
      <c r="D753" s="54"/>
      <c r="E753" s="54"/>
      <c r="F753" s="56"/>
      <c r="G753" s="79"/>
      <c r="H753" s="79"/>
    </row>
    <row r="754" spans="1:8">
      <c r="A754" s="77"/>
      <c r="B754" s="33"/>
      <c r="C754" s="51"/>
      <c r="D754" s="54"/>
      <c r="E754" s="54"/>
      <c r="F754" s="56"/>
      <c r="G754" s="79"/>
      <c r="H754" s="79"/>
    </row>
    <row r="755" spans="1:8">
      <c r="A755" s="77"/>
      <c r="B755" s="54"/>
      <c r="C755" s="54"/>
      <c r="D755" s="54"/>
      <c r="E755" s="54"/>
      <c r="F755" s="56"/>
      <c r="G755" s="79"/>
      <c r="H755" s="79"/>
    </row>
    <row r="756" spans="1:8">
      <c r="A756" s="77"/>
      <c r="B756" s="33"/>
      <c r="C756" s="51"/>
      <c r="D756" s="54"/>
      <c r="E756" s="54"/>
      <c r="F756" s="56"/>
      <c r="G756" s="79"/>
      <c r="H756" s="79"/>
    </row>
    <row r="757" spans="1:8">
      <c r="A757" s="38"/>
      <c r="B757" s="54"/>
      <c r="C757" s="51"/>
      <c r="D757" s="53"/>
      <c r="E757" s="77"/>
      <c r="F757" s="56"/>
      <c r="G757" s="79"/>
      <c r="H757" s="79"/>
    </row>
    <row r="758" spans="1:8">
      <c r="A758" s="38"/>
      <c r="B758" s="54"/>
      <c r="C758" s="51"/>
      <c r="D758" s="53"/>
      <c r="E758" s="53"/>
      <c r="F758" s="56"/>
      <c r="G758" s="79"/>
      <c r="H758" s="79"/>
    </row>
    <row r="759" spans="1:8">
      <c r="A759" s="38"/>
      <c r="B759" s="33"/>
      <c r="C759" s="51"/>
      <c r="D759" s="77"/>
      <c r="E759" s="77"/>
      <c r="F759" s="56"/>
      <c r="G759" s="79"/>
      <c r="H759" s="79"/>
    </row>
    <row r="760" spans="1:8">
      <c r="A760" s="38"/>
      <c r="B760" s="33"/>
      <c r="C760" s="78"/>
      <c r="D760" s="4"/>
      <c r="E760" s="4"/>
      <c r="F760" s="56"/>
      <c r="G760" s="79"/>
      <c r="H760" s="79"/>
    </row>
    <row r="761" spans="1:8">
      <c r="A761" s="38"/>
      <c r="B761" s="33"/>
      <c r="C761" s="78"/>
      <c r="D761" s="4"/>
      <c r="E761" s="4"/>
      <c r="F761" s="56"/>
      <c r="G761" s="79"/>
      <c r="H761" s="79"/>
    </row>
    <row r="762" spans="1:8">
      <c r="A762" s="38"/>
      <c r="B762" s="33"/>
      <c r="C762" s="78"/>
      <c r="D762" s="4"/>
      <c r="E762" s="4"/>
      <c r="F762" s="56"/>
      <c r="G762" s="79"/>
      <c r="H762" s="79"/>
    </row>
    <row r="763" spans="1:8">
      <c r="A763" s="38"/>
      <c r="B763" s="33"/>
      <c r="C763" s="78"/>
      <c r="D763" s="4"/>
      <c r="E763" s="4"/>
      <c r="F763" s="56"/>
      <c r="G763" s="79"/>
      <c r="H763" s="79"/>
    </row>
    <row r="764" spans="1:8">
      <c r="A764" s="38"/>
      <c r="B764" s="54"/>
      <c r="C764" s="51"/>
      <c r="D764" s="53"/>
      <c r="E764" s="77"/>
      <c r="F764" s="56"/>
      <c r="G764" s="79"/>
      <c r="H764" s="79"/>
    </row>
    <row r="765" spans="1:8">
      <c r="A765" s="38"/>
      <c r="B765" s="33"/>
      <c r="C765" s="51"/>
      <c r="D765" s="77"/>
      <c r="E765" s="77"/>
      <c r="F765" s="56"/>
      <c r="G765" s="79"/>
      <c r="H765" s="79"/>
    </row>
    <row r="766" spans="1:8">
      <c r="A766" s="77"/>
      <c r="B766" s="54"/>
      <c r="C766" s="54"/>
      <c r="D766" s="54"/>
      <c r="E766" s="54"/>
      <c r="F766" s="56"/>
      <c r="G766" s="79"/>
      <c r="H766" s="79"/>
    </row>
    <row r="767" spans="1:8">
      <c r="A767" s="77"/>
      <c r="B767" s="54"/>
      <c r="C767" s="54"/>
      <c r="D767" s="54"/>
      <c r="E767" s="54"/>
      <c r="F767" s="56"/>
      <c r="G767" s="79"/>
      <c r="H767" s="79"/>
    </row>
    <row r="768" spans="1:8">
      <c r="A768" s="77"/>
      <c r="B768" s="54"/>
      <c r="C768" s="54"/>
      <c r="D768" s="54"/>
      <c r="E768" s="54"/>
      <c r="F768" s="56"/>
      <c r="G768" s="79"/>
      <c r="H768" s="79"/>
    </row>
    <row r="769" spans="1:8">
      <c r="A769" s="77"/>
      <c r="B769" s="54"/>
      <c r="C769" s="54"/>
      <c r="D769" s="54"/>
      <c r="E769" s="54"/>
      <c r="F769" s="56"/>
      <c r="G769" s="79"/>
      <c r="H769" s="79"/>
    </row>
    <row r="770" spans="1:8">
      <c r="A770" s="77"/>
      <c r="B770" s="33"/>
      <c r="C770" s="54"/>
      <c r="D770" s="54"/>
      <c r="E770" s="54"/>
      <c r="F770" s="56"/>
      <c r="G770" s="79"/>
      <c r="H770" s="79"/>
    </row>
    <row r="771" spans="1:8">
      <c r="A771" s="77"/>
      <c r="B771" s="33"/>
      <c r="C771" s="54"/>
      <c r="D771" s="54"/>
      <c r="E771" s="54"/>
      <c r="F771" s="56"/>
      <c r="G771" s="79"/>
      <c r="H771" s="79"/>
    </row>
    <row r="772" spans="1:8">
      <c r="A772" s="77"/>
      <c r="B772" s="54"/>
      <c r="C772" s="51"/>
      <c r="D772" s="53"/>
      <c r="E772" s="77"/>
      <c r="F772" s="56"/>
      <c r="G772" s="79"/>
      <c r="H772" s="79"/>
    </row>
    <row r="773" spans="1:8">
      <c r="A773" s="77"/>
      <c r="B773" s="33"/>
      <c r="C773" s="51"/>
      <c r="D773" s="53"/>
      <c r="E773" s="77"/>
      <c r="F773" s="56"/>
      <c r="G773" s="79"/>
      <c r="H773" s="79"/>
    </row>
    <row r="774" spans="1:8">
      <c r="A774" s="38"/>
      <c r="B774" s="54"/>
      <c r="C774" s="51"/>
      <c r="D774" s="53"/>
      <c r="E774" s="77"/>
      <c r="F774" s="56"/>
      <c r="G774" s="79"/>
      <c r="H774" s="79"/>
    </row>
    <row r="775" spans="1:8">
      <c r="A775" s="38"/>
      <c r="B775" s="54"/>
      <c r="C775" s="51"/>
      <c r="D775" s="53"/>
      <c r="E775" s="77"/>
      <c r="F775" s="56"/>
      <c r="G775" s="79"/>
      <c r="H775" s="79"/>
    </row>
    <row r="776" spans="1:8">
      <c r="A776" s="38"/>
      <c r="B776" s="54"/>
      <c r="C776" s="51"/>
      <c r="D776" s="53"/>
      <c r="E776" s="77"/>
      <c r="F776" s="56"/>
      <c r="G776" s="56"/>
      <c r="H776" s="79"/>
    </row>
    <row r="777" spans="1:8">
      <c r="A777" s="38"/>
      <c r="B777" s="54"/>
      <c r="C777" s="51"/>
      <c r="D777" s="53"/>
      <c r="E777" s="77"/>
      <c r="F777" s="56"/>
      <c r="G777" s="79"/>
      <c r="H777" s="79"/>
    </row>
    <row r="778" spans="1:8">
      <c r="A778" s="77"/>
      <c r="B778" s="54"/>
      <c r="C778" s="54"/>
      <c r="D778" s="54"/>
      <c r="E778" s="54"/>
      <c r="F778" s="56"/>
      <c r="G778" s="79"/>
      <c r="H778" s="79"/>
    </row>
    <row r="779" spans="1:8">
      <c r="A779" s="77"/>
      <c r="B779" s="54"/>
      <c r="C779" s="54"/>
      <c r="D779" s="54"/>
      <c r="E779" s="54"/>
      <c r="F779" s="56"/>
      <c r="G779" s="79"/>
      <c r="H779" s="79"/>
    </row>
    <row r="780" spans="1:8">
      <c r="A780" s="77"/>
      <c r="B780" s="54"/>
      <c r="C780" s="54"/>
      <c r="D780" s="54"/>
      <c r="E780" s="54"/>
      <c r="F780" s="56"/>
      <c r="G780" s="79"/>
      <c r="H780" s="79"/>
    </row>
    <row r="781" spans="1:8">
      <c r="A781" s="77"/>
      <c r="B781" s="54"/>
      <c r="C781" s="51"/>
      <c r="D781" s="53"/>
      <c r="E781" s="77"/>
      <c r="F781" s="56"/>
      <c r="G781" s="79"/>
      <c r="H781" s="79"/>
    </row>
    <row r="782" spans="1:8">
      <c r="A782" s="38"/>
      <c r="B782" s="33"/>
      <c r="C782" s="51"/>
      <c r="D782" s="53"/>
      <c r="E782" s="77"/>
      <c r="F782" s="56"/>
      <c r="G782" s="79"/>
      <c r="H782" s="79"/>
    </row>
    <row r="783" spans="1:8">
      <c r="A783" s="38"/>
      <c r="B783" s="54"/>
      <c r="C783" s="51"/>
      <c r="D783" s="53"/>
      <c r="E783" s="77"/>
      <c r="F783" s="56"/>
      <c r="G783" s="79"/>
      <c r="H783" s="79"/>
    </row>
    <row r="784" spans="1:8">
      <c r="A784" s="38"/>
      <c r="B784" s="54"/>
      <c r="C784" s="54"/>
      <c r="D784" s="54"/>
      <c r="E784" s="54"/>
      <c r="F784" s="56"/>
      <c r="G784" s="79"/>
      <c r="H784" s="79"/>
    </row>
    <row r="785" spans="1:8">
      <c r="A785" s="38"/>
      <c r="B785" s="33"/>
      <c r="C785" s="54"/>
      <c r="D785" s="54"/>
      <c r="E785" s="54"/>
      <c r="F785" s="56"/>
      <c r="G785" s="79"/>
      <c r="H785" s="79"/>
    </row>
    <row r="786" spans="1:8">
      <c r="A786" s="77"/>
      <c r="B786" s="54"/>
      <c r="C786" s="54"/>
      <c r="D786" s="54"/>
      <c r="E786" s="54"/>
      <c r="F786" s="56"/>
      <c r="G786" s="79"/>
      <c r="H786" s="79"/>
    </row>
    <row r="787" spans="1:8">
      <c r="A787" s="38"/>
      <c r="B787" s="54"/>
      <c r="C787" s="51"/>
      <c r="D787" s="53"/>
      <c r="E787" s="77"/>
      <c r="F787" s="56"/>
      <c r="G787" s="79"/>
      <c r="H787" s="79"/>
    </row>
    <row r="788" spans="1:8">
      <c r="A788" s="38"/>
      <c r="B788" s="33"/>
      <c r="C788" s="51"/>
      <c r="D788" s="53"/>
      <c r="E788" s="77"/>
      <c r="F788" s="56"/>
      <c r="G788" s="79"/>
      <c r="H788" s="79"/>
    </row>
    <row r="789" spans="1:8">
      <c r="A789" s="38"/>
      <c r="B789" s="54"/>
      <c r="C789" s="51"/>
      <c r="D789" s="53"/>
      <c r="E789" s="77"/>
      <c r="F789" s="56"/>
      <c r="G789" s="79"/>
      <c r="H789" s="79"/>
    </row>
    <row r="790" spans="1:8">
      <c r="A790" s="38"/>
      <c r="B790" s="54"/>
      <c r="C790" s="51"/>
      <c r="D790" s="53"/>
      <c r="E790" s="77"/>
      <c r="F790" s="56"/>
      <c r="G790" s="79"/>
      <c r="H790" s="79"/>
    </row>
    <row r="791" spans="1:8">
      <c r="A791" s="38"/>
      <c r="B791" s="54"/>
      <c r="C791" s="51"/>
      <c r="D791" s="53"/>
      <c r="E791" s="77"/>
      <c r="F791" s="56"/>
      <c r="G791" s="79"/>
      <c r="H791" s="79"/>
    </row>
    <row r="792" spans="1:8">
      <c r="A792" s="38"/>
      <c r="B792" s="33"/>
      <c r="C792" s="51"/>
      <c r="D792" s="53"/>
      <c r="E792" s="77"/>
      <c r="F792" s="56"/>
      <c r="G792" s="79"/>
      <c r="H792" s="79"/>
    </row>
    <row r="793" spans="1:8">
      <c r="A793" s="38"/>
      <c r="B793" s="54"/>
      <c r="C793" s="54"/>
      <c r="D793" s="54"/>
      <c r="E793" s="54"/>
      <c r="F793" s="56"/>
      <c r="G793" s="79"/>
      <c r="H793" s="79"/>
    </row>
    <row r="794" spans="1:8">
      <c r="A794" s="38"/>
      <c r="B794" s="54"/>
      <c r="C794" s="51"/>
      <c r="D794" s="53"/>
      <c r="E794" s="77"/>
      <c r="F794" s="56"/>
      <c r="G794" s="79"/>
      <c r="H794" s="79"/>
    </row>
    <row r="795" spans="1:8">
      <c r="A795" s="38"/>
      <c r="B795" s="54"/>
      <c r="C795" s="51"/>
      <c r="D795" s="53"/>
      <c r="E795" s="77"/>
      <c r="F795" s="56"/>
      <c r="G795" s="79"/>
      <c r="H795" s="79"/>
    </row>
    <row r="796" spans="1:8">
      <c r="A796" s="38"/>
      <c r="B796" s="54"/>
      <c r="C796" s="51"/>
      <c r="D796" s="53"/>
      <c r="E796" s="77"/>
      <c r="F796" s="56"/>
      <c r="G796" s="79"/>
      <c r="H796" s="79"/>
    </row>
    <row r="797" spans="1:8">
      <c r="A797" s="38"/>
      <c r="B797" s="54"/>
      <c r="C797" s="51"/>
      <c r="D797" s="53"/>
      <c r="E797" s="77"/>
      <c r="F797" s="56"/>
      <c r="G797" s="79"/>
      <c r="H797" s="79"/>
    </row>
    <row r="798" spans="1:8">
      <c r="A798" s="38"/>
      <c r="B798" s="54"/>
      <c r="C798" s="54"/>
      <c r="D798" s="54"/>
      <c r="E798" s="54"/>
      <c r="F798" s="56"/>
      <c r="G798" s="79"/>
      <c r="H798" s="79"/>
    </row>
    <row r="799" spans="1:8">
      <c r="A799" s="77"/>
      <c r="B799" s="54"/>
      <c r="C799" s="54"/>
      <c r="D799" s="54"/>
      <c r="E799" s="54"/>
      <c r="F799" s="56"/>
      <c r="G799" s="79"/>
      <c r="H799" s="79"/>
    </row>
    <row r="800" spans="1:8">
      <c r="A800" s="77"/>
      <c r="B800" s="54"/>
      <c r="C800" s="54"/>
      <c r="D800" s="54"/>
      <c r="E800" s="54"/>
      <c r="F800" s="56"/>
      <c r="G800" s="50"/>
      <c r="H800" s="79"/>
    </row>
    <row r="801" spans="1:8">
      <c r="A801" s="77"/>
      <c r="B801" s="54"/>
      <c r="C801" s="54"/>
      <c r="D801" s="54"/>
      <c r="E801" s="54"/>
      <c r="F801" s="56"/>
      <c r="G801" s="50"/>
      <c r="H801" s="79"/>
    </row>
    <row r="802" spans="1:8">
      <c r="A802" s="77"/>
      <c r="B802" s="33"/>
      <c r="C802" s="51"/>
      <c r="D802" s="77"/>
      <c r="E802" s="77"/>
      <c r="F802" s="56"/>
      <c r="G802" s="79"/>
      <c r="H802" s="79"/>
    </row>
    <row r="803" spans="1:8">
      <c r="A803" s="77"/>
      <c r="B803" s="33"/>
      <c r="C803" s="51"/>
      <c r="D803" s="54"/>
      <c r="E803" s="54"/>
      <c r="F803" s="56"/>
      <c r="G803" s="79"/>
      <c r="H803" s="79"/>
    </row>
    <row r="804" spans="1:8">
      <c r="A804" s="77"/>
      <c r="B804" s="33"/>
      <c r="C804" s="51"/>
      <c r="D804" s="54"/>
      <c r="E804" s="54"/>
      <c r="F804" s="56"/>
      <c r="G804" s="79"/>
      <c r="H804" s="79"/>
    </row>
    <row r="805" spans="1:8">
      <c r="A805" s="77"/>
      <c r="B805" s="33"/>
      <c r="C805" s="51"/>
      <c r="D805" s="54"/>
      <c r="E805" s="54"/>
      <c r="F805" s="56"/>
      <c r="G805" s="79"/>
      <c r="H805" s="79"/>
    </row>
    <row r="806" spans="1:8">
      <c r="A806" s="77"/>
      <c r="B806" s="33"/>
      <c r="C806" s="51"/>
      <c r="D806" s="53"/>
      <c r="E806" s="77"/>
      <c r="F806" s="56"/>
      <c r="G806" s="79"/>
      <c r="H806" s="79"/>
    </row>
    <row r="807" spans="1:8">
      <c r="A807" s="77"/>
      <c r="B807" s="54"/>
      <c r="C807" s="51"/>
      <c r="D807" s="53"/>
      <c r="E807" s="77"/>
      <c r="F807" s="56"/>
      <c r="G807" s="79"/>
      <c r="H807" s="79"/>
    </row>
    <row r="808" spans="1:8">
      <c r="A808" s="77"/>
      <c r="B808" s="54"/>
      <c r="C808" s="54"/>
      <c r="D808" s="54"/>
      <c r="E808" s="54"/>
      <c r="F808" s="56"/>
      <c r="G808" s="79"/>
      <c r="H808" s="79"/>
    </row>
    <row r="809" spans="1:8">
      <c r="A809" s="77"/>
      <c r="B809" s="54"/>
      <c r="C809" s="54"/>
      <c r="D809" s="54"/>
      <c r="E809" s="54"/>
      <c r="F809" s="56"/>
      <c r="G809" s="79"/>
      <c r="H809" s="79"/>
    </row>
    <row r="810" spans="1:8">
      <c r="A810" s="77"/>
      <c r="B810" s="54"/>
      <c r="C810" s="54"/>
      <c r="D810" s="77"/>
      <c r="E810" s="54"/>
      <c r="F810" s="56"/>
      <c r="G810" s="79"/>
      <c r="H810" s="79"/>
    </row>
    <row r="811" spans="1:8" ht="18.75" customHeight="1">
      <c r="A811" s="71"/>
      <c r="B811" s="71"/>
      <c r="C811" s="71"/>
      <c r="D811" s="71"/>
      <c r="E811" s="71"/>
      <c r="F811" s="72"/>
      <c r="G811" s="79"/>
      <c r="H811" s="79"/>
    </row>
    <row r="812" spans="1:8">
      <c r="A812" s="77"/>
      <c r="B812" s="54"/>
      <c r="C812" s="54"/>
      <c r="D812" s="54"/>
      <c r="E812" s="54"/>
      <c r="F812" s="56"/>
      <c r="G812" s="79"/>
      <c r="H812" s="79"/>
    </row>
    <row r="813" spans="1:8">
      <c r="A813" s="77"/>
      <c r="B813" s="54"/>
      <c r="C813" s="51"/>
      <c r="D813" s="53"/>
      <c r="E813" s="77"/>
      <c r="F813" s="56"/>
      <c r="G813" s="79"/>
      <c r="H813" s="79"/>
    </row>
    <row r="814" spans="1:8">
      <c r="A814" s="77"/>
      <c r="B814" s="54"/>
      <c r="C814" s="54"/>
      <c r="D814" s="54"/>
      <c r="E814" s="54"/>
      <c r="F814" s="56"/>
      <c r="G814" s="79"/>
      <c r="H814" s="79"/>
    </row>
    <row r="815" spans="1:8">
      <c r="A815" s="77"/>
      <c r="B815" s="33"/>
      <c r="C815" s="51"/>
      <c r="D815" s="54"/>
      <c r="E815" s="54"/>
      <c r="F815" s="56"/>
      <c r="G815" s="79"/>
      <c r="H815" s="79"/>
    </row>
    <row r="816" spans="1:8">
      <c r="A816" s="77"/>
      <c r="B816" s="33"/>
      <c r="C816" s="51"/>
      <c r="D816" s="77"/>
      <c r="E816" s="77"/>
      <c r="F816" s="56"/>
      <c r="G816" s="79"/>
      <c r="H816" s="79"/>
    </row>
    <row r="817" spans="1:8">
      <c r="A817" s="77"/>
      <c r="B817" s="33"/>
      <c r="C817" s="51"/>
      <c r="D817" s="77"/>
      <c r="E817" s="77"/>
      <c r="F817" s="56"/>
      <c r="G817" s="79"/>
      <c r="H817" s="79"/>
    </row>
    <row r="818" spans="1:8">
      <c r="A818" s="77"/>
      <c r="B818" s="33"/>
      <c r="C818" s="51"/>
      <c r="D818" s="53"/>
      <c r="E818" s="77"/>
      <c r="F818" s="56"/>
      <c r="G818" s="79"/>
      <c r="H818" s="79"/>
    </row>
    <row r="819" spans="1:8">
      <c r="A819" s="77"/>
      <c r="B819" s="54"/>
      <c r="C819" s="51"/>
      <c r="D819" s="53"/>
      <c r="E819" s="77"/>
      <c r="F819" s="56"/>
      <c r="G819" s="79"/>
      <c r="H819" s="79"/>
    </row>
    <row r="820" spans="1:8">
      <c r="A820" s="38"/>
      <c r="B820" s="54"/>
      <c r="C820" s="54"/>
      <c r="D820" s="54"/>
      <c r="E820" s="54"/>
      <c r="F820" s="56"/>
      <c r="G820" s="79"/>
      <c r="H820" s="79"/>
    </row>
    <row r="821" spans="1:8">
      <c r="A821" s="77"/>
      <c r="B821" s="33"/>
      <c r="C821" s="54"/>
      <c r="D821" s="77"/>
      <c r="E821" s="77"/>
      <c r="F821" s="56"/>
      <c r="G821" s="79"/>
      <c r="H821" s="79"/>
    </row>
    <row r="822" spans="1:8">
      <c r="A822" s="38"/>
      <c r="B822" s="33"/>
      <c r="C822" s="51"/>
      <c r="D822" s="53"/>
      <c r="E822" s="77"/>
      <c r="F822" s="56"/>
      <c r="G822" s="79"/>
      <c r="H822" s="79"/>
    </row>
    <row r="823" spans="1:8">
      <c r="A823" s="38"/>
      <c r="B823" s="54"/>
      <c r="C823" s="51"/>
      <c r="D823" s="53"/>
      <c r="E823" s="77"/>
      <c r="F823" s="56"/>
      <c r="G823" s="79"/>
      <c r="H823" s="79"/>
    </row>
    <row r="824" spans="1:8">
      <c r="A824" s="38"/>
      <c r="B824" s="54"/>
      <c r="C824" s="51"/>
      <c r="D824" s="53"/>
      <c r="E824" s="77"/>
      <c r="F824" s="56"/>
      <c r="G824" s="79"/>
      <c r="H824" s="79"/>
    </row>
    <row r="825" spans="1:8">
      <c r="A825" s="38"/>
      <c r="B825" s="54"/>
      <c r="C825" s="51"/>
      <c r="D825" s="53"/>
      <c r="E825" s="77"/>
      <c r="F825" s="56"/>
      <c r="G825" s="79"/>
      <c r="H825" s="79"/>
    </row>
    <row r="826" spans="1:8">
      <c r="A826" s="38"/>
      <c r="B826" s="54"/>
      <c r="C826" s="54"/>
      <c r="D826" s="54"/>
      <c r="E826" s="54"/>
      <c r="F826" s="56"/>
      <c r="G826" s="79"/>
      <c r="H826" s="79"/>
    </row>
    <row r="827" spans="1:8">
      <c r="A827" s="38"/>
      <c r="B827" s="54"/>
      <c r="C827" s="54"/>
      <c r="D827" s="54"/>
      <c r="E827" s="54"/>
      <c r="F827" s="56"/>
      <c r="G827" s="79"/>
      <c r="H827" s="79"/>
    </row>
    <row r="828" spans="1:8">
      <c r="A828" s="38"/>
      <c r="B828" s="54"/>
      <c r="C828" s="54"/>
      <c r="D828" s="54"/>
      <c r="E828" s="54"/>
      <c r="F828" s="56"/>
      <c r="G828" s="79"/>
      <c r="H828" s="79"/>
    </row>
    <row r="829" spans="1:8">
      <c r="A829" s="38"/>
      <c r="B829" s="54"/>
      <c r="C829" s="54"/>
      <c r="D829" s="54"/>
      <c r="E829" s="54"/>
      <c r="F829" s="56"/>
      <c r="G829" s="79"/>
      <c r="H829" s="79"/>
    </row>
    <row r="830" spans="1:8">
      <c r="A830" s="38"/>
      <c r="B830" s="54"/>
      <c r="C830" s="51"/>
      <c r="D830" s="53"/>
      <c r="E830" s="77"/>
      <c r="F830" s="56"/>
      <c r="G830" s="79"/>
      <c r="H830" s="79"/>
    </row>
    <row r="831" spans="1:8">
      <c r="A831" s="38"/>
      <c r="B831" s="54"/>
      <c r="C831" s="51"/>
      <c r="D831" s="53"/>
      <c r="E831" s="77"/>
      <c r="F831" s="56"/>
      <c r="G831" s="79"/>
      <c r="H831" s="79"/>
    </row>
    <row r="832" spans="1:8">
      <c r="A832" s="38"/>
      <c r="B832" s="54"/>
      <c r="C832" s="51"/>
      <c r="D832" s="53"/>
      <c r="E832" s="77"/>
      <c r="F832" s="56"/>
      <c r="G832" s="79"/>
      <c r="H832" s="79"/>
    </row>
    <row r="833" spans="1:8">
      <c r="A833" s="38"/>
      <c r="B833" s="33"/>
      <c r="C833" s="53"/>
      <c r="D833" s="53"/>
      <c r="E833" s="53"/>
      <c r="F833" s="56"/>
      <c r="G833" s="79"/>
      <c r="H833" s="79"/>
    </row>
    <row r="834" spans="1:8">
      <c r="A834" s="38"/>
      <c r="B834" s="54"/>
      <c r="C834" s="51"/>
      <c r="D834" s="53"/>
      <c r="E834" s="77"/>
      <c r="F834" s="56"/>
      <c r="G834" s="79"/>
      <c r="H834" s="79"/>
    </row>
    <row r="835" spans="1:8">
      <c r="A835" s="38"/>
      <c r="B835" s="33"/>
      <c r="C835" s="54"/>
      <c r="D835" s="54"/>
      <c r="E835" s="54"/>
      <c r="F835" s="56"/>
      <c r="G835" s="79"/>
      <c r="H835" s="79"/>
    </row>
    <row r="836" spans="1:8">
      <c r="A836" s="38"/>
      <c r="B836" s="54"/>
      <c r="C836" s="54"/>
      <c r="D836" s="54"/>
      <c r="E836" s="54"/>
      <c r="F836" s="56"/>
      <c r="G836" s="79"/>
      <c r="H836" s="79"/>
    </row>
    <row r="837" spans="1:8">
      <c r="A837" s="38"/>
      <c r="B837" s="54"/>
      <c r="C837" s="54"/>
      <c r="D837" s="54"/>
      <c r="E837" s="54"/>
      <c r="F837" s="56"/>
      <c r="G837" s="79"/>
      <c r="H837" s="79"/>
    </row>
    <row r="838" spans="1:8">
      <c r="A838" s="38"/>
      <c r="B838" s="54"/>
      <c r="C838" s="54"/>
      <c r="D838" s="54"/>
      <c r="E838" s="54"/>
      <c r="F838" s="56"/>
      <c r="G838" s="79"/>
      <c r="H838" s="79"/>
    </row>
    <row r="839" spans="1:8">
      <c r="A839" s="38"/>
      <c r="B839" s="54"/>
      <c r="C839" s="51"/>
      <c r="D839" s="53"/>
      <c r="E839" s="77"/>
      <c r="F839" s="56"/>
      <c r="G839" s="79"/>
      <c r="H839" s="79"/>
    </row>
    <row r="840" spans="1:8">
      <c r="A840" s="38"/>
      <c r="B840" s="54"/>
      <c r="C840" s="51"/>
      <c r="D840" s="53"/>
      <c r="E840" s="77"/>
      <c r="F840" s="56"/>
      <c r="G840" s="79"/>
      <c r="H840" s="79"/>
    </row>
    <row r="841" spans="1:8">
      <c r="A841" s="38"/>
      <c r="B841" s="54"/>
      <c r="C841" s="54"/>
      <c r="D841" s="54"/>
      <c r="E841" s="54"/>
      <c r="F841" s="56"/>
      <c r="G841" s="79"/>
      <c r="H841" s="79"/>
    </row>
    <row r="842" spans="1:8">
      <c r="A842" s="38"/>
      <c r="B842" s="33"/>
      <c r="C842" s="77"/>
      <c r="D842" s="54"/>
      <c r="E842" s="77"/>
      <c r="F842" s="56"/>
      <c r="G842" s="79"/>
      <c r="H842" s="79"/>
    </row>
    <row r="843" spans="1:8">
      <c r="A843" s="38"/>
      <c r="B843" s="33"/>
      <c r="C843" s="54"/>
      <c r="D843" s="54"/>
      <c r="E843" s="54"/>
      <c r="F843" s="56"/>
      <c r="G843" s="79"/>
      <c r="H843" s="79"/>
    </row>
    <row r="844" spans="1:8">
      <c r="A844" s="38"/>
      <c r="B844" s="54"/>
      <c r="C844" s="54"/>
      <c r="D844" s="54"/>
      <c r="E844" s="54"/>
      <c r="F844" s="56"/>
      <c r="G844" s="79"/>
      <c r="H844" s="79"/>
    </row>
    <row r="845" spans="1:8">
      <c r="A845" s="38"/>
      <c r="B845" s="54"/>
      <c r="C845" s="54"/>
      <c r="D845" s="54"/>
      <c r="E845" s="54"/>
      <c r="F845" s="56"/>
      <c r="G845" s="79"/>
      <c r="H845" s="79"/>
    </row>
    <row r="846" spans="1:8">
      <c r="A846" s="38"/>
      <c r="B846" s="54"/>
      <c r="C846" s="54"/>
      <c r="D846" s="54"/>
      <c r="E846" s="54"/>
      <c r="F846" s="56"/>
      <c r="G846" s="79"/>
      <c r="H846" s="79"/>
    </row>
    <row r="847" spans="1:8">
      <c r="A847" s="38"/>
      <c r="B847" s="54"/>
      <c r="C847" s="51"/>
      <c r="D847" s="53"/>
      <c r="E847" s="77"/>
      <c r="F847" s="56"/>
      <c r="G847" s="79"/>
      <c r="H847" s="79"/>
    </row>
    <row r="848" spans="1:8">
      <c r="A848" s="38"/>
      <c r="B848" s="54"/>
      <c r="C848" s="54"/>
      <c r="D848" s="54"/>
      <c r="E848" s="54"/>
      <c r="F848" s="56"/>
      <c r="G848" s="79"/>
      <c r="H848" s="79"/>
    </row>
    <row r="849" spans="1:8">
      <c r="A849" s="38"/>
      <c r="B849" s="54"/>
      <c r="C849" s="54"/>
      <c r="D849" s="54"/>
      <c r="E849" s="54"/>
      <c r="F849" s="56"/>
      <c r="G849" s="79"/>
      <c r="H849" s="79"/>
    </row>
    <row r="850" spans="1:8">
      <c r="A850" s="38"/>
      <c r="B850" s="54"/>
      <c r="C850" s="51"/>
      <c r="D850" s="53"/>
      <c r="E850" s="77"/>
      <c r="F850" s="56"/>
      <c r="G850" s="79"/>
      <c r="H850" s="79"/>
    </row>
    <row r="851" spans="1:8">
      <c r="A851" s="38"/>
      <c r="B851" s="54"/>
      <c r="C851" s="51"/>
      <c r="D851" s="53"/>
      <c r="E851" s="77"/>
      <c r="F851" s="56"/>
      <c r="G851" s="79"/>
      <c r="H851" s="79"/>
    </row>
    <row r="852" spans="1:8">
      <c r="A852" s="38"/>
      <c r="B852" s="54"/>
      <c r="C852" s="54"/>
      <c r="D852" s="54"/>
      <c r="E852" s="54"/>
      <c r="F852" s="56"/>
      <c r="G852" s="79"/>
      <c r="H852" s="79"/>
    </row>
    <row r="853" spans="1:8">
      <c r="A853" s="38"/>
      <c r="B853" s="33"/>
      <c r="C853" s="77"/>
      <c r="D853" s="54"/>
      <c r="E853" s="77"/>
      <c r="F853" s="56"/>
      <c r="G853" s="79"/>
      <c r="H853" s="79"/>
    </row>
    <row r="854" spans="1:8">
      <c r="A854" s="38"/>
      <c r="B854" s="33"/>
      <c r="C854" s="77"/>
      <c r="D854" s="54"/>
      <c r="E854" s="77"/>
      <c r="F854" s="56"/>
      <c r="G854" s="79"/>
      <c r="H854" s="79"/>
    </row>
    <row r="855" spans="1:8">
      <c r="A855" s="38"/>
      <c r="B855" s="33"/>
      <c r="C855" s="53"/>
      <c r="D855" s="53"/>
      <c r="E855" s="53"/>
      <c r="F855" s="56"/>
      <c r="G855" s="79"/>
      <c r="H855" s="79"/>
    </row>
    <row r="856" spans="1:8">
      <c r="A856" s="38"/>
      <c r="B856" s="54"/>
      <c r="C856" s="54"/>
      <c r="D856" s="54"/>
      <c r="E856" s="54"/>
      <c r="F856" s="56"/>
      <c r="G856" s="50"/>
      <c r="H856" s="79"/>
    </row>
    <row r="857" spans="1:8">
      <c r="A857" s="38"/>
      <c r="B857" s="54"/>
      <c r="C857" s="54"/>
      <c r="D857" s="54"/>
      <c r="E857" s="54"/>
      <c r="F857" s="56"/>
      <c r="G857" s="50"/>
      <c r="H857" s="79"/>
    </row>
    <row r="858" spans="1:8">
      <c r="A858" s="38"/>
      <c r="B858" s="54"/>
      <c r="C858" s="77"/>
      <c r="D858" s="53"/>
      <c r="E858" s="77"/>
      <c r="F858" s="56"/>
      <c r="G858" s="79"/>
      <c r="H858" s="79"/>
    </row>
    <row r="859" spans="1:8">
      <c r="A859" s="38"/>
      <c r="B859" s="33"/>
      <c r="C859" s="77"/>
      <c r="D859" s="54"/>
      <c r="E859" s="77"/>
      <c r="F859" s="56"/>
      <c r="G859" s="79"/>
      <c r="H859" s="79"/>
    </row>
    <row r="860" spans="1:8">
      <c r="A860" s="38"/>
      <c r="B860" s="33"/>
      <c r="C860" s="77"/>
      <c r="D860" s="54"/>
      <c r="E860" s="77"/>
      <c r="F860" s="56"/>
      <c r="G860" s="79"/>
      <c r="H860" s="79"/>
    </row>
    <row r="861" spans="1:8">
      <c r="A861" s="38"/>
      <c r="B861" s="33"/>
      <c r="C861" s="51"/>
      <c r="D861" s="53"/>
      <c r="E861" s="77"/>
      <c r="F861" s="56"/>
      <c r="G861" s="79"/>
      <c r="H861" s="79"/>
    </row>
    <row r="862" spans="1:8">
      <c r="A862" s="38"/>
      <c r="B862" s="33"/>
      <c r="C862" s="77"/>
      <c r="D862" s="54"/>
      <c r="E862" s="77"/>
      <c r="F862" s="56"/>
      <c r="G862" s="79"/>
      <c r="H862" s="79"/>
    </row>
    <row r="863" spans="1:8">
      <c r="A863" s="38"/>
      <c r="B863" s="33"/>
      <c r="C863" s="77"/>
      <c r="D863" s="54"/>
      <c r="E863" s="77"/>
      <c r="F863" s="56"/>
      <c r="G863" s="79"/>
      <c r="H863" s="79"/>
    </row>
    <row r="864" spans="1:8">
      <c r="A864" s="38"/>
      <c r="B864" s="54"/>
      <c r="C864" s="54"/>
      <c r="D864" s="54"/>
      <c r="E864" s="53"/>
      <c r="F864" s="56"/>
      <c r="G864" s="79"/>
      <c r="H864" s="79"/>
    </row>
    <row r="865" spans="1:8">
      <c r="A865" s="38"/>
      <c r="B865" s="54"/>
      <c r="C865" s="53"/>
      <c r="D865" s="53"/>
      <c r="E865" s="53"/>
      <c r="F865" s="56"/>
      <c r="G865" s="79"/>
      <c r="H865" s="79"/>
    </row>
    <row r="866" spans="1:8">
      <c r="A866" s="38"/>
      <c r="B866" s="54"/>
      <c r="C866" s="51"/>
      <c r="D866" s="53"/>
      <c r="E866" s="77"/>
      <c r="F866" s="56"/>
      <c r="G866" s="79"/>
      <c r="H866" s="79"/>
    </row>
    <row r="867" spans="1:8">
      <c r="A867" s="38"/>
      <c r="B867" s="54"/>
      <c r="C867" s="54"/>
      <c r="D867" s="54"/>
      <c r="E867" s="54"/>
      <c r="F867" s="56"/>
      <c r="G867" s="79"/>
      <c r="H867" s="79"/>
    </row>
    <row r="868" spans="1:8">
      <c r="A868" s="38"/>
      <c r="B868" s="33"/>
      <c r="C868" s="77"/>
      <c r="D868" s="54"/>
      <c r="E868" s="77"/>
      <c r="F868" s="56"/>
      <c r="G868" s="79"/>
      <c r="H868" s="79"/>
    </row>
    <row r="869" spans="1:8">
      <c r="A869" s="38"/>
      <c r="B869" s="54"/>
      <c r="C869" s="54"/>
      <c r="D869" s="54"/>
      <c r="E869" s="54"/>
      <c r="F869" s="56"/>
      <c r="G869" s="79"/>
      <c r="H869" s="79"/>
    </row>
    <row r="870" spans="1:8">
      <c r="A870" s="38"/>
      <c r="B870" s="54"/>
      <c r="C870" s="54"/>
      <c r="D870" s="54"/>
      <c r="E870" s="54"/>
      <c r="F870" s="56"/>
      <c r="G870" s="79"/>
      <c r="H870" s="79"/>
    </row>
    <row r="871" spans="1:8">
      <c r="A871" s="38"/>
      <c r="B871" s="54"/>
      <c r="C871" s="54"/>
      <c r="D871" s="54"/>
      <c r="E871" s="54"/>
      <c r="F871" s="56"/>
      <c r="G871" s="79"/>
      <c r="H871" s="79"/>
    </row>
    <row r="872" spans="1:8">
      <c r="A872" s="38"/>
      <c r="B872" s="54"/>
      <c r="C872" s="54"/>
      <c r="D872" s="54"/>
      <c r="E872" s="54"/>
      <c r="F872" s="56"/>
      <c r="G872" s="79"/>
      <c r="H872" s="79"/>
    </row>
    <row r="873" spans="1:8">
      <c r="A873" s="38"/>
      <c r="B873" s="54"/>
      <c r="C873" s="53"/>
      <c r="D873" s="53"/>
      <c r="E873" s="53"/>
      <c r="F873" s="56"/>
      <c r="G873" s="79"/>
      <c r="H873" s="79"/>
    </row>
    <row r="874" spans="1:8">
      <c r="A874" s="38"/>
      <c r="B874" s="54"/>
      <c r="C874" s="51"/>
      <c r="D874" s="53"/>
      <c r="E874" s="77"/>
      <c r="F874" s="56"/>
      <c r="G874" s="79"/>
      <c r="H874" s="79"/>
    </row>
    <row r="875" spans="1:8">
      <c r="A875" s="38"/>
      <c r="B875" s="54"/>
      <c r="C875" s="51"/>
      <c r="D875" s="53"/>
      <c r="E875" s="77"/>
      <c r="F875" s="56"/>
      <c r="G875" s="79"/>
      <c r="H875" s="79"/>
    </row>
    <row r="876" spans="1:8">
      <c r="A876" s="38"/>
      <c r="B876" s="54"/>
      <c r="C876" s="51"/>
      <c r="D876" s="53"/>
      <c r="E876" s="77"/>
      <c r="F876" s="56"/>
      <c r="G876" s="79"/>
      <c r="H876" s="79"/>
    </row>
    <row r="877" spans="1:8">
      <c r="A877" s="38"/>
      <c r="B877" s="54"/>
      <c r="C877" s="51"/>
      <c r="D877" s="53"/>
      <c r="E877" s="77"/>
      <c r="F877" s="56"/>
      <c r="G877" s="79"/>
      <c r="H877" s="79"/>
    </row>
    <row r="878" spans="1:8">
      <c r="A878" s="38"/>
      <c r="B878" s="33"/>
      <c r="C878" s="51"/>
      <c r="D878" s="53"/>
      <c r="E878" s="77"/>
      <c r="F878" s="56"/>
      <c r="G878" s="79"/>
      <c r="H878" s="79"/>
    </row>
    <row r="879" spans="1:8">
      <c r="A879" s="38"/>
      <c r="B879" s="33"/>
      <c r="C879" s="77"/>
      <c r="D879" s="54"/>
      <c r="E879" s="77"/>
      <c r="F879" s="56"/>
      <c r="G879" s="79"/>
      <c r="H879" s="79"/>
    </row>
    <row r="880" spans="1:8">
      <c r="A880" s="38"/>
      <c r="B880" s="54"/>
      <c r="C880" s="54"/>
      <c r="D880" s="54"/>
      <c r="E880" s="54"/>
      <c r="F880" s="56"/>
      <c r="G880" s="79"/>
      <c r="H880" s="79"/>
    </row>
    <row r="881" spans="1:8">
      <c r="A881" s="38"/>
      <c r="B881" s="54"/>
      <c r="C881" s="54"/>
      <c r="D881" s="54"/>
      <c r="E881" s="54"/>
      <c r="F881" s="56"/>
      <c r="G881" s="79"/>
      <c r="H881" s="79"/>
    </row>
    <row r="882" spans="1:8">
      <c r="A882" s="38"/>
      <c r="B882" s="54"/>
      <c r="C882" s="54"/>
      <c r="D882" s="54"/>
      <c r="E882" s="54"/>
      <c r="F882" s="56"/>
      <c r="G882" s="79"/>
      <c r="H882" s="79"/>
    </row>
    <row r="883" spans="1:8">
      <c r="A883" s="38"/>
      <c r="B883" s="54"/>
      <c r="C883" s="54"/>
      <c r="D883" s="54"/>
      <c r="E883" s="54"/>
      <c r="F883" s="56"/>
      <c r="G883" s="79"/>
      <c r="H883" s="79"/>
    </row>
    <row r="884" spans="1:8">
      <c r="A884" s="38"/>
      <c r="B884" s="54"/>
      <c r="C884" s="54"/>
      <c r="D884" s="54"/>
      <c r="E884" s="54"/>
      <c r="F884" s="56"/>
      <c r="G884" s="79"/>
      <c r="H884" s="79"/>
    </row>
    <row r="885" spans="1:8">
      <c r="A885" s="38"/>
      <c r="B885" s="33"/>
      <c r="C885" s="54"/>
      <c r="D885" s="54"/>
      <c r="E885" s="54"/>
      <c r="F885" s="56"/>
      <c r="G885" s="79"/>
      <c r="H885" s="79"/>
    </row>
    <row r="886" spans="1:8">
      <c r="A886" s="38"/>
      <c r="B886" s="54"/>
      <c r="C886" s="54"/>
      <c r="D886" s="54"/>
      <c r="E886" s="54"/>
      <c r="F886" s="56"/>
      <c r="G886" s="79"/>
      <c r="H886" s="79"/>
    </row>
    <row r="887" spans="1:8" ht="18.75" customHeight="1">
      <c r="A887" s="71"/>
      <c r="B887" s="71"/>
      <c r="C887" s="71"/>
      <c r="D887" s="71"/>
      <c r="E887" s="71"/>
      <c r="F887" s="72"/>
      <c r="G887" s="79"/>
      <c r="H887" s="79"/>
    </row>
    <row r="888" spans="1:8">
      <c r="A888" s="38"/>
      <c r="B888" s="33"/>
      <c r="C888" s="77"/>
      <c r="D888" s="54"/>
      <c r="E888" s="77"/>
      <c r="F888" s="56"/>
      <c r="G888" s="79"/>
      <c r="H888" s="79"/>
    </row>
    <row r="889" spans="1:8">
      <c r="A889" s="38"/>
      <c r="B889" s="54"/>
      <c r="C889" s="51"/>
      <c r="D889" s="53"/>
      <c r="E889" s="77"/>
      <c r="F889" s="56"/>
      <c r="G889" s="79"/>
      <c r="H889" s="79"/>
    </row>
    <row r="890" spans="1:8">
      <c r="A890" s="38"/>
      <c r="B890" s="33"/>
      <c r="C890" s="77"/>
      <c r="D890" s="54"/>
      <c r="E890" s="77"/>
      <c r="F890" s="56"/>
      <c r="G890" s="79"/>
      <c r="H890" s="79"/>
    </row>
    <row r="891" spans="1:8">
      <c r="A891" s="38"/>
      <c r="B891" s="33"/>
      <c r="C891" s="77"/>
      <c r="D891" s="54"/>
      <c r="E891" s="77"/>
      <c r="F891" s="56"/>
      <c r="G891" s="79"/>
      <c r="H891" s="79"/>
    </row>
    <row r="892" spans="1:8">
      <c r="A892" s="38"/>
      <c r="B892" s="54"/>
      <c r="C892" s="54"/>
      <c r="D892" s="54"/>
      <c r="E892" s="54"/>
      <c r="F892" s="56"/>
      <c r="G892" s="79"/>
      <c r="H892" s="79"/>
    </row>
    <row r="893" spans="1:8">
      <c r="A893" s="38"/>
      <c r="B893" s="33"/>
      <c r="C893" s="77"/>
      <c r="D893" s="54"/>
      <c r="E893" s="77"/>
      <c r="F893" s="56"/>
      <c r="G893" s="79"/>
      <c r="H893" s="79"/>
    </row>
    <row r="894" spans="1:8">
      <c r="A894" s="38"/>
      <c r="B894" s="54"/>
      <c r="C894" s="54"/>
      <c r="D894" s="54"/>
      <c r="E894" s="54"/>
      <c r="F894" s="56"/>
      <c r="G894" s="79"/>
      <c r="H894" s="79"/>
    </row>
    <row r="895" spans="1:8">
      <c r="A895" s="38"/>
      <c r="B895" s="33"/>
      <c r="C895" s="77"/>
      <c r="D895" s="54"/>
      <c r="E895" s="77"/>
      <c r="F895" s="56"/>
      <c r="G895" s="79"/>
      <c r="H895" s="79"/>
    </row>
    <row r="896" spans="1:8">
      <c r="A896" s="38"/>
      <c r="B896" s="54"/>
      <c r="C896" s="54"/>
      <c r="D896" s="54"/>
      <c r="E896" s="54"/>
      <c r="F896" s="56"/>
      <c r="G896" s="79"/>
      <c r="H896" s="79"/>
    </row>
    <row r="897" spans="1:8">
      <c r="A897" s="38"/>
      <c r="B897" s="33"/>
      <c r="C897" s="51"/>
      <c r="D897" s="53"/>
      <c r="E897" s="77"/>
      <c r="F897" s="56"/>
      <c r="G897" s="79"/>
      <c r="H897" s="79"/>
    </row>
    <row r="898" spans="1:8">
      <c r="A898" s="38"/>
      <c r="B898" s="33"/>
      <c r="C898" s="77"/>
      <c r="D898" s="54"/>
      <c r="E898" s="77"/>
      <c r="F898" s="56"/>
      <c r="G898" s="79"/>
      <c r="H898" s="79"/>
    </row>
    <row r="899" spans="1:8">
      <c r="A899" s="38"/>
      <c r="B899" s="54"/>
      <c r="C899" s="54"/>
      <c r="D899" s="54"/>
      <c r="E899" s="54"/>
      <c r="F899" s="56"/>
      <c r="G899" s="79"/>
      <c r="H899" s="79"/>
    </row>
    <row r="900" spans="1:8">
      <c r="A900" s="38"/>
      <c r="B900" s="33"/>
      <c r="C900" s="54"/>
      <c r="D900" s="53"/>
      <c r="E900" s="77"/>
      <c r="F900" s="56"/>
      <c r="G900" s="79"/>
      <c r="H900" s="79"/>
    </row>
    <row r="901" spans="1:8">
      <c r="A901" s="38"/>
      <c r="B901" s="33"/>
      <c r="C901" s="51"/>
      <c r="D901" s="53"/>
      <c r="E901" s="77"/>
      <c r="F901" s="56"/>
      <c r="G901" s="79"/>
      <c r="H901" s="79"/>
    </row>
    <row r="902" spans="1:8">
      <c r="A902" s="38"/>
      <c r="B902" s="33"/>
      <c r="C902" s="51"/>
      <c r="D902" s="53"/>
      <c r="E902" s="77"/>
      <c r="F902" s="56"/>
      <c r="G902" s="79"/>
      <c r="H902" s="79"/>
    </row>
    <row r="903" spans="1:8">
      <c r="A903" s="38"/>
      <c r="B903" s="33"/>
      <c r="C903" s="77"/>
      <c r="D903" s="54"/>
      <c r="E903" s="77"/>
      <c r="F903" s="56"/>
      <c r="G903" s="79"/>
      <c r="H903" s="79"/>
    </row>
    <row r="904" spans="1:8">
      <c r="A904" s="38"/>
      <c r="B904" s="54"/>
      <c r="C904" s="51"/>
      <c r="D904" s="53"/>
      <c r="E904" s="77"/>
      <c r="F904" s="56"/>
      <c r="G904" s="79"/>
      <c r="H904" s="79"/>
    </row>
    <row r="905" spans="1:8">
      <c r="A905" s="38"/>
      <c r="B905" s="33"/>
      <c r="C905" s="77"/>
      <c r="D905" s="54"/>
      <c r="E905" s="77"/>
      <c r="F905" s="56"/>
      <c r="G905" s="79"/>
      <c r="H905" s="79"/>
    </row>
    <row r="906" spans="1:8">
      <c r="A906" s="38"/>
      <c r="B906" s="33"/>
      <c r="C906" s="77"/>
      <c r="D906" s="54"/>
      <c r="E906" s="77"/>
      <c r="F906" s="56"/>
      <c r="G906" s="79"/>
      <c r="H906" s="79"/>
    </row>
    <row r="907" spans="1:8">
      <c r="A907" s="38"/>
      <c r="B907" s="33"/>
      <c r="C907" s="77"/>
      <c r="D907" s="54"/>
      <c r="E907" s="77"/>
      <c r="F907" s="56"/>
      <c r="G907" s="79"/>
      <c r="H907" s="79"/>
    </row>
    <row r="908" spans="1:8">
      <c r="A908" s="38"/>
      <c r="B908" s="54"/>
      <c r="C908" s="54"/>
      <c r="D908" s="54"/>
      <c r="E908" s="54"/>
      <c r="F908" s="56"/>
      <c r="G908" s="79"/>
      <c r="H908" s="79"/>
    </row>
    <row r="909" spans="1:8">
      <c r="A909" s="38"/>
      <c r="B909" s="33"/>
      <c r="C909" s="77"/>
      <c r="D909" s="54"/>
      <c r="E909" s="77"/>
      <c r="F909" s="56"/>
      <c r="G909" s="79"/>
      <c r="H909" s="79"/>
    </row>
    <row r="910" spans="1:8">
      <c r="A910" s="38"/>
      <c r="B910" s="54"/>
      <c r="C910" s="54"/>
      <c r="D910" s="54"/>
      <c r="E910" s="54"/>
      <c r="F910" s="56"/>
      <c r="G910" s="79"/>
      <c r="H910" s="79"/>
    </row>
    <row r="911" spans="1:8">
      <c r="A911" s="38"/>
      <c r="B911" s="54"/>
      <c r="C911" s="54"/>
      <c r="D911" s="54"/>
      <c r="E911" s="54"/>
      <c r="F911" s="56"/>
      <c r="G911" s="79"/>
      <c r="H911" s="79"/>
    </row>
    <row r="912" spans="1:8">
      <c r="A912" s="38"/>
      <c r="B912" s="54"/>
      <c r="C912" s="54"/>
      <c r="D912" s="54"/>
      <c r="E912" s="54"/>
      <c r="F912" s="56"/>
      <c r="G912" s="79"/>
      <c r="H912" s="79"/>
    </row>
    <row r="913" spans="1:8">
      <c r="A913" s="38"/>
      <c r="B913" s="54"/>
      <c r="C913" s="51"/>
      <c r="D913" s="53"/>
      <c r="E913" s="77"/>
      <c r="F913" s="56"/>
      <c r="G913" s="79"/>
      <c r="H913" s="79"/>
    </row>
    <row r="914" spans="1:8">
      <c r="A914" s="38"/>
      <c r="B914" s="33"/>
      <c r="C914" s="77"/>
      <c r="D914" s="54"/>
      <c r="E914" s="77"/>
      <c r="F914" s="56"/>
      <c r="G914" s="79"/>
      <c r="H914" s="79"/>
    </row>
    <row r="915" spans="1:8">
      <c r="A915" s="38"/>
      <c r="B915" s="33"/>
      <c r="C915" s="54"/>
      <c r="D915" s="54"/>
      <c r="E915" s="54"/>
      <c r="F915" s="56"/>
      <c r="G915" s="54"/>
      <c r="H915" s="79"/>
    </row>
    <row r="916" spans="1:8">
      <c r="A916" s="38"/>
      <c r="B916" s="54"/>
      <c r="C916" s="54"/>
      <c r="D916" s="54"/>
      <c r="E916" s="54"/>
      <c r="F916" s="56"/>
      <c r="G916" s="79"/>
      <c r="H916" s="79"/>
    </row>
    <row r="917" spans="1:8">
      <c r="A917" s="38"/>
      <c r="B917" s="54"/>
      <c r="C917" s="54"/>
      <c r="D917" s="54"/>
      <c r="E917" s="54"/>
      <c r="F917" s="56"/>
      <c r="G917" s="79"/>
      <c r="H917" s="79"/>
    </row>
    <row r="918" spans="1:8">
      <c r="A918" s="38"/>
      <c r="B918" s="54"/>
      <c r="C918" s="54"/>
      <c r="D918" s="54"/>
      <c r="E918" s="54"/>
      <c r="F918" s="56"/>
      <c r="G918" s="79"/>
      <c r="H918" s="79"/>
    </row>
    <row r="919" spans="1:8">
      <c r="A919" s="38"/>
      <c r="B919" s="33"/>
      <c r="C919" s="77"/>
      <c r="D919" s="54"/>
      <c r="E919" s="77"/>
      <c r="F919" s="56"/>
      <c r="G919" s="79"/>
      <c r="H919" s="79"/>
    </row>
    <row r="920" spans="1:8">
      <c r="A920" s="38"/>
      <c r="B920" s="54"/>
      <c r="C920" s="51"/>
      <c r="D920" s="53"/>
      <c r="E920" s="77"/>
      <c r="F920" s="56"/>
      <c r="G920" s="79"/>
      <c r="H920" s="79"/>
    </row>
    <row r="921" spans="1:8">
      <c r="A921" s="38"/>
      <c r="B921" s="54"/>
      <c r="C921" s="54"/>
      <c r="D921" s="54"/>
      <c r="E921" s="54"/>
      <c r="F921" s="56"/>
      <c r="G921" s="79"/>
      <c r="H921" s="79"/>
    </row>
    <row r="922" spans="1:8">
      <c r="A922" s="38"/>
      <c r="B922" s="54"/>
      <c r="C922" s="77"/>
      <c r="D922" s="54"/>
      <c r="E922" s="54"/>
      <c r="F922" s="56"/>
      <c r="G922" s="79"/>
      <c r="H922" s="79"/>
    </row>
    <row r="923" spans="1:8">
      <c r="A923" s="38"/>
      <c r="B923" s="54"/>
      <c r="C923" s="54"/>
      <c r="D923" s="54"/>
      <c r="E923" s="54"/>
      <c r="F923" s="56"/>
      <c r="G923" s="79"/>
      <c r="H923" s="79"/>
    </row>
    <row r="924" spans="1:8">
      <c r="A924" s="38"/>
      <c r="B924" s="33"/>
      <c r="C924" s="54"/>
      <c r="D924" s="54"/>
      <c r="E924" s="54"/>
      <c r="F924" s="56"/>
      <c r="G924" s="79"/>
      <c r="H924" s="79"/>
    </row>
    <row r="925" spans="1:8">
      <c r="A925" s="38"/>
      <c r="B925" s="33"/>
      <c r="C925" s="77"/>
      <c r="D925" s="54"/>
      <c r="E925" s="77"/>
      <c r="F925" s="56"/>
      <c r="G925" s="79"/>
      <c r="H925" s="79"/>
    </row>
    <row r="926" spans="1:8">
      <c r="A926" s="38"/>
      <c r="B926" s="54"/>
      <c r="C926" s="53"/>
      <c r="D926" s="53"/>
      <c r="E926" s="53"/>
      <c r="F926" s="56"/>
      <c r="G926" s="79"/>
      <c r="H926" s="79"/>
    </row>
    <row r="927" spans="1:8">
      <c r="A927" s="38"/>
      <c r="B927" s="54"/>
      <c r="C927" s="51"/>
      <c r="D927" s="53"/>
      <c r="E927" s="77"/>
      <c r="F927" s="56"/>
      <c r="G927" s="79"/>
      <c r="H927" s="79"/>
    </row>
    <row r="928" spans="1:8">
      <c r="A928" s="38"/>
      <c r="B928" s="54"/>
      <c r="C928" s="51"/>
      <c r="D928" s="53"/>
      <c r="E928" s="77"/>
      <c r="F928" s="56"/>
      <c r="G928" s="79"/>
      <c r="H928" s="79"/>
    </row>
    <row r="929" spans="1:8">
      <c r="A929" s="38"/>
      <c r="B929" s="54"/>
      <c r="C929" s="51"/>
      <c r="D929" s="53"/>
      <c r="E929" s="77"/>
      <c r="F929" s="56"/>
      <c r="G929" s="79"/>
      <c r="H929" s="79"/>
    </row>
    <row r="930" spans="1:8">
      <c r="A930" s="38"/>
      <c r="B930" s="54"/>
      <c r="C930" s="51"/>
      <c r="D930" s="53"/>
      <c r="E930" s="77"/>
      <c r="F930" s="56"/>
      <c r="G930" s="79"/>
      <c r="H930" s="79"/>
    </row>
    <row r="931" spans="1:8">
      <c r="A931" s="38"/>
      <c r="B931" s="33"/>
      <c r="C931" s="51"/>
      <c r="D931" s="53"/>
      <c r="E931" s="77"/>
      <c r="F931" s="56"/>
      <c r="G931" s="54"/>
      <c r="H931" s="79"/>
    </row>
    <row r="932" spans="1:8">
      <c r="A932" s="38"/>
      <c r="B932" s="54"/>
      <c r="C932" s="51"/>
      <c r="D932" s="53"/>
      <c r="E932" s="77"/>
      <c r="F932" s="56"/>
      <c r="G932" s="79"/>
      <c r="H932" s="79"/>
    </row>
    <row r="933" spans="1:8">
      <c r="A933" s="38"/>
      <c r="B933" s="33"/>
      <c r="C933" s="54"/>
      <c r="D933" s="54"/>
      <c r="E933" s="54"/>
      <c r="F933" s="56"/>
      <c r="G933" s="79"/>
      <c r="H933" s="79"/>
    </row>
    <row r="934" spans="1:8">
      <c r="A934" s="38"/>
      <c r="B934" s="54"/>
      <c r="C934" s="51"/>
      <c r="D934" s="53"/>
      <c r="E934" s="77"/>
      <c r="F934" s="56"/>
      <c r="G934" s="79"/>
      <c r="H934" s="79"/>
    </row>
    <row r="935" spans="1:8">
      <c r="A935" s="38"/>
      <c r="B935" s="54"/>
      <c r="C935" s="54"/>
      <c r="D935" s="54"/>
      <c r="E935" s="54"/>
      <c r="F935" s="56"/>
      <c r="G935" s="79"/>
      <c r="H935" s="79"/>
    </row>
    <row r="936" spans="1:8">
      <c r="A936" s="38"/>
      <c r="B936" s="54"/>
      <c r="C936" s="53"/>
      <c r="D936" s="53"/>
      <c r="E936" s="53"/>
      <c r="F936" s="56"/>
      <c r="G936" s="79"/>
      <c r="H936" s="79"/>
    </row>
    <row r="937" spans="1:8">
      <c r="A937" s="38"/>
      <c r="B937" s="33"/>
      <c r="C937" s="77"/>
      <c r="D937" s="54"/>
      <c r="E937" s="77"/>
      <c r="F937" s="56"/>
      <c r="G937" s="79"/>
      <c r="H937" s="79"/>
    </row>
    <row r="938" spans="1:8">
      <c r="A938" s="38"/>
      <c r="B938" s="33"/>
      <c r="C938" s="77"/>
      <c r="D938" s="54"/>
      <c r="E938" s="77"/>
      <c r="F938" s="56"/>
      <c r="G938" s="79"/>
      <c r="H938" s="79"/>
    </row>
    <row r="939" spans="1:8">
      <c r="A939" s="38"/>
      <c r="B939" s="54"/>
      <c r="C939" s="51"/>
      <c r="D939" s="53"/>
      <c r="E939" s="77"/>
      <c r="F939" s="56"/>
      <c r="G939" s="79"/>
      <c r="H939" s="79"/>
    </row>
    <row r="940" spans="1:8">
      <c r="A940" s="38"/>
      <c r="B940" s="33"/>
      <c r="C940" s="54"/>
      <c r="D940" s="54"/>
      <c r="E940" s="54"/>
      <c r="F940" s="56"/>
      <c r="G940" s="79"/>
      <c r="H940" s="79"/>
    </row>
    <row r="941" spans="1:8">
      <c r="A941" s="38"/>
      <c r="B941" s="33"/>
      <c r="C941" s="54"/>
      <c r="D941" s="54"/>
      <c r="E941" s="54"/>
      <c r="F941" s="56"/>
      <c r="G941" s="79"/>
      <c r="H941" s="79"/>
    </row>
    <row r="942" spans="1:8">
      <c r="A942" s="38"/>
      <c r="B942" s="54"/>
      <c r="C942" s="51"/>
      <c r="D942" s="53"/>
      <c r="E942" s="77"/>
      <c r="F942" s="56"/>
      <c r="G942" s="79"/>
      <c r="H942" s="79"/>
    </row>
    <row r="943" spans="1:8">
      <c r="A943" s="38"/>
      <c r="B943" s="33"/>
      <c r="C943" s="77"/>
      <c r="D943" s="54"/>
      <c r="E943" s="77"/>
      <c r="F943" s="56"/>
      <c r="G943" s="79"/>
      <c r="H943" s="79"/>
    </row>
    <row r="944" spans="1:8">
      <c r="A944" s="38"/>
      <c r="B944" s="33"/>
      <c r="C944" s="77"/>
      <c r="D944" s="54"/>
      <c r="E944" s="77"/>
      <c r="F944" s="56"/>
      <c r="G944" s="79"/>
      <c r="H944" s="79"/>
    </row>
    <row r="945" spans="1:8">
      <c r="A945" s="38"/>
      <c r="B945" s="33"/>
      <c r="C945" s="77"/>
      <c r="D945" s="54"/>
      <c r="E945" s="77"/>
      <c r="F945" s="56"/>
      <c r="G945" s="79"/>
      <c r="H945" s="79"/>
    </row>
    <row r="946" spans="1:8">
      <c r="A946" s="38"/>
      <c r="B946" s="54"/>
      <c r="C946" s="53"/>
      <c r="D946" s="53"/>
      <c r="E946" s="53"/>
      <c r="F946" s="56"/>
      <c r="G946" s="79"/>
      <c r="H946" s="79"/>
    </row>
    <row r="947" spans="1:8">
      <c r="A947" s="38"/>
      <c r="B947" s="54"/>
      <c r="C947" s="53"/>
      <c r="D947" s="53"/>
      <c r="E947" s="53"/>
      <c r="F947" s="56"/>
      <c r="G947" s="79"/>
      <c r="H947" s="79"/>
    </row>
    <row r="948" spans="1:8">
      <c r="A948" s="38"/>
      <c r="B948" s="54"/>
      <c r="C948" s="53"/>
      <c r="D948" s="53"/>
      <c r="E948" s="53"/>
      <c r="F948" s="56"/>
      <c r="G948" s="79"/>
      <c r="H948" s="79"/>
    </row>
    <row r="949" spans="1:8">
      <c r="A949" s="38"/>
      <c r="B949" s="54"/>
      <c r="C949" s="54"/>
      <c r="D949" s="54"/>
      <c r="E949" s="54"/>
      <c r="F949" s="56"/>
      <c r="G949" s="79"/>
      <c r="H949" s="79"/>
    </row>
    <row r="950" spans="1:8">
      <c r="A950" s="38"/>
      <c r="B950" s="54"/>
      <c r="C950" s="54"/>
      <c r="D950" s="54"/>
      <c r="E950" s="54"/>
      <c r="F950" s="56"/>
      <c r="G950" s="79"/>
      <c r="H950" s="79"/>
    </row>
    <row r="951" spans="1:8">
      <c r="A951" s="54"/>
      <c r="B951" s="54"/>
      <c r="C951" s="53"/>
      <c r="D951" s="53"/>
      <c r="E951" s="53"/>
      <c r="F951" s="56"/>
      <c r="G951" s="79"/>
      <c r="H951" s="79"/>
    </row>
    <row r="952" spans="1:8">
      <c r="A952" s="54"/>
      <c r="B952" s="54"/>
      <c r="C952" s="53"/>
      <c r="D952" s="53"/>
      <c r="E952" s="53"/>
      <c r="F952" s="56"/>
      <c r="G952" s="79"/>
      <c r="H952" s="79"/>
    </row>
    <row r="953" spans="1:8">
      <c r="A953" s="54"/>
      <c r="B953" s="33"/>
      <c r="C953" s="77"/>
      <c r="D953" s="54"/>
      <c r="E953" s="77"/>
      <c r="F953" s="56"/>
      <c r="G953" s="79"/>
      <c r="H953" s="79"/>
    </row>
    <row r="954" spans="1:8">
      <c r="A954" s="54"/>
      <c r="B954" s="33"/>
      <c r="C954" s="77"/>
      <c r="D954" s="54"/>
      <c r="E954" s="77"/>
      <c r="F954" s="56"/>
      <c r="G954" s="79"/>
      <c r="H954" s="79"/>
    </row>
    <row r="955" spans="1:8">
      <c r="A955" s="54"/>
      <c r="B955" s="33"/>
      <c r="C955" s="77"/>
      <c r="D955" s="54"/>
      <c r="E955" s="77"/>
      <c r="F955" s="56"/>
      <c r="G955" s="79"/>
      <c r="H955" s="79"/>
    </row>
    <row r="956" spans="1:8">
      <c r="A956" s="54"/>
      <c r="B956" s="54"/>
      <c r="C956" s="54"/>
      <c r="D956" s="54"/>
      <c r="E956" s="54"/>
      <c r="F956" s="56"/>
      <c r="G956" s="79"/>
      <c r="H956" s="79"/>
    </row>
    <row r="957" spans="1:8">
      <c r="A957" s="54"/>
      <c r="B957" s="54"/>
      <c r="C957" s="51"/>
      <c r="D957" s="53"/>
      <c r="E957" s="77"/>
      <c r="F957" s="56"/>
      <c r="G957" s="79"/>
      <c r="H957" s="79"/>
    </row>
    <row r="958" spans="1:8">
      <c r="A958" s="38"/>
      <c r="B958" s="33"/>
      <c r="C958" s="77"/>
      <c r="D958" s="54"/>
      <c r="E958" s="77"/>
      <c r="F958" s="56"/>
      <c r="G958" s="79"/>
      <c r="H958" s="79"/>
    </row>
    <row r="959" spans="1:8">
      <c r="A959" s="54"/>
      <c r="B959" s="33"/>
      <c r="C959" s="51"/>
      <c r="D959" s="53"/>
      <c r="E959" s="77"/>
      <c r="F959" s="56"/>
      <c r="G959" s="79"/>
      <c r="H959" s="79"/>
    </row>
    <row r="960" spans="1:8">
      <c r="A960" s="54"/>
      <c r="B960" s="54"/>
      <c r="C960" s="51"/>
      <c r="D960" s="53"/>
      <c r="E960" s="77"/>
      <c r="F960" s="56"/>
      <c r="G960" s="79"/>
      <c r="H960" s="79"/>
    </row>
    <row r="961" spans="1:8">
      <c r="A961" s="54"/>
      <c r="B961" s="54"/>
      <c r="C961" s="51"/>
      <c r="D961" s="53"/>
      <c r="E961" s="77"/>
      <c r="F961" s="56"/>
      <c r="G961" s="79"/>
      <c r="H961" s="79"/>
    </row>
    <row r="962" spans="1:8">
      <c r="A962" s="38"/>
      <c r="B962" s="54"/>
      <c r="C962" s="51"/>
      <c r="D962" s="53"/>
      <c r="E962" s="77"/>
      <c r="F962" s="56"/>
      <c r="G962" s="79"/>
      <c r="H962" s="79"/>
    </row>
    <row r="963" spans="1:8">
      <c r="A963" s="38"/>
      <c r="B963" s="33"/>
      <c r="C963" s="54"/>
      <c r="D963" s="54"/>
      <c r="E963" s="54"/>
      <c r="F963" s="56"/>
      <c r="G963" s="79"/>
      <c r="H963" s="79"/>
    </row>
    <row r="964" spans="1:8">
      <c r="A964" s="38"/>
      <c r="B964" s="54"/>
      <c r="C964" s="53"/>
      <c r="D964" s="53"/>
      <c r="E964" s="53"/>
      <c r="F964" s="56"/>
      <c r="G964" s="79"/>
      <c r="H964" s="79"/>
    </row>
    <row r="965" spans="1:8">
      <c r="A965" s="38"/>
      <c r="B965" s="54"/>
      <c r="C965" s="53"/>
      <c r="D965" s="53"/>
      <c r="E965" s="53"/>
      <c r="F965" s="56"/>
      <c r="G965" s="79"/>
      <c r="H965" s="79"/>
    </row>
    <row r="966" spans="1:8">
      <c r="A966" s="38"/>
      <c r="B966" s="33"/>
      <c r="C966" s="54"/>
      <c r="D966" s="54"/>
      <c r="E966" s="54"/>
      <c r="F966" s="56"/>
      <c r="G966" s="54"/>
      <c r="H966" s="79"/>
    </row>
    <row r="967" spans="1:8">
      <c r="A967" s="38"/>
      <c r="B967" s="33"/>
      <c r="C967" s="54"/>
      <c r="D967" s="54"/>
      <c r="E967" s="54"/>
      <c r="F967" s="56"/>
      <c r="G967" s="79"/>
      <c r="H967" s="79"/>
    </row>
    <row r="968" spans="1:8">
      <c r="A968" s="38"/>
      <c r="B968" s="33"/>
      <c r="C968" s="54"/>
      <c r="D968" s="54"/>
      <c r="E968" s="54"/>
      <c r="F968" s="56"/>
      <c r="G968" s="79"/>
      <c r="H968" s="79"/>
    </row>
    <row r="969" spans="1:8">
      <c r="A969" s="38"/>
      <c r="B969" s="33"/>
      <c r="C969" s="77"/>
      <c r="D969" s="54"/>
      <c r="E969" s="77"/>
      <c r="F969" s="56"/>
      <c r="G969" s="79"/>
      <c r="H969" s="79"/>
    </row>
    <row r="970" spans="1:8">
      <c r="A970" s="38"/>
      <c r="B970" s="33"/>
      <c r="C970" s="77"/>
      <c r="D970" s="54"/>
      <c r="E970" s="77"/>
      <c r="F970" s="56"/>
      <c r="G970" s="79"/>
      <c r="H970" s="79"/>
    </row>
    <row r="971" spans="1:8">
      <c r="A971" s="38"/>
      <c r="B971" s="33"/>
      <c r="C971" s="77"/>
      <c r="D971" s="54"/>
      <c r="E971" s="77"/>
      <c r="F971" s="56"/>
      <c r="G971" s="79"/>
      <c r="H971" s="79"/>
    </row>
    <row r="972" spans="1:8">
      <c r="A972" s="38"/>
      <c r="B972" s="54"/>
      <c r="C972" s="54"/>
      <c r="D972" s="54"/>
      <c r="E972" s="54"/>
      <c r="F972" s="56"/>
      <c r="G972" s="79"/>
      <c r="H972" s="79"/>
    </row>
    <row r="973" spans="1:8" ht="18.75" customHeight="1">
      <c r="A973" s="71"/>
      <c r="B973" s="71"/>
      <c r="C973" s="71"/>
      <c r="D973" s="71"/>
      <c r="E973" s="71"/>
      <c r="F973" s="72"/>
      <c r="G973" s="79"/>
      <c r="H973" s="79"/>
    </row>
    <row r="974" spans="1:8">
      <c r="A974" s="38"/>
      <c r="B974" s="33"/>
      <c r="C974" s="51"/>
      <c r="D974" s="54"/>
      <c r="E974" s="54"/>
      <c r="F974" s="56"/>
      <c r="G974" s="79"/>
      <c r="H974" s="79"/>
    </row>
    <row r="975" spans="1:8">
      <c r="A975" s="38"/>
      <c r="B975" s="54"/>
      <c r="C975" s="53"/>
      <c r="D975" s="53"/>
      <c r="E975" s="53"/>
      <c r="F975" s="56"/>
      <c r="G975" s="79"/>
      <c r="H975" s="79"/>
    </row>
    <row r="976" spans="1:8">
      <c r="A976" s="38"/>
      <c r="B976" s="54"/>
      <c r="C976" s="53"/>
      <c r="D976" s="53"/>
      <c r="E976" s="53"/>
      <c r="F976" s="56"/>
      <c r="G976" s="79"/>
      <c r="H976" s="79"/>
    </row>
    <row r="977" spans="1:8">
      <c r="A977" s="38"/>
      <c r="B977" s="54"/>
      <c r="C977" s="53"/>
      <c r="D977" s="53"/>
      <c r="E977" s="53"/>
      <c r="F977" s="56"/>
      <c r="G977" s="79"/>
      <c r="H977" s="79"/>
    </row>
    <row r="978" spans="1:8">
      <c r="A978" s="38"/>
      <c r="B978" s="33"/>
      <c r="C978" s="54"/>
      <c r="D978" s="54"/>
      <c r="E978" s="54"/>
      <c r="F978" s="56"/>
      <c r="G978" s="79"/>
      <c r="H978" s="79"/>
    </row>
    <row r="979" spans="1:8">
      <c r="A979" s="38"/>
      <c r="B979" s="54"/>
      <c r="C979" s="51"/>
      <c r="D979" s="53"/>
      <c r="E979" s="77"/>
      <c r="F979" s="56"/>
      <c r="G979" s="79"/>
      <c r="H979" s="79"/>
    </row>
    <row r="980" spans="1:8">
      <c r="A980" s="38"/>
      <c r="B980" s="54"/>
      <c r="C980" s="51"/>
      <c r="D980" s="53"/>
      <c r="E980" s="77"/>
      <c r="F980" s="56"/>
      <c r="G980" s="79"/>
      <c r="H980" s="79"/>
    </row>
    <row r="981" spans="1:8">
      <c r="A981" s="38"/>
      <c r="B981" s="33"/>
      <c r="C981" s="54"/>
      <c r="D981" s="54"/>
      <c r="E981" s="54"/>
      <c r="F981" s="56"/>
      <c r="G981" s="79"/>
      <c r="H981" s="79"/>
    </row>
    <row r="982" spans="1:8">
      <c r="A982" s="38"/>
      <c r="B982" s="54"/>
      <c r="C982" s="53"/>
      <c r="D982" s="53"/>
      <c r="E982" s="53"/>
      <c r="F982" s="56"/>
      <c r="G982" s="79"/>
      <c r="H982" s="79"/>
    </row>
    <row r="983" spans="1:8">
      <c r="A983" s="38"/>
      <c r="B983" s="54"/>
      <c r="C983" s="53"/>
      <c r="D983" s="53"/>
      <c r="E983" s="53"/>
      <c r="F983" s="56"/>
      <c r="G983" s="79"/>
      <c r="H983" s="79"/>
    </row>
    <row r="984" spans="1:8">
      <c r="A984" s="38"/>
      <c r="B984" s="54"/>
      <c r="C984" s="54"/>
      <c r="D984" s="54"/>
      <c r="E984" s="54"/>
      <c r="F984" s="56"/>
      <c r="G984" s="79"/>
      <c r="H984" s="79"/>
    </row>
    <row r="985" spans="1:8">
      <c r="A985" s="38"/>
      <c r="B985" s="33"/>
      <c r="C985" s="51"/>
      <c r="D985" s="54"/>
      <c r="E985" s="54"/>
      <c r="F985" s="56"/>
      <c r="G985" s="79"/>
      <c r="H985" s="79"/>
    </row>
    <row r="986" spans="1:8">
      <c r="A986" s="38"/>
      <c r="B986" s="33"/>
      <c r="C986" s="51"/>
      <c r="D986" s="54"/>
      <c r="E986" s="54"/>
      <c r="F986" s="56"/>
      <c r="G986" s="79"/>
      <c r="H986" s="79"/>
    </row>
    <row r="987" spans="1:8">
      <c r="A987" s="38"/>
      <c r="B987" s="33"/>
      <c r="C987" s="54"/>
      <c r="D987" s="54"/>
      <c r="E987" s="54"/>
      <c r="F987" s="56"/>
      <c r="G987" s="79"/>
      <c r="H987" s="79"/>
    </row>
    <row r="988" spans="1:8">
      <c r="A988" s="38"/>
      <c r="B988" s="33"/>
      <c r="C988" s="51"/>
      <c r="D988" s="53"/>
      <c r="E988" s="77"/>
      <c r="F988" s="56"/>
      <c r="G988" s="79"/>
      <c r="H988" s="79"/>
    </row>
    <row r="989" spans="1:8">
      <c r="A989" s="38"/>
      <c r="B989" s="54"/>
      <c r="C989" s="51"/>
      <c r="D989" s="53"/>
      <c r="E989" s="77"/>
      <c r="F989" s="56"/>
      <c r="G989" s="79"/>
      <c r="H989" s="79"/>
    </row>
    <row r="990" spans="1:8">
      <c r="A990" s="38"/>
      <c r="B990" s="33"/>
      <c r="C990" s="54"/>
      <c r="D990" s="54"/>
      <c r="E990" s="54"/>
      <c r="F990" s="56"/>
      <c r="G990" s="79"/>
      <c r="H990" s="79"/>
    </row>
    <row r="991" spans="1:8">
      <c r="A991" s="38"/>
      <c r="B991" s="33"/>
      <c r="C991" s="54"/>
      <c r="D991" s="54"/>
      <c r="E991" s="54"/>
      <c r="F991" s="56"/>
      <c r="G991" s="54"/>
      <c r="H991" s="79"/>
    </row>
    <row r="992" spans="1:8">
      <c r="A992" s="38"/>
      <c r="B992" s="54"/>
      <c r="C992" s="54"/>
      <c r="D992" s="54"/>
      <c r="E992" s="54"/>
      <c r="F992" s="56"/>
      <c r="G992" s="54"/>
      <c r="H992" s="79"/>
    </row>
    <row r="993" spans="1:8">
      <c r="A993" s="38"/>
      <c r="B993" s="33"/>
      <c r="C993" s="54"/>
      <c r="D993" s="54"/>
      <c r="E993" s="54"/>
      <c r="F993" s="56"/>
      <c r="G993" s="54"/>
      <c r="H993" s="79"/>
    </row>
    <row r="994" spans="1:8">
      <c r="A994" s="38"/>
      <c r="B994" s="33"/>
      <c r="C994" s="54"/>
      <c r="D994" s="54"/>
      <c r="E994" s="54"/>
      <c r="F994" s="56"/>
      <c r="G994" s="79"/>
      <c r="H994" s="79"/>
    </row>
    <row r="995" spans="1:8">
      <c r="A995" s="38"/>
      <c r="B995" s="33"/>
      <c r="C995" s="54"/>
      <c r="D995" s="54"/>
      <c r="E995" s="54"/>
      <c r="F995" s="56"/>
      <c r="G995" s="79"/>
      <c r="H995" s="79"/>
    </row>
    <row r="996" spans="1:8">
      <c r="A996" s="38"/>
      <c r="B996" s="33"/>
      <c r="C996" s="51"/>
      <c r="D996" s="54"/>
      <c r="E996" s="54"/>
      <c r="F996" s="56"/>
      <c r="G996" s="79"/>
      <c r="H996" s="79"/>
    </row>
    <row r="997" spans="1:8">
      <c r="A997" s="38"/>
      <c r="B997" s="33"/>
      <c r="C997" s="51"/>
      <c r="D997" s="54"/>
      <c r="E997" s="54"/>
      <c r="F997" s="56"/>
      <c r="G997" s="79"/>
      <c r="H997" s="79"/>
    </row>
    <row r="998" spans="1:8">
      <c r="A998" s="38"/>
      <c r="B998" s="54"/>
      <c r="C998" s="53"/>
      <c r="D998" s="53"/>
      <c r="E998" s="53"/>
      <c r="F998" s="56"/>
      <c r="G998" s="79"/>
      <c r="H998" s="79"/>
    </row>
    <row r="999" spans="1:8">
      <c r="A999" s="38"/>
      <c r="B999" s="54"/>
      <c r="C999" s="54"/>
      <c r="D999" s="54"/>
      <c r="E999" s="54"/>
      <c r="F999" s="56"/>
      <c r="G999" s="79"/>
      <c r="H999" s="79"/>
    </row>
    <row r="1000" spans="1:8">
      <c r="A1000" s="38"/>
      <c r="B1000" s="33"/>
      <c r="C1000" s="54"/>
      <c r="D1000" s="54"/>
      <c r="E1000" s="54"/>
      <c r="F1000" s="56"/>
      <c r="G1000" s="79"/>
      <c r="H1000" s="79"/>
    </row>
    <row r="1001" spans="1:8">
      <c r="A1001" s="38"/>
      <c r="B1001" s="33"/>
      <c r="C1001" s="54"/>
      <c r="D1001" s="54"/>
      <c r="E1001" s="54"/>
      <c r="F1001" s="56"/>
      <c r="G1001" s="79"/>
      <c r="H1001" s="79"/>
    </row>
    <row r="1002" spans="1:8">
      <c r="A1002" s="38"/>
      <c r="B1002" s="33"/>
      <c r="C1002" s="54"/>
      <c r="D1002" s="54"/>
      <c r="E1002" s="54"/>
      <c r="F1002" s="56"/>
      <c r="G1002" s="79"/>
      <c r="H1002" s="79"/>
    </row>
    <row r="1003" spans="1:8">
      <c r="A1003" s="38"/>
      <c r="B1003" s="33"/>
      <c r="C1003" s="51"/>
      <c r="D1003" s="54"/>
      <c r="E1003" s="54"/>
      <c r="F1003" s="56"/>
      <c r="G1003" s="79"/>
      <c r="H1003" s="79"/>
    </row>
    <row r="1004" spans="1:8">
      <c r="A1004" s="38"/>
      <c r="B1004" s="33"/>
      <c r="C1004" s="54"/>
      <c r="D1004" s="54"/>
      <c r="E1004" s="54"/>
      <c r="F1004" s="56"/>
      <c r="G1004" s="79"/>
      <c r="H1004" s="79"/>
    </row>
    <row r="1005" spans="1:8">
      <c r="A1005" s="38"/>
      <c r="B1005" s="54"/>
      <c r="C1005" s="53"/>
      <c r="D1005" s="53"/>
      <c r="E1005" s="53"/>
      <c r="F1005" s="56"/>
      <c r="G1005" s="50"/>
      <c r="H1005" s="79"/>
    </row>
    <row r="1006" spans="1:8">
      <c r="A1006" s="38"/>
      <c r="B1006" s="54"/>
      <c r="C1006" s="51"/>
      <c r="D1006" s="53"/>
      <c r="E1006" s="53"/>
      <c r="F1006" s="56"/>
      <c r="G1006" s="79"/>
      <c r="H1006" s="79"/>
    </row>
    <row r="1007" spans="1:8">
      <c r="A1007" s="38"/>
      <c r="B1007" s="54"/>
      <c r="C1007" s="51"/>
      <c r="D1007" s="53"/>
      <c r="E1007" s="77"/>
      <c r="F1007" s="56"/>
      <c r="G1007" s="79"/>
      <c r="H1007" s="79"/>
    </row>
    <row r="1008" spans="1:8">
      <c r="A1008" s="38"/>
      <c r="B1008" s="33"/>
      <c r="C1008" s="54"/>
      <c r="D1008" s="54"/>
      <c r="E1008" s="54"/>
      <c r="F1008" s="56"/>
      <c r="G1008" s="54"/>
      <c r="H1008" s="79"/>
    </row>
    <row r="1009" spans="1:8">
      <c r="A1009" s="38"/>
      <c r="B1009" s="54"/>
      <c r="C1009" s="54"/>
      <c r="D1009" s="54"/>
      <c r="E1009" s="54"/>
      <c r="F1009" s="56"/>
      <c r="G1009" s="54"/>
      <c r="H1009" s="79"/>
    </row>
    <row r="1010" spans="1:8">
      <c r="A1010" s="38"/>
      <c r="B1010" s="33"/>
      <c r="C1010" s="54"/>
      <c r="D1010" s="54"/>
      <c r="E1010" s="54"/>
      <c r="F1010" s="56"/>
      <c r="G1010" s="54"/>
      <c r="H1010" s="79"/>
    </row>
    <row r="1011" spans="1:8">
      <c r="A1011" s="38"/>
      <c r="B1011" s="33"/>
      <c r="C1011" s="54"/>
      <c r="D1011" s="54"/>
      <c r="E1011" s="54"/>
      <c r="F1011" s="56"/>
      <c r="G1011" s="54"/>
      <c r="H1011" s="79"/>
    </row>
    <row r="1012" spans="1:8">
      <c r="A1012" s="38"/>
      <c r="B1012" s="33"/>
      <c r="C1012" s="54"/>
      <c r="D1012" s="54"/>
      <c r="E1012" s="54"/>
      <c r="F1012" s="56"/>
      <c r="G1012" s="79"/>
      <c r="H1012" s="79"/>
    </row>
    <row r="1013" spans="1:8">
      <c r="A1013" s="38"/>
      <c r="B1013" s="54"/>
      <c r="C1013" s="53"/>
      <c r="D1013" s="53"/>
      <c r="E1013" s="53"/>
      <c r="F1013" s="56"/>
      <c r="G1013" s="79"/>
      <c r="H1013" s="79"/>
    </row>
    <row r="1014" spans="1:8">
      <c r="A1014" s="38"/>
      <c r="B1014" s="54"/>
      <c r="C1014" s="53"/>
      <c r="D1014" s="53"/>
      <c r="E1014" s="53"/>
      <c r="F1014" s="56"/>
      <c r="G1014" s="79"/>
      <c r="H1014" s="79"/>
    </row>
    <row r="1015" spans="1:8">
      <c r="A1015" s="38"/>
      <c r="B1015" s="54"/>
      <c r="C1015" s="53"/>
      <c r="D1015" s="53"/>
      <c r="E1015" s="53"/>
      <c r="F1015" s="56"/>
      <c r="G1015" s="79"/>
      <c r="H1015" s="79"/>
    </row>
    <row r="1016" spans="1:8">
      <c r="A1016" s="38"/>
      <c r="B1016" s="54"/>
      <c r="C1016" s="53"/>
      <c r="D1016" s="53"/>
      <c r="E1016" s="53"/>
      <c r="F1016" s="56"/>
      <c r="G1016" s="79"/>
      <c r="H1016" s="79"/>
    </row>
    <row r="1017" spans="1:8">
      <c r="A1017" s="38"/>
      <c r="B1017" s="54"/>
      <c r="C1017" s="51"/>
      <c r="D1017" s="53"/>
      <c r="E1017" s="77"/>
      <c r="F1017" s="56"/>
      <c r="G1017" s="79"/>
      <c r="H1017" s="79"/>
    </row>
    <row r="1018" spans="1:8">
      <c r="A1018" s="38"/>
      <c r="B1018" s="54"/>
      <c r="C1018" s="54"/>
      <c r="D1018" s="54"/>
      <c r="E1018" s="54"/>
      <c r="F1018" s="56"/>
      <c r="G1018" s="54"/>
      <c r="H1018" s="79"/>
    </row>
    <row r="1019" spans="1:8">
      <c r="A1019" s="38"/>
      <c r="B1019" s="54"/>
      <c r="C1019" s="51"/>
      <c r="D1019" s="53"/>
      <c r="E1019" s="77"/>
      <c r="F1019" s="56"/>
      <c r="G1019" s="79"/>
      <c r="H1019" s="79"/>
    </row>
    <row r="1020" spans="1:8">
      <c r="A1020" s="38"/>
      <c r="B1020" s="33"/>
      <c r="C1020" s="54"/>
      <c r="D1020" s="54"/>
      <c r="E1020" s="54"/>
      <c r="F1020" s="56"/>
      <c r="G1020" s="79"/>
      <c r="H1020" s="79"/>
    </row>
    <row r="1021" spans="1:8">
      <c r="A1021" s="38"/>
      <c r="B1021" s="54"/>
      <c r="C1021" s="53"/>
      <c r="D1021" s="53"/>
      <c r="E1021" s="53"/>
      <c r="F1021" s="56"/>
      <c r="G1021" s="79"/>
      <c r="H1021" s="79"/>
    </row>
    <row r="1022" spans="1:8">
      <c r="A1022" s="38"/>
      <c r="B1022" s="54"/>
      <c r="C1022" s="53"/>
      <c r="D1022" s="53"/>
      <c r="E1022" s="53"/>
      <c r="F1022" s="56"/>
      <c r="G1022" s="79"/>
      <c r="H1022" s="79"/>
    </row>
    <row r="1023" spans="1:8">
      <c r="A1023" s="38"/>
      <c r="B1023" s="54"/>
      <c r="C1023" s="53"/>
      <c r="D1023" s="53"/>
      <c r="E1023" s="53"/>
      <c r="F1023" s="56"/>
      <c r="G1023" s="79"/>
      <c r="H1023" s="79"/>
    </row>
    <row r="1024" spans="1:8">
      <c r="A1024" s="38"/>
      <c r="B1024" s="54"/>
      <c r="C1024" s="51"/>
      <c r="D1024" s="53"/>
      <c r="E1024" s="77"/>
      <c r="F1024" s="56"/>
      <c r="G1024" s="79"/>
      <c r="H1024" s="79"/>
    </row>
    <row r="1025" spans="1:8">
      <c r="A1025" s="38"/>
      <c r="B1025" s="54"/>
      <c r="C1025" s="53"/>
      <c r="D1025" s="53"/>
      <c r="E1025" s="53"/>
      <c r="F1025" s="56"/>
      <c r="G1025" s="79"/>
      <c r="H1025" s="79"/>
    </row>
    <row r="1026" spans="1:8">
      <c r="A1026" s="38"/>
      <c r="B1026" s="54"/>
      <c r="C1026" s="53"/>
      <c r="D1026" s="53"/>
      <c r="E1026" s="53"/>
      <c r="F1026" s="56"/>
      <c r="G1026" s="79"/>
      <c r="H1026" s="79"/>
    </row>
    <row r="1027" spans="1:8">
      <c r="A1027" s="38"/>
      <c r="B1027" s="54"/>
      <c r="C1027" s="53"/>
      <c r="D1027" s="53"/>
      <c r="E1027" s="53"/>
      <c r="F1027" s="56"/>
      <c r="G1027" s="79"/>
      <c r="H1027" s="79"/>
    </row>
    <row r="1028" spans="1:8">
      <c r="A1028" s="38"/>
      <c r="B1028" s="54"/>
      <c r="C1028" s="51"/>
      <c r="D1028" s="53"/>
      <c r="E1028" s="77"/>
      <c r="F1028" s="56"/>
      <c r="G1028" s="79"/>
      <c r="H1028" s="79"/>
    </row>
    <row r="1029" spans="1:8">
      <c r="A1029" s="38"/>
      <c r="B1029" s="54"/>
      <c r="C1029" s="51"/>
      <c r="D1029" s="53"/>
      <c r="E1029" s="77"/>
      <c r="F1029" s="56"/>
      <c r="G1029" s="79"/>
      <c r="H1029" s="79"/>
    </row>
    <row r="1030" spans="1:8">
      <c r="A1030" s="38"/>
      <c r="B1030" s="33"/>
      <c r="C1030" s="54"/>
      <c r="D1030" s="54"/>
      <c r="E1030" s="54"/>
      <c r="F1030" s="56"/>
      <c r="G1030" s="79"/>
      <c r="H1030" s="79"/>
    </row>
    <row r="1031" spans="1:8">
      <c r="A1031" s="38"/>
      <c r="B1031" s="54"/>
      <c r="C1031" s="51"/>
      <c r="D1031" s="53"/>
      <c r="E1031" s="77"/>
      <c r="F1031" s="56"/>
      <c r="G1031" s="79"/>
      <c r="H1031" s="79"/>
    </row>
    <row r="1032" spans="1:8">
      <c r="A1032" s="38"/>
      <c r="B1032" s="54"/>
      <c r="C1032" s="53"/>
      <c r="D1032" s="53"/>
      <c r="E1032" s="53"/>
      <c r="F1032" s="56"/>
      <c r="G1032" s="79"/>
      <c r="H1032" s="79"/>
    </row>
    <row r="1033" spans="1:8">
      <c r="A1033" s="38"/>
      <c r="B1033" s="54"/>
      <c r="C1033" s="53"/>
      <c r="D1033" s="53"/>
      <c r="E1033" s="53"/>
      <c r="F1033" s="56"/>
      <c r="G1033" s="79"/>
      <c r="H1033" s="79"/>
    </row>
    <row r="1034" spans="1:8">
      <c r="A1034" s="38"/>
      <c r="B1034" s="54"/>
      <c r="C1034" s="53"/>
      <c r="D1034" s="53"/>
      <c r="E1034" s="53"/>
      <c r="F1034" s="56"/>
      <c r="G1034" s="79"/>
      <c r="H1034" s="79"/>
    </row>
    <row r="1035" spans="1:8">
      <c r="A1035" s="38"/>
      <c r="B1035" s="54"/>
      <c r="C1035" s="51"/>
      <c r="D1035" s="53"/>
      <c r="E1035" s="77"/>
      <c r="F1035" s="56"/>
      <c r="G1035" s="79"/>
      <c r="H1035" s="79"/>
    </row>
    <row r="1036" spans="1:8">
      <c r="A1036" s="38"/>
      <c r="B1036" s="33"/>
      <c r="C1036" s="54"/>
      <c r="D1036" s="54"/>
      <c r="E1036" s="54"/>
      <c r="F1036" s="56"/>
      <c r="G1036" s="79"/>
      <c r="H1036" s="79"/>
    </row>
    <row r="1037" spans="1:8">
      <c r="A1037" s="38"/>
      <c r="B1037" s="54"/>
      <c r="C1037" s="54"/>
      <c r="D1037" s="54"/>
      <c r="E1037" s="54"/>
      <c r="F1037" s="56"/>
      <c r="G1037" s="79"/>
      <c r="H1037" s="79"/>
    </row>
    <row r="1038" spans="1:8">
      <c r="A1038" s="38"/>
      <c r="B1038" s="33"/>
      <c r="C1038" s="54"/>
      <c r="D1038" s="54"/>
      <c r="E1038" s="54"/>
      <c r="F1038" s="56"/>
      <c r="G1038" s="54"/>
      <c r="H1038" s="79"/>
    </row>
    <row r="1039" spans="1:8">
      <c r="A1039" s="38"/>
      <c r="B1039" s="54"/>
      <c r="C1039" s="53"/>
      <c r="D1039" s="53"/>
      <c r="E1039" s="53"/>
      <c r="F1039" s="56"/>
      <c r="G1039" s="79"/>
      <c r="H1039" s="79"/>
    </row>
    <row r="1040" spans="1:8">
      <c r="A1040" s="38"/>
      <c r="B1040" s="54"/>
      <c r="C1040" s="53"/>
      <c r="D1040" s="53"/>
      <c r="E1040" s="53"/>
      <c r="F1040" s="56"/>
      <c r="G1040" s="79"/>
      <c r="H1040" s="79"/>
    </row>
    <row r="1041" spans="1:8">
      <c r="A1041" s="38"/>
      <c r="B1041" s="54"/>
      <c r="C1041" s="51"/>
      <c r="D1041" s="4"/>
      <c r="E1041" s="4"/>
      <c r="F1041" s="74"/>
      <c r="G1041" s="79"/>
      <c r="H1041" s="79"/>
    </row>
    <row r="1042" spans="1:8">
      <c r="A1042" s="38"/>
      <c r="B1042" s="54"/>
      <c r="C1042" s="51"/>
      <c r="D1042" s="4"/>
      <c r="E1042" s="4"/>
      <c r="F1042" s="74"/>
      <c r="G1042" s="79"/>
      <c r="H1042" s="79"/>
    </row>
    <row r="1043" spans="1:8">
      <c r="A1043" s="38"/>
      <c r="B1043" s="54"/>
      <c r="C1043" s="54"/>
      <c r="D1043" s="54"/>
      <c r="E1043" s="54"/>
      <c r="F1043" s="56"/>
      <c r="G1043" s="79"/>
      <c r="H1043" s="79"/>
    </row>
    <row r="1044" spans="1:8">
      <c r="A1044" s="38"/>
      <c r="B1044" s="54"/>
      <c r="C1044" s="53"/>
      <c r="D1044" s="53"/>
      <c r="E1044" s="53"/>
      <c r="F1044" s="74"/>
      <c r="G1044" s="79"/>
      <c r="H1044" s="79"/>
    </row>
    <row r="1045" spans="1:8">
      <c r="A1045" s="38"/>
      <c r="B1045" s="54"/>
      <c r="C1045" s="53"/>
      <c r="D1045" s="53"/>
      <c r="E1045" s="53"/>
      <c r="F1045" s="56"/>
      <c r="G1045" s="79"/>
      <c r="H1045" s="79"/>
    </row>
    <row r="1046" spans="1:8">
      <c r="A1046" s="38"/>
      <c r="B1046" s="33"/>
      <c r="C1046" s="54"/>
      <c r="D1046" s="54"/>
      <c r="E1046" s="54"/>
      <c r="F1046" s="56"/>
      <c r="G1046" s="79"/>
      <c r="H1046" s="79"/>
    </row>
    <row r="1047" spans="1:8">
      <c r="A1047" s="38"/>
      <c r="B1047" s="33"/>
      <c r="C1047" s="53"/>
      <c r="D1047" s="54"/>
      <c r="E1047" s="4"/>
      <c r="F1047" s="56"/>
      <c r="G1047" s="54"/>
      <c r="H1047" s="79"/>
    </row>
    <row r="1048" spans="1:8">
      <c r="A1048" s="38"/>
      <c r="B1048" s="33"/>
      <c r="C1048" s="54"/>
      <c r="D1048" s="54"/>
      <c r="E1048" s="54"/>
      <c r="F1048" s="56"/>
      <c r="G1048" s="79"/>
      <c r="H1048" s="79"/>
    </row>
    <row r="1049" spans="1:8">
      <c r="A1049" s="38"/>
      <c r="B1049" s="33"/>
      <c r="C1049" s="54"/>
      <c r="D1049" s="54"/>
      <c r="E1049" s="54"/>
      <c r="F1049" s="56"/>
      <c r="G1049" s="54"/>
      <c r="H1049" s="79"/>
    </row>
    <row r="1050" spans="1:8">
      <c r="A1050" s="38"/>
      <c r="B1050" s="54"/>
      <c r="C1050" s="53"/>
      <c r="D1050" s="53"/>
      <c r="E1050" s="53"/>
      <c r="F1050" s="56"/>
      <c r="G1050" s="50"/>
      <c r="H1050" s="79"/>
    </row>
    <row r="1051" spans="1:8">
      <c r="A1051" s="38"/>
      <c r="B1051" s="33"/>
      <c r="C1051" s="54"/>
      <c r="D1051" s="54"/>
      <c r="E1051" s="54"/>
      <c r="F1051" s="56"/>
      <c r="G1051" s="79"/>
      <c r="H1051" s="79"/>
    </row>
    <row r="1052" spans="1:8">
      <c r="A1052" s="38"/>
      <c r="B1052" s="33"/>
      <c r="C1052" s="54"/>
      <c r="D1052" s="54"/>
      <c r="E1052" s="54"/>
      <c r="F1052" s="56"/>
      <c r="G1052" s="79"/>
      <c r="H1052" s="79"/>
    </row>
    <row r="1053" spans="1:8">
      <c r="A1053" s="38"/>
      <c r="B1053" s="54"/>
      <c r="C1053" s="51"/>
      <c r="D1053" s="53"/>
      <c r="E1053" s="77"/>
      <c r="F1053" s="56"/>
      <c r="G1053" s="79"/>
      <c r="H1053" s="79"/>
    </row>
    <row r="1054" spans="1:8">
      <c r="A1054" s="38"/>
      <c r="B1054" s="54"/>
      <c r="C1054" s="51"/>
      <c r="D1054" s="53"/>
      <c r="E1054" s="77"/>
      <c r="F1054" s="56"/>
      <c r="G1054" s="79"/>
      <c r="H1054" s="79"/>
    </row>
    <row r="1055" spans="1:8">
      <c r="A1055" s="38"/>
      <c r="B1055" s="54"/>
      <c r="C1055" s="51"/>
      <c r="D1055" s="53"/>
      <c r="E1055" s="77"/>
      <c r="F1055" s="56"/>
      <c r="G1055" s="79"/>
      <c r="H1055" s="79"/>
    </row>
    <row r="1056" spans="1:8">
      <c r="A1056" s="38"/>
      <c r="B1056" s="54"/>
      <c r="C1056" s="51"/>
      <c r="D1056" s="53"/>
      <c r="E1056" s="77"/>
      <c r="F1056" s="56"/>
      <c r="G1056" s="79"/>
      <c r="H1056" s="79"/>
    </row>
    <row r="1057" spans="1:8">
      <c r="A1057" s="38"/>
      <c r="B1057" s="33"/>
      <c r="C1057" s="54"/>
      <c r="D1057" s="54"/>
      <c r="E1057" s="54"/>
      <c r="F1057" s="56"/>
      <c r="G1057" s="79"/>
      <c r="H1057" s="79"/>
    </row>
    <row r="1058" spans="1:8">
      <c r="A1058" s="38"/>
      <c r="B1058" s="54"/>
      <c r="C1058" s="53"/>
      <c r="D1058" s="53"/>
      <c r="E1058" s="53"/>
      <c r="F1058" s="56"/>
      <c r="G1058" s="79"/>
      <c r="H1058" s="79"/>
    </row>
    <row r="1059" spans="1:8">
      <c r="A1059" s="38"/>
      <c r="B1059" s="54"/>
      <c r="C1059" s="53"/>
      <c r="D1059" s="53"/>
      <c r="E1059" s="53"/>
      <c r="F1059" s="56"/>
      <c r="G1059" s="79"/>
      <c r="H1059" s="79"/>
    </row>
    <row r="1060" spans="1:8">
      <c r="A1060" s="38"/>
      <c r="B1060" s="54"/>
      <c r="C1060" s="53"/>
      <c r="D1060" s="53"/>
      <c r="E1060" s="53"/>
      <c r="F1060" s="56"/>
      <c r="G1060" s="79"/>
      <c r="H1060" s="79"/>
    </row>
    <row r="1061" spans="1:8">
      <c r="A1061" s="38"/>
      <c r="B1061" s="54"/>
      <c r="C1061" s="53"/>
      <c r="D1061" s="53"/>
      <c r="E1061" s="77"/>
      <c r="F1061" s="56"/>
      <c r="G1061" s="79"/>
      <c r="H1061" s="79"/>
    </row>
    <row r="1062" spans="1:8">
      <c r="A1062" s="38"/>
      <c r="B1062" s="33"/>
      <c r="C1062" s="54"/>
      <c r="D1062" s="54"/>
      <c r="E1062" s="54"/>
      <c r="F1062" s="56"/>
      <c r="G1062" s="79"/>
      <c r="H1062" s="79"/>
    </row>
    <row r="1063" spans="1:8">
      <c r="A1063" s="38"/>
      <c r="B1063" s="54"/>
      <c r="C1063" s="53"/>
      <c r="D1063" s="53"/>
      <c r="E1063" s="53"/>
      <c r="F1063" s="56"/>
      <c r="G1063" s="79"/>
      <c r="H1063" s="79"/>
    </row>
    <row r="1064" spans="1:8">
      <c r="A1064" s="38"/>
      <c r="B1064" s="54"/>
      <c r="C1064" s="53"/>
      <c r="D1064" s="53"/>
      <c r="E1064" s="53"/>
      <c r="F1064" s="56"/>
      <c r="G1064" s="79"/>
      <c r="H1064" s="79"/>
    </row>
    <row r="1065" spans="1:8">
      <c r="A1065" s="38"/>
      <c r="B1065" s="33"/>
      <c r="C1065" s="54"/>
      <c r="D1065" s="54"/>
      <c r="E1065" s="54"/>
      <c r="F1065" s="56"/>
      <c r="G1065" s="79"/>
      <c r="H1065" s="79"/>
    </row>
    <row r="1066" spans="1:8">
      <c r="A1066" s="38"/>
      <c r="B1066" s="54"/>
      <c r="C1066" s="53"/>
      <c r="D1066" s="53"/>
      <c r="E1066" s="77"/>
      <c r="F1066" s="56"/>
      <c r="G1066" s="79"/>
      <c r="H1066" s="79"/>
    </row>
    <row r="1067" spans="1:8">
      <c r="A1067" s="38"/>
      <c r="B1067" s="54"/>
      <c r="C1067" s="53"/>
      <c r="D1067" s="53"/>
      <c r="E1067" s="53"/>
      <c r="F1067" s="56"/>
      <c r="G1067" s="79"/>
      <c r="H1067" s="79"/>
    </row>
    <row r="1068" spans="1:8">
      <c r="A1068" s="38"/>
      <c r="B1068" s="54"/>
      <c r="C1068" s="53"/>
      <c r="D1068" s="53"/>
      <c r="E1068" s="53"/>
      <c r="F1068" s="56"/>
      <c r="G1068" s="79"/>
      <c r="H1068" s="79"/>
    </row>
    <row r="1069" spans="1:8">
      <c r="A1069" s="38"/>
      <c r="B1069" s="54"/>
      <c r="C1069" s="53"/>
      <c r="D1069" s="53"/>
      <c r="E1069" s="53"/>
      <c r="F1069" s="56"/>
      <c r="G1069" s="79"/>
      <c r="H1069" s="79"/>
    </row>
    <row r="1070" spans="1:8">
      <c r="A1070" s="38"/>
      <c r="B1070" s="54"/>
      <c r="C1070" s="53"/>
      <c r="D1070" s="53"/>
      <c r="E1070" s="53"/>
      <c r="F1070" s="56"/>
      <c r="G1070" s="79"/>
      <c r="H1070" s="79"/>
    </row>
    <row r="1071" spans="1:8">
      <c r="A1071" s="38"/>
      <c r="B1071" s="54"/>
      <c r="C1071" s="53"/>
      <c r="D1071" s="53"/>
      <c r="E1071" s="53"/>
      <c r="F1071" s="56"/>
      <c r="G1071" s="79"/>
      <c r="H1071" s="79"/>
    </row>
    <row r="1072" spans="1:8">
      <c r="A1072" s="38"/>
      <c r="B1072" s="33"/>
      <c r="C1072" s="53"/>
      <c r="D1072" s="53"/>
      <c r="E1072" s="53"/>
      <c r="F1072" s="56"/>
      <c r="G1072" s="54"/>
      <c r="H1072" s="79"/>
    </row>
    <row r="1073" spans="1:8">
      <c r="A1073" s="38"/>
      <c r="B1073" s="54"/>
      <c r="C1073" s="53"/>
      <c r="D1073" s="53"/>
      <c r="E1073" s="53"/>
      <c r="F1073" s="56"/>
      <c r="G1073" s="79"/>
      <c r="H1073" s="79"/>
    </row>
    <row r="1074" spans="1:8">
      <c r="A1074" s="38"/>
      <c r="B1074" s="54"/>
      <c r="C1074" s="53"/>
      <c r="D1074" s="53"/>
      <c r="E1074" s="53"/>
      <c r="F1074" s="56"/>
      <c r="G1074" s="79"/>
      <c r="H1074" s="79"/>
    </row>
    <row r="1075" spans="1:8">
      <c r="A1075" s="38"/>
      <c r="B1075" s="33"/>
      <c r="C1075" s="54"/>
      <c r="D1075" s="54"/>
      <c r="E1075" s="54"/>
      <c r="F1075" s="56"/>
      <c r="G1075" s="79"/>
      <c r="H1075" s="79"/>
    </row>
    <row r="1076" spans="1:8">
      <c r="A1076" s="38"/>
      <c r="B1076" s="54"/>
      <c r="C1076" s="53"/>
      <c r="D1076" s="53"/>
      <c r="E1076" s="77"/>
      <c r="F1076" s="56"/>
      <c r="G1076" s="79"/>
      <c r="H1076" s="79"/>
    </row>
    <row r="1077" spans="1:8">
      <c r="A1077" s="38"/>
      <c r="B1077" s="54"/>
      <c r="C1077" s="53"/>
      <c r="D1077" s="53"/>
      <c r="E1077" s="77"/>
      <c r="F1077" s="56"/>
      <c r="G1077" s="79"/>
      <c r="H1077" s="79"/>
    </row>
    <row r="1078" spans="1:8">
      <c r="A1078" s="38"/>
      <c r="B1078" s="54"/>
      <c r="C1078" s="53"/>
      <c r="D1078" s="53"/>
      <c r="E1078" s="77"/>
      <c r="F1078" s="56"/>
      <c r="G1078" s="79"/>
      <c r="H1078" s="79"/>
    </row>
    <row r="1079" spans="1:8">
      <c r="A1079" s="38"/>
      <c r="B1079" s="54"/>
      <c r="C1079" s="53"/>
      <c r="D1079" s="53"/>
      <c r="E1079" s="77"/>
      <c r="F1079" s="56"/>
      <c r="G1079" s="79"/>
      <c r="H1079" s="79"/>
    </row>
    <row r="1080" spans="1:8">
      <c r="A1080" s="38"/>
      <c r="B1080" s="54"/>
      <c r="C1080" s="53"/>
      <c r="D1080" s="53"/>
      <c r="E1080" s="53"/>
      <c r="F1080" s="56"/>
      <c r="G1080" s="79"/>
      <c r="H1080" s="79"/>
    </row>
    <row r="1081" spans="1:8">
      <c r="A1081" s="38"/>
      <c r="B1081" s="54"/>
      <c r="C1081" s="53"/>
      <c r="D1081" s="53"/>
      <c r="E1081" s="53"/>
      <c r="F1081" s="56"/>
      <c r="G1081" s="79"/>
      <c r="H1081" s="79"/>
    </row>
    <row r="1082" spans="1:8">
      <c r="A1082" s="38"/>
      <c r="B1082" s="54"/>
      <c r="C1082" s="53"/>
      <c r="D1082" s="53"/>
      <c r="E1082" s="53"/>
      <c r="F1082" s="56"/>
      <c r="G1082" s="79"/>
      <c r="H1082" s="79"/>
    </row>
    <row r="1083" spans="1:8">
      <c r="A1083" s="38"/>
      <c r="B1083" s="33"/>
      <c r="C1083" s="54"/>
      <c r="D1083" s="54"/>
      <c r="E1083" s="54"/>
      <c r="F1083" s="56"/>
      <c r="G1083" s="79"/>
      <c r="H1083" s="79"/>
    </row>
    <row r="1084" spans="1:8">
      <c r="A1084" s="38"/>
      <c r="B1084" s="54"/>
      <c r="C1084" s="53"/>
      <c r="D1084" s="53"/>
      <c r="E1084" s="77"/>
      <c r="F1084" s="56"/>
      <c r="G1084" s="56"/>
      <c r="H1084" s="79"/>
    </row>
    <row r="1085" spans="1:8">
      <c r="A1085" s="38"/>
      <c r="B1085" s="33"/>
      <c r="C1085" s="54"/>
      <c r="D1085" s="54"/>
      <c r="E1085" s="54"/>
      <c r="F1085" s="56"/>
      <c r="G1085" s="79"/>
      <c r="H1085" s="79"/>
    </row>
    <row r="1086" spans="1:8">
      <c r="A1086" s="38"/>
      <c r="B1086" s="33"/>
      <c r="C1086" s="54"/>
      <c r="D1086" s="54"/>
      <c r="E1086" s="54"/>
      <c r="F1086" s="56"/>
      <c r="G1086" s="79"/>
      <c r="H1086" s="79"/>
    </row>
    <row r="1087" spans="1:8">
      <c r="A1087" s="38"/>
      <c r="B1087" s="33"/>
      <c r="C1087" s="53"/>
      <c r="D1087" s="54"/>
      <c r="E1087" s="4"/>
      <c r="F1087" s="56"/>
      <c r="G1087" s="54"/>
      <c r="H1087" s="79"/>
    </row>
    <row r="1088" spans="1:8">
      <c r="A1088" s="38"/>
      <c r="B1088" s="54"/>
      <c r="C1088" s="53"/>
      <c r="D1088" s="53"/>
      <c r="E1088" s="53"/>
      <c r="F1088" s="56"/>
      <c r="G1088" s="79"/>
      <c r="H1088" s="79"/>
    </row>
    <row r="1089" spans="1:8">
      <c r="A1089" s="38"/>
      <c r="B1089" s="54"/>
      <c r="C1089" s="53"/>
      <c r="D1089" s="53"/>
      <c r="E1089" s="53"/>
      <c r="F1089" s="56"/>
      <c r="G1089" s="79"/>
      <c r="H1089" s="79"/>
    </row>
    <row r="1090" spans="1:8">
      <c r="A1090" s="38"/>
      <c r="B1090" s="33"/>
      <c r="C1090" s="54"/>
      <c r="D1090" s="54"/>
      <c r="E1090" s="54"/>
      <c r="F1090" s="56"/>
      <c r="G1090" s="79"/>
      <c r="H1090" s="79"/>
    </row>
    <row r="1091" spans="1:8">
      <c r="A1091" s="38"/>
      <c r="B1091" s="54"/>
      <c r="C1091" s="54"/>
      <c r="D1091" s="54"/>
      <c r="E1091" s="54"/>
      <c r="F1091" s="56"/>
      <c r="G1091" s="79"/>
      <c r="H1091" s="79"/>
    </row>
    <row r="1092" spans="1:8">
      <c r="A1092" s="38"/>
      <c r="B1092" s="54"/>
      <c r="C1092" s="53"/>
      <c r="D1092" s="53"/>
      <c r="E1092" s="53"/>
      <c r="F1092" s="56"/>
      <c r="G1092" s="79"/>
      <c r="H1092" s="79"/>
    </row>
    <row r="1093" spans="1:8">
      <c r="A1093" s="38"/>
      <c r="B1093" s="54"/>
      <c r="C1093" s="53"/>
      <c r="D1093" s="53"/>
      <c r="E1093" s="53"/>
      <c r="F1093" s="56"/>
      <c r="G1093" s="79"/>
      <c r="H1093" s="79"/>
    </row>
    <row r="1094" spans="1:8">
      <c r="A1094" s="38"/>
      <c r="B1094" s="33"/>
      <c r="C1094" s="54"/>
      <c r="D1094" s="54"/>
      <c r="E1094" s="54"/>
      <c r="F1094" s="56"/>
      <c r="G1094" s="79"/>
      <c r="H1094" s="79"/>
    </row>
    <row r="1095" spans="1:8">
      <c r="A1095" s="38"/>
      <c r="B1095" s="54"/>
      <c r="C1095" s="53"/>
      <c r="D1095" s="53"/>
      <c r="E1095" s="53"/>
      <c r="F1095" s="56"/>
      <c r="G1095" s="79"/>
      <c r="H1095" s="79"/>
    </row>
    <row r="1096" spans="1:8">
      <c r="A1096" s="38"/>
      <c r="B1096" s="54"/>
      <c r="C1096" s="54"/>
      <c r="D1096" s="54"/>
      <c r="E1096" s="54"/>
      <c r="F1096" s="56"/>
      <c r="G1096" s="79"/>
      <c r="H1096" s="79"/>
    </row>
    <row r="1097" spans="1:8" ht="18.75" customHeight="1">
      <c r="A1097" s="71"/>
      <c r="B1097" s="71"/>
      <c r="C1097" s="71"/>
      <c r="D1097" s="71"/>
      <c r="E1097" s="71"/>
      <c r="F1097" s="72"/>
      <c r="G1097" s="79"/>
      <c r="H1097" s="79"/>
    </row>
    <row r="1098" spans="1:8">
      <c r="A1098" s="38"/>
      <c r="B1098" s="33"/>
      <c r="C1098" s="54"/>
      <c r="D1098" s="54"/>
      <c r="E1098" s="54"/>
      <c r="F1098" s="56"/>
      <c r="G1098" s="54"/>
      <c r="H1098" s="79"/>
    </row>
    <row r="1099" spans="1:8">
      <c r="A1099" s="38"/>
      <c r="B1099" s="33"/>
      <c r="C1099" s="54"/>
      <c r="D1099" s="54"/>
      <c r="E1099" s="54"/>
      <c r="F1099" s="56"/>
      <c r="G1099" s="79"/>
      <c r="H1099" s="79"/>
    </row>
    <row r="1100" spans="1:8">
      <c r="A1100" s="38"/>
      <c r="B1100" s="54"/>
      <c r="C1100" s="53"/>
      <c r="D1100" s="53"/>
      <c r="E1100" s="53"/>
      <c r="F1100" s="56"/>
      <c r="G1100" s="79"/>
      <c r="H1100" s="79"/>
    </row>
    <row r="1101" spans="1:8">
      <c r="A1101" s="38"/>
      <c r="B1101" s="54"/>
      <c r="C1101" s="53"/>
      <c r="D1101" s="53"/>
      <c r="E1101" s="77"/>
      <c r="F1101" s="56"/>
      <c r="G1101" s="79"/>
      <c r="H1101" s="79"/>
    </row>
    <row r="1102" spans="1:8">
      <c r="A1102" s="38"/>
      <c r="B1102" s="54"/>
      <c r="C1102" s="53"/>
      <c r="D1102" s="53"/>
      <c r="E1102" s="77"/>
      <c r="F1102" s="56"/>
      <c r="G1102" s="79"/>
      <c r="H1102" s="79"/>
    </row>
    <row r="1103" spans="1:8">
      <c r="A1103" s="38"/>
      <c r="B1103" s="54"/>
      <c r="C1103" s="53"/>
      <c r="D1103" s="53"/>
      <c r="E1103" s="77"/>
      <c r="F1103" s="56"/>
      <c r="G1103" s="79"/>
      <c r="H1103" s="79"/>
    </row>
    <row r="1104" spans="1:8">
      <c r="A1104" s="38"/>
      <c r="B1104" s="54"/>
      <c r="C1104" s="53"/>
      <c r="D1104" s="53"/>
      <c r="E1104" s="53"/>
      <c r="F1104" s="56"/>
      <c r="G1104" s="79"/>
      <c r="H1104" s="79"/>
    </row>
    <row r="1105" spans="1:8">
      <c r="A1105" s="38"/>
      <c r="B1105" s="54"/>
      <c r="C1105" s="53"/>
      <c r="D1105" s="53"/>
      <c r="E1105" s="53"/>
      <c r="F1105" s="56"/>
      <c r="G1105" s="79"/>
      <c r="H1105" s="79"/>
    </row>
    <row r="1106" spans="1:8">
      <c r="A1106" s="38"/>
      <c r="B1106" s="54"/>
      <c r="C1106" s="53"/>
      <c r="D1106" s="53"/>
      <c r="E1106" s="53"/>
      <c r="F1106" s="56"/>
      <c r="G1106" s="79"/>
      <c r="H1106" s="79"/>
    </row>
    <row r="1107" spans="1:8">
      <c r="A1107" s="38"/>
      <c r="B1107" s="33"/>
      <c r="C1107" s="54"/>
      <c r="D1107" s="54"/>
      <c r="E1107" s="54"/>
      <c r="F1107" s="56"/>
      <c r="G1107" s="79"/>
      <c r="H1107" s="79"/>
    </row>
    <row r="1108" spans="1:8">
      <c r="A1108" s="38"/>
      <c r="B1108" s="54"/>
      <c r="C1108" s="54"/>
      <c r="D1108" s="54"/>
      <c r="E1108" s="54"/>
      <c r="F1108" s="56"/>
      <c r="G1108" s="79"/>
      <c r="H1108" s="79"/>
    </row>
    <row r="1109" spans="1:8">
      <c r="A1109" s="38"/>
      <c r="B1109" s="54"/>
      <c r="C1109" s="53"/>
      <c r="D1109" s="53"/>
      <c r="E1109" s="53"/>
      <c r="F1109" s="56"/>
      <c r="G1109" s="79"/>
      <c r="H1109" s="79"/>
    </row>
    <row r="1110" spans="1:8">
      <c r="A1110" s="38"/>
      <c r="B1110" s="54"/>
      <c r="C1110" s="54"/>
      <c r="D1110" s="54"/>
      <c r="E1110" s="54"/>
      <c r="F1110" s="56"/>
      <c r="G1110" s="79"/>
      <c r="H1110" s="79"/>
    </row>
    <row r="1111" spans="1:8">
      <c r="A1111" s="38"/>
      <c r="B1111" s="54"/>
      <c r="C1111" s="54"/>
      <c r="D1111" s="54"/>
      <c r="E1111" s="54"/>
      <c r="F1111" s="56"/>
      <c r="G1111" s="79"/>
      <c r="H1111" s="79"/>
    </row>
    <row r="1112" spans="1:8">
      <c r="A1112" s="38"/>
      <c r="B1112" s="33"/>
      <c r="C1112" s="54"/>
      <c r="D1112" s="54"/>
      <c r="E1112" s="54"/>
      <c r="F1112" s="56"/>
      <c r="G1112" s="79"/>
      <c r="H1112" s="79"/>
    </row>
    <row r="1113" spans="1:8">
      <c r="A1113" s="38"/>
      <c r="B1113" s="33"/>
      <c r="C1113" s="54"/>
      <c r="D1113" s="54"/>
      <c r="E1113" s="54"/>
      <c r="F1113" s="56"/>
      <c r="G1113" s="79"/>
      <c r="H1113" s="79"/>
    </row>
    <row r="1114" spans="1:8">
      <c r="A1114" s="38"/>
      <c r="B1114" s="33"/>
      <c r="C1114" s="54"/>
      <c r="D1114" s="54"/>
      <c r="E1114" s="54"/>
      <c r="F1114" s="56"/>
      <c r="G1114" s="79"/>
      <c r="H1114" s="79"/>
    </row>
    <row r="1115" spans="1:8">
      <c r="A1115" s="38"/>
      <c r="B1115" s="54"/>
      <c r="C1115" s="53"/>
      <c r="D1115" s="53"/>
      <c r="E1115" s="53"/>
      <c r="F1115" s="56"/>
      <c r="G1115" s="79"/>
      <c r="H1115" s="79"/>
    </row>
    <row r="1116" spans="1:8">
      <c r="A1116" s="38"/>
      <c r="B1116" s="54"/>
      <c r="C1116" s="53"/>
      <c r="D1116" s="53"/>
      <c r="E1116" s="77"/>
      <c r="F1116" s="56"/>
      <c r="G1116" s="79"/>
      <c r="H1116" s="79"/>
    </row>
    <row r="1117" spans="1:8">
      <c r="A1117" s="38"/>
      <c r="B1117" s="54"/>
      <c r="C1117" s="54"/>
      <c r="D1117" s="54"/>
      <c r="E1117" s="54"/>
      <c r="F1117" s="56"/>
      <c r="G1117" s="79"/>
      <c r="H1117" s="79"/>
    </row>
    <row r="1118" spans="1:8">
      <c r="A1118" s="38"/>
      <c r="B1118" s="54"/>
      <c r="C1118" s="54"/>
      <c r="D1118" s="54"/>
      <c r="E1118" s="54"/>
      <c r="F1118" s="56"/>
      <c r="G1118" s="79"/>
      <c r="H1118" s="79"/>
    </row>
    <row r="1119" spans="1:8">
      <c r="A1119" s="38"/>
      <c r="B1119" s="33"/>
      <c r="C1119" s="54"/>
      <c r="D1119" s="54"/>
      <c r="E1119" s="54"/>
      <c r="F1119" s="56"/>
      <c r="G1119" s="79"/>
      <c r="H1119" s="79"/>
    </row>
    <row r="1120" spans="1:8">
      <c r="A1120" s="38"/>
      <c r="B1120" s="33"/>
      <c r="C1120" s="54"/>
      <c r="D1120" s="54"/>
      <c r="E1120" s="54"/>
      <c r="F1120" s="56"/>
      <c r="G1120" s="79"/>
      <c r="H1120" s="79"/>
    </row>
    <row r="1121" spans="1:8">
      <c r="A1121" s="38"/>
      <c r="B1121" s="54"/>
      <c r="C1121" s="53"/>
      <c r="D1121" s="53"/>
      <c r="E1121" s="77"/>
      <c r="F1121" s="56"/>
      <c r="G1121" s="79"/>
      <c r="H1121" s="79"/>
    </row>
    <row r="1122" spans="1:8">
      <c r="A1122" s="38"/>
      <c r="B1122" s="54"/>
      <c r="C1122" s="54"/>
      <c r="D1122" s="54"/>
      <c r="E1122" s="54"/>
      <c r="F1122" s="56"/>
      <c r="G1122" s="79"/>
      <c r="H1122" s="79"/>
    </row>
    <row r="1123" spans="1:8">
      <c r="A1123" s="38"/>
      <c r="B1123" s="54"/>
      <c r="C1123" s="53"/>
      <c r="D1123" s="53"/>
      <c r="E1123" s="77"/>
      <c r="F1123" s="56"/>
      <c r="G1123" s="79"/>
      <c r="H1123" s="79"/>
    </row>
    <row r="1124" spans="1:8">
      <c r="A1124" s="38"/>
      <c r="B1124" s="33"/>
      <c r="C1124" s="54"/>
      <c r="D1124" s="54"/>
      <c r="E1124" s="54"/>
      <c r="F1124" s="56"/>
      <c r="G1124" s="79"/>
      <c r="H1124" s="79"/>
    </row>
    <row r="1125" spans="1:8">
      <c r="A1125" s="38"/>
      <c r="B1125" s="33"/>
      <c r="C1125" s="51"/>
      <c r="D1125" s="54"/>
      <c r="E1125" s="54"/>
      <c r="F1125" s="56"/>
      <c r="G1125" s="79"/>
      <c r="H1125" s="79"/>
    </row>
    <row r="1126" spans="1:8">
      <c r="A1126" s="38"/>
      <c r="B1126" s="54"/>
      <c r="C1126" s="53"/>
      <c r="D1126" s="53"/>
      <c r="E1126" s="77"/>
      <c r="F1126" s="56"/>
      <c r="G1126" s="79"/>
      <c r="H1126" s="79"/>
    </row>
    <row r="1127" spans="1:8">
      <c r="A1127" s="38"/>
      <c r="B1127" s="54"/>
      <c r="C1127" s="53"/>
      <c r="D1127" s="53"/>
      <c r="E1127" s="77"/>
      <c r="F1127" s="56"/>
      <c r="G1127" s="79"/>
      <c r="H1127" s="79"/>
    </row>
    <row r="1128" spans="1:8">
      <c r="A1128" s="38"/>
      <c r="B1128" s="33"/>
      <c r="C1128" s="54"/>
      <c r="D1128" s="54"/>
      <c r="E1128" s="54"/>
      <c r="F1128" s="56"/>
      <c r="G1128" s="79"/>
      <c r="H1128" s="79"/>
    </row>
    <row r="1129" spans="1:8">
      <c r="A1129" s="38"/>
      <c r="B1129" s="54"/>
      <c r="C1129" s="54"/>
      <c r="D1129" s="54"/>
      <c r="E1129" s="54"/>
      <c r="F1129" s="56"/>
      <c r="G1129" s="79"/>
      <c r="H1129" s="79"/>
    </row>
    <row r="1130" spans="1:8">
      <c r="A1130" s="38"/>
      <c r="B1130" s="54"/>
      <c r="C1130" s="54"/>
      <c r="D1130" s="54"/>
      <c r="E1130" s="54"/>
      <c r="F1130" s="56"/>
      <c r="G1130" s="79"/>
      <c r="H1130" s="79"/>
    </row>
    <row r="1131" spans="1:8">
      <c r="A1131" s="38"/>
      <c r="B1131" s="54"/>
      <c r="C1131" s="54"/>
      <c r="D1131" s="54"/>
      <c r="E1131" s="54"/>
      <c r="F1131" s="56"/>
      <c r="G1131" s="79"/>
      <c r="H1131" s="79"/>
    </row>
    <row r="1132" spans="1:8">
      <c r="A1132" s="38"/>
      <c r="B1132" s="54"/>
      <c r="C1132" s="54"/>
      <c r="D1132" s="54"/>
      <c r="E1132" s="54"/>
      <c r="F1132" s="56"/>
      <c r="G1132" s="79"/>
      <c r="H1132" s="79"/>
    </row>
    <row r="1133" spans="1:8">
      <c r="A1133" s="38"/>
      <c r="B1133" s="33"/>
      <c r="C1133" s="54"/>
      <c r="D1133" s="54"/>
      <c r="E1133" s="54"/>
      <c r="F1133" s="56"/>
      <c r="G1133" s="79"/>
      <c r="H1133" s="79"/>
    </row>
    <row r="1134" spans="1:8">
      <c r="A1134" s="38"/>
      <c r="B1134" s="33"/>
      <c r="C1134" s="54"/>
      <c r="D1134" s="54"/>
      <c r="E1134" s="54"/>
      <c r="F1134" s="56"/>
      <c r="G1134" s="79"/>
      <c r="H1134" s="79"/>
    </row>
    <row r="1135" spans="1:8">
      <c r="A1135" s="38"/>
      <c r="B1135" s="54"/>
      <c r="C1135" s="54"/>
      <c r="D1135" s="54"/>
      <c r="E1135" s="54"/>
      <c r="F1135" s="56"/>
      <c r="G1135" s="79"/>
      <c r="H1135" s="79"/>
    </row>
    <row r="1136" spans="1:8">
      <c r="A1136" s="38"/>
      <c r="B1136" s="54"/>
      <c r="C1136" s="54"/>
      <c r="D1136" s="54"/>
      <c r="E1136" s="54"/>
      <c r="F1136" s="56"/>
      <c r="G1136" s="79"/>
      <c r="H1136" s="79"/>
    </row>
    <row r="1137" spans="1:8">
      <c r="A1137" s="38"/>
      <c r="B1137" s="54"/>
      <c r="C1137" s="54"/>
      <c r="D1137" s="54"/>
      <c r="E1137" s="54"/>
      <c r="F1137" s="56"/>
      <c r="G1137" s="79"/>
      <c r="H1137" s="79"/>
    </row>
    <row r="1138" spans="1:8">
      <c r="A1138" s="38"/>
      <c r="B1138" s="54"/>
      <c r="C1138" s="54"/>
      <c r="D1138" s="54"/>
      <c r="E1138" s="54"/>
      <c r="F1138" s="56"/>
      <c r="G1138" s="79"/>
      <c r="H1138" s="79"/>
    </row>
    <row r="1139" spans="1:8">
      <c r="A1139" s="38"/>
      <c r="B1139" s="54"/>
      <c r="C1139" s="51"/>
      <c r="D1139" s="53"/>
      <c r="E1139" s="53"/>
      <c r="F1139" s="56"/>
      <c r="G1139" s="79"/>
      <c r="H1139" s="79"/>
    </row>
    <row r="1140" spans="1:8">
      <c r="A1140" s="38"/>
      <c r="B1140" s="54"/>
      <c r="C1140" s="54"/>
      <c r="D1140" s="54"/>
      <c r="E1140" s="54"/>
      <c r="F1140" s="56"/>
      <c r="G1140" s="79"/>
      <c r="H1140" s="79"/>
    </row>
    <row r="1141" spans="1:8">
      <c r="A1141" s="38"/>
      <c r="B1141" s="54"/>
      <c r="C1141" s="51"/>
      <c r="D1141" s="53"/>
      <c r="E1141" s="77"/>
      <c r="F1141" s="56"/>
      <c r="G1141" s="79"/>
      <c r="H1141" s="79"/>
    </row>
    <row r="1142" spans="1:8">
      <c r="A1142" s="38"/>
      <c r="B1142" s="54"/>
      <c r="C1142" s="51"/>
      <c r="D1142" s="53"/>
      <c r="E1142" s="53"/>
      <c r="F1142" s="56"/>
      <c r="G1142" s="79"/>
      <c r="H1142" s="79"/>
    </row>
    <row r="1143" spans="1:8">
      <c r="A1143" s="38"/>
      <c r="B1143" s="54"/>
      <c r="C1143" s="54"/>
      <c r="D1143" s="54"/>
      <c r="E1143" s="54"/>
      <c r="F1143" s="56"/>
      <c r="G1143" s="79"/>
      <c r="H1143" s="79"/>
    </row>
    <row r="1144" spans="1:8">
      <c r="A1144" s="38"/>
      <c r="B1144" s="33"/>
      <c r="C1144" s="54"/>
      <c r="D1144" s="54"/>
      <c r="E1144" s="54"/>
      <c r="F1144" s="56"/>
      <c r="G1144" s="79"/>
      <c r="H1144" s="79"/>
    </row>
    <row r="1145" spans="1:8">
      <c r="A1145" s="38"/>
      <c r="B1145" s="54"/>
      <c r="C1145" s="51"/>
      <c r="D1145" s="53"/>
      <c r="E1145" s="77"/>
      <c r="F1145" s="56"/>
      <c r="G1145" s="79"/>
      <c r="H1145" s="79"/>
    </row>
    <row r="1146" spans="1:8">
      <c r="A1146" s="38"/>
      <c r="B1146" s="33"/>
      <c r="C1146" s="51"/>
      <c r="D1146" s="54"/>
      <c r="E1146" s="54"/>
      <c r="F1146" s="56"/>
      <c r="G1146" s="79"/>
      <c r="H1146" s="79"/>
    </row>
    <row r="1147" spans="1:8">
      <c r="A1147" s="38"/>
      <c r="B1147" s="54"/>
      <c r="C1147" s="54"/>
      <c r="D1147" s="54"/>
      <c r="E1147" s="54"/>
      <c r="F1147" s="56"/>
      <c r="G1147" s="79"/>
      <c r="H1147" s="79"/>
    </row>
    <row r="1148" spans="1:8">
      <c r="A1148" s="38"/>
      <c r="B1148" s="54"/>
      <c r="C1148" s="54"/>
      <c r="D1148" s="54"/>
      <c r="E1148" s="54"/>
      <c r="F1148" s="56"/>
      <c r="G1148" s="79"/>
      <c r="H1148" s="79"/>
    </row>
    <row r="1149" spans="1:8">
      <c r="A1149" s="38"/>
      <c r="B1149" s="54"/>
      <c r="C1149" s="54"/>
      <c r="D1149" s="54"/>
      <c r="E1149" s="54"/>
      <c r="F1149" s="56"/>
      <c r="G1149" s="79"/>
      <c r="H1149" s="79"/>
    </row>
    <row r="1150" spans="1:8">
      <c r="A1150" s="38"/>
      <c r="B1150" s="33"/>
      <c r="C1150" s="54"/>
      <c r="D1150" s="54"/>
      <c r="E1150" s="54"/>
      <c r="F1150" s="50"/>
      <c r="G1150" s="79"/>
      <c r="H1150" s="79"/>
    </row>
    <row r="1151" spans="1:8">
      <c r="A1151" s="38"/>
      <c r="B1151" s="33"/>
      <c r="C1151" s="51"/>
      <c r="D1151" s="54"/>
      <c r="E1151" s="54"/>
      <c r="F1151" s="56"/>
      <c r="G1151" s="79"/>
      <c r="H1151" s="79"/>
    </row>
    <row r="1152" spans="1:8">
      <c r="A1152" s="38"/>
      <c r="B1152" s="33"/>
      <c r="C1152" s="51"/>
      <c r="D1152" s="54"/>
      <c r="E1152" s="54"/>
      <c r="F1152" s="56"/>
      <c r="G1152" s="79"/>
      <c r="H1152" s="79"/>
    </row>
    <row r="1153" spans="1:8">
      <c r="A1153" s="38"/>
      <c r="B1153" s="54"/>
      <c r="C1153" s="54"/>
      <c r="D1153" s="54"/>
      <c r="E1153" s="54"/>
      <c r="F1153" s="56"/>
      <c r="G1153" s="79"/>
      <c r="H1153" s="79"/>
    </row>
    <row r="1154" spans="1:8">
      <c r="A1154" s="38"/>
      <c r="B1154" s="54"/>
      <c r="C1154" s="54"/>
      <c r="D1154" s="54"/>
      <c r="E1154" s="54"/>
      <c r="F1154" s="56"/>
      <c r="G1154" s="79"/>
      <c r="H1154" s="79"/>
    </row>
    <row r="1155" spans="1:8">
      <c r="A1155" s="38"/>
      <c r="B1155" s="54"/>
      <c r="C1155" s="54"/>
      <c r="D1155" s="54"/>
      <c r="E1155" s="54"/>
      <c r="F1155" s="56"/>
      <c r="G1155" s="79"/>
      <c r="H1155" s="79"/>
    </row>
    <row r="1156" spans="1:8">
      <c r="A1156" s="38"/>
      <c r="B1156" s="54"/>
      <c r="C1156" s="51"/>
      <c r="D1156" s="53"/>
      <c r="E1156" s="77"/>
      <c r="F1156" s="56"/>
      <c r="G1156" s="79"/>
      <c r="H1156" s="79"/>
    </row>
    <row r="1157" spans="1:8">
      <c r="A1157" s="38"/>
      <c r="B1157" s="54"/>
      <c r="C1157" s="51"/>
      <c r="D1157" s="53"/>
      <c r="E1157" s="77"/>
      <c r="F1157" s="56"/>
      <c r="G1157" s="79"/>
      <c r="H1157" s="79"/>
    </row>
    <row r="1158" spans="1:8">
      <c r="A1158" s="38"/>
      <c r="B1158" s="33"/>
      <c r="C1158" s="54"/>
      <c r="D1158" s="54"/>
      <c r="E1158" s="54"/>
      <c r="F1158" s="56"/>
      <c r="G1158" s="79"/>
      <c r="H1158" s="54"/>
    </row>
    <row r="1159" spans="1:8">
      <c r="A1159" s="38"/>
      <c r="B1159" s="54"/>
      <c r="C1159" s="54"/>
      <c r="D1159" s="54"/>
      <c r="E1159" s="54"/>
      <c r="F1159" s="56"/>
      <c r="G1159" s="79"/>
      <c r="H1159" s="79"/>
    </row>
    <row r="1160" spans="1:8">
      <c r="A1160" s="38"/>
      <c r="B1160" s="54"/>
      <c r="C1160" s="54"/>
      <c r="D1160" s="54"/>
      <c r="E1160" s="54"/>
      <c r="F1160" s="56"/>
      <c r="G1160" s="79"/>
      <c r="H1160" s="79"/>
    </row>
    <row r="1161" spans="1:8">
      <c r="A1161" s="38"/>
      <c r="B1161" s="54"/>
      <c r="C1161" s="54"/>
      <c r="D1161" s="54"/>
      <c r="E1161" s="54"/>
      <c r="F1161" s="56"/>
      <c r="G1161" s="79"/>
      <c r="H1161" s="79"/>
    </row>
    <row r="1162" spans="1:8">
      <c r="A1162" s="38"/>
      <c r="B1162" s="33"/>
      <c r="C1162" s="54"/>
      <c r="D1162" s="54"/>
      <c r="E1162" s="54"/>
      <c r="F1162" s="56"/>
      <c r="G1162" s="79"/>
      <c r="H1162" s="79"/>
    </row>
    <row r="1163" spans="1:8">
      <c r="A1163" s="38"/>
      <c r="B1163" s="54"/>
      <c r="C1163" s="54"/>
      <c r="D1163" s="54"/>
      <c r="E1163" s="54"/>
      <c r="F1163" s="56"/>
      <c r="G1163" s="79"/>
      <c r="H1163" s="79"/>
    </row>
    <row r="1164" spans="1:8">
      <c r="A1164" s="38"/>
      <c r="B1164" s="33"/>
      <c r="C1164" s="51"/>
      <c r="D1164" s="54"/>
      <c r="E1164" s="54"/>
      <c r="F1164" s="56"/>
      <c r="G1164" s="79"/>
      <c r="H1164" s="79"/>
    </row>
    <row r="1165" spans="1:8">
      <c r="A1165" s="38"/>
      <c r="B1165" s="33"/>
      <c r="C1165" s="51"/>
      <c r="D1165" s="54"/>
      <c r="E1165" s="54"/>
      <c r="F1165" s="56"/>
      <c r="G1165" s="79"/>
      <c r="H1165" s="79"/>
    </row>
    <row r="1166" spans="1:8">
      <c r="A1166" s="38"/>
      <c r="B1166" s="33"/>
      <c r="C1166" s="51"/>
      <c r="D1166" s="54"/>
      <c r="E1166" s="54"/>
      <c r="F1166" s="56"/>
      <c r="G1166" s="79"/>
      <c r="H1166" s="79"/>
    </row>
    <row r="1167" spans="1:8">
      <c r="A1167" s="38"/>
      <c r="B1167" s="33"/>
      <c r="C1167" s="51"/>
      <c r="D1167" s="54"/>
      <c r="E1167" s="54"/>
      <c r="F1167" s="56"/>
      <c r="G1167" s="79"/>
      <c r="H1167" s="79"/>
    </row>
    <row r="1168" spans="1:8">
      <c r="A1168" s="38"/>
      <c r="B1168" s="33"/>
      <c r="C1168" s="51"/>
      <c r="D1168" s="54"/>
      <c r="E1168" s="54"/>
      <c r="F1168" s="56"/>
      <c r="G1168" s="79"/>
      <c r="H1168" s="79"/>
    </row>
    <row r="1169" spans="1:8">
      <c r="A1169" s="38"/>
      <c r="B1169" s="33"/>
      <c r="C1169" s="54"/>
      <c r="D1169" s="54"/>
      <c r="E1169" s="54"/>
      <c r="F1169" s="56"/>
      <c r="G1169" s="79"/>
      <c r="H1169" s="79"/>
    </row>
    <row r="1170" spans="1:8">
      <c r="A1170" s="38"/>
      <c r="B1170" s="33"/>
      <c r="C1170" s="54"/>
      <c r="D1170" s="54"/>
      <c r="E1170" s="54"/>
      <c r="F1170" s="56"/>
      <c r="G1170" s="79"/>
      <c r="H1170" s="79"/>
    </row>
    <row r="1171" spans="1:8">
      <c r="A1171" s="38"/>
      <c r="B1171" s="54"/>
      <c r="C1171" s="54"/>
      <c r="D1171" s="54"/>
      <c r="E1171" s="54"/>
      <c r="F1171" s="56"/>
      <c r="G1171" s="79"/>
      <c r="H1171" s="79"/>
    </row>
    <row r="1172" spans="1:8">
      <c r="A1172" s="38"/>
      <c r="B1172" s="54"/>
      <c r="C1172" s="54"/>
      <c r="D1172" s="54"/>
      <c r="E1172" s="54"/>
      <c r="F1172" s="56"/>
      <c r="G1172" s="79"/>
      <c r="H1172" s="79"/>
    </row>
    <row r="1173" spans="1:8">
      <c r="A1173" s="38"/>
      <c r="B1173" s="54"/>
      <c r="C1173" s="54"/>
      <c r="D1173" s="54"/>
      <c r="E1173" s="54"/>
      <c r="F1173" s="56"/>
      <c r="G1173" s="79"/>
      <c r="H1173" s="79"/>
    </row>
    <row r="1174" spans="1:8">
      <c r="A1174" s="38"/>
      <c r="B1174" s="54"/>
      <c r="C1174" s="54"/>
      <c r="D1174" s="54"/>
      <c r="E1174" s="54"/>
      <c r="F1174" s="56"/>
      <c r="G1174" s="79"/>
      <c r="H1174" s="79"/>
    </row>
    <row r="1175" spans="1:8">
      <c r="A1175" s="38"/>
      <c r="B1175" s="54"/>
      <c r="C1175" s="51"/>
      <c r="D1175" s="53"/>
      <c r="E1175" s="77"/>
      <c r="F1175" s="56"/>
      <c r="G1175" s="79"/>
      <c r="H1175" s="79"/>
    </row>
    <row r="1176" spans="1:8">
      <c r="A1176" s="38"/>
      <c r="B1176" s="54"/>
      <c r="C1176" s="51"/>
      <c r="D1176" s="53"/>
      <c r="E1176" s="77"/>
      <c r="F1176" s="56"/>
      <c r="G1176" s="79"/>
      <c r="H1176" s="79"/>
    </row>
    <row r="1177" spans="1:8">
      <c r="A1177" s="38"/>
      <c r="B1177" s="33"/>
      <c r="C1177" s="51"/>
      <c r="D1177" s="54"/>
      <c r="E1177" s="54"/>
      <c r="F1177" s="56"/>
      <c r="G1177" s="79"/>
      <c r="H1177" s="79"/>
    </row>
    <row r="1178" spans="1:8">
      <c r="A1178" s="38"/>
      <c r="B1178" s="33"/>
      <c r="C1178" s="51"/>
      <c r="D1178" s="54"/>
      <c r="E1178" s="54"/>
      <c r="F1178" s="56"/>
      <c r="G1178" s="79"/>
      <c r="H1178" s="79"/>
    </row>
    <row r="1179" spans="1:8">
      <c r="A1179" s="38"/>
      <c r="B1179" s="33"/>
      <c r="C1179" s="51"/>
      <c r="D1179" s="54"/>
      <c r="E1179" s="54"/>
      <c r="F1179" s="56"/>
      <c r="G1179" s="79"/>
      <c r="H1179" s="79"/>
    </row>
    <row r="1180" spans="1:8">
      <c r="A1180" s="38"/>
      <c r="B1180" s="33"/>
      <c r="C1180" s="51"/>
      <c r="D1180" s="54"/>
      <c r="E1180" s="54"/>
      <c r="F1180" s="56"/>
      <c r="G1180" s="79"/>
      <c r="H1180" s="79"/>
    </row>
    <row r="1181" spans="1:8">
      <c r="A1181" s="38"/>
      <c r="B1181" s="33"/>
      <c r="C1181" s="51"/>
      <c r="D1181" s="54"/>
      <c r="E1181" s="54"/>
      <c r="F1181" s="56"/>
      <c r="G1181" s="79"/>
      <c r="H1181" s="79"/>
    </row>
    <row r="1182" spans="1:8">
      <c r="A1182" s="38"/>
      <c r="B1182" s="54"/>
      <c r="C1182" s="54"/>
      <c r="D1182" s="54"/>
      <c r="E1182" s="54"/>
      <c r="F1182" s="56"/>
      <c r="G1182" s="79"/>
      <c r="H1182" s="79"/>
    </row>
    <row r="1183" spans="1:8">
      <c r="A1183" s="38"/>
      <c r="B1183" s="54"/>
      <c r="C1183" s="54"/>
      <c r="D1183" s="54"/>
      <c r="E1183" s="54"/>
      <c r="F1183" s="56"/>
      <c r="G1183" s="79"/>
      <c r="H1183" s="79"/>
    </row>
    <row r="1184" spans="1:8">
      <c r="A1184" s="38"/>
      <c r="B1184" s="33"/>
      <c r="C1184" s="51"/>
      <c r="D1184" s="54"/>
      <c r="E1184" s="54"/>
      <c r="F1184" s="56"/>
      <c r="G1184" s="79"/>
      <c r="H1184" s="79"/>
    </row>
    <row r="1185" spans="1:8">
      <c r="A1185" s="38"/>
      <c r="B1185" s="33"/>
      <c r="C1185" s="51"/>
      <c r="D1185" s="54"/>
      <c r="E1185" s="54"/>
      <c r="F1185" s="56"/>
      <c r="G1185" s="79"/>
      <c r="H1185" s="79"/>
    </row>
    <row r="1186" spans="1:8">
      <c r="A1186" s="38"/>
      <c r="B1186" s="33"/>
      <c r="C1186" s="51"/>
      <c r="D1186" s="54"/>
      <c r="E1186" s="54"/>
      <c r="F1186" s="56"/>
      <c r="G1186" s="79"/>
      <c r="H1186" s="79"/>
    </row>
    <row r="1187" spans="1:8">
      <c r="A1187" s="38"/>
      <c r="B1187" s="33"/>
      <c r="C1187" s="51"/>
      <c r="D1187" s="79"/>
      <c r="E1187" s="54"/>
      <c r="F1187" s="56"/>
      <c r="G1187" s="79"/>
      <c r="H1187" s="79"/>
    </row>
    <row r="1188" spans="1:8">
      <c r="A1188" s="38"/>
      <c r="B1188" s="33"/>
      <c r="C1188" s="54"/>
      <c r="D1188" s="54"/>
      <c r="E1188" s="54"/>
      <c r="F1188" s="56"/>
      <c r="G1188" s="79"/>
      <c r="H1188" s="79"/>
    </row>
    <row r="1189" spans="1:8">
      <c r="A1189" s="38"/>
      <c r="B1189" s="33"/>
      <c r="C1189" s="54"/>
      <c r="D1189" s="54"/>
      <c r="E1189" s="54"/>
      <c r="F1189" s="56"/>
      <c r="G1189" s="79"/>
      <c r="H1189" s="79"/>
    </row>
    <row r="1190" spans="1:8">
      <c r="A1190" s="38"/>
      <c r="B1190" s="33"/>
      <c r="C1190" s="54"/>
      <c r="D1190" s="54"/>
      <c r="E1190" s="54"/>
      <c r="F1190" s="56"/>
      <c r="G1190" s="79"/>
      <c r="H1190" s="79"/>
    </row>
    <row r="1191" spans="1:8">
      <c r="A1191" s="38"/>
      <c r="B1191" s="33"/>
      <c r="C1191" s="54"/>
      <c r="D1191" s="54"/>
      <c r="E1191" s="54"/>
      <c r="F1191" s="56"/>
      <c r="G1191" s="79"/>
      <c r="H1191" s="79"/>
    </row>
    <row r="1192" spans="1:8">
      <c r="A1192" s="38"/>
      <c r="B1192" s="54"/>
      <c r="C1192" s="54"/>
      <c r="D1192" s="54"/>
      <c r="E1192" s="54"/>
      <c r="F1192" s="56"/>
      <c r="G1192" s="79"/>
      <c r="H1192" s="79"/>
    </row>
    <row r="1193" spans="1:8">
      <c r="A1193" s="38"/>
      <c r="B1193" s="33"/>
      <c r="C1193" s="51"/>
      <c r="D1193" s="54"/>
      <c r="E1193" s="54"/>
      <c r="F1193" s="56"/>
      <c r="G1193" s="79"/>
      <c r="H1193" s="79"/>
    </row>
    <row r="1194" spans="1:8">
      <c r="A1194" s="38"/>
      <c r="B1194" s="54"/>
      <c r="C1194" s="51"/>
      <c r="D1194" s="53"/>
      <c r="E1194" s="77"/>
      <c r="F1194" s="56"/>
      <c r="G1194" s="79"/>
      <c r="H1194" s="79"/>
    </row>
    <row r="1195" spans="1:8">
      <c r="A1195" s="38"/>
      <c r="B1195" s="54"/>
      <c r="C1195" s="51"/>
      <c r="D1195" s="53"/>
      <c r="E1195" s="77"/>
      <c r="F1195" s="56"/>
      <c r="G1195" s="79"/>
      <c r="H1195" s="79"/>
    </row>
    <row r="1196" spans="1:8">
      <c r="A1196" s="38"/>
      <c r="B1196" s="54"/>
      <c r="C1196" s="51"/>
      <c r="D1196" s="53"/>
      <c r="E1196" s="77"/>
      <c r="F1196" s="56"/>
      <c r="G1196" s="79"/>
      <c r="H1196" s="79"/>
    </row>
    <row r="1197" spans="1:8">
      <c r="A1197" s="38"/>
      <c r="B1197" s="33"/>
      <c r="C1197" s="54"/>
      <c r="D1197" s="54"/>
      <c r="E1197" s="54"/>
      <c r="F1197" s="56"/>
      <c r="G1197" s="79"/>
      <c r="H1197" s="79"/>
    </row>
    <row r="1198" spans="1:8">
      <c r="A1198" s="38"/>
      <c r="B1198" s="33"/>
      <c r="C1198" s="54"/>
      <c r="D1198" s="54"/>
      <c r="E1198" s="54"/>
      <c r="F1198" s="56"/>
      <c r="G1198" s="79"/>
      <c r="H1198" s="79"/>
    </row>
    <row r="1199" spans="1:8">
      <c r="A1199" s="38"/>
      <c r="B1199" s="54"/>
      <c r="C1199" s="54"/>
      <c r="D1199" s="54"/>
      <c r="E1199" s="54"/>
      <c r="F1199" s="56"/>
      <c r="G1199" s="79"/>
      <c r="H1199" s="79"/>
    </row>
    <row r="1200" spans="1:8">
      <c r="A1200" s="38"/>
      <c r="B1200" s="54"/>
      <c r="C1200" s="54"/>
      <c r="D1200" s="54"/>
      <c r="E1200" s="54"/>
      <c r="F1200" s="56"/>
      <c r="G1200" s="79"/>
      <c r="H1200" s="79"/>
    </row>
    <row r="1201" spans="1:8">
      <c r="A1201" s="38"/>
      <c r="B1201" s="54"/>
      <c r="C1201" s="54"/>
      <c r="D1201" s="54"/>
      <c r="E1201" s="54"/>
      <c r="F1201" s="56"/>
      <c r="G1201" s="79"/>
      <c r="H1201" s="79"/>
    </row>
    <row r="1202" spans="1:8">
      <c r="A1202" s="38"/>
      <c r="B1202" s="54"/>
      <c r="C1202" s="54"/>
      <c r="D1202" s="54"/>
      <c r="E1202" s="54"/>
      <c r="F1202" s="56"/>
      <c r="G1202" s="79"/>
      <c r="H1202" s="79"/>
    </row>
    <row r="1203" spans="1:8">
      <c r="A1203" s="38"/>
      <c r="B1203" s="33"/>
      <c r="C1203" s="54"/>
      <c r="D1203" s="54"/>
      <c r="E1203" s="54"/>
      <c r="F1203" s="56"/>
      <c r="G1203" s="79"/>
      <c r="H1203" s="79"/>
    </row>
    <row r="1204" spans="1:8">
      <c r="A1204" s="38"/>
      <c r="B1204" s="33"/>
      <c r="C1204" s="51"/>
      <c r="D1204" s="54"/>
      <c r="E1204" s="54"/>
      <c r="F1204" s="56"/>
      <c r="G1204" s="79"/>
      <c r="H1204" s="79"/>
    </row>
    <row r="1205" spans="1:8">
      <c r="A1205" s="38"/>
      <c r="B1205" s="33"/>
      <c r="C1205" s="51"/>
      <c r="D1205" s="54"/>
      <c r="E1205" s="54"/>
      <c r="F1205" s="56"/>
      <c r="G1205" s="79"/>
      <c r="H1205" s="79"/>
    </row>
    <row r="1206" spans="1:8">
      <c r="A1206" s="38"/>
      <c r="B1206" s="33"/>
      <c r="C1206" s="51"/>
      <c r="D1206" s="54"/>
      <c r="E1206" s="54"/>
      <c r="F1206" s="56"/>
      <c r="G1206" s="79"/>
      <c r="H1206" s="79"/>
    </row>
    <row r="1207" spans="1:8" ht="18.75" customHeight="1">
      <c r="A1207" s="71"/>
      <c r="B1207" s="71"/>
      <c r="C1207" s="71"/>
      <c r="D1207" s="71"/>
      <c r="E1207" s="71"/>
      <c r="F1207" s="72"/>
      <c r="G1207" s="79"/>
      <c r="H1207" s="79"/>
    </row>
    <row r="1208" spans="1:8">
      <c r="A1208" s="38"/>
      <c r="B1208" s="54"/>
      <c r="C1208" s="54"/>
      <c r="D1208" s="54"/>
      <c r="E1208" s="54"/>
      <c r="F1208" s="56"/>
      <c r="G1208" s="79"/>
      <c r="H1208" s="79"/>
    </row>
    <row r="1209" spans="1:8">
      <c r="A1209" s="38"/>
      <c r="B1209" s="54"/>
      <c r="C1209" s="54"/>
      <c r="D1209" s="54"/>
      <c r="E1209" s="54"/>
      <c r="F1209" s="56"/>
      <c r="G1209" s="79"/>
      <c r="H1209" s="79"/>
    </row>
    <row r="1210" spans="1:8">
      <c r="A1210" s="38"/>
      <c r="B1210" s="54"/>
      <c r="C1210" s="51"/>
      <c r="D1210" s="53"/>
      <c r="E1210" s="77"/>
      <c r="F1210" s="56"/>
      <c r="G1210" s="79"/>
      <c r="H1210" s="79"/>
    </row>
    <row r="1211" spans="1:8">
      <c r="A1211" s="38"/>
      <c r="B1211" s="54"/>
      <c r="C1211" s="54"/>
      <c r="D1211" s="54"/>
      <c r="E1211" s="54"/>
      <c r="F1211" s="56"/>
      <c r="G1211" s="79"/>
      <c r="H1211" s="79"/>
    </row>
    <row r="1212" spans="1:8">
      <c r="A1212" s="38"/>
      <c r="B1212" s="54"/>
      <c r="C1212" s="51"/>
      <c r="D1212" s="53"/>
      <c r="E1212" s="77"/>
      <c r="F1212" s="74"/>
      <c r="G1212" s="79"/>
      <c r="H1212" s="79"/>
    </row>
    <row r="1213" spans="1:8">
      <c r="A1213" s="38"/>
      <c r="B1213" s="54"/>
      <c r="C1213" s="51"/>
      <c r="D1213" s="53"/>
      <c r="E1213" s="77"/>
      <c r="F1213" s="74"/>
      <c r="G1213" s="79"/>
      <c r="H1213" s="79"/>
    </row>
    <row r="1214" spans="1:8">
      <c r="A1214" s="38"/>
      <c r="B1214" s="54"/>
      <c r="C1214" s="51"/>
      <c r="D1214" s="53"/>
      <c r="E1214" s="77"/>
      <c r="F1214" s="74"/>
      <c r="G1214" s="79"/>
      <c r="H1214" s="79"/>
    </row>
    <row r="1215" spans="1:8">
      <c r="A1215" s="38"/>
      <c r="B1215" s="33"/>
      <c r="C1215" s="51"/>
      <c r="D1215" s="53"/>
      <c r="E1215" s="77"/>
      <c r="F1215" s="74"/>
      <c r="G1215" s="79"/>
      <c r="H1215" s="79"/>
    </row>
    <row r="1216" spans="1:8">
      <c r="A1216" s="38"/>
      <c r="B1216" s="54"/>
      <c r="C1216" s="51"/>
      <c r="D1216" s="54"/>
      <c r="E1216" s="54"/>
      <c r="F1216" s="74"/>
      <c r="G1216" s="79"/>
      <c r="H1216" s="79"/>
    </row>
    <row r="1217" spans="1:8">
      <c r="A1217" s="38"/>
      <c r="B1217" s="33"/>
      <c r="C1217" s="51"/>
      <c r="D1217" s="54"/>
      <c r="E1217" s="54"/>
      <c r="F1217" s="74"/>
      <c r="G1217" s="79"/>
      <c r="H1217" s="79"/>
    </row>
    <row r="1218" spans="1:8">
      <c r="A1218" s="38"/>
      <c r="B1218" s="33"/>
      <c r="C1218" s="51"/>
      <c r="D1218" s="54"/>
      <c r="E1218" s="54"/>
      <c r="F1218" s="74"/>
      <c r="G1218" s="79"/>
      <c r="H1218" s="79"/>
    </row>
    <row r="1219" spans="1:8">
      <c r="A1219" s="38"/>
      <c r="B1219" s="33"/>
      <c r="C1219" s="51"/>
      <c r="D1219" s="54"/>
      <c r="E1219" s="54"/>
      <c r="F1219" s="74"/>
      <c r="G1219" s="79"/>
      <c r="H1219" s="79"/>
    </row>
    <row r="1220" spans="1:8">
      <c r="A1220" s="38"/>
      <c r="B1220" s="54"/>
      <c r="C1220" s="51"/>
      <c r="D1220" s="53"/>
      <c r="E1220" s="77"/>
      <c r="F1220" s="56"/>
      <c r="G1220" s="79"/>
      <c r="H1220" s="79"/>
    </row>
    <row r="1221" spans="1:8">
      <c r="A1221" s="38"/>
      <c r="B1221" s="33"/>
      <c r="C1221" s="54"/>
      <c r="D1221" s="54"/>
      <c r="E1221" s="54"/>
      <c r="F1221" s="74"/>
      <c r="G1221" s="79"/>
      <c r="H1221" s="79"/>
    </row>
    <row r="1222" spans="1:8">
      <c r="A1222" s="38"/>
      <c r="B1222" s="33"/>
      <c r="C1222" s="54"/>
      <c r="D1222" s="54"/>
      <c r="E1222" s="54"/>
      <c r="F1222" s="74"/>
      <c r="G1222" s="79"/>
      <c r="H1222" s="79"/>
    </row>
    <row r="1223" spans="1:8">
      <c r="A1223" s="38"/>
      <c r="B1223" s="33"/>
      <c r="C1223" s="54"/>
      <c r="D1223" s="54"/>
      <c r="E1223" s="54"/>
      <c r="F1223" s="74"/>
      <c r="G1223" s="79"/>
      <c r="H1223" s="79"/>
    </row>
    <row r="1224" spans="1:8">
      <c r="A1224" s="38"/>
      <c r="B1224" s="33"/>
      <c r="C1224" s="54"/>
      <c r="D1224" s="54"/>
      <c r="E1224" s="54"/>
      <c r="F1224" s="74"/>
      <c r="G1224" s="79"/>
      <c r="H1224" s="79"/>
    </row>
    <row r="1225" spans="1:8">
      <c r="A1225" s="38"/>
      <c r="B1225" s="33"/>
      <c r="C1225" s="54"/>
      <c r="D1225" s="54"/>
      <c r="E1225" s="54"/>
      <c r="F1225" s="74"/>
      <c r="G1225" s="79"/>
      <c r="H1225" s="79"/>
    </row>
    <row r="1226" spans="1:8">
      <c r="A1226" s="38"/>
      <c r="B1226" s="54"/>
      <c r="C1226" s="54"/>
      <c r="D1226" s="54"/>
      <c r="E1226" s="54"/>
      <c r="F1226" s="74"/>
      <c r="G1226" s="79"/>
      <c r="H1226" s="79"/>
    </row>
    <row r="1227" spans="1:8">
      <c r="A1227" s="38"/>
      <c r="B1227" s="54"/>
      <c r="C1227" s="54"/>
      <c r="D1227" s="54"/>
      <c r="E1227" s="54"/>
      <c r="F1227" s="74"/>
      <c r="G1227" s="79"/>
      <c r="H1227" s="79"/>
    </row>
    <row r="1228" spans="1:8">
      <c r="A1228" s="38"/>
      <c r="B1228" s="33"/>
      <c r="C1228" s="54"/>
      <c r="D1228" s="54"/>
      <c r="E1228" s="54"/>
      <c r="F1228" s="74"/>
      <c r="G1228" s="79"/>
      <c r="H1228" s="79"/>
    </row>
    <row r="1229" spans="1:8">
      <c r="A1229" s="38"/>
      <c r="B1229" s="54"/>
      <c r="C1229" s="51"/>
      <c r="D1229" s="53"/>
      <c r="E1229" s="53"/>
      <c r="F1229" s="56"/>
      <c r="G1229" s="79"/>
      <c r="H1229" s="79"/>
    </row>
    <row r="1230" spans="1:8">
      <c r="A1230" s="38"/>
      <c r="B1230" s="33"/>
      <c r="C1230" s="51"/>
      <c r="D1230" s="54"/>
      <c r="E1230" s="53"/>
      <c r="F1230" s="74"/>
      <c r="G1230" s="79"/>
      <c r="H1230" s="79"/>
    </row>
    <row r="1231" spans="1:8">
      <c r="A1231" s="38"/>
      <c r="B1231" s="33"/>
      <c r="C1231" s="51"/>
      <c r="D1231" s="54"/>
      <c r="E1231" s="54"/>
      <c r="F1231" s="74"/>
      <c r="G1231" s="79"/>
      <c r="H1231" s="79"/>
    </row>
    <row r="1232" spans="1:8">
      <c r="A1232" s="38"/>
      <c r="B1232" s="33"/>
      <c r="C1232" s="54"/>
      <c r="D1232" s="54"/>
      <c r="E1232" s="54"/>
      <c r="F1232" s="74"/>
      <c r="G1232" s="79"/>
      <c r="H1232" s="79"/>
    </row>
    <row r="1233" spans="1:8">
      <c r="A1233" s="38"/>
      <c r="B1233" s="54"/>
      <c r="C1233" s="54"/>
      <c r="D1233" s="54"/>
      <c r="E1233" s="54"/>
      <c r="F1233" s="74"/>
      <c r="G1233" s="79"/>
      <c r="H1233" s="79"/>
    </row>
    <row r="1234" spans="1:8">
      <c r="A1234" s="38"/>
      <c r="B1234" s="54"/>
      <c r="C1234" s="54"/>
      <c r="D1234" s="54"/>
      <c r="E1234" s="54"/>
      <c r="F1234" s="74"/>
      <c r="G1234" s="79"/>
      <c r="H1234" s="79"/>
    </row>
    <row r="1235" spans="1:8">
      <c r="A1235" s="38"/>
      <c r="B1235" s="54"/>
      <c r="C1235" s="54"/>
      <c r="D1235" s="54"/>
      <c r="E1235" s="54"/>
      <c r="F1235" s="74"/>
      <c r="G1235" s="79"/>
      <c r="H1235" s="79"/>
    </row>
    <row r="1236" spans="1:8">
      <c r="A1236" s="38"/>
      <c r="B1236" s="33"/>
      <c r="C1236" s="54"/>
      <c r="D1236" s="54"/>
      <c r="E1236" s="54"/>
      <c r="F1236" s="56"/>
      <c r="G1236" s="79"/>
      <c r="H1236" s="79"/>
    </row>
    <row r="1237" spans="1:8">
      <c r="A1237" s="38"/>
      <c r="B1237" s="33"/>
      <c r="C1237" s="51"/>
      <c r="D1237" s="54"/>
      <c r="E1237" s="53"/>
      <c r="F1237" s="74"/>
      <c r="G1237" s="79"/>
      <c r="H1237" s="79"/>
    </row>
    <row r="1238" spans="1:8">
      <c r="A1238" s="38"/>
      <c r="B1238" s="33"/>
      <c r="C1238" s="51"/>
      <c r="D1238" s="54"/>
      <c r="E1238" s="54"/>
      <c r="F1238" s="56"/>
      <c r="G1238" s="79"/>
      <c r="H1238" s="79"/>
    </row>
    <row r="1239" spans="1:8">
      <c r="A1239" s="38"/>
      <c r="B1239" s="33"/>
      <c r="C1239" s="54"/>
      <c r="D1239" s="54"/>
      <c r="E1239" s="54"/>
      <c r="F1239" s="56"/>
      <c r="G1239" s="79"/>
      <c r="H1239" s="79"/>
    </row>
    <row r="1240" spans="1:8">
      <c r="A1240" s="38"/>
      <c r="B1240" s="54"/>
      <c r="C1240" s="54"/>
      <c r="D1240" s="54"/>
      <c r="E1240" s="54"/>
      <c r="F1240" s="56"/>
      <c r="G1240" s="79"/>
      <c r="H1240" s="79"/>
    </row>
    <row r="1241" spans="1:8">
      <c r="A1241" s="38"/>
      <c r="B1241" s="33"/>
      <c r="C1241" s="51"/>
      <c r="D1241" s="51"/>
      <c r="E1241" s="51"/>
      <c r="F1241" s="56"/>
      <c r="G1241" s="79"/>
      <c r="H1241" s="79"/>
    </row>
    <row r="1242" spans="1:8">
      <c r="A1242" s="38"/>
      <c r="B1242" s="51"/>
      <c r="C1242" s="51"/>
      <c r="D1242" s="51"/>
      <c r="E1242" s="51"/>
      <c r="F1242" s="56"/>
      <c r="G1242" s="79"/>
      <c r="H1242" s="79"/>
    </row>
    <row r="1243" spans="1:8">
      <c r="A1243" s="38"/>
      <c r="B1243" s="33"/>
      <c r="C1243" s="51"/>
      <c r="D1243" s="51"/>
      <c r="E1243" s="51"/>
      <c r="F1243" s="56"/>
      <c r="G1243" s="51"/>
      <c r="H1243" s="79"/>
    </row>
    <row r="1244" spans="1:8">
      <c r="A1244" s="38"/>
      <c r="B1244" s="54"/>
      <c r="C1244" s="54"/>
      <c r="D1244" s="54"/>
      <c r="E1244" s="54"/>
      <c r="F1244" s="56"/>
      <c r="G1244" s="79"/>
      <c r="H1244" s="79"/>
    </row>
    <row r="1245" spans="1:8">
      <c r="A1245" s="38"/>
      <c r="B1245" s="54"/>
      <c r="C1245" s="54"/>
      <c r="D1245" s="54"/>
      <c r="E1245" s="54"/>
      <c r="F1245" s="56"/>
      <c r="G1245" s="79"/>
      <c r="H1245" s="79"/>
    </row>
    <row r="1246" spans="1:8">
      <c r="A1246" s="38"/>
      <c r="B1246" s="54"/>
      <c r="C1246" s="54"/>
      <c r="D1246" s="54"/>
      <c r="E1246" s="54"/>
      <c r="F1246" s="56"/>
      <c r="G1246" s="79"/>
      <c r="H1246" s="79"/>
    </row>
    <row r="1247" spans="1:8">
      <c r="A1247" s="38"/>
      <c r="B1247" s="33"/>
      <c r="C1247" s="51"/>
      <c r="D1247" s="54"/>
      <c r="E1247" s="53"/>
      <c r="F1247" s="56"/>
      <c r="G1247" s="79"/>
      <c r="H1247" s="79"/>
    </row>
    <row r="1248" spans="1:8">
      <c r="A1248" s="38"/>
      <c r="B1248" s="33"/>
      <c r="C1248" s="51"/>
      <c r="D1248" s="54"/>
      <c r="E1248" s="54"/>
      <c r="F1248" s="56"/>
      <c r="G1248" s="79"/>
      <c r="H1248" s="79"/>
    </row>
    <row r="1249" spans="1:8">
      <c r="A1249" s="38"/>
      <c r="B1249" s="54"/>
      <c r="C1249" s="51"/>
      <c r="D1249" s="54"/>
      <c r="E1249" s="54"/>
      <c r="F1249" s="56"/>
      <c r="G1249" s="79"/>
      <c r="H1249" s="79"/>
    </row>
    <row r="1250" spans="1:8">
      <c r="A1250" s="38"/>
      <c r="B1250" s="54"/>
      <c r="C1250" s="51"/>
      <c r="D1250" s="54"/>
      <c r="E1250" s="54"/>
      <c r="F1250" s="56"/>
      <c r="G1250" s="79"/>
      <c r="H1250" s="79"/>
    </row>
    <row r="1251" spans="1:8">
      <c r="A1251" s="38"/>
      <c r="B1251" s="54"/>
      <c r="C1251" s="51"/>
      <c r="D1251" s="54"/>
      <c r="E1251" s="54"/>
      <c r="F1251" s="56"/>
      <c r="G1251" s="79"/>
      <c r="H1251" s="79"/>
    </row>
    <row r="1252" spans="1:8">
      <c r="A1252" s="38"/>
      <c r="B1252" s="33"/>
      <c r="C1252" s="51"/>
      <c r="D1252" s="54"/>
      <c r="E1252" s="54"/>
      <c r="F1252" s="56"/>
      <c r="G1252" s="79"/>
      <c r="H1252" s="79"/>
    </row>
    <row r="1253" spans="1:8">
      <c r="A1253" s="38"/>
      <c r="B1253" s="33"/>
      <c r="C1253" s="51"/>
      <c r="D1253" s="54"/>
      <c r="E1253" s="54"/>
      <c r="F1253" s="74"/>
      <c r="G1253" s="79"/>
      <c r="H1253" s="79"/>
    </row>
    <row r="1254" spans="1:8">
      <c r="A1254" s="38"/>
      <c r="B1254" s="54"/>
      <c r="C1254" s="51"/>
      <c r="D1254" s="53"/>
      <c r="E1254" s="53"/>
      <c r="F1254" s="74"/>
      <c r="G1254" s="79"/>
      <c r="H1254" s="79"/>
    </row>
    <row r="1255" spans="1:8">
      <c r="A1255" s="38"/>
      <c r="B1255" s="33"/>
      <c r="C1255" s="51"/>
      <c r="D1255" s="54"/>
      <c r="E1255" s="54"/>
      <c r="F1255" s="56"/>
      <c r="G1255" s="79"/>
      <c r="H1255" s="79"/>
    </row>
    <row r="1256" spans="1:8">
      <c r="A1256" s="38"/>
      <c r="B1256" s="54"/>
      <c r="C1256" s="51"/>
      <c r="D1256" s="54"/>
      <c r="E1256" s="54"/>
      <c r="F1256" s="56"/>
      <c r="G1256" s="79"/>
      <c r="H1256" s="79"/>
    </row>
    <row r="1257" spans="1:8">
      <c r="A1257" s="38"/>
      <c r="B1257" s="33"/>
      <c r="C1257" s="51"/>
      <c r="D1257" s="54"/>
      <c r="E1257" s="54"/>
      <c r="F1257" s="56"/>
      <c r="G1257" s="79"/>
      <c r="H1257" s="79"/>
    </row>
    <row r="1258" spans="1:8">
      <c r="A1258" s="38"/>
      <c r="B1258" s="54"/>
      <c r="C1258" s="51"/>
      <c r="D1258" s="54"/>
      <c r="E1258" s="54"/>
      <c r="F1258" s="56"/>
      <c r="G1258" s="79"/>
      <c r="H1258" s="79"/>
    </row>
    <row r="1259" spans="1:8">
      <c r="A1259" s="38"/>
      <c r="B1259" s="54"/>
      <c r="C1259" s="51"/>
      <c r="D1259" s="54"/>
      <c r="E1259" s="54"/>
      <c r="F1259" s="56"/>
      <c r="G1259" s="79"/>
      <c r="H1259" s="79"/>
    </row>
    <row r="1260" spans="1:8">
      <c r="A1260" s="38"/>
      <c r="B1260" s="54"/>
      <c r="C1260" s="51"/>
      <c r="D1260" s="54"/>
      <c r="E1260" s="54"/>
      <c r="F1260" s="56"/>
      <c r="G1260" s="79"/>
      <c r="H1260" s="79"/>
    </row>
    <row r="1261" spans="1:8">
      <c r="A1261" s="38"/>
      <c r="B1261" s="54"/>
      <c r="C1261" s="51"/>
      <c r="D1261" s="54"/>
      <c r="E1261" s="54"/>
      <c r="F1261" s="56"/>
      <c r="G1261" s="79"/>
      <c r="H1261" s="79"/>
    </row>
    <row r="1262" spans="1:8">
      <c r="A1262" s="38"/>
      <c r="B1262" s="54"/>
      <c r="C1262" s="51"/>
      <c r="D1262" s="54"/>
      <c r="E1262" s="54"/>
      <c r="F1262" s="56"/>
      <c r="G1262" s="79"/>
      <c r="H1262" s="79"/>
    </row>
    <row r="1263" spans="1:8">
      <c r="A1263" s="38"/>
      <c r="B1263" s="33"/>
      <c r="C1263" s="51"/>
      <c r="D1263" s="54"/>
      <c r="E1263" s="54"/>
      <c r="F1263" s="56"/>
      <c r="G1263" s="79"/>
      <c r="H1263" s="79"/>
    </row>
    <row r="1264" spans="1:8">
      <c r="A1264" s="38"/>
      <c r="B1264" s="33"/>
      <c r="C1264" s="51"/>
      <c r="D1264" s="54"/>
      <c r="E1264" s="54"/>
      <c r="F1264" s="56"/>
      <c r="G1264" s="79"/>
      <c r="H1264" s="79"/>
    </row>
    <row r="1265" spans="1:8">
      <c r="A1265" s="38"/>
      <c r="B1265" s="33"/>
      <c r="C1265" s="51"/>
      <c r="D1265" s="54"/>
      <c r="E1265" s="54"/>
      <c r="F1265" s="56"/>
      <c r="G1265" s="51"/>
      <c r="H1265" s="79"/>
    </row>
    <row r="1266" spans="1:8">
      <c r="A1266" s="38"/>
      <c r="B1266" s="33"/>
      <c r="C1266" s="51"/>
      <c r="D1266" s="54"/>
      <c r="E1266" s="54"/>
      <c r="F1266" s="56"/>
      <c r="G1266" s="79"/>
      <c r="H1266" s="79"/>
    </row>
    <row r="1267" spans="1:8">
      <c r="A1267" s="38"/>
      <c r="B1267" s="33"/>
      <c r="C1267" s="51"/>
      <c r="D1267" s="54"/>
      <c r="E1267" s="53"/>
      <c r="F1267" s="56"/>
      <c r="G1267" s="79"/>
      <c r="H1267" s="79"/>
    </row>
    <row r="1268" spans="1:8">
      <c r="A1268" s="38"/>
      <c r="B1268" s="33"/>
      <c r="C1268" s="51"/>
      <c r="D1268" s="54"/>
      <c r="E1268" s="54"/>
      <c r="F1268" s="56"/>
      <c r="G1268" s="79"/>
      <c r="H1268" s="79"/>
    </row>
    <row r="1269" spans="1:8">
      <c r="A1269" s="54"/>
      <c r="B1269" s="54"/>
      <c r="C1269" s="53"/>
      <c r="D1269" s="53"/>
      <c r="E1269" s="53"/>
      <c r="F1269" s="56"/>
      <c r="G1269" s="79"/>
      <c r="H1269" s="79"/>
    </row>
    <row r="1270" spans="1:8">
      <c r="A1270" s="54"/>
      <c r="B1270" s="33"/>
      <c r="C1270" s="51"/>
      <c r="D1270" s="54"/>
      <c r="E1270" s="54"/>
      <c r="F1270" s="56"/>
      <c r="G1270" s="79"/>
      <c r="H1270" s="79"/>
    </row>
    <row r="1271" spans="1:8">
      <c r="A1271" s="38"/>
      <c r="B1271" s="33"/>
      <c r="C1271" s="51"/>
      <c r="D1271" s="54"/>
      <c r="E1271" s="54"/>
      <c r="F1271" s="56"/>
      <c r="G1271" s="79"/>
      <c r="H1271" s="79"/>
    </row>
    <row r="1272" spans="1:8">
      <c r="A1272" s="38"/>
      <c r="B1272" s="54"/>
      <c r="C1272" s="51"/>
      <c r="D1272" s="54"/>
      <c r="E1272" s="54"/>
      <c r="F1272" s="56"/>
      <c r="G1272" s="79"/>
      <c r="H1272" s="79"/>
    </row>
    <row r="1273" spans="1:8">
      <c r="A1273" s="38"/>
      <c r="B1273" s="54"/>
      <c r="C1273" s="51"/>
      <c r="D1273" s="54"/>
      <c r="E1273" s="54"/>
      <c r="F1273" s="56"/>
      <c r="G1273" s="79"/>
      <c r="H1273" s="79"/>
    </row>
    <row r="1274" spans="1:8">
      <c r="A1274" s="38"/>
      <c r="B1274" s="33"/>
      <c r="C1274" s="51"/>
      <c r="D1274" s="54"/>
      <c r="E1274" s="54"/>
      <c r="F1274" s="56"/>
      <c r="G1274" s="79"/>
      <c r="H1274" s="79"/>
    </row>
    <row r="1275" spans="1:8">
      <c r="A1275" s="38"/>
      <c r="B1275" s="33"/>
      <c r="C1275" s="51"/>
      <c r="D1275" s="54"/>
      <c r="E1275" s="54"/>
      <c r="F1275" s="56"/>
      <c r="G1275" s="79"/>
      <c r="H1275" s="79"/>
    </row>
    <row r="1276" spans="1:8">
      <c r="A1276" s="38"/>
      <c r="B1276" s="54"/>
      <c r="C1276" s="51"/>
      <c r="D1276" s="54"/>
      <c r="E1276" s="54"/>
      <c r="F1276" s="56"/>
      <c r="G1276" s="79"/>
      <c r="H1276" s="79"/>
    </row>
    <row r="1277" spans="1:8">
      <c r="A1277" s="38"/>
      <c r="B1277" s="54"/>
      <c r="C1277" s="51"/>
      <c r="D1277" s="54"/>
      <c r="E1277" s="54"/>
      <c r="F1277" s="56"/>
      <c r="G1277" s="79"/>
      <c r="H1277" s="79"/>
    </row>
    <row r="1278" spans="1:8">
      <c r="A1278" s="38"/>
      <c r="B1278" s="33"/>
      <c r="C1278" s="51"/>
      <c r="D1278" s="54"/>
      <c r="E1278" s="54"/>
      <c r="F1278" s="56"/>
      <c r="G1278" s="79"/>
      <c r="H1278" s="79"/>
    </row>
    <row r="1279" spans="1:8">
      <c r="A1279" s="38"/>
      <c r="B1279" s="33"/>
      <c r="C1279" s="51"/>
      <c r="D1279" s="54"/>
      <c r="E1279" s="54"/>
      <c r="F1279" s="56"/>
      <c r="G1279" s="79"/>
      <c r="H1279" s="79"/>
    </row>
    <row r="1280" spans="1:8">
      <c r="A1280" s="38"/>
      <c r="B1280" s="54"/>
      <c r="C1280" s="51"/>
      <c r="D1280" s="53"/>
      <c r="E1280" s="54"/>
      <c r="F1280" s="56"/>
      <c r="G1280" s="79"/>
      <c r="H1280" s="79"/>
    </row>
    <row r="1281" spans="1:8">
      <c r="A1281" s="38"/>
      <c r="B1281" s="33"/>
      <c r="C1281" s="51"/>
      <c r="D1281" s="54"/>
      <c r="E1281" s="54"/>
      <c r="F1281" s="56"/>
      <c r="G1281" s="79"/>
      <c r="H1281" s="79"/>
    </row>
    <row r="1282" spans="1:8">
      <c r="A1282" s="38"/>
      <c r="B1282" s="33"/>
      <c r="C1282" s="51"/>
      <c r="D1282" s="54"/>
      <c r="E1282" s="54"/>
      <c r="F1282" s="56"/>
      <c r="G1282" s="79"/>
      <c r="H1282" s="79"/>
    </row>
    <row r="1283" spans="1:8">
      <c r="A1283" s="38"/>
      <c r="B1283" s="54"/>
      <c r="C1283" s="51"/>
      <c r="D1283" s="54"/>
      <c r="E1283" s="54"/>
      <c r="F1283" s="56"/>
      <c r="G1283" s="79"/>
      <c r="H1283" s="79"/>
    </row>
    <row r="1284" spans="1:8">
      <c r="A1284" s="38"/>
      <c r="B1284" s="54"/>
      <c r="C1284" s="51"/>
      <c r="D1284" s="54"/>
      <c r="E1284" s="54"/>
      <c r="F1284" s="56"/>
      <c r="G1284" s="79"/>
      <c r="H1284" s="79"/>
    </row>
    <row r="1285" spans="1:8">
      <c r="A1285" s="38"/>
      <c r="B1285" s="54"/>
      <c r="C1285" s="51"/>
      <c r="D1285" s="54"/>
      <c r="E1285" s="54"/>
      <c r="F1285" s="56"/>
      <c r="G1285" s="79"/>
      <c r="H1285" s="79"/>
    </row>
    <row r="1286" spans="1:8">
      <c r="A1286" s="38"/>
      <c r="B1286" s="54"/>
      <c r="C1286" s="51"/>
      <c r="D1286" s="54"/>
      <c r="E1286" s="54"/>
      <c r="F1286" s="56"/>
      <c r="G1286" s="79"/>
      <c r="H1286" s="79"/>
    </row>
    <row r="1287" spans="1:8">
      <c r="A1287" s="38"/>
      <c r="B1287" s="33"/>
      <c r="C1287" s="51"/>
      <c r="D1287" s="80"/>
      <c r="E1287" s="53"/>
      <c r="F1287" s="56"/>
      <c r="G1287" s="79"/>
      <c r="H1287" s="79"/>
    </row>
    <row r="1288" spans="1:8">
      <c r="A1288" s="38"/>
      <c r="B1288" s="33"/>
      <c r="C1288" s="51"/>
      <c r="D1288" s="54"/>
      <c r="E1288" s="53"/>
      <c r="F1288" s="56"/>
      <c r="G1288" s="79"/>
      <c r="H1288" s="79"/>
    </row>
    <row r="1289" spans="1:8">
      <c r="A1289" s="38"/>
      <c r="B1289" s="33"/>
      <c r="C1289" s="51"/>
      <c r="D1289" s="54"/>
      <c r="E1289" s="54"/>
      <c r="F1289" s="56"/>
      <c r="G1289" s="79"/>
      <c r="H1289" s="79"/>
    </row>
    <row r="1290" spans="1:8">
      <c r="A1290" s="38"/>
      <c r="B1290" s="33"/>
      <c r="C1290" s="51"/>
      <c r="D1290" s="54"/>
      <c r="E1290" s="53"/>
      <c r="F1290" s="56"/>
      <c r="G1290" s="79"/>
      <c r="H1290" s="79"/>
    </row>
    <row r="1291" spans="1:8">
      <c r="A1291" s="38"/>
      <c r="B1291" s="54"/>
      <c r="C1291" s="53"/>
      <c r="D1291" s="53"/>
      <c r="E1291" s="53"/>
      <c r="F1291" s="56"/>
      <c r="G1291" s="79"/>
      <c r="H1291" s="79"/>
    </row>
    <row r="1292" spans="1:8">
      <c r="A1292" s="38"/>
      <c r="B1292" s="33"/>
      <c r="C1292" s="51"/>
      <c r="D1292" s="54"/>
      <c r="E1292" s="53"/>
      <c r="F1292" s="56"/>
      <c r="G1292" s="79"/>
      <c r="H1292" s="79"/>
    </row>
    <row r="1293" spans="1:8">
      <c r="A1293" s="38"/>
      <c r="B1293" s="2"/>
      <c r="C1293" s="37"/>
      <c r="D1293" s="2"/>
      <c r="E1293" s="54"/>
      <c r="F1293" s="49"/>
    </row>
    <row r="1294" spans="1:8">
      <c r="A1294" s="38"/>
      <c r="B1294" s="33"/>
      <c r="C1294" s="37"/>
      <c r="D1294" s="2"/>
      <c r="E1294" s="54"/>
      <c r="F1294" s="49"/>
    </row>
    <row r="1295" spans="1:8">
      <c r="A1295" s="38"/>
      <c r="B1295" s="33"/>
      <c r="C1295" s="37"/>
      <c r="D1295" s="2"/>
      <c r="E1295" s="54"/>
      <c r="F1295" s="49"/>
    </row>
    <row r="1296" spans="1:8">
      <c r="A1296" s="38"/>
      <c r="B1296" s="2"/>
      <c r="C1296" s="37"/>
      <c r="D1296" s="2"/>
      <c r="E1296" s="54"/>
      <c r="F1296" s="49"/>
    </row>
    <row r="1297" spans="1:7">
      <c r="A1297" s="38"/>
      <c r="B1297" s="2"/>
      <c r="C1297" s="37"/>
      <c r="D1297" s="2"/>
      <c r="E1297" s="54"/>
      <c r="F1297" s="49"/>
    </row>
    <row r="1298" spans="1:7">
      <c r="A1298" s="2"/>
      <c r="B1298" s="2"/>
      <c r="C1298" s="37"/>
      <c r="D1298" s="2"/>
      <c r="E1298" s="54"/>
      <c r="F1298" s="49"/>
    </row>
    <row r="1299" spans="1:7">
      <c r="A1299" s="2"/>
      <c r="B1299" s="2"/>
      <c r="C1299" s="37"/>
      <c r="D1299" s="2"/>
      <c r="E1299" s="54"/>
      <c r="F1299" s="49"/>
    </row>
    <row r="1300" spans="1:7">
      <c r="A1300" s="2"/>
      <c r="B1300" s="2"/>
      <c r="C1300" s="37"/>
      <c r="D1300" s="2"/>
      <c r="E1300" s="54"/>
      <c r="F1300" s="49"/>
    </row>
    <row r="1301" spans="1:7">
      <c r="A1301" s="2"/>
      <c r="B1301" s="33"/>
      <c r="C1301" s="37"/>
      <c r="D1301" s="2"/>
      <c r="E1301" s="54"/>
      <c r="F1301" s="49"/>
    </row>
    <row r="1302" spans="1:7">
      <c r="A1302" s="2"/>
      <c r="B1302" s="33"/>
      <c r="C1302" s="37"/>
      <c r="D1302" s="2"/>
      <c r="E1302" s="54"/>
      <c r="F1302" s="49"/>
    </row>
    <row r="1303" spans="1:7">
      <c r="A1303" s="2"/>
      <c r="B1303" s="2"/>
      <c r="C1303" s="37"/>
      <c r="D1303" s="2"/>
      <c r="E1303" s="54"/>
      <c r="F1303" s="49"/>
    </row>
    <row r="1304" spans="1:7">
      <c r="A1304" s="2"/>
      <c r="B1304" s="2"/>
      <c r="C1304" s="37"/>
      <c r="D1304" s="2"/>
      <c r="E1304" s="54"/>
      <c r="F1304" s="49"/>
    </row>
    <row r="1305" spans="1:7">
      <c r="A1305" s="38"/>
      <c r="B1305" s="2"/>
      <c r="C1305" s="37"/>
      <c r="D1305" s="2"/>
      <c r="E1305" s="54"/>
      <c r="F1305" s="49"/>
      <c r="G1305" s="50"/>
    </row>
    <row r="1306" spans="1:7">
      <c r="A1306" s="38"/>
      <c r="B1306" s="33"/>
      <c r="C1306" s="37"/>
      <c r="D1306" s="2"/>
      <c r="E1306" s="2"/>
      <c r="F1306" s="49"/>
      <c r="G1306" s="50"/>
    </row>
    <row r="1307" spans="1:7">
      <c r="A1307" s="38"/>
      <c r="B1307" s="2"/>
      <c r="C1307" s="37"/>
      <c r="D1307" s="2"/>
      <c r="E1307" s="2"/>
      <c r="F1307" s="49"/>
    </row>
    <row r="1308" spans="1:7">
      <c r="A1308" s="38"/>
      <c r="B1308" s="33"/>
      <c r="C1308" s="37"/>
      <c r="D1308" s="54"/>
      <c r="E1308" s="3"/>
      <c r="F1308" s="3"/>
    </row>
    <row r="1309" spans="1:7">
      <c r="A1309" s="38"/>
      <c r="B1309" s="33"/>
      <c r="C1309" s="37"/>
      <c r="D1309" s="54"/>
      <c r="E1309" s="2"/>
      <c r="F1309" s="49"/>
    </row>
    <row r="1310" spans="1:7">
      <c r="A1310" s="38"/>
      <c r="B1310" s="33"/>
      <c r="C1310" s="37"/>
      <c r="D1310" s="54"/>
      <c r="E1310" s="3"/>
      <c r="F1310" s="49"/>
    </row>
    <row r="1311" spans="1:7" ht="18.75" customHeight="1">
      <c r="A1311" s="39"/>
      <c r="B1311" s="39"/>
      <c r="C1311" s="39"/>
      <c r="D1311" s="39"/>
      <c r="E1311" s="39"/>
      <c r="F1311" s="43"/>
    </row>
    <row r="1312" spans="1:7">
      <c r="A1312" s="38"/>
      <c r="B1312" s="2"/>
      <c r="C1312" s="37"/>
      <c r="D1312" s="2"/>
      <c r="E1312" s="2"/>
      <c r="F1312" s="49"/>
    </row>
    <row r="1313" spans="1:6">
      <c r="A1313" s="38"/>
      <c r="B1313" s="2"/>
      <c r="C1313" s="37"/>
      <c r="D1313" s="2"/>
      <c r="E1313" s="2"/>
      <c r="F1313" s="49"/>
    </row>
    <row r="1314" spans="1:6">
      <c r="A1314" s="38"/>
      <c r="B1314" s="2"/>
      <c r="C1314" s="37"/>
      <c r="D1314" s="2"/>
      <c r="E1314" s="54"/>
      <c r="F1314" s="49"/>
    </row>
    <row r="1315" spans="1:6">
      <c r="A1315" s="38"/>
      <c r="B1315" s="2"/>
      <c r="C1315" s="37"/>
      <c r="D1315" s="2"/>
      <c r="E1315" s="51"/>
      <c r="F1315" s="49"/>
    </row>
    <row r="1316" spans="1:6">
      <c r="A1316" s="38"/>
      <c r="B1316" s="2"/>
      <c r="C1316" s="37"/>
      <c r="D1316" s="2"/>
      <c r="E1316" s="51"/>
      <c r="F1316" s="49"/>
    </row>
    <row r="1317" spans="1:6">
      <c r="A1317" s="38"/>
      <c r="B1317" s="2"/>
      <c r="C1317" s="37"/>
      <c r="D1317" s="2"/>
      <c r="E1317" s="51"/>
      <c r="F1317" s="49"/>
    </row>
    <row r="1318" spans="1:6">
      <c r="A1318" s="38"/>
      <c r="B1318" s="2"/>
      <c r="C1318" s="37"/>
      <c r="D1318" s="2"/>
      <c r="E1318" s="51"/>
      <c r="F1318" s="49"/>
    </row>
    <row r="1319" spans="1:6">
      <c r="A1319" s="38"/>
      <c r="B1319" s="2"/>
      <c r="C1319" s="37"/>
      <c r="D1319" s="2"/>
      <c r="E1319" s="51"/>
      <c r="F1319" s="49"/>
    </row>
    <row r="1320" spans="1:6">
      <c r="A1320" s="38"/>
      <c r="B1320" s="2"/>
      <c r="C1320" s="37"/>
      <c r="D1320" s="2"/>
      <c r="E1320" s="51"/>
      <c r="F1320" s="49"/>
    </row>
    <row r="1321" spans="1:6">
      <c r="A1321" s="38"/>
      <c r="B1321" s="33"/>
      <c r="C1321" s="37"/>
      <c r="D1321" s="2"/>
      <c r="E1321" s="51"/>
      <c r="F1321" s="65"/>
    </row>
    <row r="1322" spans="1:6">
      <c r="A1322" s="38"/>
      <c r="B1322" s="33"/>
      <c r="C1322" s="37"/>
      <c r="D1322" s="2"/>
      <c r="E1322" s="51"/>
      <c r="F1322" s="65"/>
    </row>
    <row r="1323" spans="1:6">
      <c r="A1323" s="38"/>
      <c r="B1323" s="33"/>
      <c r="C1323" s="37"/>
      <c r="D1323" s="2"/>
      <c r="E1323" s="51"/>
      <c r="F1323" s="65"/>
    </row>
    <row r="1324" spans="1:6">
      <c r="A1324" s="38"/>
      <c r="B1324" s="33"/>
      <c r="C1324" s="37"/>
      <c r="D1324" s="2"/>
      <c r="E1324" s="51"/>
      <c r="F1324" s="65"/>
    </row>
    <row r="1325" spans="1:6">
      <c r="A1325" s="38"/>
      <c r="B1325" s="33"/>
      <c r="C1325" s="37"/>
      <c r="D1325" s="2"/>
      <c r="E1325" s="51"/>
      <c r="F1325" s="65"/>
    </row>
    <row r="1326" spans="1:6">
      <c r="A1326" s="38"/>
      <c r="B1326" s="2"/>
      <c r="C1326" s="37"/>
      <c r="D1326" s="2"/>
      <c r="E1326" s="51"/>
      <c r="F1326" s="65"/>
    </row>
    <row r="1327" spans="1:6">
      <c r="A1327" s="38"/>
      <c r="B1327" s="2"/>
      <c r="C1327" s="37"/>
      <c r="D1327" s="2"/>
      <c r="E1327" s="51"/>
      <c r="F1327" s="65"/>
    </row>
    <row r="1328" spans="1:6">
      <c r="A1328" s="38"/>
      <c r="B1328" s="2"/>
      <c r="C1328" s="37"/>
      <c r="D1328" s="37"/>
      <c r="E1328" s="51"/>
      <c r="F1328" s="65"/>
    </row>
    <row r="1329" spans="1:6">
      <c r="A1329" s="38"/>
      <c r="B1329" s="33"/>
      <c r="C1329" s="37"/>
      <c r="D1329" s="2"/>
      <c r="E1329" s="51"/>
      <c r="F1329" s="65"/>
    </row>
    <row r="1330" spans="1:6">
      <c r="A1330" s="38"/>
      <c r="B1330" s="2"/>
      <c r="C1330" s="3"/>
      <c r="D1330" s="3"/>
      <c r="E1330" s="53"/>
      <c r="F1330" s="65"/>
    </row>
    <row r="1331" spans="1:6">
      <c r="A1331" s="38"/>
      <c r="B1331" s="33"/>
      <c r="C1331" s="37"/>
      <c r="D1331" s="2"/>
      <c r="E1331" s="51"/>
      <c r="F1331" s="65"/>
    </row>
    <row r="1332" spans="1:6">
      <c r="A1332" s="38"/>
      <c r="B1332" s="33"/>
      <c r="C1332" s="37"/>
      <c r="D1332" s="2"/>
      <c r="E1332" s="54"/>
      <c r="F1332" s="65"/>
    </row>
    <row r="1333" spans="1:6">
      <c r="A1333" s="38"/>
      <c r="B1333" s="2"/>
      <c r="C1333" s="37"/>
      <c r="D1333" s="2"/>
      <c r="E1333" s="51"/>
      <c r="F1333" s="65"/>
    </row>
    <row r="1334" spans="1:6">
      <c r="A1334" s="38"/>
      <c r="B1334" s="2"/>
      <c r="C1334" s="37"/>
      <c r="D1334" s="37"/>
      <c r="E1334" s="51"/>
      <c r="F1334" s="65"/>
    </row>
    <row r="1335" spans="1:6">
      <c r="A1335" s="38"/>
      <c r="B1335" s="2"/>
      <c r="C1335" s="37"/>
      <c r="D1335" s="37"/>
      <c r="E1335" s="51"/>
      <c r="F1335" s="65"/>
    </row>
    <row r="1336" spans="1:6">
      <c r="A1336" s="38"/>
      <c r="B1336" s="2"/>
      <c r="C1336" s="37"/>
      <c r="D1336" s="37"/>
      <c r="E1336" s="51"/>
      <c r="F1336" s="65"/>
    </row>
    <row r="1337" spans="1:6">
      <c r="A1337" s="38"/>
      <c r="B1337" s="2"/>
      <c r="C1337" s="37"/>
      <c r="D1337" s="3"/>
      <c r="E1337" s="53"/>
      <c r="F1337" s="49"/>
    </row>
    <row r="1338" spans="1:6">
      <c r="A1338" s="38"/>
      <c r="B1338" s="2"/>
      <c r="C1338" s="37"/>
      <c r="D1338" s="3"/>
      <c r="E1338" s="53"/>
      <c r="F1338" s="49"/>
    </row>
    <row r="1339" spans="1:6">
      <c r="A1339" s="38"/>
      <c r="B1339" s="2"/>
      <c r="C1339" s="37"/>
      <c r="D1339" s="3"/>
      <c r="E1339" s="53"/>
      <c r="F1339" s="49"/>
    </row>
    <row r="1340" spans="1:6">
      <c r="A1340" s="38"/>
      <c r="B1340" s="2"/>
      <c r="C1340" s="37"/>
      <c r="D1340" s="2"/>
      <c r="E1340" s="53"/>
      <c r="F1340" s="49"/>
    </row>
    <row r="1341" spans="1:6">
      <c r="A1341" s="38"/>
      <c r="B1341" s="2"/>
      <c r="C1341" s="37"/>
      <c r="D1341" s="3"/>
      <c r="E1341" s="53"/>
      <c r="F1341" s="49"/>
    </row>
    <row r="1342" spans="1:6">
      <c r="A1342" s="38"/>
      <c r="B1342" s="2"/>
      <c r="C1342" s="37"/>
      <c r="D1342" s="3"/>
      <c r="E1342" s="53"/>
      <c r="F1342" s="49"/>
    </row>
    <row r="1343" spans="1:6">
      <c r="A1343" s="38"/>
      <c r="B1343" s="2"/>
      <c r="C1343" s="37"/>
      <c r="D1343" s="3"/>
      <c r="E1343" s="53"/>
      <c r="F1343" s="49"/>
    </row>
    <row r="1344" spans="1:6">
      <c r="A1344" s="38"/>
      <c r="B1344" s="33"/>
      <c r="C1344" s="37"/>
      <c r="D1344" s="3"/>
      <c r="E1344" s="53"/>
      <c r="F1344" s="49"/>
    </row>
    <row r="1345" spans="1:6">
      <c r="A1345" s="38"/>
      <c r="B1345" s="33"/>
      <c r="C1345" s="37"/>
      <c r="D1345" s="3"/>
      <c r="E1345" s="53"/>
      <c r="F1345" s="49"/>
    </row>
    <row r="1346" spans="1:6">
      <c r="A1346" s="38"/>
      <c r="B1346" s="33"/>
      <c r="C1346" s="37"/>
      <c r="D1346" s="37"/>
      <c r="E1346" s="51"/>
      <c r="F1346" s="49"/>
    </row>
    <row r="1347" spans="1:6">
      <c r="A1347" s="38"/>
      <c r="B1347" s="2"/>
      <c r="C1347" s="37"/>
      <c r="D1347" s="37"/>
      <c r="E1347" s="51"/>
      <c r="F1347" s="49"/>
    </row>
    <row r="1348" spans="1:6">
      <c r="A1348" s="38"/>
      <c r="B1348" s="2"/>
      <c r="C1348" s="37"/>
      <c r="D1348" s="37"/>
      <c r="E1348" s="51"/>
      <c r="F1348" s="49"/>
    </row>
    <row r="1349" spans="1:6">
      <c r="A1349" s="38"/>
      <c r="B1349" s="2"/>
      <c r="C1349" s="35"/>
      <c r="D1349" s="37"/>
      <c r="E1349" s="51"/>
      <c r="F1349" s="49"/>
    </row>
    <row r="1350" spans="1:6">
      <c r="A1350" s="38"/>
      <c r="B1350" s="2"/>
      <c r="C1350" s="37"/>
      <c r="D1350" s="3"/>
      <c r="E1350" s="53"/>
      <c r="F1350" s="49"/>
    </row>
    <row r="1351" spans="1:6">
      <c r="A1351" s="38"/>
      <c r="B1351" s="2"/>
      <c r="C1351" s="37"/>
      <c r="D1351" s="3"/>
      <c r="E1351" s="53"/>
      <c r="F1351" s="49"/>
    </row>
    <row r="1352" spans="1:6">
      <c r="A1352" s="38"/>
      <c r="B1352" s="2"/>
      <c r="C1352" s="3"/>
      <c r="D1352" s="3"/>
      <c r="E1352" s="53"/>
      <c r="F1352" s="49"/>
    </row>
    <row r="1353" spans="1:6">
      <c r="A1353" s="38"/>
      <c r="B1353" s="2"/>
      <c r="C1353" s="37"/>
      <c r="D1353" s="2"/>
      <c r="E1353" s="2"/>
      <c r="F1353" s="49"/>
    </row>
    <row r="1354" spans="1:6">
      <c r="A1354" s="38"/>
      <c r="B1354" s="2"/>
      <c r="C1354" s="37"/>
      <c r="D1354" s="3"/>
      <c r="E1354" s="3"/>
      <c r="F1354" s="49"/>
    </row>
    <row r="1355" spans="1:6">
      <c r="A1355" s="38"/>
      <c r="B1355" s="2"/>
      <c r="C1355" s="3"/>
      <c r="D1355" s="3"/>
      <c r="E1355" s="3"/>
      <c r="F1355" s="49"/>
    </row>
    <row r="1356" spans="1:6">
      <c r="A1356" s="38"/>
      <c r="B1356" s="2"/>
      <c r="C1356" s="37"/>
      <c r="D1356" s="3"/>
      <c r="E1356" s="3"/>
      <c r="F1356" s="49"/>
    </row>
    <row r="1357" spans="1:6">
      <c r="A1357" s="38"/>
      <c r="B1357" s="2"/>
      <c r="C1357" s="37"/>
      <c r="D1357" s="3"/>
      <c r="E1357" s="3"/>
      <c r="F1357" s="49"/>
    </row>
    <row r="1358" spans="1:6">
      <c r="A1358" s="38"/>
      <c r="B1358" s="2"/>
      <c r="C1358" s="37"/>
      <c r="D1358" s="3"/>
      <c r="E1358" s="3"/>
      <c r="F1358" s="49"/>
    </row>
    <row r="1359" spans="1:6">
      <c r="A1359" s="38"/>
      <c r="B1359" s="2"/>
      <c r="C1359" s="37"/>
      <c r="D1359" s="3"/>
      <c r="E1359" s="3"/>
      <c r="F1359" s="49"/>
    </row>
    <row r="1360" spans="1:6">
      <c r="A1360" s="38"/>
      <c r="B1360" s="2"/>
      <c r="C1360" s="3"/>
      <c r="D1360" s="3"/>
      <c r="E1360" s="3"/>
      <c r="F1360" s="49"/>
    </row>
    <row r="1361" spans="1:6">
      <c r="A1361" s="38"/>
      <c r="B1361" s="33"/>
      <c r="C1361" s="37"/>
      <c r="D1361" s="2"/>
      <c r="E1361" s="2"/>
      <c r="F1361" s="49"/>
    </row>
    <row r="1362" spans="1:6">
      <c r="A1362" s="38"/>
      <c r="B1362" s="2"/>
      <c r="C1362" s="3"/>
      <c r="D1362" s="3"/>
      <c r="E1362" s="3"/>
      <c r="F1362" s="49"/>
    </row>
    <row r="1363" spans="1:6">
      <c r="A1363" s="38"/>
      <c r="B1363" s="2"/>
      <c r="C1363" s="37"/>
      <c r="D1363" s="54"/>
      <c r="E1363" s="54"/>
      <c r="F1363" s="49"/>
    </row>
    <row r="1364" spans="1:6">
      <c r="A1364" s="38"/>
      <c r="B1364" s="33"/>
      <c r="C1364" s="37"/>
      <c r="D1364" s="2"/>
      <c r="E1364" s="2"/>
      <c r="F1364" s="49"/>
    </row>
    <row r="1365" spans="1:6">
      <c r="A1365" s="38"/>
      <c r="B1365" s="33"/>
      <c r="C1365" s="37"/>
      <c r="D1365" s="2"/>
      <c r="E1365" s="2"/>
      <c r="F1365" s="49"/>
    </row>
  </sheetData>
  <autoFilter ref="A1:G1363">
    <filterColumn colId="2"/>
    <filterColumn colId="4"/>
  </autoFilter>
  <mergeCells count="5">
    <mergeCell ref="A36:B36"/>
    <mergeCell ref="A96:B96"/>
    <mergeCell ref="A173:B173"/>
    <mergeCell ref="A339:B339"/>
    <mergeCell ref="A603:B603"/>
  </mergeCells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08"/>
  <sheetViews>
    <sheetView workbookViewId="0">
      <pane xSplit="2" ySplit="1" topLeftCell="C89" activePane="bottomRight" state="frozen"/>
      <selection pane="topRight" activeCell="C1" sqref="C1"/>
      <selection pane="bottomLeft" activeCell="A2" sqref="A2"/>
      <selection pane="bottomRight" activeCell="G74" sqref="G74"/>
    </sheetView>
  </sheetViews>
  <sheetFormatPr defaultRowHeight="13.5"/>
  <cols>
    <col min="1" max="1" width="11.625" customWidth="1"/>
    <col min="2" max="2" width="14.625" customWidth="1"/>
    <col min="3" max="3" width="13.875" customWidth="1"/>
    <col min="4" max="14" width="12.625" customWidth="1"/>
  </cols>
  <sheetData>
    <row r="1" spans="1:15" s="9" customFormat="1" ht="14.25">
      <c r="A1" s="6" t="s">
        <v>19</v>
      </c>
      <c r="B1" s="7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8" t="s">
        <v>32</v>
      </c>
    </row>
    <row r="2" spans="1:15">
      <c r="A2" s="10" t="s">
        <v>58</v>
      </c>
      <c r="B2" s="34">
        <f t="shared" ref="B2:B101" si="0">SUM(C2:N2)</f>
        <v>47250</v>
      </c>
      <c r="C2" s="44"/>
      <c r="D2" s="44"/>
      <c r="E2" s="44"/>
      <c r="F2" s="44">
        <f>47250</f>
        <v>47250</v>
      </c>
      <c r="G2" s="44"/>
      <c r="H2" s="44"/>
      <c r="I2" s="44"/>
      <c r="J2" s="44"/>
      <c r="K2" s="44"/>
      <c r="L2" s="44"/>
      <c r="M2" s="44"/>
      <c r="N2" s="44"/>
      <c r="O2" s="41"/>
    </row>
    <row r="3" spans="1:15">
      <c r="A3" s="10" t="s">
        <v>95</v>
      </c>
      <c r="B3" s="34">
        <f t="shared" si="0"/>
        <v>0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1"/>
    </row>
    <row r="4" spans="1:15">
      <c r="A4" s="10" t="s">
        <v>69</v>
      </c>
      <c r="B4" s="34">
        <f t="shared" si="0"/>
        <v>0</v>
      </c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1"/>
    </row>
    <row r="5" spans="1:15">
      <c r="A5" s="10" t="s">
        <v>13</v>
      </c>
      <c r="B5" s="34">
        <f t="shared" si="0"/>
        <v>286143.80000000005</v>
      </c>
      <c r="C5" s="44"/>
      <c r="D5" s="44">
        <f>49050+35147.23+43654.5</f>
        <v>127851.73000000001</v>
      </c>
      <c r="E5" s="44">
        <f>47250+37800</f>
        <v>85050</v>
      </c>
      <c r="F5" s="44">
        <f>42525+30717.07</f>
        <v>73242.070000000007</v>
      </c>
      <c r="G5" s="44"/>
      <c r="H5" s="44"/>
      <c r="I5" s="44"/>
      <c r="J5" s="44"/>
      <c r="K5" s="44"/>
      <c r="L5" s="44"/>
      <c r="M5" s="44"/>
      <c r="N5" s="44"/>
      <c r="O5" s="41"/>
    </row>
    <row r="6" spans="1:15">
      <c r="A6" s="10" t="s">
        <v>88</v>
      </c>
      <c r="B6" s="34">
        <f t="shared" si="0"/>
        <v>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1"/>
    </row>
    <row r="7" spans="1:15">
      <c r="A7" s="10" t="s">
        <v>97</v>
      </c>
      <c r="B7" s="34">
        <f t="shared" si="0"/>
        <v>0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1"/>
    </row>
    <row r="8" spans="1:15">
      <c r="A8" s="10" t="s">
        <v>76</v>
      </c>
      <c r="B8" s="34">
        <f t="shared" si="0"/>
        <v>161861.74</v>
      </c>
      <c r="C8" s="44"/>
      <c r="D8" s="44">
        <f>48888+21902.79+19065.73</f>
        <v>89856.52</v>
      </c>
      <c r="E8" s="44">
        <v>58869.22</v>
      </c>
      <c r="F8" s="44">
        <v>13136</v>
      </c>
      <c r="G8" s="44"/>
      <c r="H8" s="44"/>
      <c r="I8" s="44"/>
      <c r="J8" s="44"/>
      <c r="K8" s="44"/>
      <c r="L8" s="44"/>
      <c r="M8" s="44"/>
      <c r="N8" s="44"/>
      <c r="O8" s="41"/>
    </row>
    <row r="9" spans="1:15">
      <c r="A9" s="10" t="s">
        <v>16</v>
      </c>
      <c r="B9" s="34">
        <f t="shared" si="0"/>
        <v>100951.7</v>
      </c>
      <c r="C9" s="44"/>
      <c r="D9" s="44"/>
      <c r="E9" s="44">
        <v>62775.03</v>
      </c>
      <c r="F9" s="44">
        <f>6223.53+31953.14</f>
        <v>38176.67</v>
      </c>
      <c r="G9" s="44"/>
      <c r="H9" s="44"/>
      <c r="I9" s="44"/>
      <c r="J9" s="44"/>
      <c r="K9" s="44"/>
      <c r="L9" s="44"/>
      <c r="M9" s="44"/>
      <c r="N9" s="44"/>
      <c r="O9" s="41"/>
    </row>
    <row r="10" spans="1:15">
      <c r="A10" s="10" t="s">
        <v>94</v>
      </c>
      <c r="B10" s="34">
        <f t="shared" si="0"/>
        <v>0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1"/>
    </row>
    <row r="11" spans="1:15">
      <c r="A11" s="10" t="s">
        <v>102</v>
      </c>
      <c r="B11" s="34">
        <f t="shared" si="0"/>
        <v>66100</v>
      </c>
      <c r="C11" s="44"/>
      <c r="D11" s="44"/>
      <c r="E11" s="44">
        <v>17400</v>
      </c>
      <c r="F11" s="44">
        <f>2500+20000+6800+13600</f>
        <v>42900</v>
      </c>
      <c r="G11" s="44">
        <f>5800</f>
        <v>5800</v>
      </c>
      <c r="H11" s="44"/>
      <c r="I11" s="44"/>
      <c r="J11" s="44"/>
      <c r="K11" s="44"/>
      <c r="L11" s="44"/>
      <c r="M11" s="44"/>
      <c r="N11" s="44"/>
      <c r="O11" s="41"/>
    </row>
    <row r="12" spans="1:15">
      <c r="A12" s="10" t="s">
        <v>582</v>
      </c>
      <c r="B12" s="34">
        <f t="shared" si="0"/>
        <v>61956.62</v>
      </c>
      <c r="C12" s="44"/>
      <c r="D12" s="44"/>
      <c r="E12" s="44">
        <v>21393</v>
      </c>
      <c r="F12" s="44">
        <f>25033+15530.62</f>
        <v>40563.620000000003</v>
      </c>
      <c r="G12" s="44"/>
      <c r="H12" s="44"/>
      <c r="I12" s="44"/>
      <c r="J12" s="44"/>
      <c r="K12" s="44"/>
      <c r="L12" s="44"/>
      <c r="M12" s="44"/>
      <c r="N12" s="44"/>
      <c r="O12" s="41"/>
    </row>
    <row r="13" spans="1:15">
      <c r="A13" s="91" t="s">
        <v>765</v>
      </c>
      <c r="B13" s="34">
        <f t="shared" si="0"/>
        <v>20400</v>
      </c>
      <c r="C13" s="44"/>
      <c r="D13" s="44"/>
      <c r="E13" s="44">
        <v>4800</v>
      </c>
      <c r="F13" s="44">
        <f>7800+7800</f>
        <v>15600</v>
      </c>
      <c r="G13" s="44"/>
      <c r="H13" s="44"/>
      <c r="I13" s="44"/>
      <c r="J13" s="44"/>
      <c r="K13" s="44"/>
      <c r="L13" s="44"/>
      <c r="M13" s="44"/>
      <c r="N13" s="44"/>
      <c r="O13" s="41"/>
    </row>
    <row r="14" spans="1:15">
      <c r="A14" s="10" t="s">
        <v>100</v>
      </c>
      <c r="B14" s="34">
        <f t="shared" si="0"/>
        <v>26600</v>
      </c>
      <c r="C14" s="44"/>
      <c r="D14" s="44"/>
      <c r="E14" s="44">
        <v>5800</v>
      </c>
      <c r="F14" s="44">
        <f>5800+10000</f>
        <v>15800</v>
      </c>
      <c r="G14" s="44">
        <f>5000</f>
        <v>5000</v>
      </c>
      <c r="H14" s="44"/>
      <c r="I14" s="44"/>
      <c r="J14" s="44"/>
      <c r="K14" s="44"/>
      <c r="L14" s="44"/>
      <c r="M14" s="44"/>
      <c r="N14" s="44"/>
      <c r="O14" s="41"/>
    </row>
    <row r="15" spans="1:15">
      <c r="A15" s="10" t="s">
        <v>1203</v>
      </c>
      <c r="B15" s="34">
        <f t="shared" si="0"/>
        <v>6800</v>
      </c>
      <c r="C15" s="44"/>
      <c r="D15" s="44"/>
      <c r="E15" s="44"/>
      <c r="F15" s="44">
        <f>6800</f>
        <v>6800</v>
      </c>
      <c r="G15" s="44"/>
      <c r="H15" s="44"/>
      <c r="I15" s="44"/>
      <c r="J15" s="44"/>
      <c r="K15" s="44"/>
      <c r="L15" s="44"/>
      <c r="M15" s="44"/>
      <c r="N15" s="44"/>
      <c r="O15" s="41"/>
    </row>
    <row r="16" spans="1:15">
      <c r="A16" s="4" t="s">
        <v>60</v>
      </c>
      <c r="B16" s="34">
        <f t="shared" si="0"/>
        <v>9940</v>
      </c>
      <c r="C16" s="44"/>
      <c r="D16" s="44"/>
      <c r="E16" s="44">
        <v>5440</v>
      </c>
      <c r="F16" s="44">
        <f>4500</f>
        <v>4500</v>
      </c>
      <c r="G16" s="44"/>
      <c r="H16" s="44"/>
      <c r="I16" s="44"/>
      <c r="J16" s="44"/>
      <c r="K16" s="44"/>
      <c r="L16" s="44"/>
      <c r="M16" s="44"/>
      <c r="N16" s="44"/>
      <c r="O16" s="41"/>
    </row>
    <row r="17" spans="1:15">
      <c r="A17" s="4" t="s">
        <v>73</v>
      </c>
      <c r="B17" s="34">
        <f t="shared" si="0"/>
        <v>186314.25</v>
      </c>
      <c r="C17" s="44">
        <f>15900+14310</f>
        <v>30210</v>
      </c>
      <c r="D17" s="44">
        <f>13782.49+12000+14310</f>
        <v>40092.49</v>
      </c>
      <c r="E17" s="44">
        <v>66956</v>
      </c>
      <c r="F17" s="44">
        <f>15656+15311.26+2520+15568.5</f>
        <v>49055.76</v>
      </c>
      <c r="G17" s="44"/>
      <c r="H17" s="44"/>
      <c r="I17" s="44"/>
      <c r="J17" s="44"/>
      <c r="K17" s="44"/>
      <c r="L17" s="44"/>
      <c r="M17" s="44"/>
      <c r="N17" s="44"/>
      <c r="O17" s="41"/>
    </row>
    <row r="18" spans="1:15">
      <c r="A18" s="4" t="s">
        <v>7</v>
      </c>
      <c r="B18" s="34">
        <f t="shared" si="0"/>
        <v>110520</v>
      </c>
      <c r="C18" s="44"/>
      <c r="D18" s="44">
        <f>13600</f>
        <v>13600</v>
      </c>
      <c r="E18" s="44">
        <v>40720</v>
      </c>
      <c r="F18" s="44">
        <f>13600+5800+5800+5800+5800+13600+5800</f>
        <v>56200</v>
      </c>
      <c r="G18" s="44"/>
      <c r="H18" s="44"/>
      <c r="I18" s="44"/>
      <c r="J18" s="44"/>
      <c r="K18" s="44"/>
      <c r="L18" s="44"/>
      <c r="M18" s="44"/>
      <c r="N18" s="44"/>
      <c r="O18" s="41"/>
    </row>
    <row r="19" spans="1:15">
      <c r="A19" s="4" t="s">
        <v>65</v>
      </c>
      <c r="B19" s="34">
        <f t="shared" ref="B19:B42" si="1">SUM(C19:N19)</f>
        <v>127292.44</v>
      </c>
      <c r="C19" s="44"/>
      <c r="D19" s="44">
        <f>48927.38</f>
        <v>48927.38</v>
      </c>
      <c r="E19" s="44">
        <f>37534.35+16330.71</f>
        <v>53865.06</v>
      </c>
      <c r="F19" s="44">
        <f>24500</f>
        <v>24500</v>
      </c>
      <c r="G19" s="44"/>
      <c r="H19" s="44"/>
      <c r="I19" s="44"/>
      <c r="J19" s="44"/>
      <c r="K19" s="44"/>
      <c r="L19" s="44"/>
      <c r="M19" s="44"/>
      <c r="N19" s="44"/>
      <c r="O19" s="41"/>
    </row>
    <row r="20" spans="1:15">
      <c r="A20" s="4" t="s">
        <v>57</v>
      </c>
      <c r="B20" s="34">
        <f t="shared" si="1"/>
        <v>493599.58</v>
      </c>
      <c r="C20" s="44">
        <f>19589</f>
        <v>19589</v>
      </c>
      <c r="D20" s="44">
        <f>16407.55</f>
        <v>16407.55</v>
      </c>
      <c r="E20" s="44">
        <f>139991.52+11900</f>
        <v>151891.51999999999</v>
      </c>
      <c r="F20" s="44">
        <f>34100+85050+33655.94+23093.3+67325.48+16408.52+13418.5</f>
        <v>273051.74</v>
      </c>
      <c r="G20" s="44">
        <f>16408.52+16251.25</f>
        <v>32659.77</v>
      </c>
      <c r="H20" s="44"/>
      <c r="I20" s="44"/>
      <c r="J20" s="44"/>
      <c r="K20" s="44"/>
      <c r="L20" s="44"/>
      <c r="M20" s="44"/>
      <c r="N20" s="44"/>
      <c r="O20" s="41"/>
    </row>
    <row r="21" spans="1:15">
      <c r="A21" s="4" t="s">
        <v>15</v>
      </c>
      <c r="B21" s="34">
        <f t="shared" si="1"/>
        <v>396880.16000000003</v>
      </c>
      <c r="C21" s="44">
        <f>13382.5</f>
        <v>13382.5</v>
      </c>
      <c r="D21" s="44">
        <f>16567.13+40140.68+6180.3</f>
        <v>62888.11</v>
      </c>
      <c r="E21" s="44">
        <f>67222.93+31101.62+18544.82+10386.83</f>
        <v>127256.2</v>
      </c>
      <c r="F21" s="44">
        <f>16784.1+49875.02+15088+15088+16784.1+16567.13</f>
        <v>130186.35</v>
      </c>
      <c r="G21" s="44">
        <f>13423.8+16419.8+16756.27+16567.13</f>
        <v>63167</v>
      </c>
      <c r="H21" s="44"/>
      <c r="I21" s="44"/>
      <c r="J21" s="44"/>
      <c r="K21" s="44"/>
      <c r="L21" s="44"/>
      <c r="M21" s="44"/>
      <c r="N21" s="44"/>
      <c r="O21" s="41"/>
    </row>
    <row r="22" spans="1:15">
      <c r="A22" s="4" t="s">
        <v>59</v>
      </c>
      <c r="B22" s="34">
        <f t="shared" si="1"/>
        <v>351788.74</v>
      </c>
      <c r="C22" s="44">
        <f>55622.7</f>
        <v>55622.7</v>
      </c>
      <c r="D22" s="44">
        <f>62617.98+84761.68</f>
        <v>147379.66</v>
      </c>
      <c r="E22" s="44">
        <v>52910.54</v>
      </c>
      <c r="F22" s="44">
        <f>4234+1143.85+34020+1236.06+9810+37530.95+1143.85+6757.13</f>
        <v>95875.839999999997</v>
      </c>
      <c r="G22" s="44"/>
      <c r="H22" s="44"/>
      <c r="I22" s="44"/>
      <c r="J22" s="44"/>
      <c r="K22" s="44"/>
      <c r="L22" s="44"/>
      <c r="M22" s="44"/>
      <c r="N22" s="44"/>
      <c r="O22" s="41"/>
    </row>
    <row r="23" spans="1:15">
      <c r="A23" s="4" t="s">
        <v>379</v>
      </c>
      <c r="B23" s="34">
        <f t="shared" si="1"/>
        <v>12505</v>
      </c>
      <c r="C23" s="44"/>
      <c r="D23" s="44">
        <f>12505</f>
        <v>12505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1"/>
    </row>
    <row r="24" spans="1:15">
      <c r="A24" s="4" t="s">
        <v>66</v>
      </c>
      <c r="B24" s="34">
        <f t="shared" si="1"/>
        <v>133748.37</v>
      </c>
      <c r="C24" s="44"/>
      <c r="D24" s="44">
        <f>6269.65+18241.82</f>
        <v>24511.47</v>
      </c>
      <c r="E24" s="44">
        <f>-3055.5</f>
        <v>-3055.5</v>
      </c>
      <c r="F24" s="44">
        <f>31067.77+18507.63+15656+42261+4800</f>
        <v>112292.4</v>
      </c>
      <c r="G24" s="44"/>
      <c r="H24" s="44"/>
      <c r="I24" s="44"/>
      <c r="J24" s="44"/>
      <c r="K24" s="44"/>
      <c r="L24" s="44"/>
      <c r="M24" s="44"/>
      <c r="N24" s="44"/>
      <c r="O24" s="41"/>
    </row>
    <row r="25" spans="1:15">
      <c r="A25" s="4" t="s">
        <v>230</v>
      </c>
      <c r="B25" s="34">
        <f t="shared" si="1"/>
        <v>97732.26</v>
      </c>
      <c r="C25" s="44">
        <f>67682.26</f>
        <v>67682.259999999995</v>
      </c>
      <c r="D25" s="44">
        <f>30050</f>
        <v>30050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1"/>
    </row>
    <row r="26" spans="1:15">
      <c r="A26" s="4" t="s">
        <v>342</v>
      </c>
      <c r="B26" s="34">
        <f t="shared" si="1"/>
        <v>171859</v>
      </c>
      <c r="C26" s="44">
        <f>12960+2000</f>
        <v>14960</v>
      </c>
      <c r="D26" s="44">
        <f>9600+5800</f>
        <v>15400</v>
      </c>
      <c r="E26" s="44">
        <f>13400+4800+3000+1000+6000+2000</f>
        <v>30200</v>
      </c>
      <c r="F26" s="44">
        <f>2500+5000+4800+4800+4800+1200+1200+4000+5800+2400+4800+4200+4800+1200+4000+5000+6000+4800+4000+4800+15000+5500+9499+1200</f>
        <v>111299</v>
      </c>
      <c r="G26" s="44"/>
      <c r="H26" s="44"/>
      <c r="I26" s="44"/>
      <c r="J26" s="44"/>
      <c r="K26" s="44"/>
      <c r="L26" s="44"/>
      <c r="M26" s="44"/>
      <c r="N26" s="44"/>
      <c r="O26" s="41"/>
    </row>
    <row r="27" spans="1:15">
      <c r="A27" s="4" t="s">
        <v>90</v>
      </c>
      <c r="B27" s="34">
        <f t="shared" si="1"/>
        <v>11816.74</v>
      </c>
      <c r="C27" s="44">
        <f>11816.74</f>
        <v>11816.74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1"/>
    </row>
    <row r="28" spans="1:15">
      <c r="A28" s="4" t="s">
        <v>110</v>
      </c>
      <c r="B28" s="34">
        <f t="shared" si="1"/>
        <v>0</v>
      </c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1"/>
    </row>
    <row r="29" spans="1:15">
      <c r="A29" s="4" t="s">
        <v>349</v>
      </c>
      <c r="B29" s="34">
        <f t="shared" si="1"/>
        <v>73084.459999999992</v>
      </c>
      <c r="C29" s="44">
        <f>4500</f>
        <v>4500</v>
      </c>
      <c r="D29" s="44"/>
      <c r="E29" s="44">
        <v>34930.400000000001</v>
      </c>
      <c r="F29" s="44">
        <f>6263+3600+19291.06+4500</f>
        <v>33654.06</v>
      </c>
      <c r="G29" s="44"/>
      <c r="H29" s="44"/>
      <c r="I29" s="44"/>
      <c r="J29" s="44"/>
      <c r="K29" s="44"/>
      <c r="L29" s="44"/>
      <c r="M29" s="44"/>
      <c r="N29" s="44"/>
      <c r="O29" s="41"/>
    </row>
    <row r="30" spans="1:15">
      <c r="A30" s="2" t="s">
        <v>103</v>
      </c>
      <c r="B30" s="34">
        <f t="shared" si="1"/>
        <v>50645.25</v>
      </c>
      <c r="C30" s="44"/>
      <c r="D30" s="44"/>
      <c r="E30" s="44">
        <v>37509.25</v>
      </c>
      <c r="F30" s="44">
        <f>13136</f>
        <v>13136</v>
      </c>
      <c r="G30" s="44"/>
      <c r="H30" s="44"/>
      <c r="I30" s="44"/>
      <c r="J30" s="44"/>
      <c r="K30" s="44"/>
      <c r="L30" s="44"/>
      <c r="M30" s="44"/>
      <c r="N30" s="44"/>
      <c r="O30" s="41"/>
    </row>
    <row r="31" spans="1:15">
      <c r="A31" s="2" t="s">
        <v>79</v>
      </c>
      <c r="B31" s="34">
        <f t="shared" si="1"/>
        <v>164365.69</v>
      </c>
      <c r="C31" s="44">
        <f>11301.12+11301.12+11301.12</f>
        <v>33903.360000000001</v>
      </c>
      <c r="D31" s="44">
        <f>13667.3</f>
        <v>13667.3</v>
      </c>
      <c r="E31" s="44">
        <f>32980.1+15656</f>
        <v>48636.1</v>
      </c>
      <c r="F31" s="44">
        <f>6180.3+15904</f>
        <v>22084.3</v>
      </c>
      <c r="G31" s="44">
        <f>15358.54+30716.09</f>
        <v>46074.630000000005</v>
      </c>
      <c r="H31" s="44"/>
      <c r="I31" s="44"/>
      <c r="J31" s="44"/>
      <c r="K31" s="44"/>
      <c r="L31" s="44"/>
      <c r="M31" s="44"/>
      <c r="N31" s="44"/>
      <c r="O31" s="41"/>
    </row>
    <row r="32" spans="1:15">
      <c r="A32" s="2" t="s">
        <v>67</v>
      </c>
      <c r="B32" s="34">
        <f t="shared" si="1"/>
        <v>204300</v>
      </c>
      <c r="C32" s="44">
        <f>4800</f>
        <v>4800</v>
      </c>
      <c r="D32" s="44">
        <f>35800</f>
        <v>35800</v>
      </c>
      <c r="E32" s="44">
        <f>29800+6200+49500</f>
        <v>85500</v>
      </c>
      <c r="F32" s="44">
        <f>17400+12400+13600+6000+24000+4800</f>
        <v>78200</v>
      </c>
      <c r="G32" s="44"/>
      <c r="H32" s="44"/>
      <c r="I32" s="44"/>
      <c r="J32" s="44"/>
      <c r="K32" s="44"/>
      <c r="L32" s="44"/>
      <c r="M32" s="44"/>
      <c r="N32" s="44"/>
      <c r="O32" s="41"/>
    </row>
    <row r="33" spans="1:15">
      <c r="A33" s="4" t="s">
        <v>6</v>
      </c>
      <c r="B33" s="34">
        <f t="shared" si="1"/>
        <v>43942.29</v>
      </c>
      <c r="C33" s="44"/>
      <c r="D33" s="44"/>
      <c r="E33" s="44">
        <v>43942.29</v>
      </c>
      <c r="F33" s="44"/>
      <c r="G33" s="44"/>
      <c r="H33" s="44"/>
      <c r="I33" s="44"/>
      <c r="J33" s="44"/>
      <c r="K33" s="44"/>
      <c r="L33" s="44"/>
      <c r="M33" s="44"/>
      <c r="N33" s="44"/>
      <c r="O33" s="41"/>
    </row>
    <row r="34" spans="1:15">
      <c r="A34" s="4" t="s">
        <v>1056</v>
      </c>
      <c r="B34" s="34">
        <f t="shared" si="1"/>
        <v>4000</v>
      </c>
      <c r="C34" s="44"/>
      <c r="D34" s="44"/>
      <c r="E34" s="44"/>
      <c r="F34" s="44">
        <f>4000</f>
        <v>4000</v>
      </c>
      <c r="G34" s="44"/>
      <c r="H34" s="44"/>
      <c r="I34" s="44"/>
      <c r="J34" s="44"/>
      <c r="K34" s="44"/>
      <c r="L34" s="44"/>
      <c r="M34" s="44"/>
      <c r="N34" s="44"/>
      <c r="O34" s="41"/>
    </row>
    <row r="35" spans="1:15">
      <c r="A35" s="4" t="s">
        <v>839</v>
      </c>
      <c r="B35" s="34">
        <f t="shared" si="1"/>
        <v>107363.8</v>
      </c>
      <c r="C35" s="44"/>
      <c r="D35" s="44"/>
      <c r="E35" s="44">
        <f>7800+12563.8</f>
        <v>20363.8</v>
      </c>
      <c r="F35" s="44">
        <f>4000+20000</f>
        <v>24000</v>
      </c>
      <c r="G35" s="44">
        <f>63000</f>
        <v>63000</v>
      </c>
      <c r="H35" s="44"/>
      <c r="I35" s="44"/>
      <c r="J35" s="44"/>
      <c r="K35" s="44"/>
      <c r="L35" s="44"/>
      <c r="M35" s="44"/>
      <c r="N35" s="44"/>
      <c r="O35" s="41"/>
    </row>
    <row r="36" spans="1:15">
      <c r="A36" s="4" t="s">
        <v>71</v>
      </c>
      <c r="B36" s="34">
        <f t="shared" si="1"/>
        <v>15358.54</v>
      </c>
      <c r="C36" s="44"/>
      <c r="D36" s="44">
        <f>9810+5548.54</f>
        <v>15358.54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1"/>
    </row>
    <row r="37" spans="1:15">
      <c r="A37" s="4" t="s">
        <v>1401</v>
      </c>
      <c r="B37" s="34">
        <f t="shared" si="1"/>
        <v>9600</v>
      </c>
      <c r="C37" s="44"/>
      <c r="D37" s="44"/>
      <c r="E37" s="44"/>
      <c r="F37" s="44"/>
      <c r="G37" s="44">
        <f>9600</f>
        <v>9600</v>
      </c>
      <c r="H37" s="44"/>
      <c r="I37" s="44"/>
      <c r="J37" s="44"/>
      <c r="K37" s="44"/>
      <c r="L37" s="44"/>
      <c r="M37" s="44"/>
      <c r="N37" s="44"/>
      <c r="O37" s="41"/>
    </row>
    <row r="38" spans="1:15">
      <c r="A38" s="4" t="s">
        <v>33</v>
      </c>
      <c r="B38" s="34">
        <f t="shared" si="1"/>
        <v>147951.45000000001</v>
      </c>
      <c r="C38" s="44">
        <f>43984.8+30000</f>
        <v>73984.800000000003</v>
      </c>
      <c r="D38" s="44"/>
      <c r="E38" s="44"/>
      <c r="F38" s="44">
        <f>13414.73+27362.72+16594.6+16594.6</f>
        <v>73966.649999999994</v>
      </c>
      <c r="G38" s="44"/>
      <c r="H38" s="44"/>
      <c r="I38" s="44"/>
      <c r="J38" s="44"/>
      <c r="K38" s="44"/>
      <c r="L38" s="44"/>
      <c r="M38" s="44"/>
      <c r="N38" s="44"/>
      <c r="O38" s="41"/>
    </row>
    <row r="39" spans="1:15">
      <c r="A39" s="2" t="s">
        <v>72</v>
      </c>
      <c r="B39" s="34">
        <f t="shared" si="1"/>
        <v>391060.89000000007</v>
      </c>
      <c r="C39" s="44">
        <f>16832.57</f>
        <v>16832.57</v>
      </c>
      <c r="D39" s="44">
        <f>62617.98+80334.38+16594.6+25083.63</f>
        <v>184630.59000000003</v>
      </c>
      <c r="E39" s="44">
        <v>14934.74</v>
      </c>
      <c r="F39" s="44">
        <f>15223+32986.2+45426.43+16408.52+47882</f>
        <v>157926.15000000002</v>
      </c>
      <c r="G39" s="44">
        <f>16736.84</f>
        <v>16736.84</v>
      </c>
      <c r="H39" s="44"/>
      <c r="I39" s="44"/>
      <c r="J39" s="44"/>
      <c r="K39" s="44"/>
      <c r="L39" s="44"/>
      <c r="M39" s="44"/>
      <c r="N39" s="44"/>
      <c r="O39" s="41"/>
    </row>
    <row r="40" spans="1:15">
      <c r="A40" s="4" t="s">
        <v>227</v>
      </c>
      <c r="B40" s="34">
        <f t="shared" si="1"/>
        <v>9508.7999999999993</v>
      </c>
      <c r="C40" s="44">
        <f>4708.8</f>
        <v>4708.8</v>
      </c>
      <c r="D40" s="44">
        <f>4800</f>
        <v>4800</v>
      </c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1"/>
    </row>
    <row r="41" spans="1:15">
      <c r="A41" s="4" t="s">
        <v>1431</v>
      </c>
      <c r="B41" s="34">
        <f t="shared" si="1"/>
        <v>11600</v>
      </c>
      <c r="C41" s="44"/>
      <c r="D41" s="44"/>
      <c r="E41" s="44"/>
      <c r="F41" s="44"/>
      <c r="G41" s="44">
        <f>11600</f>
        <v>11600</v>
      </c>
      <c r="H41" s="44"/>
      <c r="I41" s="44"/>
      <c r="J41" s="44"/>
      <c r="K41" s="44"/>
      <c r="L41" s="44"/>
      <c r="M41" s="44"/>
      <c r="N41" s="44"/>
      <c r="O41" s="41"/>
    </row>
    <row r="42" spans="1:15">
      <c r="A42" s="2" t="s">
        <v>282</v>
      </c>
      <c r="B42" s="34">
        <f t="shared" si="1"/>
        <v>13588</v>
      </c>
      <c r="C42" s="44">
        <f>13588</f>
        <v>13588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1"/>
    </row>
    <row r="43" spans="1:15">
      <c r="A43" s="2" t="s">
        <v>317</v>
      </c>
      <c r="B43" s="34">
        <f t="shared" si="0"/>
        <v>96362.69</v>
      </c>
      <c r="C43" s="44">
        <f>31000</f>
        <v>31000</v>
      </c>
      <c r="D43" s="44">
        <f>6727</f>
        <v>6727</v>
      </c>
      <c r="E43" s="44">
        <v>32935.69</v>
      </c>
      <c r="F43" s="44">
        <f>4500+17600+3600</f>
        <v>25700</v>
      </c>
      <c r="G43" s="44"/>
      <c r="H43" s="44"/>
      <c r="I43" s="44"/>
      <c r="J43" s="44"/>
      <c r="K43" s="44"/>
      <c r="L43" s="44"/>
      <c r="M43" s="44"/>
      <c r="N43" s="44"/>
      <c r="O43" s="41"/>
    </row>
    <row r="44" spans="1:15">
      <c r="A44" s="2" t="s">
        <v>99</v>
      </c>
      <c r="B44" s="34">
        <f t="shared" si="0"/>
        <v>68800</v>
      </c>
      <c r="C44" s="44"/>
      <c r="D44" s="44">
        <f>4800</f>
        <v>4800</v>
      </c>
      <c r="E44" s="44">
        <v>24200</v>
      </c>
      <c r="F44" s="44">
        <f>35000+4800</f>
        <v>39800</v>
      </c>
      <c r="G44" s="44"/>
      <c r="H44" s="44"/>
      <c r="I44" s="44"/>
      <c r="J44" s="44"/>
      <c r="K44" s="44"/>
      <c r="L44" s="44"/>
      <c r="M44" s="44"/>
      <c r="N44" s="44"/>
      <c r="O44" s="41"/>
    </row>
    <row r="45" spans="1:15">
      <c r="A45" s="106" t="s">
        <v>1283</v>
      </c>
      <c r="B45" s="34">
        <f t="shared" si="0"/>
        <v>11772</v>
      </c>
      <c r="C45" s="44"/>
      <c r="D45" s="44"/>
      <c r="E45" s="44"/>
      <c r="F45" s="44">
        <f>5886</f>
        <v>5886</v>
      </c>
      <c r="G45" s="44">
        <v>5886</v>
      </c>
      <c r="H45" s="44"/>
      <c r="I45" s="44"/>
      <c r="J45" s="44"/>
      <c r="K45" s="44"/>
      <c r="L45" s="44"/>
      <c r="M45" s="44"/>
      <c r="N45" s="44"/>
      <c r="O45" s="41"/>
    </row>
    <row r="46" spans="1:15">
      <c r="A46" s="4" t="s">
        <v>70</v>
      </c>
      <c r="B46" s="34">
        <f t="shared" si="0"/>
        <v>187443.81</v>
      </c>
      <c r="C46" s="44">
        <f>49442.4+30516.95</f>
        <v>79959.350000000006</v>
      </c>
      <c r="D46" s="44"/>
      <c r="E46" s="44">
        <v>14599.45</v>
      </c>
      <c r="F46" s="44">
        <f>19620+10896.95</f>
        <v>30516.95</v>
      </c>
      <c r="G46" s="44">
        <f>13318.06+49050</f>
        <v>62368.06</v>
      </c>
      <c r="H46" s="44"/>
      <c r="I46" s="44"/>
      <c r="J46" s="44"/>
      <c r="K46" s="44"/>
      <c r="L46" s="44"/>
      <c r="M46" s="44"/>
      <c r="N46" s="44"/>
      <c r="O46" s="41"/>
    </row>
    <row r="47" spans="1:15">
      <c r="A47" s="4" t="s">
        <v>17</v>
      </c>
      <c r="B47" s="34">
        <f t="shared" si="0"/>
        <v>301163.53999999998</v>
      </c>
      <c r="C47" s="44">
        <f>38400+20000</f>
        <v>58400</v>
      </c>
      <c r="D47" s="44">
        <f>18806+9414.5-11416.32</f>
        <v>16804.18</v>
      </c>
      <c r="E47" s="44">
        <v>96953.81</v>
      </c>
      <c r="F47" s="44">
        <f>37800+11875+35241.59+15844</f>
        <v>100760.59</v>
      </c>
      <c r="G47" s="44">
        <f>12886.42+15358.54</f>
        <v>28244.959999999999</v>
      </c>
      <c r="H47" s="44"/>
      <c r="I47" s="44"/>
      <c r="J47" s="44"/>
      <c r="K47" s="44"/>
      <c r="L47" s="44"/>
      <c r="M47" s="44"/>
      <c r="N47" s="44"/>
      <c r="O47" s="41"/>
    </row>
    <row r="48" spans="1:15">
      <c r="A48" s="4" t="s">
        <v>14</v>
      </c>
      <c r="B48" s="34">
        <f t="shared" si="0"/>
        <v>355139.74</v>
      </c>
      <c r="C48" s="44">
        <f>12420</f>
        <v>12420</v>
      </c>
      <c r="D48" s="44">
        <f>6800+15610.52+9270.45</f>
        <v>31680.97</v>
      </c>
      <c r="E48" s="44">
        <v>89361.72</v>
      </c>
      <c r="F48" s="44">
        <f>16677+2692.48+36119.03+16594.6+16594.6+11164.56+10947.96+22329.12+21904.75</f>
        <v>155024.09999999998</v>
      </c>
      <c r="G48" s="44">
        <f>16916+16741.84+16408.52+16586.59</f>
        <v>66652.95</v>
      </c>
      <c r="H48" s="44"/>
      <c r="I48" s="44"/>
      <c r="J48" s="44"/>
      <c r="K48" s="44"/>
      <c r="L48" s="44"/>
      <c r="M48" s="44"/>
      <c r="N48" s="44"/>
      <c r="O48" s="41"/>
    </row>
    <row r="49" spans="1:15">
      <c r="A49" s="4" t="s">
        <v>81</v>
      </c>
      <c r="B49" s="34">
        <f t="shared" si="0"/>
        <v>76200.62</v>
      </c>
      <c r="C49" s="44">
        <f>13503.46</f>
        <v>13503.46</v>
      </c>
      <c r="D49" s="44"/>
      <c r="E49" s="44">
        <v>53433.94</v>
      </c>
      <c r="F49" s="44">
        <f>9263.22</f>
        <v>9263.2199999999993</v>
      </c>
      <c r="G49" s="44"/>
      <c r="H49" s="44"/>
      <c r="I49" s="44"/>
      <c r="J49" s="44"/>
      <c r="K49" s="44"/>
      <c r="L49" s="44"/>
      <c r="M49" s="44"/>
      <c r="N49" s="44"/>
      <c r="O49" s="41"/>
    </row>
    <row r="50" spans="1:15">
      <c r="A50" s="4" t="s">
        <v>1261</v>
      </c>
      <c r="B50" s="34">
        <f t="shared" si="0"/>
        <v>24887.879999999997</v>
      </c>
      <c r="C50" s="44"/>
      <c r="D50" s="44"/>
      <c r="E50" s="44"/>
      <c r="F50" s="44">
        <f>15656+9231.88</f>
        <v>24887.879999999997</v>
      </c>
      <c r="G50" s="44"/>
      <c r="H50" s="44"/>
      <c r="I50" s="44"/>
      <c r="J50" s="44"/>
      <c r="K50" s="44"/>
      <c r="L50" s="44"/>
      <c r="M50" s="44"/>
      <c r="N50" s="44"/>
      <c r="O50" s="41"/>
    </row>
    <row r="51" spans="1:15">
      <c r="A51" s="4" t="s">
        <v>1228</v>
      </c>
      <c r="B51" s="34">
        <f t="shared" si="0"/>
        <v>11636.99</v>
      </c>
      <c r="C51" s="44"/>
      <c r="D51" s="44"/>
      <c r="E51" s="44"/>
      <c r="F51" s="44">
        <v>11636.99</v>
      </c>
      <c r="G51" s="44"/>
      <c r="H51" s="44"/>
      <c r="I51" s="44"/>
      <c r="J51" s="44"/>
      <c r="K51" s="44"/>
      <c r="L51" s="44"/>
      <c r="M51" s="44"/>
      <c r="N51" s="44"/>
      <c r="O51" s="41"/>
    </row>
    <row r="52" spans="1:15">
      <c r="A52" s="4" t="s">
        <v>684</v>
      </c>
      <c r="B52" s="34">
        <f t="shared" si="0"/>
        <v>40000</v>
      </c>
      <c r="C52" s="44"/>
      <c r="D52" s="44"/>
      <c r="E52" s="44">
        <v>40000</v>
      </c>
      <c r="F52" s="44"/>
      <c r="G52" s="44"/>
      <c r="H52" s="44"/>
      <c r="I52" s="44"/>
      <c r="J52" s="44"/>
      <c r="K52" s="44"/>
      <c r="L52" s="44"/>
      <c r="M52" s="44"/>
      <c r="N52" s="44"/>
      <c r="O52" s="41"/>
    </row>
    <row r="53" spans="1:15">
      <c r="A53" s="4" t="s">
        <v>1226</v>
      </c>
      <c r="B53" s="34">
        <f t="shared" si="0"/>
        <v>14415.02</v>
      </c>
      <c r="C53" s="44"/>
      <c r="D53" s="44"/>
      <c r="E53" s="44"/>
      <c r="F53" s="44">
        <v>14415.02</v>
      </c>
      <c r="G53" s="44"/>
      <c r="H53" s="44"/>
      <c r="I53" s="44"/>
      <c r="J53" s="44"/>
      <c r="K53" s="44"/>
      <c r="L53" s="44"/>
      <c r="M53" s="44"/>
      <c r="N53" s="44"/>
      <c r="O53" s="41"/>
    </row>
    <row r="54" spans="1:15">
      <c r="A54" s="4" t="s">
        <v>78</v>
      </c>
      <c r="B54" s="34">
        <f t="shared" si="0"/>
        <v>208134.53</v>
      </c>
      <c r="C54" s="44">
        <f>50227.2+49766.4+24444</f>
        <v>124437.6</v>
      </c>
      <c r="D54" s="44">
        <f>16567.13</f>
        <v>16567.13</v>
      </c>
      <c r="E54" s="44">
        <v>16465.8</v>
      </c>
      <c r="F54" s="44">
        <f>50664</f>
        <v>50664</v>
      </c>
      <c r="G54" s="44"/>
      <c r="H54" s="44"/>
      <c r="I54" s="44"/>
      <c r="J54" s="44"/>
      <c r="K54" s="44"/>
      <c r="L54" s="44"/>
      <c r="M54" s="44"/>
      <c r="N54" s="44"/>
      <c r="O54" s="41"/>
    </row>
    <row r="55" spans="1:15">
      <c r="A55" s="4" t="s">
        <v>62</v>
      </c>
      <c r="B55" s="34">
        <f t="shared" si="0"/>
        <v>149516.14000000001</v>
      </c>
      <c r="C55" s="44"/>
      <c r="D55" s="44"/>
      <c r="E55" s="44">
        <v>149516.14000000001</v>
      </c>
      <c r="F55" s="44"/>
      <c r="G55" s="44"/>
      <c r="H55" s="44"/>
      <c r="I55" s="44"/>
      <c r="J55" s="44"/>
      <c r="K55" s="44"/>
      <c r="L55" s="44"/>
      <c r="M55" s="44"/>
      <c r="N55" s="44"/>
      <c r="O55" s="41"/>
    </row>
    <row r="56" spans="1:15">
      <c r="A56" s="4" t="s">
        <v>74</v>
      </c>
      <c r="B56" s="34">
        <f t="shared" si="0"/>
        <v>0</v>
      </c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1"/>
    </row>
    <row r="57" spans="1:15">
      <c r="A57" s="4" t="s">
        <v>12</v>
      </c>
      <c r="B57" s="34">
        <f t="shared" si="0"/>
        <v>32400</v>
      </c>
      <c r="C57" s="44">
        <f>7800+6000</f>
        <v>13800</v>
      </c>
      <c r="D57" s="44"/>
      <c r="E57" s="44">
        <v>3000</v>
      </c>
      <c r="F57" s="44">
        <f>1000+6800+1000+1000+5800</f>
        <v>15600</v>
      </c>
      <c r="G57" s="44"/>
      <c r="H57" s="44"/>
      <c r="I57" s="44"/>
      <c r="J57" s="44"/>
      <c r="K57" s="44"/>
      <c r="L57" s="44"/>
      <c r="M57" s="44"/>
      <c r="N57" s="44"/>
      <c r="O57" s="41"/>
    </row>
    <row r="58" spans="1:15">
      <c r="A58" s="4" t="s">
        <v>64</v>
      </c>
      <c r="B58" s="34">
        <f t="shared" si="0"/>
        <v>179275.6</v>
      </c>
      <c r="C58" s="44"/>
      <c r="D58" s="44"/>
      <c r="E58" s="44">
        <v>40600</v>
      </c>
      <c r="F58" s="44">
        <f>20400+11600+4800+11600+31600+5748.6+20000+5800+6800</f>
        <v>118348.6</v>
      </c>
      <c r="G58" s="44">
        <f>6727+13600</f>
        <v>20327</v>
      </c>
      <c r="H58" s="44"/>
      <c r="I58" s="44"/>
      <c r="J58" s="44"/>
      <c r="K58" s="44"/>
      <c r="L58" s="44"/>
      <c r="M58" s="44"/>
      <c r="N58" s="44"/>
      <c r="O58" s="41"/>
    </row>
    <row r="59" spans="1:15">
      <c r="A59" s="4" t="s">
        <v>240</v>
      </c>
      <c r="B59" s="34">
        <f t="shared" si="0"/>
        <v>11693</v>
      </c>
      <c r="C59" s="44">
        <f>11693</f>
        <v>11693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1"/>
    </row>
    <row r="60" spans="1:15">
      <c r="A60" s="4" t="s">
        <v>816</v>
      </c>
      <c r="B60" s="34">
        <f t="shared" si="0"/>
        <v>31200</v>
      </c>
      <c r="C60" s="44"/>
      <c r="D60" s="44"/>
      <c r="E60" s="44">
        <f>3800</f>
        <v>3800</v>
      </c>
      <c r="F60" s="44">
        <f>1200+2400+2400+1200+5000+4800+1200+1200+1200+2000+1200+1200+2400</f>
        <v>27400</v>
      </c>
      <c r="G60" s="44"/>
      <c r="H60" s="44"/>
      <c r="I60" s="44"/>
      <c r="J60" s="44"/>
      <c r="K60" s="44"/>
      <c r="L60" s="44"/>
      <c r="M60" s="44"/>
      <c r="N60" s="44"/>
      <c r="O60" s="41"/>
    </row>
    <row r="61" spans="1:15">
      <c r="A61" s="4" t="s">
        <v>389</v>
      </c>
      <c r="B61" s="34">
        <f t="shared" si="0"/>
        <v>124240</v>
      </c>
      <c r="C61" s="44"/>
      <c r="D61" s="44">
        <f>5600+9600+4000</f>
        <v>19200</v>
      </c>
      <c r="E61" s="44">
        <v>17040</v>
      </c>
      <c r="F61" s="44">
        <f>50000+15000</f>
        <v>65000</v>
      </c>
      <c r="G61" s="44">
        <f>15000+8000</f>
        <v>23000</v>
      </c>
      <c r="H61" s="44"/>
      <c r="I61" s="44"/>
      <c r="J61" s="44"/>
      <c r="K61" s="44"/>
      <c r="L61" s="44"/>
      <c r="M61" s="44"/>
      <c r="N61" s="44"/>
      <c r="O61" s="41"/>
    </row>
    <row r="62" spans="1:15">
      <c r="A62" s="4" t="s">
        <v>63</v>
      </c>
      <c r="B62" s="34">
        <f t="shared" si="0"/>
        <v>16915.5</v>
      </c>
      <c r="C62" s="44"/>
      <c r="D62" s="44"/>
      <c r="E62" s="44">
        <v>16915.5</v>
      </c>
      <c r="F62" s="44"/>
      <c r="G62" s="44"/>
      <c r="H62" s="44"/>
      <c r="I62" s="44"/>
      <c r="J62" s="44"/>
      <c r="K62" s="44"/>
      <c r="L62" s="44"/>
      <c r="M62" s="44"/>
      <c r="N62" s="44"/>
      <c r="O62" s="41"/>
    </row>
    <row r="63" spans="1:15">
      <c r="A63" s="91" t="s">
        <v>1031</v>
      </c>
      <c r="B63" s="34">
        <f t="shared" si="0"/>
        <v>27500</v>
      </c>
      <c r="C63" s="44"/>
      <c r="D63" s="44"/>
      <c r="E63" s="44"/>
      <c r="F63" s="44">
        <f>2500+25000</f>
        <v>27500</v>
      </c>
      <c r="G63" s="44"/>
      <c r="H63" s="44"/>
      <c r="I63" s="44"/>
      <c r="J63" s="44"/>
      <c r="K63" s="44"/>
      <c r="L63" s="44"/>
      <c r="M63" s="44"/>
      <c r="N63" s="44"/>
      <c r="O63" s="41"/>
    </row>
    <row r="64" spans="1:15">
      <c r="A64" s="4" t="s">
        <v>439</v>
      </c>
      <c r="B64" s="34">
        <f t="shared" si="0"/>
        <v>116627.69</v>
      </c>
      <c r="C64" s="44"/>
      <c r="D64" s="44">
        <f>13353.02+4905</f>
        <v>18258.02</v>
      </c>
      <c r="E64" s="44"/>
      <c r="F64" s="44">
        <f>5972.83+31543.82+23750+23750</f>
        <v>85016.65</v>
      </c>
      <c r="G64" s="44">
        <f>13353.02</f>
        <v>13353.02</v>
      </c>
      <c r="H64" s="44"/>
      <c r="I64" s="44"/>
      <c r="J64" s="44"/>
      <c r="K64" s="44"/>
      <c r="L64" s="44"/>
      <c r="M64" s="44"/>
      <c r="N64" s="44"/>
      <c r="O64" s="41"/>
    </row>
    <row r="65" spans="1:15">
      <c r="A65" s="4" t="s">
        <v>75</v>
      </c>
      <c r="B65" s="34">
        <f t="shared" si="0"/>
        <v>533177.59999999998</v>
      </c>
      <c r="C65" s="44">
        <f>15597.9+15900+15423+10476+10000</f>
        <v>67396.899999999994</v>
      </c>
      <c r="D65" s="44">
        <f>10000+21600+25176.96+15358.54+12236.99</f>
        <v>84372.49</v>
      </c>
      <c r="E65" s="44">
        <v>248992.05</v>
      </c>
      <c r="F65" s="44">
        <f>41552.86+13974.3+14087+37422+12690+12690</f>
        <v>132416.16</v>
      </c>
      <c r="G65" s="44"/>
      <c r="H65" s="44"/>
      <c r="I65" s="44"/>
      <c r="J65" s="44"/>
      <c r="K65" s="44"/>
      <c r="L65" s="44"/>
      <c r="M65" s="44"/>
      <c r="N65" s="44"/>
      <c r="O65" s="41"/>
    </row>
    <row r="66" spans="1:15">
      <c r="A66" s="10" t="s">
        <v>34</v>
      </c>
      <c r="B66" s="34">
        <f t="shared" si="0"/>
        <v>154169.49</v>
      </c>
      <c r="C66" s="44">
        <f>13329.83</f>
        <v>13329.83</v>
      </c>
      <c r="D66" s="44">
        <f>24576+85680</f>
        <v>110256</v>
      </c>
      <c r="E66" s="44">
        <v>16272.83</v>
      </c>
      <c r="F66" s="44">
        <v>14310.83</v>
      </c>
      <c r="G66" s="44"/>
      <c r="H66" s="44"/>
      <c r="I66" s="44"/>
      <c r="J66" s="44"/>
      <c r="K66" s="44"/>
      <c r="L66" s="44"/>
      <c r="M66" s="44"/>
      <c r="N66" s="44"/>
      <c r="O66" s="41"/>
    </row>
    <row r="67" spans="1:15">
      <c r="A67" s="10" t="s">
        <v>35</v>
      </c>
      <c r="B67" s="34">
        <f t="shared" si="0"/>
        <v>92938.23</v>
      </c>
      <c r="C67" s="44"/>
      <c r="D67" s="44"/>
      <c r="E67" s="44">
        <v>51153.52</v>
      </c>
      <c r="F67" s="44">
        <f>20497.01</f>
        <v>20497.009999999998</v>
      </c>
      <c r="G67" s="44">
        <f>21287.7</f>
        <v>21287.7</v>
      </c>
      <c r="H67" s="44"/>
      <c r="I67" s="44"/>
      <c r="J67" s="44"/>
      <c r="K67" s="44"/>
      <c r="L67" s="44"/>
      <c r="M67" s="44"/>
      <c r="N67" s="44"/>
      <c r="O67" s="41"/>
    </row>
    <row r="68" spans="1:15">
      <c r="A68" s="10" t="s">
        <v>84</v>
      </c>
      <c r="B68" s="34">
        <f t="shared" si="0"/>
        <v>29175.31</v>
      </c>
      <c r="C68" s="44">
        <f>13379.58</f>
        <v>13379.58</v>
      </c>
      <c r="D68" s="44"/>
      <c r="E68" s="44">
        <v>13510</v>
      </c>
      <c r="F68" s="44">
        <f>2285.73</f>
        <v>2285.73</v>
      </c>
      <c r="G68" s="44"/>
      <c r="H68" s="44"/>
      <c r="I68" s="44"/>
      <c r="J68" s="44"/>
      <c r="K68" s="44"/>
      <c r="L68" s="44"/>
      <c r="M68" s="44"/>
      <c r="N68" s="44"/>
      <c r="O68" s="41"/>
    </row>
    <row r="69" spans="1:15">
      <c r="A69" s="91" t="s">
        <v>1274</v>
      </c>
      <c r="B69" s="34">
        <f t="shared" si="0"/>
        <v>5200</v>
      </c>
      <c r="C69" s="44"/>
      <c r="D69" s="44"/>
      <c r="E69" s="44"/>
      <c r="F69" s="44">
        <f>5200</f>
        <v>5200</v>
      </c>
      <c r="G69" s="44"/>
      <c r="H69" s="44"/>
      <c r="I69" s="44"/>
      <c r="J69" s="44"/>
      <c r="K69" s="44"/>
      <c r="L69" s="44"/>
      <c r="M69" s="44"/>
      <c r="N69" s="44"/>
      <c r="O69" s="41"/>
    </row>
    <row r="70" spans="1:15">
      <c r="A70" s="3" t="s">
        <v>10</v>
      </c>
      <c r="B70" s="34">
        <f t="shared" si="0"/>
        <v>0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1"/>
    </row>
    <row r="71" spans="1:15">
      <c r="A71" s="3" t="s">
        <v>253</v>
      </c>
      <c r="B71" s="34">
        <f t="shared" si="0"/>
        <v>9700</v>
      </c>
      <c r="C71" s="44">
        <f>9700</f>
        <v>9700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1"/>
    </row>
    <row r="72" spans="1:15">
      <c r="A72" s="3" t="s">
        <v>1430</v>
      </c>
      <c r="B72" s="34">
        <f t="shared" si="0"/>
        <v>6800</v>
      </c>
      <c r="C72" s="44"/>
      <c r="D72" s="44"/>
      <c r="E72" s="44"/>
      <c r="F72" s="44"/>
      <c r="G72" s="44">
        <f>6800</f>
        <v>6800</v>
      </c>
      <c r="H72" s="44"/>
      <c r="I72" s="44"/>
      <c r="J72" s="44"/>
      <c r="K72" s="44"/>
      <c r="L72" s="44"/>
      <c r="M72" s="44"/>
      <c r="N72" s="44"/>
      <c r="O72" s="41"/>
    </row>
    <row r="73" spans="1:15">
      <c r="A73" s="3" t="s">
        <v>352</v>
      </c>
      <c r="B73" s="34">
        <f t="shared" si="0"/>
        <v>263293.16000000003</v>
      </c>
      <c r="C73" s="44">
        <f>41310</f>
        <v>41310</v>
      </c>
      <c r="D73" s="44">
        <f>27016.74+15450.75</f>
        <v>42467.490000000005</v>
      </c>
      <c r="E73" s="44">
        <v>100255.2</v>
      </c>
      <c r="F73" s="44">
        <f>9915+7500+12524</f>
        <v>29939</v>
      </c>
      <c r="G73" s="44">
        <f>49321.47</f>
        <v>49321.47</v>
      </c>
      <c r="H73" s="44"/>
      <c r="I73" s="44"/>
      <c r="J73" s="44"/>
      <c r="K73" s="44"/>
      <c r="L73" s="44"/>
      <c r="M73" s="44"/>
      <c r="N73" s="44"/>
      <c r="O73" s="41"/>
    </row>
    <row r="74" spans="1:15">
      <c r="A74" s="3" t="s">
        <v>1321</v>
      </c>
      <c r="B74" s="34">
        <f t="shared" si="0"/>
        <v>24963.05</v>
      </c>
      <c r="C74" s="44"/>
      <c r="D74" s="44"/>
      <c r="E74" s="44"/>
      <c r="F74" s="44">
        <f>24963.05</f>
        <v>24963.05</v>
      </c>
      <c r="G74" s="44"/>
      <c r="H74" s="44"/>
      <c r="I74" s="44"/>
      <c r="J74" s="44"/>
      <c r="K74" s="44"/>
      <c r="L74" s="44"/>
      <c r="M74" s="44"/>
      <c r="N74" s="44"/>
      <c r="O74" s="41"/>
    </row>
    <row r="75" spans="1:15">
      <c r="A75" s="3" t="s">
        <v>418</v>
      </c>
      <c r="B75" s="34">
        <f t="shared" si="0"/>
        <v>208973.82</v>
      </c>
      <c r="C75" s="44">
        <f>52031.37</f>
        <v>52031.37</v>
      </c>
      <c r="D75" s="44"/>
      <c r="E75" s="44"/>
      <c r="F75" s="44">
        <f>2600+74163.6+80178.85</f>
        <v>156942.45000000001</v>
      </c>
      <c r="G75" s="44"/>
      <c r="H75" s="44"/>
      <c r="I75" s="44"/>
      <c r="J75" s="44"/>
      <c r="K75" s="44"/>
      <c r="L75" s="44"/>
      <c r="M75" s="44"/>
      <c r="N75" s="44"/>
      <c r="O75" s="41"/>
    </row>
    <row r="76" spans="1:15">
      <c r="A76" s="3" t="s">
        <v>419</v>
      </c>
      <c r="B76" s="34">
        <f t="shared" si="0"/>
        <v>32000</v>
      </c>
      <c r="C76" s="44"/>
      <c r="D76" s="44"/>
      <c r="E76" s="44">
        <f>11600+4800+4800</f>
        <v>21200</v>
      </c>
      <c r="F76" s="44">
        <f>6000+4800</f>
        <v>10800</v>
      </c>
      <c r="G76" s="44"/>
      <c r="H76" s="44"/>
      <c r="I76" s="44"/>
      <c r="J76" s="44"/>
      <c r="K76" s="44"/>
      <c r="L76" s="44"/>
      <c r="M76" s="44"/>
      <c r="N76" s="44"/>
      <c r="O76" s="41"/>
    </row>
    <row r="77" spans="1:15">
      <c r="A77" s="3" t="s">
        <v>87</v>
      </c>
      <c r="B77" s="34">
        <f t="shared" si="0"/>
        <v>66400</v>
      </c>
      <c r="C77" s="44"/>
      <c r="D77" s="44">
        <f>55000</f>
        <v>55000</v>
      </c>
      <c r="E77" s="44"/>
      <c r="F77" s="44">
        <f>5600</f>
        <v>5600</v>
      </c>
      <c r="G77" s="44">
        <f>5800</f>
        <v>5800</v>
      </c>
      <c r="H77" s="44"/>
      <c r="I77" s="44"/>
      <c r="J77" s="44"/>
      <c r="K77" s="44"/>
      <c r="L77" s="44"/>
      <c r="M77" s="44"/>
      <c r="N77" s="44"/>
      <c r="O77" s="41"/>
    </row>
    <row r="78" spans="1:15">
      <c r="A78" s="3" t="s">
        <v>93</v>
      </c>
      <c r="B78" s="34">
        <f t="shared" si="0"/>
        <v>136359.41999999998</v>
      </c>
      <c r="C78" s="44">
        <f>36223.34</f>
        <v>36223.339999999997</v>
      </c>
      <c r="D78" s="44"/>
      <c r="E78" s="44">
        <v>36227.56</v>
      </c>
      <c r="F78" s="44">
        <f>16408.52+10000+37500</f>
        <v>63908.520000000004</v>
      </c>
      <c r="G78" s="44"/>
      <c r="H78" s="44"/>
      <c r="I78" s="44"/>
      <c r="J78" s="44"/>
      <c r="K78" s="44"/>
      <c r="L78" s="44"/>
      <c r="M78" s="44"/>
      <c r="N78" s="44"/>
      <c r="O78" s="41"/>
    </row>
    <row r="79" spans="1:15">
      <c r="A79" s="3" t="s">
        <v>68</v>
      </c>
      <c r="B79" s="34">
        <f t="shared" si="0"/>
        <v>96555.95</v>
      </c>
      <c r="C79" s="44">
        <f>44683.2</f>
        <v>44683.199999999997</v>
      </c>
      <c r="D79" s="44">
        <v>12460.09</v>
      </c>
      <c r="E79" s="44"/>
      <c r="F79" s="44">
        <f>39412.66</f>
        <v>39412.660000000003</v>
      </c>
      <c r="G79" s="44"/>
      <c r="H79" s="44"/>
      <c r="I79" s="44"/>
      <c r="J79" s="44"/>
      <c r="K79" s="44"/>
      <c r="L79" s="44"/>
      <c r="M79" s="44"/>
      <c r="N79" s="44"/>
      <c r="O79" s="41"/>
    </row>
    <row r="80" spans="1:15">
      <c r="A80" s="3" t="s">
        <v>297</v>
      </c>
      <c r="B80" s="34">
        <f t="shared" si="0"/>
        <v>11500</v>
      </c>
      <c r="C80" s="44">
        <f>11500</f>
        <v>11500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1"/>
    </row>
    <row r="81" spans="1:15">
      <c r="A81" s="3" t="s">
        <v>1101</v>
      </c>
      <c r="B81" s="34">
        <f t="shared" si="0"/>
        <v>9419</v>
      </c>
      <c r="C81" s="44"/>
      <c r="D81" s="44"/>
      <c r="E81" s="44"/>
      <c r="F81" s="44">
        <f>9419</f>
        <v>9419</v>
      </c>
      <c r="G81" s="44"/>
      <c r="H81" s="44"/>
      <c r="I81" s="44"/>
      <c r="J81" s="44"/>
      <c r="K81" s="44"/>
      <c r="L81" s="44"/>
      <c r="M81" s="44"/>
      <c r="N81" s="44"/>
      <c r="O81" s="41"/>
    </row>
    <row r="82" spans="1:15">
      <c r="A82" s="10" t="s">
        <v>11</v>
      </c>
      <c r="B82" s="34">
        <f t="shared" si="0"/>
        <v>5000</v>
      </c>
      <c r="C82" s="44"/>
      <c r="D82" s="44">
        <f>5000</f>
        <v>5000</v>
      </c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1"/>
    </row>
    <row r="83" spans="1:15">
      <c r="A83" s="4" t="s">
        <v>85</v>
      </c>
      <c r="B83" s="34">
        <f t="shared" si="0"/>
        <v>284881.65999999997</v>
      </c>
      <c r="C83" s="44">
        <f>25446+15597.9+75382</f>
        <v>116425.9</v>
      </c>
      <c r="D83" s="44">
        <f>15900+15900+28620</f>
        <v>60420</v>
      </c>
      <c r="E83" s="44">
        <v>93725.759999999995</v>
      </c>
      <c r="F83" s="44">
        <f>14310</f>
        <v>14310</v>
      </c>
      <c r="G83" s="44"/>
      <c r="H83" s="44"/>
      <c r="I83" s="44"/>
      <c r="J83" s="44"/>
      <c r="K83" s="44"/>
      <c r="L83" s="44"/>
      <c r="M83" s="44"/>
      <c r="N83" s="44"/>
      <c r="O83" s="41"/>
    </row>
    <row r="84" spans="1:15">
      <c r="A84" s="4" t="s">
        <v>86</v>
      </c>
      <c r="B84" s="34">
        <f t="shared" si="0"/>
        <v>179388.6</v>
      </c>
      <c r="C84" s="44">
        <f>9600</f>
        <v>9600</v>
      </c>
      <c r="D84" s="44">
        <f>27000</f>
        <v>27000</v>
      </c>
      <c r="E84" s="44">
        <v>41800</v>
      </c>
      <c r="F84" s="44">
        <f>30000+4800+3840+10800+5200+8548.6+5000+15000+8000+5800</f>
        <v>96988.6</v>
      </c>
      <c r="G84" s="44">
        <f>4000</f>
        <v>4000</v>
      </c>
      <c r="H84" s="44"/>
      <c r="I84" s="44"/>
      <c r="J84" s="44"/>
      <c r="K84" s="44"/>
      <c r="L84" s="44"/>
      <c r="M84" s="44"/>
      <c r="N84" s="44"/>
      <c r="O84" s="41"/>
    </row>
    <row r="85" spans="1:15">
      <c r="A85" s="4" t="s">
        <v>91</v>
      </c>
      <c r="B85" s="34">
        <f t="shared" si="0"/>
        <v>77960</v>
      </c>
      <c r="C85" s="44">
        <v>20000</v>
      </c>
      <c r="D85" s="44"/>
      <c r="E85" s="44">
        <f>14400</f>
        <v>14400</v>
      </c>
      <c r="F85" s="44">
        <f>10440+8600+15000+4300+5220</f>
        <v>43560</v>
      </c>
      <c r="G85" s="44"/>
      <c r="H85" s="44"/>
      <c r="I85" s="44"/>
      <c r="J85" s="44"/>
      <c r="K85" s="44"/>
      <c r="L85" s="44"/>
      <c r="M85" s="44"/>
      <c r="N85" s="44"/>
      <c r="O85" s="41"/>
    </row>
    <row r="86" spans="1:15">
      <c r="A86" s="4" t="s">
        <v>77</v>
      </c>
      <c r="B86" s="34">
        <f t="shared" si="0"/>
        <v>14800</v>
      </c>
      <c r="C86" s="44"/>
      <c r="D86" s="44"/>
      <c r="E86" s="44">
        <f>14800</f>
        <v>14800</v>
      </c>
      <c r="F86" s="44"/>
      <c r="G86" s="44"/>
      <c r="H86" s="44"/>
      <c r="I86" s="44"/>
      <c r="J86" s="44"/>
      <c r="K86" s="44"/>
      <c r="L86" s="44"/>
      <c r="M86" s="44"/>
      <c r="N86" s="44"/>
      <c r="O86" s="41"/>
    </row>
    <row r="87" spans="1:15">
      <c r="A87" s="4" t="s">
        <v>56</v>
      </c>
      <c r="B87" s="34">
        <f t="shared" si="0"/>
        <v>51200</v>
      </c>
      <c r="C87" s="44">
        <f>51200</f>
        <v>51200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1"/>
    </row>
    <row r="88" spans="1:15">
      <c r="A88" s="4" t="s">
        <v>526</v>
      </c>
      <c r="B88" s="34">
        <f t="shared" si="0"/>
        <v>48010.080000000002</v>
      </c>
      <c r="C88" s="44"/>
      <c r="D88" s="44">
        <f>14354.14</f>
        <v>14354.14</v>
      </c>
      <c r="E88" s="44"/>
      <c r="F88" s="44">
        <f>33655.94</f>
        <v>33655.94</v>
      </c>
      <c r="G88" s="44"/>
      <c r="H88" s="44"/>
      <c r="I88" s="44"/>
      <c r="J88" s="44"/>
      <c r="K88" s="44"/>
      <c r="L88" s="44"/>
      <c r="M88" s="44"/>
      <c r="N88" s="44"/>
      <c r="O88" s="41"/>
    </row>
    <row r="89" spans="1:15">
      <c r="A89" s="4" t="s">
        <v>9</v>
      </c>
      <c r="B89" s="34">
        <f t="shared" si="0"/>
        <v>505123.26</v>
      </c>
      <c r="C89" s="44">
        <f>66747.24+11124.54</f>
        <v>77871.78</v>
      </c>
      <c r="D89" s="44">
        <f>35000+67800.55+13568.9+82687.5</f>
        <v>199056.95</v>
      </c>
      <c r="E89" s="44">
        <f>33375.73+50556.73</f>
        <v>83932.46</v>
      </c>
      <c r="F89" s="44">
        <f>102898.17+13532.8+11673.9</f>
        <v>128104.87</v>
      </c>
      <c r="G89" s="44">
        <f>932.8+15224.4</f>
        <v>16157.199999999999</v>
      </c>
      <c r="H89" s="44"/>
      <c r="I89" s="44"/>
      <c r="J89" s="44"/>
      <c r="K89" s="44"/>
      <c r="L89" s="44"/>
      <c r="M89" s="44"/>
      <c r="N89" s="44"/>
      <c r="O89" s="41"/>
    </row>
    <row r="90" spans="1:15">
      <c r="A90" s="4" t="s">
        <v>1347</v>
      </c>
      <c r="B90" s="34">
        <f t="shared" si="0"/>
        <v>8000</v>
      </c>
      <c r="C90" s="44"/>
      <c r="D90" s="44"/>
      <c r="E90" s="44"/>
      <c r="F90" s="44">
        <f>3000</f>
        <v>3000</v>
      </c>
      <c r="G90" s="44">
        <f>5000</f>
        <v>5000</v>
      </c>
      <c r="H90" s="44"/>
      <c r="I90" s="44"/>
      <c r="J90" s="44"/>
      <c r="K90" s="44"/>
      <c r="L90" s="44"/>
      <c r="M90" s="44"/>
      <c r="N90" s="44"/>
      <c r="O90" s="41"/>
    </row>
    <row r="91" spans="1:15">
      <c r="A91" s="4" t="s">
        <v>92</v>
      </c>
      <c r="B91" s="34">
        <f t="shared" si="0"/>
        <v>126500</v>
      </c>
      <c r="C91" s="44"/>
      <c r="D91" s="44">
        <f>14000</f>
        <v>14000</v>
      </c>
      <c r="E91" s="44">
        <f>3000+30000+5800</f>
        <v>38800</v>
      </c>
      <c r="F91" s="44">
        <f>6800+5800+12000+7800+2000+6200+6200+2900+11600</f>
        <v>61300</v>
      </c>
      <c r="G91" s="44">
        <f>12400</f>
        <v>12400</v>
      </c>
      <c r="H91" s="44"/>
      <c r="I91" s="44"/>
      <c r="J91" s="44"/>
      <c r="K91" s="44"/>
      <c r="L91" s="44"/>
      <c r="M91" s="44"/>
      <c r="N91" s="44"/>
      <c r="O91" s="41"/>
    </row>
    <row r="92" spans="1:15">
      <c r="A92" s="4" t="s">
        <v>292</v>
      </c>
      <c r="B92" s="34">
        <f t="shared" si="0"/>
        <v>533427.6</v>
      </c>
      <c r="C92" s="44">
        <f>4800+25000+9600+4800</f>
        <v>44200</v>
      </c>
      <c r="D92" s="44">
        <f>20000+4800+4800+3000+35000+4800+20000</f>
        <v>92400</v>
      </c>
      <c r="E92" s="44">
        <v>174927.6</v>
      </c>
      <c r="F92" s="44">
        <f>4800+2500+20000+5800+4800+5800+3000+2500+5000+9600+4800+5800+4800+12600+6000+22000+30000+30000+9600+4800+5800+3000+3000+3000+3000+3000+4600+4800-2500</f>
        <v>221900</v>
      </c>
      <c r="G92" s="44"/>
      <c r="H92" s="44"/>
      <c r="I92" s="44"/>
      <c r="J92" s="44"/>
      <c r="K92" s="44"/>
      <c r="L92" s="44"/>
      <c r="M92" s="44"/>
      <c r="N92" s="44"/>
      <c r="O92" s="41"/>
    </row>
    <row r="93" spans="1:15">
      <c r="A93" s="4" t="s">
        <v>762</v>
      </c>
      <c r="B93" s="34">
        <f t="shared" si="0"/>
        <v>5800</v>
      </c>
      <c r="C93" s="44"/>
      <c r="D93" s="44"/>
      <c r="E93" s="44">
        <v>5800</v>
      </c>
      <c r="F93" s="44"/>
      <c r="G93" s="44"/>
      <c r="H93" s="44"/>
      <c r="I93" s="44"/>
      <c r="J93" s="44"/>
      <c r="K93" s="44"/>
      <c r="L93" s="44"/>
      <c r="M93" s="44"/>
      <c r="N93" s="44"/>
      <c r="O93" s="41"/>
    </row>
    <row r="94" spans="1:15">
      <c r="A94" s="4" t="s">
        <v>1121</v>
      </c>
      <c r="B94" s="34">
        <f t="shared" si="0"/>
        <v>5000</v>
      </c>
      <c r="C94" s="44"/>
      <c r="D94" s="44"/>
      <c r="E94" s="44"/>
      <c r="F94" s="44">
        <f>2000+1000+2000</f>
        <v>5000</v>
      </c>
      <c r="G94" s="44"/>
      <c r="H94" s="44"/>
      <c r="I94" s="44"/>
      <c r="J94" s="44"/>
      <c r="K94" s="44"/>
      <c r="L94" s="44"/>
      <c r="M94" s="44"/>
      <c r="N94" s="44"/>
      <c r="O94" s="41"/>
    </row>
    <row r="95" spans="1:15">
      <c r="A95" s="4" t="s">
        <v>83</v>
      </c>
      <c r="B95" s="34">
        <f t="shared" si="0"/>
        <v>0</v>
      </c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1"/>
    </row>
    <row r="96" spans="1:15">
      <c r="A96" s="4" t="s">
        <v>713</v>
      </c>
      <c r="B96" s="34">
        <f t="shared" si="0"/>
        <v>128270</v>
      </c>
      <c r="C96" s="44"/>
      <c r="D96" s="44"/>
      <c r="E96" s="44">
        <f>35700+9600</f>
        <v>45300</v>
      </c>
      <c r="F96" s="44">
        <f>9600+4800+4320+5800+53550</f>
        <v>78070</v>
      </c>
      <c r="G96" s="44">
        <f>4900</f>
        <v>4900</v>
      </c>
      <c r="H96" s="44"/>
      <c r="I96" s="44"/>
      <c r="J96" s="44"/>
      <c r="K96" s="44"/>
      <c r="L96" s="44"/>
      <c r="M96" s="44"/>
      <c r="N96" s="44"/>
      <c r="O96" s="41"/>
    </row>
    <row r="97" spans="1:15">
      <c r="A97" s="4" t="s">
        <v>434</v>
      </c>
      <c r="B97" s="34">
        <f t="shared" si="0"/>
        <v>13725.95</v>
      </c>
      <c r="C97" s="44"/>
      <c r="D97" s="44">
        <f>13725.95</f>
        <v>13725.95</v>
      </c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1"/>
    </row>
    <row r="98" spans="1:15">
      <c r="A98" s="3" t="s">
        <v>80</v>
      </c>
      <c r="B98" s="34">
        <f t="shared" si="0"/>
        <v>83938</v>
      </c>
      <c r="C98" s="44">
        <f>69120</f>
        <v>69120</v>
      </c>
      <c r="D98" s="44"/>
      <c r="E98" s="44">
        <f>14818</f>
        <v>14818</v>
      </c>
      <c r="F98" s="44"/>
      <c r="G98" s="44"/>
      <c r="H98" s="44"/>
      <c r="I98" s="44"/>
      <c r="J98" s="44"/>
      <c r="K98" s="44"/>
      <c r="L98" s="44"/>
      <c r="M98" s="44"/>
      <c r="N98" s="44"/>
      <c r="O98" s="41"/>
    </row>
    <row r="99" spans="1:15">
      <c r="A99" s="3" t="s">
        <v>89</v>
      </c>
      <c r="B99" s="34">
        <f t="shared" si="0"/>
        <v>9400</v>
      </c>
      <c r="C99" s="44"/>
      <c r="D99" s="44"/>
      <c r="E99" s="44"/>
      <c r="F99" s="44">
        <f>9400</f>
        <v>9400</v>
      </c>
      <c r="G99" s="44"/>
      <c r="H99" s="44"/>
      <c r="I99" s="44"/>
      <c r="J99" s="44"/>
      <c r="K99" s="44"/>
      <c r="L99" s="44"/>
      <c r="M99" s="44"/>
      <c r="N99" s="44"/>
      <c r="O99" s="41"/>
    </row>
    <row r="100" spans="1:15">
      <c r="A100" s="3" t="s">
        <v>375</v>
      </c>
      <c r="B100" s="34">
        <f t="shared" si="0"/>
        <v>22592.77</v>
      </c>
      <c r="C100" s="44">
        <f>2500</f>
        <v>2500</v>
      </c>
      <c r="D100" s="44"/>
      <c r="E100" s="44">
        <v>4800</v>
      </c>
      <c r="F100" s="44">
        <f>15292.77</f>
        <v>15292.77</v>
      </c>
      <c r="G100" s="44"/>
      <c r="H100" s="44"/>
      <c r="I100" s="44"/>
      <c r="J100" s="44"/>
      <c r="K100" s="44"/>
      <c r="L100" s="44"/>
      <c r="M100" s="44"/>
      <c r="N100" s="44"/>
      <c r="O100" s="41"/>
    </row>
    <row r="101" spans="1:15">
      <c r="A101" s="3" t="s">
        <v>18</v>
      </c>
      <c r="B101" s="34">
        <f t="shared" si="0"/>
        <v>14400</v>
      </c>
      <c r="C101" s="44"/>
      <c r="D101" s="44"/>
      <c r="E101" s="44"/>
      <c r="F101" s="44">
        <f>9600+4800</f>
        <v>14400</v>
      </c>
      <c r="G101" s="44"/>
      <c r="H101" s="44"/>
      <c r="I101" s="44"/>
      <c r="J101" s="44"/>
      <c r="K101" s="44"/>
      <c r="L101" s="44"/>
      <c r="M101" s="44"/>
      <c r="N101" s="44"/>
      <c r="O101" s="41"/>
    </row>
    <row r="102" spans="1:15">
      <c r="A102" s="11" t="s">
        <v>36</v>
      </c>
      <c r="B102" s="36">
        <f t="shared" ref="B102:N102" si="2">SUM(B2:B101)</f>
        <v>10011797.269999998</v>
      </c>
      <c r="C102" s="36">
        <f t="shared" si="2"/>
        <v>1391266.0399999998</v>
      </c>
      <c r="D102" s="36">
        <f t="shared" si="2"/>
        <v>1728276.75</v>
      </c>
      <c r="E102" s="36">
        <f>SUM(E2:E101)</f>
        <v>2687624.6799999997</v>
      </c>
      <c r="F102" s="36">
        <f t="shared" si="2"/>
        <v>3605493.2</v>
      </c>
      <c r="G102" s="46">
        <f t="shared" si="2"/>
        <v>599136.60000000009</v>
      </c>
      <c r="H102" s="46">
        <f t="shared" si="2"/>
        <v>0</v>
      </c>
      <c r="I102" s="46">
        <f t="shared" si="2"/>
        <v>0</v>
      </c>
      <c r="J102" s="46">
        <f t="shared" si="2"/>
        <v>0</v>
      </c>
      <c r="K102" s="46">
        <f t="shared" si="2"/>
        <v>0</v>
      </c>
      <c r="L102" s="46">
        <f t="shared" si="2"/>
        <v>0</v>
      </c>
      <c r="M102" s="46">
        <f t="shared" si="2"/>
        <v>0</v>
      </c>
      <c r="N102" s="46">
        <f t="shared" si="2"/>
        <v>0</v>
      </c>
    </row>
    <row r="103" spans="1:15"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</row>
    <row r="108" spans="1:15">
      <c r="D108" s="4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defaultRowHeight="13.5"/>
  <cols>
    <col min="1" max="1" width="29" customWidth="1"/>
    <col min="2" max="2" width="14.25" customWidth="1"/>
    <col min="3" max="3" width="16.125" customWidth="1"/>
    <col min="4" max="4" width="15.5" customWidth="1"/>
    <col min="5" max="6" width="13" customWidth="1"/>
    <col min="7" max="7" width="13.875" customWidth="1"/>
    <col min="8" max="9" width="16.125" bestFit="1" customWidth="1"/>
    <col min="11" max="11" width="20.375" customWidth="1"/>
  </cols>
  <sheetData>
    <row r="1" spans="1:11" ht="21.75" customHeight="1" thickBot="1">
      <c r="A1" s="17" t="s">
        <v>52</v>
      </c>
      <c r="B1" s="55" t="s">
        <v>1434</v>
      </c>
      <c r="C1" s="47" t="s">
        <v>1384</v>
      </c>
      <c r="D1" s="47" t="s">
        <v>1385</v>
      </c>
      <c r="E1" s="47" t="s">
        <v>1386</v>
      </c>
      <c r="F1" s="47" t="s">
        <v>1387</v>
      </c>
      <c r="G1" s="47" t="s">
        <v>1388</v>
      </c>
      <c r="H1" s="52" t="s">
        <v>1389</v>
      </c>
      <c r="I1" s="18" t="s">
        <v>53</v>
      </c>
    </row>
    <row r="2" spans="1:11" ht="21.75" customHeight="1">
      <c r="A2" s="32" t="s">
        <v>176</v>
      </c>
      <c r="B2" s="19"/>
      <c r="C2" s="20"/>
      <c r="D2" s="20"/>
      <c r="E2" s="88"/>
      <c r="F2" s="89"/>
      <c r="G2" s="21"/>
      <c r="H2" s="22">
        <f>SUM(C2:G2)</f>
        <v>0</v>
      </c>
      <c r="I2" s="21">
        <f>Evevts项目回款表2013!D3</f>
        <v>1676613.5199999998</v>
      </c>
      <c r="K2" s="103"/>
    </row>
    <row r="3" spans="1:11" ht="21.75" customHeight="1">
      <c r="A3" s="32" t="s">
        <v>177</v>
      </c>
      <c r="B3" s="19"/>
      <c r="C3" s="20"/>
      <c r="D3" s="20"/>
      <c r="E3" s="21"/>
      <c r="F3" s="21"/>
      <c r="G3" s="21"/>
      <c r="H3" s="22">
        <f t="shared" ref="H3:H17" si="0">SUM(C3:G3)</f>
        <v>0</v>
      </c>
      <c r="I3" s="21">
        <f>Evevts项目回款表2013!D4</f>
        <v>911879.86</v>
      </c>
      <c r="K3" s="103"/>
    </row>
    <row r="4" spans="1:11" ht="21.75" customHeight="1">
      <c r="A4" s="32" t="s">
        <v>178</v>
      </c>
      <c r="B4" s="19"/>
      <c r="C4" s="20"/>
      <c r="D4" s="20"/>
      <c r="E4" s="21"/>
      <c r="F4" s="21"/>
      <c r="G4" s="21"/>
      <c r="H4" s="22">
        <f t="shared" si="0"/>
        <v>0</v>
      </c>
      <c r="I4" s="21">
        <f>Evevts项目回款表2013!D5</f>
        <v>416805.37</v>
      </c>
      <c r="K4" s="103"/>
    </row>
    <row r="5" spans="1:11" ht="21.75" customHeight="1">
      <c r="A5" s="32" t="s">
        <v>179</v>
      </c>
      <c r="B5" s="19"/>
      <c r="C5" s="20"/>
      <c r="D5" s="20"/>
      <c r="E5" s="21"/>
      <c r="F5" s="21"/>
      <c r="G5" s="21"/>
      <c r="H5" s="22">
        <f t="shared" si="0"/>
        <v>0</v>
      </c>
      <c r="I5" s="21">
        <f>Evevts项目回款表2013!D6</f>
        <v>404223.47</v>
      </c>
      <c r="K5" s="103"/>
    </row>
    <row r="6" spans="1:11" ht="21.75" customHeight="1">
      <c r="A6" s="32" t="s">
        <v>185</v>
      </c>
      <c r="B6" s="19">
        <f>12400+5800+16586.59</f>
        <v>34786.589999999997</v>
      </c>
      <c r="C6" s="20">
        <f>16916+16741.84</f>
        <v>33657.839999999997</v>
      </c>
      <c r="D6" s="20">
        <f>16408.52+932.8+15224.4+12400+5800+16586.59</f>
        <v>67352.31</v>
      </c>
      <c r="E6" s="21"/>
      <c r="F6" s="21"/>
      <c r="G6" s="21"/>
      <c r="H6" s="22">
        <f t="shared" si="0"/>
        <v>101010.15</v>
      </c>
      <c r="I6" s="21">
        <f>Evevts项目回款表2013!D7</f>
        <v>1178605.03</v>
      </c>
      <c r="K6" s="103"/>
    </row>
    <row r="7" spans="1:11" ht="21.75" customHeight="1">
      <c r="A7" s="32" t="s">
        <v>180</v>
      </c>
      <c r="B7" s="19"/>
      <c r="C7" s="20">
        <f>13423.8+16419.8</f>
        <v>29843.599999999999</v>
      </c>
      <c r="D7" s="20">
        <f>16756.27+16567.13+4000+4900</f>
        <v>42223.4</v>
      </c>
      <c r="E7" s="21"/>
      <c r="F7" s="21"/>
      <c r="G7" s="21"/>
      <c r="H7" s="22">
        <f t="shared" si="0"/>
        <v>72067</v>
      </c>
      <c r="I7" s="21">
        <f>Evevts项目回款表2013!D8</f>
        <v>868623.17</v>
      </c>
      <c r="K7" s="103"/>
    </row>
    <row r="8" spans="1:11" ht="21.75" customHeight="1">
      <c r="A8" s="32" t="s">
        <v>181</v>
      </c>
      <c r="B8" s="19">
        <f>49321.47</f>
        <v>49321.47</v>
      </c>
      <c r="C8" s="20"/>
      <c r="D8" s="20">
        <f>49321.47</f>
        <v>49321.47</v>
      </c>
      <c r="E8" s="21"/>
      <c r="F8" s="89"/>
      <c r="G8" s="21"/>
      <c r="H8" s="22">
        <f t="shared" si="0"/>
        <v>49321.47</v>
      </c>
      <c r="I8" s="21">
        <f>Evevts项目回款表2013!D9</f>
        <v>442509.86</v>
      </c>
      <c r="K8" s="103"/>
    </row>
    <row r="9" spans="1:11" ht="21.75" customHeight="1">
      <c r="A9" s="32" t="s">
        <v>182</v>
      </c>
      <c r="B9" s="19"/>
      <c r="C9" s="20">
        <f>6727+16408.52+16251.25</f>
        <v>39386.770000000004</v>
      </c>
      <c r="D9" s="20">
        <f>16736.84+13600</f>
        <v>30336.84</v>
      </c>
      <c r="E9" s="21"/>
      <c r="F9" s="89"/>
      <c r="G9" s="21"/>
      <c r="H9" s="22">
        <f t="shared" si="0"/>
        <v>69723.61</v>
      </c>
      <c r="I9" s="21">
        <f>Evevts项目回款表2013!D10</f>
        <v>1107351.3800000001</v>
      </c>
      <c r="K9" s="103"/>
    </row>
    <row r="10" spans="1:11" ht="21.75" customHeight="1">
      <c r="A10" s="32" t="s">
        <v>183</v>
      </c>
      <c r="B10" s="19"/>
      <c r="C10" s="20"/>
      <c r="D10" s="20">
        <f>5000</f>
        <v>5000</v>
      </c>
      <c r="E10" s="88"/>
      <c r="F10" s="21"/>
      <c r="G10" s="21"/>
      <c r="H10" s="22">
        <f t="shared" si="0"/>
        <v>5000</v>
      </c>
      <c r="I10" s="21">
        <f>Evevts项目回款表2013!D11</f>
        <v>583853.28</v>
      </c>
      <c r="K10" s="103"/>
    </row>
    <row r="11" spans="1:11" ht="21.75" customHeight="1">
      <c r="A11" s="32" t="s">
        <v>186</v>
      </c>
      <c r="B11" s="19">
        <f>15358.54+30716.09</f>
        <v>46074.630000000005</v>
      </c>
      <c r="C11" s="20">
        <f>15358.54+12886.42</f>
        <v>28244.959999999999</v>
      </c>
      <c r="D11" s="20">
        <f>5000+15000+8000+15358.54+30716.09</f>
        <v>74074.63</v>
      </c>
      <c r="E11" s="21"/>
      <c r="F11" s="21"/>
      <c r="G11" s="21"/>
      <c r="H11" s="22">
        <f t="shared" si="0"/>
        <v>102319.59</v>
      </c>
      <c r="I11" s="21">
        <f>Evevts项目回款表2013!D12</f>
        <v>837462.72</v>
      </c>
      <c r="K11" s="103"/>
    </row>
    <row r="12" spans="1:11" ht="21.75" customHeight="1">
      <c r="A12" s="32" t="s">
        <v>191</v>
      </c>
      <c r="B12" s="19"/>
      <c r="C12" s="20">
        <f>13318.06+49050</f>
        <v>62368.06</v>
      </c>
      <c r="D12" s="20"/>
      <c r="E12" s="21"/>
      <c r="F12" s="21"/>
      <c r="G12" s="21"/>
      <c r="H12" s="22">
        <f t="shared" si="0"/>
        <v>62368.06</v>
      </c>
      <c r="I12" s="21">
        <f>Evevts项目回款表2013!D13</f>
        <v>534121.91999999993</v>
      </c>
      <c r="K12" s="103"/>
    </row>
    <row r="13" spans="1:11" ht="21.75" customHeight="1">
      <c r="A13" s="32" t="s">
        <v>190</v>
      </c>
      <c r="B13" s="19"/>
      <c r="C13" s="20"/>
      <c r="D13" s="20">
        <f>21287.7</f>
        <v>21287.7</v>
      </c>
      <c r="E13" s="21"/>
      <c r="F13" s="21"/>
      <c r="G13" s="19"/>
      <c r="H13" s="22">
        <f t="shared" si="0"/>
        <v>21287.7</v>
      </c>
      <c r="I13" s="21">
        <f>Evevts项目回款表2013!D14</f>
        <v>348925.64</v>
      </c>
      <c r="K13" s="103"/>
    </row>
    <row r="14" spans="1:11" ht="21.75" customHeight="1">
      <c r="A14" s="32" t="s">
        <v>187</v>
      </c>
      <c r="B14" s="19"/>
      <c r="C14" s="20"/>
      <c r="D14" s="20">
        <f>5800</f>
        <v>5800</v>
      </c>
      <c r="E14" s="21"/>
      <c r="F14" s="21"/>
      <c r="G14" s="21"/>
      <c r="H14" s="22">
        <f t="shared" si="0"/>
        <v>5800</v>
      </c>
      <c r="I14" s="21">
        <f>Evevts项目回款表2013!D15</f>
        <v>477289.00999999995</v>
      </c>
      <c r="K14" s="103"/>
    </row>
    <row r="15" spans="1:11" ht="21.75" customHeight="1">
      <c r="A15" s="32" t="s">
        <v>188</v>
      </c>
      <c r="B15" s="19"/>
      <c r="C15" s="20"/>
      <c r="D15" s="20">
        <f>6800</f>
        <v>6800</v>
      </c>
      <c r="E15" s="21"/>
      <c r="F15" s="21"/>
      <c r="G15" s="21"/>
      <c r="H15" s="22">
        <f t="shared" si="0"/>
        <v>6800</v>
      </c>
      <c r="I15" s="21">
        <f>Evevts项目回款表2013!D16</f>
        <v>204326.21999999997</v>
      </c>
      <c r="K15" s="103"/>
    </row>
    <row r="16" spans="1:11" ht="21.75" customHeight="1">
      <c r="A16" s="32" t="s">
        <v>645</v>
      </c>
      <c r="B16" s="19"/>
      <c r="C16" s="20"/>
      <c r="D16" s="20"/>
      <c r="E16" s="21"/>
      <c r="F16" s="21"/>
      <c r="G16" s="21"/>
      <c r="H16" s="22">
        <f t="shared" si="0"/>
        <v>0</v>
      </c>
      <c r="I16" s="21">
        <f>Evevts项目回款表2013!D17</f>
        <v>18650.879999999997</v>
      </c>
      <c r="K16" s="103"/>
    </row>
    <row r="17" spans="1:11" ht="21.75" customHeight="1">
      <c r="A17" s="32" t="s">
        <v>184</v>
      </c>
      <c r="B17" s="19"/>
      <c r="C17" s="20"/>
      <c r="D17" s="20">
        <f>11600</f>
        <v>11600</v>
      </c>
      <c r="E17" s="21"/>
      <c r="F17" s="21"/>
      <c r="G17" s="21"/>
      <c r="H17" s="22">
        <f t="shared" si="0"/>
        <v>11600</v>
      </c>
      <c r="I17" s="21">
        <f>Evevts项目回款表2013!D18</f>
        <v>59400</v>
      </c>
      <c r="K17" s="103"/>
    </row>
    <row r="18" spans="1:11" ht="21.75" customHeight="1" thickBot="1">
      <c r="A18" s="62" t="s">
        <v>123</v>
      </c>
      <c r="B18" s="63">
        <f t="shared" ref="B18:I18" si="1">SUM(B2:B17)</f>
        <v>130182.69</v>
      </c>
      <c r="C18" s="63">
        <f t="shared" si="1"/>
        <v>193501.22999999998</v>
      </c>
      <c r="D18" s="63">
        <f t="shared" si="1"/>
        <v>313796.35000000003</v>
      </c>
      <c r="E18" s="63">
        <f t="shared" si="1"/>
        <v>0</v>
      </c>
      <c r="F18" s="63">
        <f t="shared" si="1"/>
        <v>0</v>
      </c>
      <c r="G18" s="63">
        <f t="shared" si="1"/>
        <v>0</v>
      </c>
      <c r="H18" s="63">
        <f t="shared" si="1"/>
        <v>507297.57999999996</v>
      </c>
      <c r="I18" s="63">
        <f t="shared" si="1"/>
        <v>10070641.330000002</v>
      </c>
      <c r="K18" s="31"/>
    </row>
    <row r="19" spans="1:11" ht="21.75" customHeight="1" thickTop="1">
      <c r="A19" s="32" t="s">
        <v>124</v>
      </c>
      <c r="B19" s="19"/>
      <c r="C19" s="20"/>
      <c r="D19" s="20"/>
      <c r="E19" s="21"/>
      <c r="F19" s="21"/>
      <c r="G19" s="21"/>
      <c r="H19" s="22">
        <f t="shared" ref="H19:H25" si="2">SUM(C19:G19)</f>
        <v>0</v>
      </c>
      <c r="I19" s="21">
        <f>Evevts项目回款表2013!D20</f>
        <v>39553.919999999998</v>
      </c>
      <c r="K19" s="31"/>
    </row>
    <row r="20" spans="1:11" ht="21.75" customHeight="1">
      <c r="A20" s="32" t="s">
        <v>254</v>
      </c>
      <c r="B20" s="19"/>
      <c r="C20" s="20"/>
      <c r="D20" s="20"/>
      <c r="E20" s="21"/>
      <c r="F20" s="21"/>
      <c r="G20" s="21"/>
      <c r="H20" s="22">
        <f t="shared" si="2"/>
        <v>0</v>
      </c>
      <c r="I20" s="21">
        <f>Evevts项目回款表2013!D21</f>
        <v>123413.05</v>
      </c>
      <c r="K20" s="31"/>
    </row>
    <row r="21" spans="1:11" ht="21.75" customHeight="1">
      <c r="A21" s="32" t="s">
        <v>430</v>
      </c>
      <c r="B21" s="19"/>
      <c r="C21" s="20"/>
      <c r="D21" s="20"/>
      <c r="E21" s="21"/>
      <c r="F21" s="21"/>
      <c r="G21" s="21"/>
      <c r="H21" s="22">
        <f t="shared" si="2"/>
        <v>0</v>
      </c>
      <c r="I21" s="21">
        <f>Evevts项目回款表2013!D22</f>
        <v>96256.4</v>
      </c>
      <c r="K21" s="31"/>
    </row>
    <row r="22" spans="1:11" ht="21.75" customHeight="1">
      <c r="A22" s="32" t="s">
        <v>726</v>
      </c>
      <c r="B22" s="19"/>
      <c r="C22" s="20"/>
      <c r="D22" s="20"/>
      <c r="E22" s="21"/>
      <c r="F22" s="21"/>
      <c r="G22" s="21"/>
      <c r="H22" s="22">
        <f t="shared" si="2"/>
        <v>0</v>
      </c>
      <c r="I22" s="21">
        <f>Evevts项目回款表2013!D23</f>
        <v>34382.92</v>
      </c>
      <c r="K22" s="31"/>
    </row>
    <row r="23" spans="1:11" ht="21.75" customHeight="1">
      <c r="A23" s="32" t="s">
        <v>804</v>
      </c>
      <c r="B23" s="19"/>
      <c r="C23" s="20"/>
      <c r="D23" s="20">
        <f>63000</f>
        <v>63000</v>
      </c>
      <c r="E23" s="21"/>
      <c r="F23" s="21"/>
      <c r="G23" s="21"/>
      <c r="H23" s="22">
        <f t="shared" si="2"/>
        <v>63000</v>
      </c>
      <c r="I23" s="21">
        <f>Evevts项目回款表2013!D24</f>
        <v>83363.8</v>
      </c>
      <c r="K23" s="31"/>
    </row>
    <row r="24" spans="1:11" ht="21.75" customHeight="1">
      <c r="A24" s="32" t="s">
        <v>189</v>
      </c>
      <c r="B24" s="19"/>
      <c r="C24" s="20"/>
      <c r="D24" s="20"/>
      <c r="E24" s="21"/>
      <c r="F24" s="21"/>
      <c r="G24" s="21"/>
      <c r="H24" s="22">
        <f>SUM(C24:G24)</f>
        <v>0</v>
      </c>
      <c r="I24" s="21">
        <f>Evevts项目回款表2013!D25</f>
        <v>0</v>
      </c>
      <c r="K24" s="103"/>
    </row>
    <row r="25" spans="1:11" ht="21.75" customHeight="1">
      <c r="A25" s="32" t="s">
        <v>761</v>
      </c>
      <c r="B25" s="19"/>
      <c r="C25" s="20"/>
      <c r="D25" s="20"/>
      <c r="E25" s="21"/>
      <c r="F25" s="21"/>
      <c r="G25" s="21"/>
      <c r="H25" s="22">
        <f t="shared" si="2"/>
        <v>0</v>
      </c>
      <c r="I25" s="21">
        <f>Evevts项目回款表2013!D26</f>
        <v>21459.37</v>
      </c>
      <c r="K25" s="31"/>
    </row>
    <row r="26" spans="1:11" ht="21.75" customHeight="1" thickBot="1">
      <c r="A26" s="62" t="s">
        <v>125</v>
      </c>
      <c r="B26" s="63">
        <f>SUM(B19:B25)</f>
        <v>0</v>
      </c>
      <c r="C26" s="63">
        <f>SUM(C19:C25)</f>
        <v>0</v>
      </c>
      <c r="D26" s="63">
        <f t="shared" ref="D26:G26" si="3">SUM(D19:D25)</f>
        <v>63000</v>
      </c>
      <c r="E26" s="63">
        <f t="shared" si="3"/>
        <v>0</v>
      </c>
      <c r="F26" s="63">
        <f t="shared" si="3"/>
        <v>0</v>
      </c>
      <c r="G26" s="63">
        <f t="shared" si="3"/>
        <v>0</v>
      </c>
      <c r="H26" s="63">
        <f>SUM(H19:H25)</f>
        <v>63000</v>
      </c>
      <c r="I26" s="63">
        <f>SUM(I19:I25)</f>
        <v>398429.45999999996</v>
      </c>
      <c r="K26" s="31"/>
    </row>
    <row r="27" spans="1:11" ht="21.75" customHeight="1" thickTop="1" thickBot="1">
      <c r="A27" s="64" t="s">
        <v>61</v>
      </c>
      <c r="B27" s="23">
        <f t="shared" ref="B27:I27" si="4">SUM(B18+B26)</f>
        <v>130182.69</v>
      </c>
      <c r="C27" s="23">
        <f t="shared" si="4"/>
        <v>193501.22999999998</v>
      </c>
      <c r="D27" s="23">
        <f t="shared" si="4"/>
        <v>376796.35000000003</v>
      </c>
      <c r="E27" s="23">
        <f t="shared" si="4"/>
        <v>0</v>
      </c>
      <c r="F27" s="23">
        <f t="shared" si="4"/>
        <v>0</v>
      </c>
      <c r="G27" s="23">
        <f t="shared" si="4"/>
        <v>0</v>
      </c>
      <c r="H27" s="23">
        <f t="shared" si="4"/>
        <v>570297.57999999996</v>
      </c>
      <c r="I27" s="23">
        <f t="shared" si="4"/>
        <v>10469070.790000003</v>
      </c>
    </row>
    <row r="28" spans="1:11" ht="14.25" thickTop="1"/>
    <row r="30" spans="1:11" ht="20.25">
      <c r="A30" s="112" t="s">
        <v>1390</v>
      </c>
      <c r="B30" s="112"/>
      <c r="C30" s="112"/>
      <c r="D30" s="112"/>
      <c r="E30" s="112"/>
    </row>
    <row r="31" spans="1:11" ht="20.25">
      <c r="A31" s="113">
        <v>41402</v>
      </c>
      <c r="B31" s="113"/>
      <c r="C31" s="113"/>
      <c r="D31" s="113"/>
      <c r="E31" s="113"/>
    </row>
    <row r="32" spans="1:11" ht="28.5" customHeight="1">
      <c r="A32" s="24" t="s">
        <v>776</v>
      </c>
      <c r="B32" s="24" t="s">
        <v>777</v>
      </c>
      <c r="C32" s="24" t="s">
        <v>1391</v>
      </c>
      <c r="D32" s="25" t="s">
        <v>1392</v>
      </c>
      <c r="E32" s="25" t="s">
        <v>778</v>
      </c>
    </row>
    <row r="33" spans="1:5" ht="28.5" customHeight="1">
      <c r="A33" s="82" t="s">
        <v>779</v>
      </c>
      <c r="B33" s="83">
        <v>4.18</v>
      </c>
      <c r="C33" s="84"/>
      <c r="D33" s="66">
        <f>H2/10000</f>
        <v>0</v>
      </c>
      <c r="E33" s="26" t="e">
        <f t="shared" ref="E33:E50" si="5">D33/C33</f>
        <v>#DIV/0!</v>
      </c>
    </row>
    <row r="34" spans="1:5" ht="30" customHeight="1">
      <c r="A34" s="82" t="s">
        <v>780</v>
      </c>
      <c r="B34" s="83">
        <v>4.18</v>
      </c>
      <c r="C34" s="84"/>
      <c r="D34" s="66">
        <f>H3/10000</f>
        <v>0</v>
      </c>
      <c r="E34" s="26" t="e">
        <f t="shared" si="5"/>
        <v>#DIV/0!</v>
      </c>
    </row>
    <row r="35" spans="1:5" ht="30" customHeight="1">
      <c r="A35" s="82" t="s">
        <v>781</v>
      </c>
      <c r="B35" s="83">
        <v>4.25</v>
      </c>
      <c r="C35" s="84"/>
      <c r="D35" s="66">
        <f>H4/10000</f>
        <v>0</v>
      </c>
      <c r="E35" s="26" t="e">
        <f t="shared" si="5"/>
        <v>#DIV/0!</v>
      </c>
    </row>
    <row r="36" spans="1:5" ht="30" customHeight="1">
      <c r="A36" s="82" t="s">
        <v>782</v>
      </c>
      <c r="B36" s="83">
        <v>4.25</v>
      </c>
      <c r="C36" s="84"/>
      <c r="D36" s="66">
        <f>H5/10000</f>
        <v>0</v>
      </c>
      <c r="E36" s="26" t="e">
        <f t="shared" si="5"/>
        <v>#DIV/0!</v>
      </c>
    </row>
    <row r="37" spans="1:5" ht="30" customHeight="1">
      <c r="A37" s="82" t="s">
        <v>783</v>
      </c>
      <c r="B37" s="83">
        <v>5.9</v>
      </c>
      <c r="C37" s="84"/>
      <c r="D37" s="66">
        <f>H6/10000</f>
        <v>10.101015</v>
      </c>
      <c r="E37" s="26" t="e">
        <f t="shared" si="5"/>
        <v>#DIV/0!</v>
      </c>
    </row>
    <row r="38" spans="1:5" ht="30" customHeight="1">
      <c r="A38" s="82" t="s">
        <v>784</v>
      </c>
      <c r="B38" s="83">
        <v>5.15</v>
      </c>
      <c r="C38" s="84"/>
      <c r="D38" s="66">
        <f t="shared" ref="D38:D41" si="6">H7/10000</f>
        <v>7.2066999999999997</v>
      </c>
      <c r="E38" s="26" t="e">
        <f t="shared" si="5"/>
        <v>#DIV/0!</v>
      </c>
    </row>
    <row r="39" spans="1:5" ht="30" customHeight="1">
      <c r="A39" s="82" t="s">
        <v>785</v>
      </c>
      <c r="B39" s="83">
        <v>5.22</v>
      </c>
      <c r="C39" s="84"/>
      <c r="D39" s="66">
        <f t="shared" si="6"/>
        <v>4.9321470000000005</v>
      </c>
      <c r="E39" s="26" t="e">
        <f t="shared" si="5"/>
        <v>#DIV/0!</v>
      </c>
    </row>
    <row r="40" spans="1:5" ht="30" customHeight="1">
      <c r="A40" s="82" t="s">
        <v>786</v>
      </c>
      <c r="B40" s="83">
        <v>5.23</v>
      </c>
      <c r="C40" s="84"/>
      <c r="D40" s="66">
        <f t="shared" si="6"/>
        <v>6.9723610000000003</v>
      </c>
      <c r="E40" s="26" t="e">
        <f t="shared" si="5"/>
        <v>#DIV/0!</v>
      </c>
    </row>
    <row r="41" spans="1:5" ht="30" customHeight="1">
      <c r="A41" s="82" t="s">
        <v>787</v>
      </c>
      <c r="B41" s="83" t="s">
        <v>788</v>
      </c>
      <c r="C41" s="84"/>
      <c r="D41" s="66">
        <f t="shared" si="6"/>
        <v>0.5</v>
      </c>
      <c r="E41" s="26" t="e">
        <f t="shared" si="5"/>
        <v>#DIV/0!</v>
      </c>
    </row>
    <row r="42" spans="1:5" ht="30" customHeight="1">
      <c r="A42" s="82" t="s">
        <v>789</v>
      </c>
      <c r="B42" s="83" t="s">
        <v>790</v>
      </c>
      <c r="C42" s="84"/>
      <c r="D42" s="66">
        <f>H11/10000</f>
        <v>10.231959</v>
      </c>
      <c r="E42" s="26" t="e">
        <f>D42/C42</f>
        <v>#DIV/0!</v>
      </c>
    </row>
    <row r="43" spans="1:5" ht="30" customHeight="1">
      <c r="A43" s="82" t="s">
        <v>791</v>
      </c>
      <c r="B43" s="83">
        <v>6.6</v>
      </c>
      <c r="C43" s="84"/>
      <c r="D43" s="66">
        <f t="shared" ref="D43:D45" si="7">H12/10000</f>
        <v>6.2368059999999996</v>
      </c>
      <c r="E43" s="26" t="e">
        <f t="shared" si="5"/>
        <v>#DIV/0!</v>
      </c>
    </row>
    <row r="44" spans="1:5" ht="30" customHeight="1">
      <c r="A44" s="82" t="s">
        <v>792</v>
      </c>
      <c r="B44" s="83">
        <v>6.6</v>
      </c>
      <c r="C44" s="84"/>
      <c r="D44" s="66">
        <f t="shared" si="7"/>
        <v>2.1287700000000003</v>
      </c>
      <c r="E44" s="26" t="e">
        <f t="shared" si="5"/>
        <v>#DIV/0!</v>
      </c>
    </row>
    <row r="45" spans="1:5" ht="30" customHeight="1">
      <c r="A45" s="82" t="s">
        <v>793</v>
      </c>
      <c r="B45" s="83">
        <v>6.13</v>
      </c>
      <c r="C45" s="84"/>
      <c r="D45" s="66">
        <f t="shared" si="7"/>
        <v>0.57999999999999996</v>
      </c>
      <c r="E45" s="26" t="e">
        <f t="shared" si="5"/>
        <v>#DIV/0!</v>
      </c>
    </row>
    <row r="46" spans="1:5" ht="30" customHeight="1">
      <c r="A46" s="82" t="s">
        <v>794</v>
      </c>
      <c r="B46" s="83" t="s">
        <v>795</v>
      </c>
      <c r="C46" s="84"/>
      <c r="D46" s="66">
        <f>H15/10000</f>
        <v>0.68</v>
      </c>
      <c r="E46" s="26" t="e">
        <f t="shared" si="5"/>
        <v>#DIV/0!</v>
      </c>
    </row>
    <row r="47" spans="1:5" ht="30" customHeight="1">
      <c r="A47" s="82" t="s">
        <v>799</v>
      </c>
      <c r="B47" s="83" t="s">
        <v>887</v>
      </c>
      <c r="C47" s="84"/>
      <c r="D47" s="66">
        <f>H16/10000</f>
        <v>0</v>
      </c>
      <c r="E47" s="26" t="e">
        <f>D47/C47</f>
        <v>#DIV/0!</v>
      </c>
    </row>
    <row r="48" spans="1:5" ht="30" customHeight="1">
      <c r="A48" s="82" t="s">
        <v>797</v>
      </c>
      <c r="B48" s="83" t="s">
        <v>798</v>
      </c>
      <c r="C48" s="84"/>
      <c r="D48" s="66">
        <f>H17/10000</f>
        <v>1.1599999999999999</v>
      </c>
      <c r="E48" s="26" t="e">
        <f>D48/C48</f>
        <v>#DIV/0!</v>
      </c>
    </row>
    <row r="49" spans="1:5" ht="30" customHeight="1">
      <c r="A49" s="82" t="s">
        <v>796</v>
      </c>
      <c r="B49" s="83" t="s">
        <v>1276</v>
      </c>
      <c r="C49" s="84"/>
      <c r="D49" s="66">
        <f>H24/10000</f>
        <v>0</v>
      </c>
      <c r="E49" s="26" t="e">
        <f>D49/C49</f>
        <v>#DIV/0!</v>
      </c>
    </row>
    <row r="50" spans="1:5" ht="30" customHeight="1">
      <c r="A50" s="28" t="s">
        <v>800</v>
      </c>
      <c r="B50" s="28"/>
      <c r="C50" s="27">
        <f>SUM(C33:C48)</f>
        <v>0</v>
      </c>
      <c r="D50" s="27">
        <f>SUM(D33:D48)</f>
        <v>50.729757999999997</v>
      </c>
      <c r="E50" s="26" t="e">
        <f t="shared" si="5"/>
        <v>#DIV/0!</v>
      </c>
    </row>
  </sheetData>
  <mergeCells count="2">
    <mergeCell ref="A30:E30"/>
    <mergeCell ref="A31:E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新业务项目回款表2013</vt:lpstr>
      <vt:lpstr>Evevts项目回款表2013</vt:lpstr>
      <vt:lpstr>项目回款明细</vt:lpstr>
      <vt:lpstr>销售员业绩</vt:lpstr>
      <vt:lpstr>项目回款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2013-05-08T01:37:16Z</dcterms:modified>
</cp:coreProperties>
</file>