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8500D2C-1BC9-4C46-B9BE-6073F37AA7C9}" xr6:coauthVersionLast="47" xr6:coauthVersionMax="47" xr10:uidLastSave="{00000000-0000-0000-0000-000000000000}"/>
  <bookViews>
    <workbookView xWindow="-120" yWindow="-120" windowWidth="20730" windowHeight="11040" firstSheet="9" activeTab="12" xr2:uid="{767F4FF5-56D5-40BC-8402-EE705DB696FD}"/>
  </bookViews>
  <sheets>
    <sheet name="A - Todos os dados" sheetId="5" r:id="rId1"/>
    <sheet name="A - Importantes" sheetId="6" r:id="rId2"/>
    <sheet name="A - FCx Futuro" sheetId="7" r:id="rId3"/>
    <sheet name="A - FCx Emissão" sheetId="8" r:id="rId4"/>
    <sheet name="A - FCx total fórmulas" sheetId="9" r:id="rId5"/>
    <sheet name="A - FCx total aplicado" sheetId="10" r:id="rId6"/>
    <sheet name="A - Wacc" sheetId="11" r:id="rId7"/>
    <sheet name="A - Planilha 4" sheetId="12" r:id="rId8"/>
    <sheet name="A - Calculo Yield" sheetId="13" r:id="rId9"/>
    <sheet name="B.2 - Projeção do FCx" sheetId="1" r:id="rId10"/>
    <sheet name="B.5 - Ponto de equilíbrio" sheetId="2" r:id="rId11"/>
    <sheet name="B - Equilíbrio" sheetId="4" r:id="rId12"/>
    <sheet name="B - Desvios padrão" sheetId="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G6" i="1"/>
  <c r="G10" i="1"/>
  <c r="F7" i="1"/>
  <c r="G14" i="1"/>
  <c r="G10" i="2"/>
  <c r="G4" i="2"/>
  <c r="F19" i="2"/>
  <c r="C13" i="1"/>
  <c r="C2" i="3"/>
  <c r="G2" i="3"/>
  <c r="G4" i="1"/>
  <c r="C11" i="1"/>
  <c r="B30" i="2"/>
  <c r="B29" i="2"/>
  <c r="B25" i="2"/>
  <c r="B26" i="2" s="1"/>
  <c r="B24" i="2"/>
  <c r="N29" i="2"/>
  <c r="M29" i="2"/>
  <c r="L29" i="2"/>
  <c r="N24" i="2"/>
  <c r="M24" i="2"/>
  <c r="L24" i="2"/>
  <c r="B25" i="1"/>
  <c r="B30" i="1"/>
  <c r="N29" i="1"/>
  <c r="M29" i="1"/>
  <c r="L29" i="1"/>
  <c r="K29" i="1"/>
  <c r="N24" i="1"/>
  <c r="M24" i="1"/>
  <c r="L24" i="1"/>
  <c r="K24" i="1"/>
  <c r="K29" i="2"/>
  <c r="J29" i="2"/>
  <c r="I29" i="2"/>
  <c r="H29" i="2"/>
  <c r="G29" i="2"/>
  <c r="F29" i="2"/>
  <c r="E29" i="2"/>
  <c r="D29" i="2"/>
  <c r="C29" i="2"/>
  <c r="K24" i="2"/>
  <c r="J24" i="2"/>
  <c r="I24" i="2"/>
  <c r="H24" i="2"/>
  <c r="G24" i="2"/>
  <c r="F24" i="2"/>
  <c r="E24" i="2"/>
  <c r="D24" i="2"/>
  <c r="C24" i="2"/>
  <c r="F12" i="2"/>
  <c r="F6" i="2"/>
  <c r="K5" i="2"/>
  <c r="J5" i="2"/>
  <c r="I5" i="2"/>
  <c r="H5" i="2"/>
  <c r="G5" i="2"/>
  <c r="K4" i="2"/>
  <c r="J4" i="2"/>
  <c r="I4" i="2"/>
  <c r="H4" i="2"/>
  <c r="K3" i="2"/>
  <c r="J3" i="2"/>
  <c r="I3" i="2"/>
  <c r="H3" i="2"/>
  <c r="G3" i="2"/>
  <c r="H3" i="1"/>
  <c r="I3" i="1"/>
  <c r="J3" i="1"/>
  <c r="K3" i="1"/>
  <c r="H4" i="1"/>
  <c r="I4" i="1"/>
  <c r="J4" i="1"/>
  <c r="K4" i="1"/>
  <c r="G3" i="1"/>
  <c r="F6" i="1"/>
  <c r="F12" i="1"/>
  <c r="H5" i="1"/>
  <c r="I5" i="1"/>
  <c r="J5" i="1"/>
  <c r="K5" i="1"/>
  <c r="G5" i="1"/>
  <c r="B24" i="1"/>
  <c r="C24" i="1"/>
  <c r="D24" i="1"/>
  <c r="E24" i="1"/>
  <c r="F24" i="1"/>
  <c r="G24" i="1"/>
  <c r="H24" i="1"/>
  <c r="I24" i="1"/>
  <c r="J24" i="1"/>
  <c r="B29" i="1"/>
  <c r="C29" i="1"/>
  <c r="D29" i="1"/>
  <c r="E29" i="1"/>
  <c r="F29" i="1"/>
  <c r="G29" i="1"/>
  <c r="H29" i="1"/>
  <c r="I29" i="1"/>
  <c r="J29" i="1"/>
  <c r="G6" i="2" l="1"/>
  <c r="K6" i="2"/>
  <c r="I6" i="2"/>
  <c r="J6" i="2"/>
  <c r="C12" i="1"/>
  <c r="C11" i="2"/>
  <c r="C12" i="2" s="1"/>
  <c r="H6" i="2"/>
  <c r="H7" i="2" s="1"/>
  <c r="H8" i="2" s="1"/>
  <c r="H10" i="2" s="1"/>
  <c r="H14" i="2" s="1"/>
  <c r="H17" i="2" s="1"/>
  <c r="B6" i="2"/>
  <c r="G7" i="2" s="1"/>
  <c r="G8" i="2" s="1"/>
  <c r="G14" i="2" s="1"/>
  <c r="G17" i="2" s="1"/>
  <c r="B26" i="1"/>
  <c r="K7" i="2"/>
  <c r="K8" i="2" s="1"/>
  <c r="K10" i="2" s="1"/>
  <c r="I7" i="2"/>
  <c r="I8" i="2" s="1"/>
  <c r="I10" i="2" s="1"/>
  <c r="I14" i="2" s="1"/>
  <c r="I17" i="2" s="1"/>
  <c r="C13" i="2"/>
  <c r="C14" i="2" s="1"/>
  <c r="K12" i="2" s="1"/>
  <c r="F7" i="2"/>
  <c r="F8" i="2" s="1"/>
  <c r="F10" i="2" s="1"/>
  <c r="F14" i="2" s="1"/>
  <c r="H6" i="1"/>
  <c r="I6" i="1"/>
  <c r="J6" i="1"/>
  <c r="J7" i="1" s="1"/>
  <c r="K6" i="1"/>
  <c r="B6" i="1"/>
  <c r="F8" i="1" s="1"/>
  <c r="F10" i="1" s="1"/>
  <c r="F14" i="1" s="1"/>
  <c r="F16" i="1" s="1"/>
  <c r="J7" i="2" l="1"/>
  <c r="J8" i="2" s="1"/>
  <c r="J10" i="2" s="1"/>
  <c r="J14" i="2" s="1"/>
  <c r="J17" i="2" s="1"/>
  <c r="K14" i="2"/>
  <c r="K17" i="2" s="1"/>
  <c r="K7" i="1"/>
  <c r="H7" i="1"/>
  <c r="H8" i="1" s="1"/>
  <c r="H10" i="1" s="1"/>
  <c r="H14" i="1" s="1"/>
  <c r="I7" i="1"/>
  <c r="I8" i="1" s="1"/>
  <c r="I10" i="1" s="1"/>
  <c r="I14" i="1" s="1"/>
  <c r="G7" i="1"/>
  <c r="G8" i="1" s="1"/>
  <c r="G17" i="1" s="1"/>
  <c r="C14" i="1"/>
  <c r="K12" i="1" s="1"/>
  <c r="F16" i="2"/>
  <c r="F17" i="2"/>
  <c r="F18" i="2" s="1"/>
  <c r="G18" i="2" s="1"/>
  <c r="H18" i="2" s="1"/>
  <c r="I18" i="2" s="1"/>
  <c r="J18" i="2" s="1"/>
  <c r="J8" i="1"/>
  <c r="J10" i="1" s="1"/>
  <c r="J14" i="1" s="1"/>
  <c r="J17" i="1" s="1"/>
  <c r="K8" i="1"/>
  <c r="K10" i="1" s="1"/>
  <c r="I17" i="1"/>
  <c r="F17" i="1"/>
  <c r="F18" i="1" s="1"/>
  <c r="K14" i="1" l="1"/>
  <c r="F15" i="2"/>
  <c r="F15" i="1"/>
  <c r="K18" i="2"/>
  <c r="K17" i="1"/>
  <c r="G18" i="1"/>
  <c r="H17" i="1"/>
  <c r="H18" i="1" l="1"/>
  <c r="I18" i="1" s="1"/>
  <c r="J18" i="1" l="1"/>
  <c r="K18" i="1" l="1"/>
  <c r="F19" i="1"/>
</calcChain>
</file>

<file path=xl/sharedStrings.xml><?xml version="1.0" encoding="utf-8"?>
<sst xmlns="http://schemas.openxmlformats.org/spreadsheetml/2006/main" count="586" uniqueCount="335">
  <si>
    <t>Quantidade Eukaliner:</t>
  </si>
  <si>
    <t>toneladas</t>
  </si>
  <si>
    <t>ANO</t>
  </si>
  <si>
    <t>Preço/tonelada Eukaliner:</t>
  </si>
  <si>
    <t>U$</t>
  </si>
  <si>
    <t>Custo de produção Eukaliner:</t>
  </si>
  <si>
    <t>U$/tonelada</t>
  </si>
  <si>
    <t>(+) Receita</t>
  </si>
  <si>
    <t>Cotação do dólar:</t>
  </si>
  <si>
    <t>R$</t>
  </si>
  <si>
    <t>(-) CMV</t>
  </si>
  <si>
    <t>Investimento MP 29:</t>
  </si>
  <si>
    <t>(-) Depreciação</t>
  </si>
  <si>
    <t>IR &amp; CS:</t>
  </si>
  <si>
    <t>(=) LAJIR</t>
  </si>
  <si>
    <t>TMA:</t>
  </si>
  <si>
    <t>(-) IR</t>
  </si>
  <si>
    <t>Depreciação:</t>
  </si>
  <si>
    <t>anos</t>
  </si>
  <si>
    <t>(=) NOPAT</t>
  </si>
  <si>
    <t>Venda da máquina</t>
  </si>
  <si>
    <t>Valor Residual</t>
  </si>
  <si>
    <t>(1) FCO</t>
  </si>
  <si>
    <t>Vl Contabil</t>
  </si>
  <si>
    <t>(2) Var CGL</t>
  </si>
  <si>
    <t>(=) Ganho Capital</t>
  </si>
  <si>
    <t>(3) CAPEX</t>
  </si>
  <si>
    <t>FCx Venda</t>
  </si>
  <si>
    <t>FCx PROJETO</t>
  </si>
  <si>
    <t>VPL</t>
  </si>
  <si>
    <t>TIR</t>
  </si>
  <si>
    <t>VP FCx</t>
  </si>
  <si>
    <t>Acumulado:</t>
  </si>
  <si>
    <t>Payback descontado:</t>
  </si>
  <si>
    <t>Consolidado (em milhares de R$)</t>
  </si>
  <si>
    <t xml:space="preserve"> Imobilizado</t>
  </si>
  <si>
    <t xml:space="preserve"> Depreciação</t>
  </si>
  <si>
    <t>Depreciação/Imobilizado</t>
  </si>
  <si>
    <t>média:</t>
  </si>
  <si>
    <t>Depreciação total da máquina:</t>
  </si>
  <si>
    <t>LAIR</t>
  </si>
  <si>
    <t>IR &amp; CS</t>
  </si>
  <si>
    <t>IR &amp; CS/LAIR:</t>
  </si>
  <si>
    <t>média (excluíndo outlier):</t>
  </si>
  <si>
    <t>Preço de Equilíbrio Econômico variando o Preço</t>
  </si>
  <si>
    <t>PE Eco Preco</t>
  </si>
  <si>
    <t>PE Cont Quant</t>
  </si>
  <si>
    <t>PE Cont Preco</t>
  </si>
  <si>
    <t>Preço de Equilíbrio Econômico variando a Quantidade</t>
  </si>
  <si>
    <t>Preço de Equilíbrio Contábil variando a Quantidade</t>
  </si>
  <si>
    <t>Preço de Equilíbrio Contábil variando o Preço</t>
  </si>
  <si>
    <t>Date</t>
  </si>
  <si>
    <t>Close</t>
  </si>
  <si>
    <t>Desvio Dolar</t>
  </si>
  <si>
    <t>Data</t>
  </si>
  <si>
    <t>NBSK</t>
  </si>
  <si>
    <t>Desvio NBSK</t>
  </si>
  <si>
    <t>Empresas com Registro no SND (*)- Gerado em 01/11/2023 13:39:36</t>
  </si>
  <si>
    <t>Codigo do Ativo</t>
  </si>
  <si>
    <t xml:space="preserve">KLBNA2    </t>
  </si>
  <si>
    <t xml:space="preserve">Empresa        </t>
  </si>
  <si>
    <t>KLABIN S/A</t>
  </si>
  <si>
    <t>Serie</t>
  </si>
  <si>
    <t>UNI</t>
  </si>
  <si>
    <t>Emissao</t>
  </si>
  <si>
    <t>IPO</t>
  </si>
  <si>
    <t>-</t>
  </si>
  <si>
    <t>Situacao</t>
  </si>
  <si>
    <t>Registrado</t>
  </si>
  <si>
    <t>ISIN</t>
  </si>
  <si>
    <t>BRKLBNDBS004</t>
  </si>
  <si>
    <t>Registro CVM da Emissao</t>
  </si>
  <si>
    <t>DISPENSA ICVM 476/09</t>
  </si>
  <si>
    <t>Data de Registro CVM da Emissao</t>
  </si>
  <si>
    <t>3/29/2019</t>
  </si>
  <si>
    <t>Registro CVM do Programa</t>
  </si>
  <si>
    <t>Data de Registro CVM do Programa</t>
  </si>
  <si>
    <t>Data de Emissao</t>
  </si>
  <si>
    <t>3/19/2019</t>
  </si>
  <si>
    <t>Data de Vencimento</t>
  </si>
  <si>
    <t>3/19/2029</t>
  </si>
  <si>
    <t xml:space="preserve">Motivo de Saida </t>
  </si>
  <si>
    <t>Data de Saida / Novo Vencimento</t>
  </si>
  <si>
    <t>Data do Inicio da Rentabilidade</t>
  </si>
  <si>
    <t>Data do Inicio da Distribuicao</t>
  </si>
  <si>
    <t>Data da Proxima Repactuacao</t>
  </si>
  <si>
    <t>Ato Societario (1)</t>
  </si>
  <si>
    <t>RCA</t>
  </si>
  <si>
    <t>Data do Ato (1)</t>
  </si>
  <si>
    <t>Ato Societario (2)</t>
  </si>
  <si>
    <t>Data do Ato (2)</t>
  </si>
  <si>
    <t>Forma</t>
  </si>
  <si>
    <t>Escritural</t>
  </si>
  <si>
    <t>Garantia/Especie</t>
  </si>
  <si>
    <t>Quirografária</t>
  </si>
  <si>
    <t>Classe</t>
  </si>
  <si>
    <t>Simples</t>
  </si>
  <si>
    <t>Quantidade Emitida</t>
  </si>
  <si>
    <t>Artigo 14</t>
  </si>
  <si>
    <t>Artigo 24</t>
  </si>
  <si>
    <t>Quantidade em Mercado</t>
  </si>
  <si>
    <t>Quantidade em Tesouraria</t>
  </si>
  <si>
    <t>Quantidade Resgatada</t>
  </si>
  <si>
    <t>Quantidade  Cancelada</t>
  </si>
  <si>
    <t>Quantidade Convertida no SND</t>
  </si>
  <si>
    <t>Quantidade Convertida fora do SND</t>
  </si>
  <si>
    <t>Quantidade Permutada no SND</t>
  </si>
  <si>
    <t>Quantidade Permutada fora do SND</t>
  </si>
  <si>
    <t>Unidade Monetaria</t>
  </si>
  <si>
    <t>Valor Nominal na Emissao</t>
  </si>
  <si>
    <t>Valor Nominal Atual</t>
  </si>
  <si>
    <t>Data Ult. VNA</t>
  </si>
  <si>
    <t>indice</t>
  </si>
  <si>
    <t>DI</t>
  </si>
  <si>
    <t>Tipo</t>
  </si>
  <si>
    <t>Criterio de Calculo</t>
  </si>
  <si>
    <t>Padrão - SND</t>
  </si>
  <si>
    <t>Dia de Referencia para indice de Precos</t>
  </si>
  <si>
    <t>Criterio para indice</t>
  </si>
  <si>
    <t>Corrige a cada</t>
  </si>
  <si>
    <t>Percentual Multiplicador/Rentabilidade</t>
  </si>
  <si>
    <t>Limite da TJLP</t>
  </si>
  <si>
    <t>Tipo de Tratamento do Limite da TJLP</t>
  </si>
  <si>
    <t xml:space="preserve">- </t>
  </si>
  <si>
    <t>Juros Criterio Antigo do SND</t>
  </si>
  <si>
    <t>Premios Criterio Antigo do SND</t>
  </si>
  <si>
    <t>Amortizacao - Taxa</t>
  </si>
  <si>
    <t>Amortizacao - Cada</t>
  </si>
  <si>
    <t>Amortizacao - Unidade</t>
  </si>
  <si>
    <t>MES</t>
  </si>
  <si>
    <t>Amortizacao - Carencia</t>
  </si>
  <si>
    <t>3/19/2027</t>
  </si>
  <si>
    <t>Amortizacao - Criterio</t>
  </si>
  <si>
    <t>Tipo de Amortizacao</t>
  </si>
  <si>
    <t>Percentual fixo sobre o valor nominal de emissão em períodos uniformes</t>
  </si>
  <si>
    <t>Juros Criterio Novo - Taxa</t>
  </si>
  <si>
    <t>Juros Criterio Novo - Prazo</t>
  </si>
  <si>
    <t>Juros Criterio Novo - Cada</t>
  </si>
  <si>
    <t>Juros Criterio Novo - Unidade</t>
  </si>
  <si>
    <t>Juros Criterio Novo - Carencia</t>
  </si>
  <si>
    <t>9/19/2019</t>
  </si>
  <si>
    <t>Juros Criterio Novo - Criterio</t>
  </si>
  <si>
    <t>Juros Criterio Novo - Tipo</t>
  </si>
  <si>
    <t>Premio Criterio Novo - Taxa</t>
  </si>
  <si>
    <t>Premio Criterio Novo - Prazo</t>
  </si>
  <si>
    <t>Premio Criterio Novo - Cada</t>
  </si>
  <si>
    <t>Premio Criterio Novo - Unidade</t>
  </si>
  <si>
    <t>Premio Criterio Novo - Carencia</t>
  </si>
  <si>
    <t>Premio Criterio Novo - Criterio</t>
  </si>
  <si>
    <t>Premio Criterio Novo - Tipo</t>
  </si>
  <si>
    <t>Participacao - Taxa</t>
  </si>
  <si>
    <t>Participacao - Cada</t>
  </si>
  <si>
    <t>Participacao - Unidade</t>
  </si>
  <si>
    <t>Participacao - Carencia</t>
  </si>
  <si>
    <t>Participacao - Descricao</t>
  </si>
  <si>
    <t>Banco Mandatario</t>
  </si>
  <si>
    <t>BANCO BRADESCO S/A</t>
  </si>
  <si>
    <t>Agente Fiduciario</t>
  </si>
  <si>
    <t>OLIVEIRA TRUST DTVM S/A</t>
  </si>
  <si>
    <t>Instituicao Depositaria</t>
  </si>
  <si>
    <t>Coordenador Lider</t>
  </si>
  <si>
    <t>BANCO ITAU-BBA S/A</t>
  </si>
  <si>
    <t>CNPJ</t>
  </si>
  <si>
    <t>Deb. Incent. (Lei 12.431)</t>
  </si>
  <si>
    <t>N</t>
  </si>
  <si>
    <t>Escritura Padronizada</t>
  </si>
  <si>
    <t>Resgate Antecipado</t>
  </si>
  <si>
    <t>S</t>
  </si>
  <si>
    <t>Código do Ativo</t>
  </si>
  <si>
    <t>ISIN (utilizado na Bloomberg)</t>
  </si>
  <si>
    <t>Data de Emissão</t>
  </si>
  <si>
    <t>Valor Nominal na Emissão</t>
  </si>
  <si>
    <t>Valor à mercado</t>
  </si>
  <si>
    <t>Tipo de remuneração</t>
  </si>
  <si>
    <t>Pós-indexada</t>
  </si>
  <si>
    <t>Índice</t>
  </si>
  <si>
    <t>CDI</t>
  </si>
  <si>
    <t>Rentabilidade</t>
  </si>
  <si>
    <t>Amortização - Taxa</t>
  </si>
  <si>
    <t>Amortização à Cada</t>
  </si>
  <si>
    <t>12 Meses</t>
  </si>
  <si>
    <t>Amortização - Carência</t>
  </si>
  <si>
    <t>Juros à Cada</t>
  </si>
  <si>
    <t>6 Meses</t>
  </si>
  <si>
    <t>Juros - Carencia</t>
  </si>
  <si>
    <t>Banco Mandatário</t>
  </si>
  <si>
    <t>Coordenador Líder</t>
  </si>
  <si>
    <t>Debênture Incentivada pela Lei 12.431?</t>
  </si>
  <si>
    <t>Não</t>
  </si>
  <si>
    <t>Passível de Resgate Antecipado</t>
  </si>
  <si>
    <t>Sim</t>
  </si>
  <si>
    <t>Data de pagamento</t>
  </si>
  <si>
    <t>Juros</t>
  </si>
  <si>
    <t>Principal</t>
  </si>
  <si>
    <t>Total</t>
  </si>
  <si>
    <t>Cálculo do Yield</t>
  </si>
  <si>
    <t>03/19/2024</t>
  </si>
  <si>
    <t>PU</t>
  </si>
  <si>
    <t>09/19/2024</t>
  </si>
  <si>
    <t>03/19/2025</t>
  </si>
  <si>
    <t>09/19/2025</t>
  </si>
  <si>
    <t>03/19/2026</t>
  </si>
  <si>
    <t>09/21/2026</t>
  </si>
  <si>
    <t>03/19/2027</t>
  </si>
  <si>
    <t>09/20/2027</t>
  </si>
  <si>
    <t>03/20/2028</t>
  </si>
  <si>
    <t>09/19/2028</t>
  </si>
  <si>
    <t>03/19/2029</t>
  </si>
  <si>
    <t>cdi ETTJ</t>
  </si>
  <si>
    <t>CDI ETTJ no cupom</t>
  </si>
  <si>
    <t>09/19/2019</t>
  </si>
  <si>
    <t>03/19/2020</t>
  </si>
  <si>
    <t>09/21/2020</t>
  </si>
  <si>
    <t>03/19/2021</t>
  </si>
  <si>
    <t>09/20/2021</t>
  </si>
  <si>
    <t>03/21/2022</t>
  </si>
  <si>
    <t>09/19/2022</t>
  </si>
  <si>
    <t>03/20/2023</t>
  </si>
  <si>
    <t>09/19/2023</t>
  </si>
  <si>
    <t>Prazo em D+ (252)</t>
  </si>
  <si>
    <t>D+0</t>
  </si>
  <si>
    <t>D+126</t>
  </si>
  <si>
    <t>(DI*1,1465)/2*10000</t>
  </si>
  <si>
    <t>D+252</t>
  </si>
  <si>
    <t>3/19/2020</t>
  </si>
  <si>
    <t>D+378</t>
  </si>
  <si>
    <t>9/19/2020</t>
  </si>
  <si>
    <t>D+504</t>
  </si>
  <si>
    <t>3/19/2021</t>
  </si>
  <si>
    <t>D+630</t>
  </si>
  <si>
    <t>9/19/2021</t>
  </si>
  <si>
    <t>D+756</t>
  </si>
  <si>
    <t>3/19/2022</t>
  </si>
  <si>
    <t>D+882</t>
  </si>
  <si>
    <t>9/19/2022</t>
  </si>
  <si>
    <t>D+1008</t>
  </si>
  <si>
    <t>3/19/2023</t>
  </si>
  <si>
    <t>D+1134</t>
  </si>
  <si>
    <t>9/19/2023</t>
  </si>
  <si>
    <t>CDI ultimo cupom</t>
  </si>
  <si>
    <t>D+1260</t>
  </si>
  <si>
    <t>3/19/2024</t>
  </si>
  <si>
    <t>Face</t>
  </si>
  <si>
    <t>D+1386</t>
  </si>
  <si>
    <t>9/19/2024</t>
  </si>
  <si>
    <t>Cupom pago</t>
  </si>
  <si>
    <t>D+1512</t>
  </si>
  <si>
    <t>3/19/2025</t>
  </si>
  <si>
    <t>D+1638</t>
  </si>
  <si>
    <t>9/19/2025</t>
  </si>
  <si>
    <t>D+1764</t>
  </si>
  <si>
    <t>3/19/2026</t>
  </si>
  <si>
    <t>D+1890</t>
  </si>
  <si>
    <t>9/19/2026</t>
  </si>
  <si>
    <t>D+2016</t>
  </si>
  <si>
    <t>((DI*1,1465)/2*10000)+3333</t>
  </si>
  <si>
    <t>D+2142</t>
  </si>
  <si>
    <t>9/19/2027</t>
  </si>
  <si>
    <t>(DI*1,1465)/2*6666</t>
  </si>
  <si>
    <t>D+2268</t>
  </si>
  <si>
    <t>3/19/2028</t>
  </si>
  <si>
    <t>((DI*1,1465)/2*6666)+3333</t>
  </si>
  <si>
    <t>D+2394</t>
  </si>
  <si>
    <t>9/19/2028</t>
  </si>
  <si>
    <t>(DI*1,1465)/2*3333</t>
  </si>
  <si>
    <t>D+2520</t>
  </si>
  <si>
    <t>((DI*1,1465)/2*3333)+3333</t>
  </si>
  <si>
    <t>Amortização</t>
  </si>
  <si>
    <t>Saldo Devedor</t>
  </si>
  <si>
    <t>DI projetada</t>
  </si>
  <si>
    <t>Discount Rate</t>
  </si>
  <si>
    <t>Ke</t>
  </si>
  <si>
    <t>Kd</t>
  </si>
  <si>
    <t>Value</t>
  </si>
  <si>
    <t>Maturity</t>
  </si>
  <si>
    <t>%</t>
  </si>
  <si>
    <t>Weight</t>
  </si>
  <si>
    <t>Rf</t>
  </si>
  <si>
    <t>BNDES Projeto PUMA 2</t>
  </si>
  <si>
    <t>TLP + 3,58%</t>
  </si>
  <si>
    <t xml:space="preserve">   % Acionistas</t>
  </si>
  <si>
    <t>Rbr</t>
  </si>
  <si>
    <t>BNDES Outros</t>
  </si>
  <si>
    <t>TJLP</t>
  </si>
  <si>
    <t>Beta</t>
  </si>
  <si>
    <t>NC - Exportação</t>
  </si>
  <si>
    <t>102% CDI</t>
  </si>
  <si>
    <t xml:space="preserve">   % Credores</t>
  </si>
  <si>
    <t>Premio</t>
  </si>
  <si>
    <t>CRA 2</t>
  </si>
  <si>
    <t>97,5% CDI</t>
  </si>
  <si>
    <t>Co risk</t>
  </si>
  <si>
    <t>CRA 3</t>
  </si>
  <si>
    <t>102% do CDI</t>
  </si>
  <si>
    <t>Ke US</t>
  </si>
  <si>
    <t>CRA 4</t>
  </si>
  <si>
    <t>98% do CDI</t>
  </si>
  <si>
    <t>Inf BR</t>
  </si>
  <si>
    <t>CRA 4/2</t>
  </si>
  <si>
    <t>IPCA + 4,5081% a.a</t>
  </si>
  <si>
    <t>Inf US</t>
  </si>
  <si>
    <t>CRA 5</t>
  </si>
  <si>
    <t>IPCA + 3,5% a.a</t>
  </si>
  <si>
    <t>CRA 6</t>
  </si>
  <si>
    <t>IPCA + 6,7694% a.a.</t>
  </si>
  <si>
    <t>PPE</t>
  </si>
  <si>
    <t>USD + 5,40%</t>
  </si>
  <si>
    <t>NCE</t>
  </si>
  <si>
    <t>PPEC</t>
  </si>
  <si>
    <t>USD + 5,20% a 8,29%</t>
  </si>
  <si>
    <t>Term Loan</t>
  </si>
  <si>
    <t>2029/2032</t>
  </si>
  <si>
    <t>Libor + 1,60% ou SOFR + 2,02%</t>
  </si>
  <si>
    <t>Finnvera</t>
  </si>
  <si>
    <t>USD + Libor + 0,60% a 0,95% ou USD + 3,38%</t>
  </si>
  <si>
    <t>CRA em debenture</t>
  </si>
  <si>
    <t>USD + 2,45% a USD + 5,20%</t>
  </si>
  <si>
    <t>ECA</t>
  </si>
  <si>
    <t>EUR + 0,45%</t>
  </si>
  <si>
    <t>Outros</t>
  </si>
  <si>
    <t>?</t>
  </si>
  <si>
    <t>0,76% a 8,5%</t>
  </si>
  <si>
    <t>Custos</t>
  </si>
  <si>
    <t>IPCA</t>
  </si>
  <si>
    <t>USD</t>
  </si>
  <si>
    <t>EUR/USD</t>
  </si>
  <si>
    <t>EUR/USD/BRL</t>
  </si>
  <si>
    <t>LIBOR</t>
  </si>
  <si>
    <t>SOFR</t>
  </si>
  <si>
    <t>TLP</t>
  </si>
  <si>
    <t>USD 2022</t>
  </si>
  <si>
    <t>Var USD</t>
  </si>
  <si>
    <t>EUR 2022</t>
  </si>
  <si>
    <t>var EUR</t>
  </si>
  <si>
    <t>FCx com 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</si>
</sst>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[$$-409]* #,##0.00_ ;_-[$$-409]* \-#,##0.00\ ;_-[$$-409]* &quot;-&quot;??_ ;_-@_ "/>
    <numFmt numFmtId="167" formatCode="_(* #,##0.00_);_(* \(#,##0.00\);_(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rgb="FF333333"/>
      <name val="Arial"/>
      <family val="2"/>
    </font>
    <font>
      <sz val="9"/>
      <color rgb="FF00B0F0"/>
      <name val="Arial"/>
      <family val="2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u/>
      <sz val="11"/>
      <color theme="10"/>
      <name val="Aptos"/>
      <family val="2"/>
    </font>
    <font>
      <sz val="11"/>
      <color rgb="FF333333"/>
      <name val="Aptos"/>
      <family val="2"/>
    </font>
    <font>
      <sz val="11"/>
      <color rgb="FFFFFFFF"/>
      <name val="Calibri"/>
      <family val="2"/>
      <scheme val="minor"/>
    </font>
    <font>
      <sz val="9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sz val="12"/>
      <color rgb="FF203764"/>
      <name val="Thonburi"/>
      <family val="2"/>
      <charset val="222"/>
    </font>
    <font>
      <b/>
      <sz val="8"/>
      <color rgb="FF203764"/>
      <name val="Thonburi"/>
      <family val="2"/>
      <charset val="222"/>
    </font>
    <font>
      <sz val="8"/>
      <color rgb="FF203764"/>
      <name val="Thonburi"/>
      <family val="2"/>
      <charset val="222"/>
    </font>
    <font>
      <sz val="8"/>
      <color rgb="FF000000"/>
      <name val="Calibri"/>
      <family val="2"/>
      <scheme val="minor"/>
    </font>
    <font>
      <sz val="10"/>
      <color rgb="FF777777"/>
      <name val="Open Sans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EEEEEE"/>
        <bgColor auto="1"/>
      </patternFill>
    </fill>
    <fill>
      <patternFill patternType="solid">
        <fgColor rgb="FF305496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D9E1F2"/>
        <bgColor rgb="FF000000"/>
      </patternFill>
    </fill>
  </fills>
  <borders count="21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 style="thick">
        <color rgb="FFFFFFFF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FFFFFF"/>
      </right>
      <top/>
      <bottom style="thick">
        <color rgb="FFFFFFFF"/>
      </bottom>
      <diagonal/>
    </border>
    <border>
      <left style="thin">
        <color indexed="64"/>
      </left>
      <right style="thick">
        <color rgb="FFFFFFFF"/>
      </right>
      <top style="thick">
        <color rgb="FFFFFFFF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0" borderId="0" xfId="0" applyAlignment="1">
      <alignment vertical="center"/>
    </xf>
    <xf numFmtId="4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3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horizontal="center" vertical="center"/>
    </xf>
    <xf numFmtId="10" fontId="0" fillId="0" borderId="0" xfId="3" applyNumberFormat="1" applyFont="1" applyAlignment="1">
      <alignment horizontal="center" vertical="center"/>
    </xf>
    <xf numFmtId="4" fontId="3" fillId="4" borderId="0" xfId="0" applyNumberFormat="1" applyFont="1" applyFill="1" applyAlignment="1">
      <alignment horizontal="left" vertical="center"/>
    </xf>
    <xf numFmtId="4" fontId="3" fillId="4" borderId="0" xfId="0" applyNumberFormat="1" applyFont="1" applyFill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0" fontId="3" fillId="0" borderId="0" xfId="5" applyNumberFormat="1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6" fillId="5" borderId="1" xfId="0" applyFont="1" applyFill="1" applyBorder="1" applyAlignment="1">
      <alignment horizontal="left" vertical="center" shrinkToFit="1"/>
    </xf>
    <xf numFmtId="14" fontId="6" fillId="5" borderId="1" xfId="0" applyNumberFormat="1" applyFont="1" applyFill="1" applyBorder="1" applyAlignment="1">
      <alignment horizontal="right" vertical="center" shrinkToFit="1"/>
    </xf>
    <xf numFmtId="0" fontId="7" fillId="0" borderId="1" xfId="0" applyFont="1" applyBorder="1" applyAlignment="1">
      <alignment horizontal="left" vertical="center" shrinkToFit="1"/>
    </xf>
    <xf numFmtId="3" fontId="7" fillId="3" borderId="1" xfId="0" applyNumberFormat="1" applyFont="1" applyFill="1" applyBorder="1" applyAlignment="1">
      <alignment horizontal="right" vertical="center" shrinkToFit="1"/>
    </xf>
    <xf numFmtId="165" fontId="0" fillId="0" borderId="0" xfId="3" applyNumberFormat="1" applyFont="1" applyAlignment="1">
      <alignment vertical="center"/>
    </xf>
    <xf numFmtId="0" fontId="0" fillId="0" borderId="0" xfId="0" applyAlignment="1">
      <alignment horizontal="right"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7" fillId="3" borderId="1" xfId="0" applyFont="1" applyFill="1" applyBorder="1" applyAlignment="1">
      <alignment horizontal="left" vertical="center" shrinkToFit="1"/>
    </xf>
    <xf numFmtId="9" fontId="0" fillId="0" borderId="0" xfId="3" applyFont="1" applyAlignment="1">
      <alignment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 shrinkToFit="1"/>
    </xf>
    <xf numFmtId="0" fontId="8" fillId="0" borderId="0" xfId="0" applyFont="1" applyAlignment="1">
      <alignment horizontal="center" vertical="center"/>
    </xf>
    <xf numFmtId="8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43" fontId="4" fillId="0" borderId="0" xfId="4" applyNumberFormat="1" applyAlignment="1">
      <alignment horizontal="right" vertical="center"/>
    </xf>
    <xf numFmtId="43" fontId="0" fillId="0" borderId="0" xfId="1" applyFont="1" applyFill="1" applyAlignment="1">
      <alignment horizontal="right" vertical="center"/>
    </xf>
    <xf numFmtId="164" fontId="0" fillId="0" borderId="0" xfId="1" applyNumberFormat="1" applyFon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43" fontId="5" fillId="3" borderId="1" xfId="1" applyFont="1" applyFill="1" applyBorder="1" applyAlignment="1">
      <alignment horizontal="center" vertical="center" shrinkToFit="1"/>
    </xf>
    <xf numFmtId="165" fontId="0" fillId="0" borderId="0" xfId="0" applyNumberFormat="1" applyAlignment="1">
      <alignment horizontal="right" vertical="center"/>
    </xf>
    <xf numFmtId="165" fontId="0" fillId="0" borderId="0" xfId="3" applyNumberFormat="1" applyFon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9" fontId="0" fillId="0" borderId="0" xfId="3" applyFont="1" applyAlignment="1">
      <alignment horizontal="right" vertical="center"/>
    </xf>
    <xf numFmtId="0" fontId="6" fillId="5" borderId="1" xfId="0" applyFont="1" applyFill="1" applyBorder="1" applyAlignment="1">
      <alignment vertical="center" shrinkToFit="1"/>
    </xf>
    <xf numFmtId="14" fontId="6" fillId="5" borderId="1" xfId="0" applyNumberFormat="1" applyFont="1" applyFill="1" applyBorder="1" applyAlignment="1">
      <alignment vertical="center" shrinkToFit="1"/>
    </xf>
    <xf numFmtId="3" fontId="7" fillId="3" borderId="1" xfId="0" applyNumberFormat="1" applyFont="1" applyFill="1" applyBorder="1" applyAlignment="1">
      <alignment vertical="center" shrinkToFit="1"/>
    </xf>
    <xf numFmtId="0" fontId="0" fillId="0" borderId="2" xfId="0" applyBorder="1" applyAlignment="1">
      <alignment horizontal="center" vertical="center"/>
    </xf>
    <xf numFmtId="2" fontId="0" fillId="0" borderId="3" xfId="0" applyNumberFormat="1" applyBorder="1" applyAlignment="1">
      <alignment horizontal="right" vertical="center"/>
    </xf>
    <xf numFmtId="0" fontId="9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5" xfId="0" applyNumberFormat="1" applyBorder="1" applyAlignment="1">
      <alignment horizontal="right" vertical="center"/>
    </xf>
    <xf numFmtId="0" fontId="9" fillId="0" borderId="6" xfId="0" applyFont="1" applyBorder="1" applyAlignment="1">
      <alignment horizontal="center" vertical="center"/>
    </xf>
    <xf numFmtId="14" fontId="0" fillId="0" borderId="0" xfId="0" applyNumberFormat="1"/>
    <xf numFmtId="17" fontId="0" fillId="0" borderId="0" xfId="0" applyNumberFormat="1"/>
    <xf numFmtId="0" fontId="0" fillId="2" borderId="0" xfId="0" applyFill="1"/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right" vertical="center"/>
    </xf>
    <xf numFmtId="4" fontId="2" fillId="0" borderId="5" xfId="0" applyNumberFormat="1" applyFont="1" applyBorder="1" applyAlignment="1">
      <alignment horizontal="right" vertical="center"/>
    </xf>
    <xf numFmtId="166" fontId="9" fillId="0" borderId="5" xfId="2" applyNumberFormat="1" applyFont="1" applyBorder="1" applyAlignment="1">
      <alignment horizontal="right" vertical="center"/>
    </xf>
    <xf numFmtId="166" fontId="9" fillId="0" borderId="7" xfId="2" applyNumberFormat="1" applyFont="1" applyBorder="1" applyAlignment="1">
      <alignment horizontal="right" vertical="center"/>
    </xf>
    <xf numFmtId="0" fontId="10" fillId="0" borderId="0" xfId="0" applyFont="1" applyAlignment="1">
      <alignment horizontal="left" vertical="center"/>
    </xf>
    <xf numFmtId="164" fontId="10" fillId="0" borderId="0" xfId="1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43" fontId="12" fillId="0" borderId="0" xfId="4" applyNumberFormat="1" applyFont="1" applyAlignment="1">
      <alignment horizontal="right" vertical="center"/>
    </xf>
    <xf numFmtId="43" fontId="10" fillId="0" borderId="0" xfId="1" applyFont="1" applyFill="1" applyAlignment="1">
      <alignment horizontal="right" vertical="center"/>
    </xf>
    <xf numFmtId="43" fontId="10" fillId="0" borderId="0" xfId="1" applyFont="1" applyAlignment="1">
      <alignment horizontal="center" vertical="center"/>
    </xf>
    <xf numFmtId="43" fontId="10" fillId="0" borderId="0" xfId="0" applyNumberFormat="1" applyFont="1" applyAlignment="1">
      <alignment horizontal="center" vertical="center"/>
    </xf>
    <xf numFmtId="164" fontId="10" fillId="0" borderId="0" xfId="1" applyNumberFormat="1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9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4" fontId="11" fillId="2" borderId="0" xfId="0" applyNumberFormat="1" applyFont="1" applyFill="1" applyAlignment="1">
      <alignment horizontal="left" vertical="center"/>
    </xf>
    <xf numFmtId="4" fontId="11" fillId="2" borderId="0" xfId="0" applyNumberFormat="1" applyFont="1" applyFill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43" fontId="13" fillId="3" borderId="1" xfId="1" applyFont="1" applyFill="1" applyBorder="1" applyAlignment="1">
      <alignment horizontal="center" vertical="center" shrinkToFit="1"/>
    </xf>
    <xf numFmtId="3" fontId="13" fillId="3" borderId="1" xfId="0" applyNumberFormat="1" applyFont="1" applyFill="1" applyBorder="1" applyAlignment="1">
      <alignment horizontal="center" vertical="center" shrinkToFit="1"/>
    </xf>
    <xf numFmtId="10" fontId="10" fillId="0" borderId="0" xfId="3" applyNumberFormat="1" applyFont="1" applyAlignment="1">
      <alignment horizontal="center" vertical="center"/>
    </xf>
    <xf numFmtId="4" fontId="11" fillId="4" borderId="0" xfId="0" applyNumberFormat="1" applyFont="1" applyFill="1" applyAlignment="1">
      <alignment horizontal="left" vertical="center"/>
    </xf>
    <xf numFmtId="4" fontId="11" fillId="4" borderId="0" xfId="0" applyNumberFormat="1" applyFont="1" applyFill="1" applyAlignment="1">
      <alignment horizontal="center" vertical="center"/>
    </xf>
    <xf numFmtId="4" fontId="11" fillId="0" borderId="0" xfId="0" applyNumberFormat="1" applyFont="1" applyAlignment="1">
      <alignment horizontal="left" vertical="center"/>
    </xf>
    <xf numFmtId="10" fontId="11" fillId="0" borderId="0" xfId="3" applyNumberFormat="1" applyFont="1" applyAlignment="1">
      <alignment horizontal="center" vertical="center"/>
    </xf>
    <xf numFmtId="10" fontId="11" fillId="0" borderId="0" xfId="5" applyNumberFormat="1" applyFont="1" applyAlignment="1">
      <alignment horizontal="center" vertical="center"/>
    </xf>
    <xf numFmtId="43" fontId="11" fillId="0" borderId="0" xfId="1" applyFont="1" applyAlignment="1">
      <alignment horizontal="center" vertical="center"/>
    </xf>
    <xf numFmtId="167" fontId="10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14" fontId="8" fillId="0" borderId="0" xfId="0" applyNumberFormat="1" applyFont="1"/>
    <xf numFmtId="11" fontId="8" fillId="0" borderId="0" xfId="0" applyNumberFormat="1" applyFont="1"/>
    <xf numFmtId="4" fontId="8" fillId="0" borderId="0" xfId="0" applyNumberFormat="1" applyFont="1"/>
    <xf numFmtId="10" fontId="8" fillId="0" borderId="0" xfId="0" applyNumberFormat="1" applyFont="1"/>
    <xf numFmtId="0" fontId="14" fillId="6" borderId="0" xfId="0" applyFont="1" applyFill="1"/>
    <xf numFmtId="0" fontId="8" fillId="7" borderId="0" xfId="0" applyFont="1" applyFill="1"/>
    <xf numFmtId="4" fontId="8" fillId="7" borderId="0" xfId="0" applyNumberFormat="1" applyFont="1" applyFill="1"/>
    <xf numFmtId="0" fontId="8" fillId="8" borderId="0" xfId="0" applyFont="1" applyFill="1"/>
    <xf numFmtId="4" fontId="8" fillId="8" borderId="0" xfId="0" applyNumberFormat="1" applyFont="1" applyFill="1"/>
    <xf numFmtId="10" fontId="14" fillId="6" borderId="0" xfId="0" applyNumberFormat="1" applyFont="1" applyFill="1"/>
    <xf numFmtId="0" fontId="14" fillId="9" borderId="0" xfId="0" applyFont="1" applyFill="1"/>
    <xf numFmtId="9" fontId="8" fillId="0" borderId="0" xfId="0" applyNumberFormat="1" applyFont="1"/>
    <xf numFmtId="4" fontId="8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0" fontId="15" fillId="6" borderId="0" xfId="0" applyFont="1" applyFill="1"/>
    <xf numFmtId="0" fontId="16" fillId="0" borderId="0" xfId="0" applyFont="1"/>
    <xf numFmtId="0" fontId="16" fillId="7" borderId="0" xfId="0" applyFont="1" applyFill="1"/>
    <xf numFmtId="14" fontId="16" fillId="7" borderId="0" xfId="0" applyNumberFormat="1" applyFont="1" applyFill="1"/>
    <xf numFmtId="0" fontId="16" fillId="8" borderId="0" xfId="0" applyFont="1" applyFill="1"/>
    <xf numFmtId="0" fontId="15" fillId="10" borderId="0" xfId="0" applyFont="1" applyFill="1" applyAlignment="1">
      <alignment wrapText="1"/>
    </xf>
    <xf numFmtId="0" fontId="15" fillId="10" borderId="0" xfId="0" applyFont="1" applyFill="1"/>
    <xf numFmtId="10" fontId="8" fillId="7" borderId="0" xfId="0" applyNumberFormat="1" applyFont="1" applyFill="1"/>
    <xf numFmtId="10" fontId="8" fillId="8" borderId="0" xfId="0" applyNumberFormat="1" applyFont="1" applyFill="1"/>
    <xf numFmtId="0" fontId="17" fillId="9" borderId="0" xfId="0" applyFont="1" applyFill="1"/>
    <xf numFmtId="0" fontId="18" fillId="11" borderId="8" xfId="0" applyFont="1" applyFill="1" applyBorder="1" applyAlignment="1">
      <alignment horizontal="left"/>
    </xf>
    <xf numFmtId="0" fontId="18" fillId="11" borderId="9" xfId="0" applyFont="1" applyFill="1" applyBorder="1" applyAlignment="1">
      <alignment horizontal="left"/>
    </xf>
    <xf numFmtId="10" fontId="18" fillId="11" borderId="10" xfId="0" applyNumberFormat="1" applyFont="1" applyFill="1" applyBorder="1" applyAlignment="1">
      <alignment horizontal="left"/>
    </xf>
    <xf numFmtId="10" fontId="18" fillId="11" borderId="9" xfId="0" applyNumberFormat="1" applyFont="1" applyFill="1" applyBorder="1" applyAlignment="1">
      <alignment horizontal="left"/>
    </xf>
    <xf numFmtId="0" fontId="18" fillId="9" borderId="8" xfId="0" applyFont="1" applyFill="1" applyBorder="1" applyAlignment="1">
      <alignment horizontal="left"/>
    </xf>
    <xf numFmtId="0" fontId="18" fillId="9" borderId="10" xfId="0" applyFont="1" applyFill="1" applyBorder="1" applyAlignment="1">
      <alignment horizontal="left"/>
    </xf>
    <xf numFmtId="10" fontId="18" fillId="9" borderId="11" xfId="0" applyNumberFormat="1" applyFont="1" applyFill="1" applyBorder="1" applyAlignment="1">
      <alignment horizontal="right"/>
    </xf>
    <xf numFmtId="0" fontId="19" fillId="9" borderId="8" xfId="0" applyFont="1" applyFill="1" applyBorder="1" applyAlignment="1">
      <alignment horizontal="left"/>
    </xf>
    <xf numFmtId="0" fontId="19" fillId="9" borderId="10" xfId="0" applyFont="1" applyFill="1" applyBorder="1" applyAlignment="1">
      <alignment horizontal="left"/>
    </xf>
    <xf numFmtId="3" fontId="19" fillId="9" borderId="10" xfId="0" applyNumberFormat="1" applyFont="1" applyFill="1" applyBorder="1" applyAlignment="1">
      <alignment horizontal="left"/>
    </xf>
    <xf numFmtId="10" fontId="19" fillId="9" borderId="10" xfId="0" applyNumberFormat="1" applyFont="1" applyFill="1" applyBorder="1" applyAlignment="1">
      <alignment horizontal="left"/>
    </xf>
    <xf numFmtId="10" fontId="19" fillId="9" borderId="0" xfId="0" applyNumberFormat="1" applyFont="1" applyFill="1" applyAlignment="1">
      <alignment horizontal="right"/>
    </xf>
    <xf numFmtId="10" fontId="19" fillId="9" borderId="11" xfId="0" applyNumberFormat="1" applyFont="1" applyFill="1" applyBorder="1" applyAlignment="1">
      <alignment horizontal="right"/>
    </xf>
    <xf numFmtId="0" fontId="19" fillId="9" borderId="11" xfId="0" applyFont="1" applyFill="1" applyBorder="1" applyAlignment="1">
      <alignment horizontal="left"/>
    </xf>
    <xf numFmtId="9" fontId="19" fillId="9" borderId="11" xfId="0" applyNumberFormat="1" applyFont="1" applyFill="1" applyBorder="1" applyAlignment="1">
      <alignment horizontal="right"/>
    </xf>
    <xf numFmtId="3" fontId="19" fillId="9" borderId="11" xfId="0" applyNumberFormat="1" applyFont="1" applyFill="1" applyBorder="1" applyAlignment="1">
      <alignment horizontal="left"/>
    </xf>
    <xf numFmtId="10" fontId="19" fillId="9" borderId="11" xfId="0" applyNumberFormat="1" applyFont="1" applyFill="1" applyBorder="1" applyAlignment="1">
      <alignment horizontal="left"/>
    </xf>
    <xf numFmtId="10" fontId="18" fillId="9" borderId="8" xfId="0" applyNumberFormat="1" applyFont="1" applyFill="1" applyBorder="1" applyAlignment="1">
      <alignment horizontal="left"/>
    </xf>
    <xf numFmtId="0" fontId="19" fillId="9" borderId="9" xfId="0" applyFont="1" applyFill="1" applyBorder="1" applyAlignment="1">
      <alignment horizontal="left"/>
    </xf>
    <xf numFmtId="10" fontId="19" fillId="9" borderId="9" xfId="0" applyNumberFormat="1" applyFont="1" applyFill="1" applyBorder="1" applyAlignment="1">
      <alignment horizontal="left"/>
    </xf>
    <xf numFmtId="0" fontId="19" fillId="9" borderId="12" xfId="0" applyFont="1" applyFill="1" applyBorder="1" applyAlignment="1">
      <alignment horizontal="left"/>
    </xf>
    <xf numFmtId="10" fontId="19" fillId="9" borderId="12" xfId="0" applyNumberFormat="1" applyFont="1" applyFill="1" applyBorder="1" applyAlignment="1">
      <alignment horizontal="right"/>
    </xf>
    <xf numFmtId="3" fontId="19" fillId="9" borderId="12" xfId="0" applyNumberFormat="1" applyFont="1" applyFill="1" applyBorder="1" applyAlignment="1">
      <alignment horizontal="left"/>
    </xf>
    <xf numFmtId="10" fontId="19" fillId="9" borderId="12" xfId="0" applyNumberFormat="1" applyFont="1" applyFill="1" applyBorder="1" applyAlignment="1">
      <alignment horizontal="left"/>
    </xf>
    <xf numFmtId="0" fontId="19" fillId="9" borderId="11" xfId="0" applyFont="1" applyFill="1" applyBorder="1" applyAlignment="1">
      <alignment horizontal="right"/>
    </xf>
    <xf numFmtId="0" fontId="19" fillId="9" borderId="0" xfId="0" applyFont="1" applyFill="1" applyAlignment="1">
      <alignment horizontal="left"/>
    </xf>
    <xf numFmtId="10" fontId="19" fillId="9" borderId="0" xfId="0" applyNumberFormat="1" applyFont="1" applyFill="1" applyAlignment="1">
      <alignment horizontal="left"/>
    </xf>
    <xf numFmtId="0" fontId="19" fillId="9" borderId="13" xfId="0" applyFont="1" applyFill="1" applyBorder="1" applyAlignment="1">
      <alignment horizontal="left"/>
    </xf>
    <xf numFmtId="0" fontId="17" fillId="9" borderId="14" xfId="0" applyFont="1" applyFill="1" applyBorder="1"/>
    <xf numFmtId="0" fontId="19" fillId="9" borderId="15" xfId="0" applyFont="1" applyFill="1" applyBorder="1" applyAlignment="1">
      <alignment horizontal="left"/>
    </xf>
    <xf numFmtId="0" fontId="19" fillId="9" borderId="16" xfId="0" applyFont="1" applyFill="1" applyBorder="1" applyAlignment="1">
      <alignment horizontal="left"/>
    </xf>
    <xf numFmtId="0" fontId="17" fillId="9" borderId="17" xfId="0" applyFont="1" applyFill="1" applyBorder="1"/>
    <xf numFmtId="10" fontId="20" fillId="0" borderId="0" xfId="0" applyNumberFormat="1" applyFont="1"/>
    <xf numFmtId="0" fontId="20" fillId="0" borderId="0" xfId="0" applyFont="1"/>
    <xf numFmtId="0" fontId="20" fillId="0" borderId="0" xfId="0" applyFont="1" applyAlignment="1">
      <alignment wrapText="1"/>
    </xf>
    <xf numFmtId="0" fontId="19" fillId="9" borderId="18" xfId="0" applyFont="1" applyFill="1" applyBorder="1" applyAlignment="1">
      <alignment horizontal="left"/>
    </xf>
    <xf numFmtId="3" fontId="8" fillId="0" borderId="0" xfId="0" applyNumberFormat="1" applyFont="1"/>
    <xf numFmtId="0" fontId="19" fillId="9" borderId="19" xfId="0" applyFont="1" applyFill="1" applyBorder="1" applyAlignment="1">
      <alignment horizontal="left"/>
    </xf>
    <xf numFmtId="0" fontId="8" fillId="0" borderId="20" xfId="0" applyFont="1" applyBorder="1"/>
    <xf numFmtId="0" fontId="21" fillId="0" borderId="0" xfId="0" applyFont="1"/>
    <xf numFmtId="10" fontId="16" fillId="7" borderId="0" xfId="0" applyNumberFormat="1" applyFont="1" applyFill="1"/>
    <xf numFmtId="10" fontId="16" fillId="8" borderId="0" xfId="0" applyNumberFormat="1" applyFont="1" applyFill="1"/>
    <xf numFmtId="10" fontId="15" fillId="6" borderId="0" xfId="0" applyNumberFormat="1" applyFont="1" applyFill="1"/>
  </cellXfs>
  <cellStyles count="6">
    <cellStyle name="Hiperlink" xfId="4" builtinId="8"/>
    <cellStyle name="Moeda" xfId="2" builtinId="4"/>
    <cellStyle name="Normal" xfId="0" builtinId="0"/>
    <cellStyle name="Porcentagem" xfId="3" builtinId="5"/>
    <cellStyle name="Porcentagem 2" xfId="5" xr:uid="{E159F2DA-27E6-4934-8D9A-6254EC2E66AD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finance/quote/USD-BRL?sa=X&amp;ved=2ahUKEwif_96oirCCAxXwD7kGHXliA18QmY0JegQIBxAr&amp;window=1Y" TargetMode="External"/><Relationship Id="rId1" Type="http://schemas.openxmlformats.org/officeDocument/2006/relationships/hyperlink" Target="https://norexeco.com/market-data-graphs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ogle.com/finance/quote/USD-BRL?sa=X&amp;ved=2ahUKEwif_96oirCCAxXwD7kGHXliA18QmY0JegQIBxAr&amp;window=1Y" TargetMode="External"/><Relationship Id="rId1" Type="http://schemas.openxmlformats.org/officeDocument/2006/relationships/hyperlink" Target="https://norexeco.com/market-data-graph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58AC2-C67B-4778-B3A5-37FBE704C1F7}">
  <dimension ref="A1:C89"/>
  <sheetViews>
    <sheetView workbookViewId="0">
      <selection activeCell="A4" sqref="A4"/>
    </sheetView>
  </sheetViews>
  <sheetFormatPr defaultRowHeight="15"/>
  <cols>
    <col min="1" max="1" width="61.28515625" bestFit="1" customWidth="1"/>
    <col min="2" max="2" width="67.42578125" bestFit="1" customWidth="1"/>
  </cols>
  <sheetData>
    <row r="1" spans="1:3">
      <c r="A1" s="90" t="s">
        <v>57</v>
      </c>
      <c r="B1" s="90"/>
      <c r="C1" s="90"/>
    </row>
    <row r="2" spans="1:3">
      <c r="A2" s="90"/>
      <c r="B2" s="90"/>
      <c r="C2" s="90"/>
    </row>
    <row r="3" spans="1:3">
      <c r="A3" s="90"/>
      <c r="B3" s="90"/>
      <c r="C3" s="90"/>
    </row>
    <row r="4" spans="1:3">
      <c r="A4" s="90" t="s">
        <v>58</v>
      </c>
      <c r="B4" s="90" t="s">
        <v>59</v>
      </c>
      <c r="C4" s="90"/>
    </row>
    <row r="5" spans="1:3">
      <c r="A5" s="90" t="s">
        <v>60</v>
      </c>
      <c r="B5" s="90" t="s">
        <v>61</v>
      </c>
      <c r="C5" s="90"/>
    </row>
    <row r="6" spans="1:3">
      <c r="A6" s="90" t="s">
        <v>62</v>
      </c>
      <c r="B6" s="90" t="s">
        <v>63</v>
      </c>
      <c r="C6" s="90"/>
    </row>
    <row r="7" spans="1:3">
      <c r="A7" s="90" t="s">
        <v>64</v>
      </c>
      <c r="B7" s="90">
        <v>12</v>
      </c>
      <c r="C7" s="90"/>
    </row>
    <row r="8" spans="1:3">
      <c r="A8" s="90" t="s">
        <v>65</v>
      </c>
      <c r="B8" s="90" t="s">
        <v>66</v>
      </c>
      <c r="C8" s="90"/>
    </row>
    <row r="9" spans="1:3">
      <c r="A9" s="90" t="s">
        <v>67</v>
      </c>
      <c r="B9" s="90" t="s">
        <v>68</v>
      </c>
      <c r="C9" s="90"/>
    </row>
    <row r="10" spans="1:3">
      <c r="A10" s="90" t="s">
        <v>69</v>
      </c>
      <c r="B10" s="90" t="s">
        <v>70</v>
      </c>
      <c r="C10" s="90"/>
    </row>
    <row r="11" spans="1:3">
      <c r="A11" s="90" t="s">
        <v>71</v>
      </c>
      <c r="B11" s="90" t="s">
        <v>72</v>
      </c>
      <c r="C11" s="90"/>
    </row>
    <row r="12" spans="1:3">
      <c r="A12" s="90" t="s">
        <v>73</v>
      </c>
      <c r="B12" s="90" t="s">
        <v>74</v>
      </c>
      <c r="C12" s="90"/>
    </row>
    <row r="13" spans="1:3">
      <c r="A13" s="90" t="s">
        <v>75</v>
      </c>
      <c r="B13" s="90"/>
      <c r="C13" s="90"/>
    </row>
    <row r="14" spans="1:3">
      <c r="A14" s="90" t="s">
        <v>76</v>
      </c>
      <c r="B14" s="90"/>
      <c r="C14" s="90"/>
    </row>
    <row r="15" spans="1:3">
      <c r="A15" s="90" t="s">
        <v>77</v>
      </c>
      <c r="B15" s="90" t="s">
        <v>78</v>
      </c>
      <c r="C15" s="90"/>
    </row>
    <row r="16" spans="1:3">
      <c r="A16" s="90" t="s">
        <v>79</v>
      </c>
      <c r="B16" s="90" t="s">
        <v>80</v>
      </c>
      <c r="C16" s="90"/>
    </row>
    <row r="17" spans="1:3">
      <c r="A17" s="90" t="s">
        <v>81</v>
      </c>
      <c r="B17" s="90"/>
      <c r="C17" s="90"/>
    </row>
    <row r="18" spans="1:3">
      <c r="A18" s="90" t="s">
        <v>82</v>
      </c>
      <c r="B18" s="90" t="s">
        <v>80</v>
      </c>
      <c r="C18" s="90"/>
    </row>
    <row r="19" spans="1:3">
      <c r="A19" s="90" t="s">
        <v>83</v>
      </c>
      <c r="B19" s="91">
        <v>43469</v>
      </c>
      <c r="C19" s="90"/>
    </row>
    <row r="20" spans="1:3">
      <c r="A20" s="90" t="s">
        <v>84</v>
      </c>
      <c r="B20" s="91">
        <v>43469</v>
      </c>
      <c r="C20" s="90"/>
    </row>
    <row r="21" spans="1:3">
      <c r="A21" s="90" t="s">
        <v>85</v>
      </c>
      <c r="B21" s="90" t="s">
        <v>66</v>
      </c>
      <c r="C21" s="90"/>
    </row>
    <row r="22" spans="1:3">
      <c r="A22" s="90" t="s">
        <v>86</v>
      </c>
      <c r="B22" s="90" t="s">
        <v>87</v>
      </c>
      <c r="C22" s="90"/>
    </row>
    <row r="23" spans="1:3">
      <c r="A23" s="90" t="s">
        <v>88</v>
      </c>
      <c r="B23" s="90" t="s">
        <v>78</v>
      </c>
      <c r="C23" s="90"/>
    </row>
    <row r="24" spans="1:3">
      <c r="A24" s="90" t="s">
        <v>89</v>
      </c>
      <c r="B24" s="90"/>
      <c r="C24" s="90"/>
    </row>
    <row r="25" spans="1:3">
      <c r="A25" s="90" t="s">
        <v>90</v>
      </c>
      <c r="B25" s="90"/>
      <c r="C25" s="90"/>
    </row>
    <row r="26" spans="1:3">
      <c r="A26" s="90" t="s">
        <v>91</v>
      </c>
      <c r="B26" s="90" t="s">
        <v>92</v>
      </c>
      <c r="C26" s="90"/>
    </row>
    <row r="27" spans="1:3">
      <c r="A27" s="90" t="s">
        <v>93</v>
      </c>
      <c r="B27" s="90" t="s">
        <v>94</v>
      </c>
      <c r="C27" s="90"/>
    </row>
    <row r="28" spans="1:3">
      <c r="A28" s="90" t="s">
        <v>95</v>
      </c>
      <c r="B28" s="90" t="s">
        <v>96</v>
      </c>
      <c r="C28" s="90"/>
    </row>
    <row r="29" spans="1:3">
      <c r="A29" s="90" t="s">
        <v>97</v>
      </c>
      <c r="B29" s="90">
        <v>100000</v>
      </c>
      <c r="C29" s="90"/>
    </row>
    <row r="30" spans="1:3">
      <c r="A30" s="90" t="s">
        <v>98</v>
      </c>
      <c r="B30" s="90"/>
      <c r="C30" s="90"/>
    </row>
    <row r="31" spans="1:3">
      <c r="A31" s="90" t="s">
        <v>99</v>
      </c>
      <c r="B31" s="90"/>
      <c r="C31" s="90"/>
    </row>
    <row r="32" spans="1:3">
      <c r="A32" s="90" t="s">
        <v>100</v>
      </c>
      <c r="B32" s="90">
        <v>100000</v>
      </c>
      <c r="C32" s="90"/>
    </row>
    <row r="33" spans="1:3">
      <c r="A33" s="90" t="s">
        <v>101</v>
      </c>
      <c r="B33" s="90">
        <v>0</v>
      </c>
      <c r="C33" s="90"/>
    </row>
    <row r="34" spans="1:3">
      <c r="A34" s="90" t="s">
        <v>102</v>
      </c>
      <c r="B34" s="90">
        <v>0</v>
      </c>
      <c r="C34" s="90"/>
    </row>
    <row r="35" spans="1:3">
      <c r="A35" s="90" t="s">
        <v>103</v>
      </c>
      <c r="B35" s="90"/>
      <c r="C35" s="90"/>
    </row>
    <row r="36" spans="1:3">
      <c r="A36" s="90" t="s">
        <v>104</v>
      </c>
      <c r="B36" s="90"/>
      <c r="C36" s="90"/>
    </row>
    <row r="37" spans="1:3">
      <c r="A37" s="90" t="s">
        <v>105</v>
      </c>
      <c r="B37" s="90">
        <v>0</v>
      </c>
      <c r="C37" s="90"/>
    </row>
    <row r="38" spans="1:3">
      <c r="A38" s="90" t="s">
        <v>106</v>
      </c>
      <c r="B38" s="90"/>
      <c r="C38" s="90"/>
    </row>
    <row r="39" spans="1:3">
      <c r="A39" s="90" t="s">
        <v>107</v>
      </c>
      <c r="B39" s="90">
        <v>0</v>
      </c>
      <c r="C39" s="90"/>
    </row>
    <row r="40" spans="1:3">
      <c r="A40" s="90" t="s">
        <v>108</v>
      </c>
      <c r="B40" s="90" t="s">
        <v>9</v>
      </c>
      <c r="C40" s="90"/>
    </row>
    <row r="41" spans="1:3">
      <c r="A41" s="90" t="s">
        <v>109</v>
      </c>
      <c r="B41" s="90">
        <v>10000</v>
      </c>
      <c r="C41" s="90"/>
    </row>
    <row r="42" spans="1:3">
      <c r="A42" s="90" t="s">
        <v>108</v>
      </c>
      <c r="B42" s="90" t="s">
        <v>9</v>
      </c>
      <c r="C42" s="90"/>
    </row>
    <row r="43" spans="1:3">
      <c r="A43" s="90" t="s">
        <v>110</v>
      </c>
      <c r="B43" s="90">
        <v>10000</v>
      </c>
      <c r="C43" s="90"/>
    </row>
    <row r="44" spans="1:3">
      <c r="A44" s="90" t="s">
        <v>111</v>
      </c>
      <c r="B44" s="91">
        <v>44937</v>
      </c>
      <c r="C44" s="90"/>
    </row>
    <row r="45" spans="1:3">
      <c r="A45" s="90" t="s">
        <v>112</v>
      </c>
      <c r="B45" s="90" t="s">
        <v>113</v>
      </c>
      <c r="C45" s="90"/>
    </row>
    <row r="46" spans="1:3">
      <c r="A46" s="90" t="s">
        <v>114</v>
      </c>
      <c r="B46" s="90"/>
      <c r="C46" s="90"/>
    </row>
    <row r="47" spans="1:3">
      <c r="A47" s="90" t="s">
        <v>115</v>
      </c>
      <c r="B47" s="90" t="s">
        <v>116</v>
      </c>
      <c r="C47" s="90"/>
    </row>
    <row r="48" spans="1:3">
      <c r="A48" s="90" t="s">
        <v>117</v>
      </c>
      <c r="B48" s="90"/>
      <c r="C48" s="90"/>
    </row>
    <row r="49" spans="1:3">
      <c r="A49" s="90" t="s">
        <v>118</v>
      </c>
      <c r="B49" s="90" t="s">
        <v>66</v>
      </c>
      <c r="C49" s="90"/>
    </row>
    <row r="50" spans="1:3">
      <c r="A50" s="90" t="s">
        <v>119</v>
      </c>
      <c r="B50" s="90"/>
      <c r="C50" s="90"/>
    </row>
    <row r="51" spans="1:3">
      <c r="A51" s="90" t="s">
        <v>120</v>
      </c>
      <c r="B51" s="90">
        <v>114.65</v>
      </c>
      <c r="C51" s="90"/>
    </row>
    <row r="52" spans="1:3">
      <c r="A52" s="90" t="s">
        <v>121</v>
      </c>
      <c r="B52" s="90">
        <v>0</v>
      </c>
      <c r="C52" s="90"/>
    </row>
    <row r="53" spans="1:3">
      <c r="A53" s="90" t="s">
        <v>122</v>
      </c>
      <c r="B53" s="90" t="s">
        <v>123</v>
      </c>
      <c r="C53" s="90"/>
    </row>
    <row r="54" spans="1:3">
      <c r="A54" s="90" t="s">
        <v>124</v>
      </c>
      <c r="B54" s="90" t="s">
        <v>66</v>
      </c>
      <c r="C54" s="90"/>
    </row>
    <row r="55" spans="1:3">
      <c r="A55" s="90" t="s">
        <v>125</v>
      </c>
      <c r="B55" s="90"/>
      <c r="C55" s="90"/>
    </row>
    <row r="56" spans="1:3">
      <c r="A56" s="90" t="s">
        <v>126</v>
      </c>
      <c r="B56" s="90">
        <v>33.33</v>
      </c>
      <c r="C56" s="90"/>
    </row>
    <row r="57" spans="1:3">
      <c r="A57" s="90" t="s">
        <v>127</v>
      </c>
      <c r="B57" s="90">
        <v>12</v>
      </c>
      <c r="C57" s="90"/>
    </row>
    <row r="58" spans="1:3">
      <c r="A58" s="90" t="s">
        <v>128</v>
      </c>
      <c r="B58" s="90" t="s">
        <v>129</v>
      </c>
      <c r="C58" s="90"/>
    </row>
    <row r="59" spans="1:3">
      <c r="A59" s="90" t="s">
        <v>130</v>
      </c>
      <c r="B59" s="90" t="s">
        <v>131</v>
      </c>
      <c r="C59" s="90"/>
    </row>
    <row r="60" spans="1:3">
      <c r="A60" s="90" t="s">
        <v>132</v>
      </c>
      <c r="B60" s="90" t="s">
        <v>66</v>
      </c>
      <c r="C60" s="90"/>
    </row>
    <row r="61" spans="1:3">
      <c r="A61" s="90" t="s">
        <v>133</v>
      </c>
      <c r="B61" s="90" t="s">
        <v>134</v>
      </c>
      <c r="C61" s="90"/>
    </row>
    <row r="62" spans="1:3">
      <c r="A62" s="90" t="s">
        <v>135</v>
      </c>
      <c r="B62" s="90"/>
      <c r="C62" s="90"/>
    </row>
    <row r="63" spans="1:3">
      <c r="A63" s="90" t="s">
        <v>136</v>
      </c>
      <c r="B63" s="90"/>
      <c r="C63" s="90"/>
    </row>
    <row r="64" spans="1:3">
      <c r="A64" s="90" t="s">
        <v>137</v>
      </c>
      <c r="B64" s="90">
        <v>6</v>
      </c>
      <c r="C64" s="90"/>
    </row>
    <row r="65" spans="1:3">
      <c r="A65" s="90" t="s">
        <v>138</v>
      </c>
      <c r="B65" s="90" t="s">
        <v>129</v>
      </c>
      <c r="C65" s="90"/>
    </row>
    <row r="66" spans="1:3">
      <c r="A66" s="90" t="s">
        <v>139</v>
      </c>
      <c r="B66" s="90" t="s">
        <v>140</v>
      </c>
      <c r="C66" s="90"/>
    </row>
    <row r="67" spans="1:3">
      <c r="A67" s="90" t="s">
        <v>141</v>
      </c>
      <c r="B67" s="90" t="s">
        <v>123</v>
      </c>
      <c r="C67" s="90"/>
    </row>
    <row r="68" spans="1:3">
      <c r="A68" s="90" t="s">
        <v>142</v>
      </c>
      <c r="B68" s="90" t="s">
        <v>123</v>
      </c>
      <c r="C68" s="90"/>
    </row>
    <row r="69" spans="1:3">
      <c r="A69" s="90" t="s">
        <v>143</v>
      </c>
      <c r="B69" s="90"/>
      <c r="C69" s="90"/>
    </row>
    <row r="70" spans="1:3">
      <c r="A70" s="90" t="s">
        <v>144</v>
      </c>
      <c r="B70" s="90" t="s">
        <v>66</v>
      </c>
      <c r="C70" s="90"/>
    </row>
    <row r="71" spans="1:3">
      <c r="A71" s="90" t="s">
        <v>145</v>
      </c>
      <c r="B71" s="90"/>
      <c r="C71" s="90"/>
    </row>
    <row r="72" spans="1:3">
      <c r="A72" s="90" t="s">
        <v>146</v>
      </c>
      <c r="B72" s="90"/>
      <c r="C72" s="90"/>
    </row>
    <row r="73" spans="1:3">
      <c r="A73" s="90" t="s">
        <v>147</v>
      </c>
      <c r="B73" s="90"/>
      <c r="C73" s="90"/>
    </row>
    <row r="74" spans="1:3">
      <c r="A74" s="90" t="s">
        <v>148</v>
      </c>
      <c r="B74" s="90" t="s">
        <v>123</v>
      </c>
      <c r="C74" s="90"/>
    </row>
    <row r="75" spans="1:3">
      <c r="A75" s="90" t="s">
        <v>149</v>
      </c>
      <c r="B75" s="90" t="s">
        <v>66</v>
      </c>
      <c r="C75" s="90"/>
    </row>
    <row r="76" spans="1:3">
      <c r="A76" s="90" t="s">
        <v>150</v>
      </c>
      <c r="B76" s="90">
        <v>0</v>
      </c>
      <c r="C76" s="90"/>
    </row>
    <row r="77" spans="1:3">
      <c r="A77" s="90" t="s">
        <v>151</v>
      </c>
      <c r="B77" s="90"/>
      <c r="C77" s="90"/>
    </row>
    <row r="78" spans="1:3">
      <c r="A78" s="90" t="s">
        <v>152</v>
      </c>
      <c r="B78" s="90" t="s">
        <v>66</v>
      </c>
      <c r="C78" s="90"/>
    </row>
    <row r="79" spans="1:3">
      <c r="A79" s="90" t="s">
        <v>153</v>
      </c>
      <c r="B79" s="90"/>
      <c r="C79" s="90"/>
    </row>
    <row r="80" spans="1:3">
      <c r="A80" s="90" t="s">
        <v>154</v>
      </c>
      <c r="B80" s="90"/>
      <c r="C80" s="90"/>
    </row>
    <row r="81" spans="1:3">
      <c r="A81" s="90" t="s">
        <v>155</v>
      </c>
      <c r="B81" s="90" t="s">
        <v>156</v>
      </c>
      <c r="C81" s="90"/>
    </row>
    <row r="82" spans="1:3">
      <c r="A82" s="90" t="s">
        <v>157</v>
      </c>
      <c r="B82" s="90" t="s">
        <v>158</v>
      </c>
      <c r="C82" s="90"/>
    </row>
    <row r="83" spans="1:3">
      <c r="A83" s="90" t="s">
        <v>159</v>
      </c>
      <c r="B83" s="90" t="s">
        <v>156</v>
      </c>
      <c r="C83" s="90"/>
    </row>
    <row r="84" spans="1:3">
      <c r="A84" s="90" t="s">
        <v>160</v>
      </c>
      <c r="B84" s="90" t="s">
        <v>161</v>
      </c>
      <c r="C84" s="90"/>
    </row>
    <row r="85" spans="1:3">
      <c r="A85" s="90" t="s">
        <v>162</v>
      </c>
      <c r="B85" s="92">
        <v>89600000000000</v>
      </c>
      <c r="C85" s="90"/>
    </row>
    <row r="86" spans="1:3">
      <c r="A86" s="90" t="s">
        <v>163</v>
      </c>
      <c r="B86" s="90" t="s">
        <v>164</v>
      </c>
      <c r="C86" s="90"/>
    </row>
    <row r="87" spans="1:3">
      <c r="A87" s="90" t="s">
        <v>165</v>
      </c>
      <c r="B87" s="90"/>
      <c r="C87" s="90"/>
    </row>
    <row r="88" spans="1:3">
      <c r="A88" s="90" t="s">
        <v>166</v>
      </c>
      <c r="B88" s="90" t="s">
        <v>167</v>
      </c>
      <c r="C88" s="90"/>
    </row>
    <row r="89" spans="1:3">
      <c r="A89" s="90"/>
      <c r="B89" s="90"/>
      <c r="C89" s="90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054C7-6B33-49BD-A1B5-BA4625090E8A}">
  <dimension ref="A1:N33"/>
  <sheetViews>
    <sheetView topLeftCell="B1" zoomScale="85" zoomScaleNormal="85" workbookViewId="0">
      <selection activeCell="B6" sqref="B6"/>
    </sheetView>
  </sheetViews>
  <sheetFormatPr defaultRowHeight="15"/>
  <cols>
    <col min="1" max="1" width="28.42578125" style="25" bestFit="1" customWidth="1"/>
    <col min="2" max="2" width="35" style="25" bestFit="1" customWidth="1"/>
    <col min="3" max="3" width="18.7109375" style="25" bestFit="1" customWidth="1"/>
    <col min="4" max="4" width="9.85546875" style="25" bestFit="1" customWidth="1"/>
    <col min="5" max="5" width="19.7109375" style="25" bestFit="1" customWidth="1"/>
    <col min="6" max="11" width="18.7109375" style="25" bestFit="1" customWidth="1"/>
    <col min="12" max="12" width="15.28515625" style="25" bestFit="1" customWidth="1"/>
    <col min="13" max="14" width="9.85546875" style="25" bestFit="1" customWidth="1"/>
    <col min="15" max="16384" width="9.140625" style="25"/>
  </cols>
  <sheetData>
    <row r="1" spans="1:11">
      <c r="A1" s="61" t="s">
        <v>0</v>
      </c>
      <c r="B1" s="62">
        <v>350000</v>
      </c>
      <c r="C1" s="61" t="s">
        <v>1</v>
      </c>
      <c r="D1" s="63"/>
      <c r="E1" s="64" t="s">
        <v>2</v>
      </c>
      <c r="F1" s="65">
        <v>0</v>
      </c>
      <c r="G1" s="65">
        <v>1</v>
      </c>
      <c r="H1" s="65">
        <v>2</v>
      </c>
      <c r="I1" s="65">
        <v>3</v>
      </c>
      <c r="J1" s="65">
        <v>4</v>
      </c>
      <c r="K1" s="65">
        <v>5</v>
      </c>
    </row>
    <row r="2" spans="1:11">
      <c r="A2" s="61" t="s">
        <v>3</v>
      </c>
      <c r="B2" s="66">
        <v>1437.28</v>
      </c>
      <c r="C2" s="61" t="s">
        <v>4</v>
      </c>
      <c r="D2" s="63"/>
      <c r="E2" s="61" t="s">
        <v>2</v>
      </c>
      <c r="F2" s="63">
        <v>2022</v>
      </c>
      <c r="G2" s="63">
        <v>2023</v>
      </c>
      <c r="H2" s="63">
        <v>2024</v>
      </c>
      <c r="I2" s="63">
        <v>2025</v>
      </c>
      <c r="J2" s="63">
        <v>2026</v>
      </c>
      <c r="K2" s="63">
        <v>2027</v>
      </c>
    </row>
    <row r="3" spans="1:11">
      <c r="A3" s="61" t="s">
        <v>5</v>
      </c>
      <c r="B3" s="67">
        <v>650</v>
      </c>
      <c r="C3" s="61" t="s">
        <v>6</v>
      </c>
      <c r="D3" s="63"/>
      <c r="E3" s="61" t="s">
        <v>7</v>
      </c>
      <c r="F3" s="68">
        <v>0</v>
      </c>
      <c r="G3" s="68">
        <f>$B$1*$B$2*$B$4</f>
        <v>2661123920</v>
      </c>
      <c r="H3" s="68">
        <f t="shared" ref="H3:K3" si="0">$B$1*$B$2*$B$4</f>
        <v>2661123920</v>
      </c>
      <c r="I3" s="68">
        <f t="shared" si="0"/>
        <v>2661123920</v>
      </c>
      <c r="J3" s="68">
        <f t="shared" si="0"/>
        <v>2661123920</v>
      </c>
      <c r="K3" s="68">
        <f t="shared" si="0"/>
        <v>2661123920</v>
      </c>
    </row>
    <row r="4" spans="1:11">
      <c r="A4" s="61" t="s">
        <v>8</v>
      </c>
      <c r="B4" s="66">
        <v>5.29</v>
      </c>
      <c r="C4" s="61" t="s">
        <v>9</v>
      </c>
      <c r="D4" s="63"/>
      <c r="E4" s="61" t="s">
        <v>10</v>
      </c>
      <c r="F4" s="69">
        <v>0</v>
      </c>
      <c r="G4" s="69">
        <f>$B$1*$B$3*$B$4</f>
        <v>1203475000</v>
      </c>
      <c r="H4" s="69">
        <f t="shared" ref="H4:K4" si="1">$B$1*$B$3*$B$4</f>
        <v>1203475000</v>
      </c>
      <c r="I4" s="69">
        <f t="shared" si="1"/>
        <v>1203475000</v>
      </c>
      <c r="J4" s="69">
        <f t="shared" si="1"/>
        <v>1203475000</v>
      </c>
      <c r="K4" s="69">
        <f t="shared" si="1"/>
        <v>1203475000</v>
      </c>
    </row>
    <row r="5" spans="1:11">
      <c r="A5" s="61" t="s">
        <v>11</v>
      </c>
      <c r="B5" s="70">
        <v>3500000000</v>
      </c>
      <c r="C5" s="61" t="s">
        <v>9</v>
      </c>
      <c r="D5" s="63"/>
      <c r="E5" s="61" t="s">
        <v>12</v>
      </c>
      <c r="F5" s="71">
        <v>0</v>
      </c>
      <c r="G5" s="69">
        <f>$B$5/$B$8</f>
        <v>437500000</v>
      </c>
      <c r="H5" s="69">
        <f t="shared" ref="H5:K5" si="2">$B$5/$B$8</f>
        <v>437500000</v>
      </c>
      <c r="I5" s="69">
        <f t="shared" si="2"/>
        <v>437500000</v>
      </c>
      <c r="J5" s="69">
        <f t="shared" si="2"/>
        <v>437500000</v>
      </c>
      <c r="K5" s="69">
        <f t="shared" si="2"/>
        <v>437500000</v>
      </c>
    </row>
    <row r="6" spans="1:11">
      <c r="A6" s="61" t="s">
        <v>13</v>
      </c>
      <c r="B6" s="87">
        <f>B30</f>
        <v>0.2990788142524991</v>
      </c>
      <c r="C6" s="86"/>
      <c r="D6" s="63"/>
      <c r="E6" s="61" t="s">
        <v>14</v>
      </c>
      <c r="F6" s="69">
        <f>F3-F4-F5</f>
        <v>0</v>
      </c>
      <c r="G6" s="69">
        <f>G3-G4-G5</f>
        <v>1020148920</v>
      </c>
      <c r="H6" s="69">
        <f t="shared" ref="H6:K6" si="3">H3-H4-H5</f>
        <v>1020148920</v>
      </c>
      <c r="I6" s="69">
        <f t="shared" si="3"/>
        <v>1020148920</v>
      </c>
      <c r="J6" s="69">
        <f t="shared" si="3"/>
        <v>1020148920</v>
      </c>
      <c r="K6" s="69">
        <f t="shared" si="3"/>
        <v>1020148920</v>
      </c>
    </row>
    <row r="7" spans="1:11">
      <c r="A7" s="61" t="s">
        <v>15</v>
      </c>
      <c r="B7" s="72">
        <v>0.2</v>
      </c>
      <c r="C7" s="63"/>
      <c r="D7" s="63"/>
      <c r="E7" s="61" t="s">
        <v>16</v>
      </c>
      <c r="F7" s="69">
        <f>$B$6*F6</f>
        <v>0</v>
      </c>
      <c r="G7" s="69">
        <f t="shared" ref="G7:K7" si="4">$B$6*G6</f>
        <v>305104929.35456759</v>
      </c>
      <c r="H7" s="69">
        <f t="shared" si="4"/>
        <v>305104929.35456759</v>
      </c>
      <c r="I7" s="69">
        <f t="shared" si="4"/>
        <v>305104929.35456759</v>
      </c>
      <c r="J7" s="69">
        <f t="shared" si="4"/>
        <v>305104929.35456759</v>
      </c>
      <c r="K7" s="69">
        <f t="shared" si="4"/>
        <v>305104929.35456759</v>
      </c>
    </row>
    <row r="8" spans="1:11">
      <c r="A8" s="61" t="s">
        <v>17</v>
      </c>
      <c r="B8" s="73">
        <v>8</v>
      </c>
      <c r="C8" s="61" t="s">
        <v>18</v>
      </c>
      <c r="D8" s="63"/>
      <c r="E8" s="61" t="s">
        <v>19</v>
      </c>
      <c r="F8" s="69">
        <f>F6-F7</f>
        <v>0</v>
      </c>
      <c r="G8" s="69">
        <f t="shared" ref="G8:K8" si="5">G6-G7</f>
        <v>715043990.64543247</v>
      </c>
      <c r="H8" s="69">
        <f t="shared" si="5"/>
        <v>715043990.64543247</v>
      </c>
      <c r="I8" s="69">
        <f t="shared" si="5"/>
        <v>715043990.64543247</v>
      </c>
      <c r="J8" s="69">
        <f t="shared" si="5"/>
        <v>715043990.64543247</v>
      </c>
      <c r="K8" s="69">
        <f t="shared" si="5"/>
        <v>715043990.64543247</v>
      </c>
    </row>
    <row r="9" spans="1:11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</row>
    <row r="10" spans="1:11">
      <c r="A10" s="88" t="s">
        <v>20</v>
      </c>
      <c r="B10" s="63" t="s">
        <v>21</v>
      </c>
      <c r="C10" s="68">
        <v>2500000000</v>
      </c>
      <c r="D10" s="63"/>
      <c r="E10" s="74" t="s">
        <v>22</v>
      </c>
      <c r="F10" s="75">
        <f>F8+F5</f>
        <v>0</v>
      </c>
      <c r="G10" s="75">
        <f>G8+G5</f>
        <v>1152543990.6454325</v>
      </c>
      <c r="H10" s="75">
        <f t="shared" ref="H10:K10" si="6">H8+H5</f>
        <v>1152543990.6454325</v>
      </c>
      <c r="I10" s="75">
        <f t="shared" si="6"/>
        <v>1152543990.6454325</v>
      </c>
      <c r="J10" s="75">
        <f t="shared" si="6"/>
        <v>1152543990.6454325</v>
      </c>
      <c r="K10" s="75">
        <f t="shared" si="6"/>
        <v>1152543990.6454325</v>
      </c>
    </row>
    <row r="11" spans="1:11">
      <c r="A11" s="88"/>
      <c r="B11" s="63" t="s">
        <v>23</v>
      </c>
      <c r="C11" s="68">
        <f>B5 - SUM(F5:K5)</f>
        <v>1312500000</v>
      </c>
      <c r="D11" s="63"/>
      <c r="E11" s="74" t="s">
        <v>24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</row>
    <row r="12" spans="1:11">
      <c r="A12" s="88"/>
      <c r="B12" s="76" t="s">
        <v>25</v>
      </c>
      <c r="C12" s="77">
        <f>C10-C11</f>
        <v>1187500000</v>
      </c>
      <c r="D12" s="78"/>
      <c r="E12" s="74" t="s">
        <v>26</v>
      </c>
      <c r="F12" s="75">
        <f>-B5</f>
        <v>-3500000000</v>
      </c>
      <c r="G12" s="75">
        <v>0</v>
      </c>
      <c r="H12" s="75">
        <v>0</v>
      </c>
      <c r="I12" s="75">
        <v>0</v>
      </c>
      <c r="J12" s="75">
        <v>0</v>
      </c>
      <c r="K12" s="75">
        <f>C14</f>
        <v>832343908.0751574</v>
      </c>
    </row>
    <row r="13" spans="1:11">
      <c r="A13" s="88"/>
      <c r="B13" s="76" t="s">
        <v>16</v>
      </c>
      <c r="C13" s="77">
        <f>B6*C12</f>
        <v>355156091.92484266</v>
      </c>
      <c r="D13" s="78"/>
      <c r="E13" s="63"/>
      <c r="F13" s="63"/>
      <c r="G13" s="63"/>
      <c r="H13" s="63"/>
      <c r="I13" s="63"/>
      <c r="J13" s="63"/>
      <c r="K13" s="63"/>
    </row>
    <row r="14" spans="1:11">
      <c r="A14" s="88"/>
      <c r="B14" s="79" t="s">
        <v>27</v>
      </c>
      <c r="C14" s="77">
        <f>C12-C13</f>
        <v>832343908.0751574</v>
      </c>
      <c r="D14" s="78"/>
      <c r="E14" s="80" t="s">
        <v>28</v>
      </c>
      <c r="F14" s="81">
        <f t="shared" ref="F14:K14" si="7">F10+F11+F12</f>
        <v>-3500000000</v>
      </c>
      <c r="G14" s="81">
        <f>G10+G11+G12</f>
        <v>1152543990.6454325</v>
      </c>
      <c r="H14" s="81">
        <f t="shared" si="7"/>
        <v>1152543990.6454325</v>
      </c>
      <c r="I14" s="81">
        <f t="shared" si="7"/>
        <v>1152543990.6454325</v>
      </c>
      <c r="J14" s="81">
        <f t="shared" si="7"/>
        <v>1152543990.6454325</v>
      </c>
      <c r="K14" s="81">
        <f t="shared" si="7"/>
        <v>1984887898.7205899</v>
      </c>
    </row>
    <row r="15" spans="1:11">
      <c r="A15" s="63"/>
      <c r="B15" s="79"/>
      <c r="C15" s="79"/>
      <c r="D15" s="63"/>
      <c r="E15" s="82" t="s">
        <v>29</v>
      </c>
      <c r="F15" s="64">
        <f>NPV($B$7,G14:K14) + F14</f>
        <v>281312399.07335377</v>
      </c>
      <c r="G15" s="76"/>
      <c r="H15" s="76"/>
      <c r="I15" s="76"/>
      <c r="J15" s="63"/>
      <c r="K15" s="63"/>
    </row>
    <row r="16" spans="1:11">
      <c r="A16" s="63"/>
      <c r="B16" s="83"/>
      <c r="C16" s="79"/>
      <c r="D16" s="63"/>
      <c r="E16" s="82" t="s">
        <v>30</v>
      </c>
      <c r="F16" s="84">
        <f>IRR(F14:K14)</f>
        <v>0.23336170425278957</v>
      </c>
      <c r="G16" s="76"/>
      <c r="H16" s="76"/>
      <c r="I16" s="76"/>
      <c r="J16" s="63"/>
      <c r="K16" s="63"/>
    </row>
    <row r="17" spans="1:14">
      <c r="A17" s="76"/>
      <c r="B17" s="83"/>
      <c r="C17" s="79"/>
      <c r="D17" s="63"/>
      <c r="E17" s="82" t="s">
        <v>31</v>
      </c>
      <c r="F17" s="85">
        <f t="shared" ref="F17:K17" si="8">F14/((1+$B$7)^F1)</f>
        <v>-3500000000</v>
      </c>
      <c r="G17" s="85">
        <f t="shared" si="8"/>
        <v>960453325.53786039</v>
      </c>
      <c r="H17" s="85">
        <f t="shared" si="8"/>
        <v>800377771.28155041</v>
      </c>
      <c r="I17" s="85">
        <f t="shared" si="8"/>
        <v>666981476.06795859</v>
      </c>
      <c r="J17" s="85">
        <f t="shared" si="8"/>
        <v>555817896.72329891</v>
      </c>
      <c r="K17" s="85">
        <f t="shared" si="8"/>
        <v>797681929.4626857</v>
      </c>
      <c r="L17" s="27">
        <f>SUM(F17:K17)</f>
        <v>281312399.07335401</v>
      </c>
    </row>
    <row r="18" spans="1:14">
      <c r="A18" s="64"/>
      <c r="B18" s="64"/>
      <c r="C18" s="63"/>
      <c r="D18" s="63"/>
      <c r="E18" s="82" t="s">
        <v>32</v>
      </c>
      <c r="F18" s="85">
        <f>F17</f>
        <v>-3500000000</v>
      </c>
      <c r="G18" s="85">
        <f>F18+G17</f>
        <v>-2539546674.4621396</v>
      </c>
      <c r="H18" s="85">
        <f t="shared" ref="H18:K18" si="9">G18+H17</f>
        <v>-1739168903.1805892</v>
      </c>
      <c r="I18" s="85">
        <f t="shared" si="9"/>
        <v>-1072187427.1126306</v>
      </c>
      <c r="J18" s="85">
        <f t="shared" si="9"/>
        <v>-516369530.3893317</v>
      </c>
      <c r="K18" s="85">
        <f t="shared" si="9"/>
        <v>281312399.07335401</v>
      </c>
    </row>
    <row r="19" spans="1:14">
      <c r="A19" s="10"/>
      <c r="B19" s="10"/>
      <c r="E19" s="5" t="s">
        <v>33</v>
      </c>
      <c r="F19" s="14">
        <f>J1-J18/K17</f>
        <v>4.6473376308488721</v>
      </c>
      <c r="G19" s="13"/>
      <c r="H19" s="13"/>
      <c r="I19" s="13"/>
      <c r="J19" s="13"/>
      <c r="K19" s="13"/>
    </row>
    <row r="21" spans="1:14">
      <c r="A21" s="15" t="s">
        <v>34</v>
      </c>
      <c r="B21" s="16">
        <v>40543</v>
      </c>
      <c r="C21" s="16">
        <v>40908</v>
      </c>
      <c r="D21" s="16">
        <v>41274</v>
      </c>
      <c r="E21" s="16">
        <v>41639</v>
      </c>
      <c r="F21" s="16">
        <v>42004</v>
      </c>
      <c r="G21" s="16">
        <v>42369</v>
      </c>
      <c r="H21" s="16">
        <v>42735</v>
      </c>
      <c r="I21" s="16">
        <v>43100</v>
      </c>
      <c r="J21" s="16">
        <v>43465</v>
      </c>
      <c r="K21" s="16">
        <v>43830</v>
      </c>
      <c r="L21" s="16">
        <v>44196</v>
      </c>
      <c r="M21" s="16">
        <v>44561</v>
      </c>
      <c r="N21" s="16">
        <v>44926</v>
      </c>
    </row>
    <row r="22" spans="1:14">
      <c r="A22" s="17" t="s">
        <v>35</v>
      </c>
      <c r="B22" s="18">
        <v>5004023</v>
      </c>
      <c r="C22" s="18">
        <v>4917083</v>
      </c>
      <c r="D22" s="18">
        <v>5379426</v>
      </c>
      <c r="E22" s="18">
        <v>5909507</v>
      </c>
      <c r="F22" s="18">
        <v>8351387</v>
      </c>
      <c r="G22" s="18">
        <v>12009146</v>
      </c>
      <c r="H22" s="18">
        <v>12995407</v>
      </c>
      <c r="I22" s="18">
        <v>12619495</v>
      </c>
      <c r="J22" s="18">
        <v>12262472</v>
      </c>
      <c r="K22" s="18">
        <v>13735580</v>
      </c>
      <c r="L22" s="18">
        <v>17654257</v>
      </c>
      <c r="M22" s="18">
        <v>20616716</v>
      </c>
      <c r="N22" s="18">
        <v>25770584</v>
      </c>
    </row>
    <row r="23" spans="1:14">
      <c r="A23" s="17" t="s">
        <v>36</v>
      </c>
      <c r="B23" s="18">
        <v>560739</v>
      </c>
      <c r="C23" s="18">
        <v>547768</v>
      </c>
      <c r="D23" s="18">
        <v>592677</v>
      </c>
      <c r="E23" s="18">
        <v>766553</v>
      </c>
      <c r="F23" s="18">
        <v>951965</v>
      </c>
      <c r="G23" s="18">
        <v>998727</v>
      </c>
      <c r="H23" s="18">
        <v>1423112</v>
      </c>
      <c r="I23" s="18">
        <v>1940487</v>
      </c>
      <c r="J23" s="18">
        <v>1673347</v>
      </c>
      <c r="K23" s="18">
        <v>2193414</v>
      </c>
      <c r="L23" s="18">
        <v>2382911</v>
      </c>
      <c r="M23" s="18">
        <v>2696341</v>
      </c>
      <c r="N23" s="18">
        <v>3169155</v>
      </c>
    </row>
    <row r="24" spans="1:14">
      <c r="A24" s="33" t="s">
        <v>37</v>
      </c>
      <c r="B24" s="40">
        <f>B23/B22</f>
        <v>0.11205763842412395</v>
      </c>
      <c r="C24" s="40">
        <f t="shared" ref="C24:N24" si="10">C23/C22</f>
        <v>0.1114010074672321</v>
      </c>
      <c r="D24" s="40">
        <f t="shared" si="10"/>
        <v>0.11017476585791867</v>
      </c>
      <c r="E24" s="40">
        <f t="shared" si="10"/>
        <v>0.12971521989905418</v>
      </c>
      <c r="F24" s="40">
        <f t="shared" si="10"/>
        <v>0.11398884999581507</v>
      </c>
      <c r="G24" s="40">
        <f t="shared" si="10"/>
        <v>8.3163865274016993E-2</v>
      </c>
      <c r="H24" s="40">
        <f t="shared" si="10"/>
        <v>0.10950884416317241</v>
      </c>
      <c r="I24" s="40">
        <f t="shared" si="10"/>
        <v>0.15376898996354449</v>
      </c>
      <c r="J24" s="40">
        <f t="shared" si="10"/>
        <v>0.13646082127649303</v>
      </c>
      <c r="K24" s="40">
        <f t="shared" si="10"/>
        <v>0.15968848785417142</v>
      </c>
      <c r="L24" s="40">
        <f t="shared" si="10"/>
        <v>0.13497656684164053</v>
      </c>
      <c r="M24" s="40">
        <f t="shared" si="10"/>
        <v>0.13078421412993224</v>
      </c>
      <c r="N24" s="40">
        <f t="shared" si="10"/>
        <v>0.12297567645343233</v>
      </c>
    </row>
    <row r="25" spans="1:14">
      <c r="A25" s="33" t="s">
        <v>38</v>
      </c>
      <c r="B25" s="39">
        <f>AVERAGE(B24:N24)</f>
        <v>0.12374345750773443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1:14">
      <c r="A26" s="33" t="s">
        <v>39</v>
      </c>
      <c r="B26" s="41">
        <f>1/B25</f>
        <v>8.0812353246028881</v>
      </c>
      <c r="C26" s="33" t="s">
        <v>18</v>
      </c>
      <c r="D26" s="20"/>
      <c r="E26" s="20"/>
      <c r="F26" s="20"/>
      <c r="G26" s="20"/>
      <c r="H26" s="20"/>
      <c r="I26" s="20"/>
      <c r="J26" s="20"/>
      <c r="K26" s="20"/>
      <c r="L26" s="39"/>
      <c r="M26" s="20"/>
      <c r="N26" s="20"/>
    </row>
    <row r="27" spans="1:14">
      <c r="A27" s="23" t="s">
        <v>40</v>
      </c>
      <c r="B27" s="18">
        <v>871983</v>
      </c>
      <c r="C27" s="18">
        <v>296137</v>
      </c>
      <c r="D27" s="18">
        <v>1096456</v>
      </c>
      <c r="E27" s="18">
        <v>380218</v>
      </c>
      <c r="F27" s="18">
        <v>1053623</v>
      </c>
      <c r="G27" s="18">
        <v>-1947808</v>
      </c>
      <c r="H27" s="18">
        <v>3214935</v>
      </c>
      <c r="I27" s="18">
        <v>838668</v>
      </c>
      <c r="J27" s="18">
        <v>-68581</v>
      </c>
      <c r="K27" s="18">
        <v>864526</v>
      </c>
      <c r="L27" s="18">
        <v>-3814365</v>
      </c>
      <c r="M27" s="18">
        <v>4416411</v>
      </c>
      <c r="N27" s="18">
        <v>6599155</v>
      </c>
    </row>
    <row r="28" spans="1:14">
      <c r="A28" s="23" t="s">
        <v>41</v>
      </c>
      <c r="B28" s="18">
        <v>289831</v>
      </c>
      <c r="C28" s="18">
        <v>113416</v>
      </c>
      <c r="D28" s="18">
        <v>344491</v>
      </c>
      <c r="E28" s="18">
        <v>90121</v>
      </c>
      <c r="F28" s="18">
        <v>323293</v>
      </c>
      <c r="G28" s="18">
        <v>-694611</v>
      </c>
      <c r="H28" s="18">
        <v>732989</v>
      </c>
      <c r="I28" s="18">
        <v>306499</v>
      </c>
      <c r="J28" s="18">
        <v>-255399</v>
      </c>
      <c r="K28" s="18">
        <v>149908</v>
      </c>
      <c r="L28" s="18">
        <v>-1424875</v>
      </c>
      <c r="M28" s="18">
        <v>1011537</v>
      </c>
      <c r="N28" s="18">
        <v>1910252</v>
      </c>
    </row>
    <row r="29" spans="1:14">
      <c r="A29" s="33" t="s">
        <v>42</v>
      </c>
      <c r="B29" s="40">
        <f>B28/B27</f>
        <v>0.33238147991417266</v>
      </c>
      <c r="C29" s="40">
        <f t="shared" ref="C29:N29" si="11">C28/C27</f>
        <v>0.38298490225807652</v>
      </c>
      <c r="D29" s="40">
        <f t="shared" si="11"/>
        <v>0.31418588616415066</v>
      </c>
      <c r="E29" s="40">
        <f t="shared" si="11"/>
        <v>0.23702454907447831</v>
      </c>
      <c r="F29" s="40">
        <f t="shared" si="11"/>
        <v>0.30683935335504253</v>
      </c>
      <c r="G29" s="40">
        <f t="shared" si="11"/>
        <v>0.35661163728663192</v>
      </c>
      <c r="H29" s="40">
        <f t="shared" si="11"/>
        <v>0.22799496723883997</v>
      </c>
      <c r="I29" s="40">
        <f t="shared" si="11"/>
        <v>0.36545927589940236</v>
      </c>
      <c r="J29" s="40">
        <f t="shared" si="11"/>
        <v>3.7240489348361789</v>
      </c>
      <c r="K29" s="40">
        <f t="shared" si="11"/>
        <v>0.17339906492112442</v>
      </c>
      <c r="L29" s="40">
        <f t="shared" si="11"/>
        <v>0.37355496917573439</v>
      </c>
      <c r="M29" s="40">
        <f t="shared" si="11"/>
        <v>0.22904050370312001</v>
      </c>
      <c r="N29" s="40">
        <f t="shared" si="11"/>
        <v>0.28946918203921562</v>
      </c>
    </row>
    <row r="30" spans="1:14">
      <c r="A30" s="33" t="s">
        <v>43</v>
      </c>
      <c r="B30" s="42">
        <f>AVERAGE(B29:I29,K29:N29)</f>
        <v>0.2990788142524991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2" spans="1:14">
      <c r="A32" s="31"/>
      <c r="B32" s="31"/>
      <c r="C32" s="31"/>
      <c r="D32" s="31"/>
      <c r="E32" s="32"/>
      <c r="F32" s="32"/>
      <c r="G32" s="32"/>
      <c r="H32" s="32"/>
      <c r="J32" s="31"/>
      <c r="K32" s="31"/>
    </row>
    <row r="33" spans="1:11">
      <c r="A33" s="31"/>
      <c r="B33" s="31"/>
      <c r="C33" s="31"/>
      <c r="D33" s="31"/>
      <c r="E33" s="32"/>
      <c r="F33" s="32"/>
      <c r="G33" s="32"/>
      <c r="H33" s="32"/>
      <c r="J33" s="31"/>
      <c r="K33" s="31"/>
    </row>
  </sheetData>
  <mergeCells count="1">
    <mergeCell ref="A10:A14"/>
  </mergeCells>
  <hyperlinks>
    <hyperlink ref="B2" r:id="rId1" location="1603616979841-d131d9ff-f56c" display="https://norexeco.com/market-data-graphs/ - 1603616979841-d131d9ff-f56c" xr:uid="{1DCE2BD3-EADC-4C32-AF3A-E9289106C047}"/>
    <hyperlink ref="B4" r:id="rId2" display="https://www.google.com/finance/quote/USD-BRL?sa=X&amp;ved=2ahUKEwif_96oirCCAxXwD7kGHXliA18QmY0JegQIBxAr&amp;window=1Y" xr:uid="{08EFF816-B8AD-4A52-B5AB-5984B9348B19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BB6A-0D2F-4925-ABFD-3251EA471D0D}">
  <dimension ref="A1:N37"/>
  <sheetViews>
    <sheetView topLeftCell="A24" workbookViewId="0">
      <selection activeCell="B6" sqref="B6"/>
    </sheetView>
  </sheetViews>
  <sheetFormatPr defaultRowHeight="15"/>
  <cols>
    <col min="1" max="1" width="43.85546875" style="25" bestFit="1" customWidth="1"/>
    <col min="2" max="2" width="22.7109375" style="25" bestFit="1" customWidth="1"/>
    <col min="3" max="3" width="16.85546875" style="25" bestFit="1" customWidth="1"/>
    <col min="4" max="4" width="14.5703125" style="25" bestFit="1" customWidth="1"/>
    <col min="5" max="5" width="19.7109375" style="25" bestFit="1" customWidth="1"/>
    <col min="6" max="6" width="18.140625" style="25" bestFit="1" customWidth="1"/>
    <col min="7" max="7" width="16.85546875" style="25" bestFit="1" customWidth="1"/>
    <col min="8" max="8" width="18.140625" style="25" bestFit="1" customWidth="1"/>
    <col min="9" max="11" width="16.85546875" style="25" bestFit="1" customWidth="1"/>
    <col min="12" max="14" width="16.85546875" style="25" customWidth="1"/>
    <col min="15" max="16384" width="9.140625" style="25"/>
  </cols>
  <sheetData>
    <row r="1" spans="1:11">
      <c r="A1" s="33" t="s">
        <v>0</v>
      </c>
      <c r="B1" s="28">
        <v>350000</v>
      </c>
      <c r="C1" s="33" t="s">
        <v>1</v>
      </c>
      <c r="E1" s="10" t="s">
        <v>2</v>
      </c>
      <c r="F1" s="6">
        <v>0</v>
      </c>
      <c r="G1" s="6">
        <v>1</v>
      </c>
      <c r="H1" s="6">
        <v>2</v>
      </c>
      <c r="I1" s="6">
        <v>3</v>
      </c>
      <c r="J1" s="6">
        <v>4</v>
      </c>
      <c r="K1" s="6">
        <v>5</v>
      </c>
    </row>
    <row r="2" spans="1:11">
      <c r="A2" s="33" t="s">
        <v>3</v>
      </c>
      <c r="B2" s="34">
        <v>1437.28</v>
      </c>
      <c r="C2" s="33" t="s">
        <v>4</v>
      </c>
      <c r="E2" s="33" t="s">
        <v>2</v>
      </c>
      <c r="F2" s="25">
        <v>2022</v>
      </c>
      <c r="G2" s="25">
        <v>2023</v>
      </c>
      <c r="H2" s="25">
        <v>2024</v>
      </c>
      <c r="I2" s="25">
        <v>2025</v>
      </c>
      <c r="J2" s="25">
        <v>2026</v>
      </c>
      <c r="K2" s="25">
        <v>2027</v>
      </c>
    </row>
    <row r="3" spans="1:11">
      <c r="A3" s="33" t="s">
        <v>5</v>
      </c>
      <c r="B3" s="35">
        <v>650</v>
      </c>
      <c r="C3" s="33" t="s">
        <v>6</v>
      </c>
      <c r="E3" s="33" t="s">
        <v>7</v>
      </c>
      <c r="F3" s="26">
        <v>0</v>
      </c>
      <c r="G3" s="26">
        <f>$B$1*$B$2*$B$4</f>
        <v>2661123920</v>
      </c>
      <c r="H3" s="26">
        <f t="shared" ref="H3:K3" si="0">$B$1*$B$2*$B$4</f>
        <v>2661123920</v>
      </c>
      <c r="I3" s="26">
        <f t="shared" si="0"/>
        <v>2661123920</v>
      </c>
      <c r="J3" s="26">
        <f t="shared" si="0"/>
        <v>2661123920</v>
      </c>
      <c r="K3" s="26">
        <f t="shared" si="0"/>
        <v>2661123920</v>
      </c>
    </row>
    <row r="4" spans="1:11">
      <c r="A4" s="33" t="s">
        <v>8</v>
      </c>
      <c r="B4" s="34">
        <v>5.29</v>
      </c>
      <c r="C4" s="33" t="s">
        <v>9</v>
      </c>
      <c r="E4" s="33" t="s">
        <v>10</v>
      </c>
      <c r="F4" s="27">
        <v>0</v>
      </c>
      <c r="G4" s="27">
        <f>$B$1*$B$3*$B$4</f>
        <v>1203475000</v>
      </c>
      <c r="H4" s="27">
        <f t="shared" ref="H4:K4" si="1">$B$1*$B$3*$B$4</f>
        <v>1203475000</v>
      </c>
      <c r="I4" s="27">
        <f t="shared" si="1"/>
        <v>1203475000</v>
      </c>
      <c r="J4" s="27">
        <f t="shared" si="1"/>
        <v>1203475000</v>
      </c>
      <c r="K4" s="27">
        <f t="shared" si="1"/>
        <v>1203475000</v>
      </c>
    </row>
    <row r="5" spans="1:11">
      <c r="A5" s="33" t="s">
        <v>11</v>
      </c>
      <c r="B5" s="36">
        <v>3500000000</v>
      </c>
      <c r="C5" s="33" t="s">
        <v>9</v>
      </c>
      <c r="E5" s="33" t="s">
        <v>12</v>
      </c>
      <c r="F5" s="29">
        <v>0</v>
      </c>
      <c r="G5" s="29">
        <f>$B$5/$B$8</f>
        <v>437500000</v>
      </c>
      <c r="H5" s="29">
        <f t="shared" ref="H5:K5" si="2">$B$5/$B$8</f>
        <v>437500000</v>
      </c>
      <c r="I5" s="29">
        <f t="shared" si="2"/>
        <v>437500000</v>
      </c>
      <c r="J5" s="29">
        <f t="shared" si="2"/>
        <v>437500000</v>
      </c>
      <c r="K5" s="29">
        <f t="shared" si="2"/>
        <v>437500000</v>
      </c>
    </row>
    <row r="6" spans="1:11">
      <c r="A6" s="33" t="s">
        <v>13</v>
      </c>
      <c r="B6" s="37">
        <f>B30</f>
        <v>0.2990788142524991</v>
      </c>
      <c r="E6" s="33" t="s">
        <v>14</v>
      </c>
      <c r="F6" s="27">
        <f>F3-F4-F5</f>
        <v>0</v>
      </c>
      <c r="G6" s="27">
        <f t="shared" ref="G6:K6" si="3">G3-G4-G5</f>
        <v>1020148920</v>
      </c>
      <c r="H6" s="27">
        <f t="shared" si="3"/>
        <v>1020148920</v>
      </c>
      <c r="I6" s="27">
        <f t="shared" si="3"/>
        <v>1020148920</v>
      </c>
      <c r="J6" s="27">
        <f t="shared" si="3"/>
        <v>1020148920</v>
      </c>
      <c r="K6" s="27">
        <f t="shared" si="3"/>
        <v>1020148920</v>
      </c>
    </row>
    <row r="7" spans="1:11">
      <c r="A7" s="33" t="s">
        <v>15</v>
      </c>
      <c r="B7" s="37">
        <v>0.2</v>
      </c>
      <c r="E7" s="33" t="s">
        <v>16</v>
      </c>
      <c r="F7" s="27">
        <f>$B$6*F6</f>
        <v>0</v>
      </c>
      <c r="G7" s="27">
        <f t="shared" ref="G7:K7" si="4">$B$6*G6</f>
        <v>305104929.35456759</v>
      </c>
      <c r="H7" s="27">
        <f t="shared" si="4"/>
        <v>305104929.35456759</v>
      </c>
      <c r="I7" s="27">
        <f t="shared" si="4"/>
        <v>305104929.35456759</v>
      </c>
      <c r="J7" s="27">
        <f t="shared" si="4"/>
        <v>305104929.35456759</v>
      </c>
      <c r="K7" s="27">
        <f t="shared" si="4"/>
        <v>305104929.35456759</v>
      </c>
    </row>
    <row r="8" spans="1:11">
      <c r="A8" s="33" t="s">
        <v>17</v>
      </c>
      <c r="B8" s="20">
        <v>8</v>
      </c>
      <c r="C8" s="33" t="s">
        <v>18</v>
      </c>
      <c r="E8" s="33" t="s">
        <v>19</v>
      </c>
      <c r="F8" s="27">
        <f>F6-F7</f>
        <v>0</v>
      </c>
      <c r="G8" s="27">
        <f t="shared" ref="G8:K8" si="5">G6-G7</f>
        <v>715043990.64543247</v>
      </c>
      <c r="H8" s="27">
        <f t="shared" si="5"/>
        <v>715043990.64543247</v>
      </c>
      <c r="I8" s="27">
        <f t="shared" si="5"/>
        <v>715043990.64543247</v>
      </c>
      <c r="J8" s="27">
        <f t="shared" si="5"/>
        <v>715043990.64543247</v>
      </c>
      <c r="K8" s="27">
        <f t="shared" si="5"/>
        <v>715043990.64543247</v>
      </c>
    </row>
    <row r="10" spans="1:11">
      <c r="A10" s="89" t="s">
        <v>20</v>
      </c>
      <c r="B10" s="25" t="s">
        <v>21</v>
      </c>
      <c r="C10" s="26">
        <v>2500000000</v>
      </c>
      <c r="E10" s="2" t="s">
        <v>22</v>
      </c>
      <c r="F10" s="3">
        <f>F8+F5</f>
        <v>0</v>
      </c>
      <c r="G10" s="3">
        <f>G8+G5</f>
        <v>1152543990.6454325</v>
      </c>
      <c r="H10" s="3">
        <f t="shared" ref="H10:K10" si="6">H8+H5</f>
        <v>1152543990.6454325</v>
      </c>
      <c r="I10" s="3">
        <f t="shared" si="6"/>
        <v>1152543990.6454325</v>
      </c>
      <c r="J10" s="3">
        <f t="shared" si="6"/>
        <v>1152543990.6454325</v>
      </c>
      <c r="K10" s="3">
        <f t="shared" si="6"/>
        <v>1152543990.6454325</v>
      </c>
    </row>
    <row r="11" spans="1:11">
      <c r="A11" s="89"/>
      <c r="B11" s="25" t="s">
        <v>23</v>
      </c>
      <c r="C11" s="26">
        <f>B5 - SUM(F5:K5)</f>
        <v>1312500000</v>
      </c>
      <c r="E11" s="2" t="s">
        <v>24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</row>
    <row r="12" spans="1:11">
      <c r="A12" s="89"/>
      <c r="B12" s="4" t="s">
        <v>25</v>
      </c>
      <c r="C12" s="38">
        <f>C10-C11</f>
        <v>1187500000</v>
      </c>
      <c r="D12" s="30"/>
      <c r="E12" s="2" t="s">
        <v>26</v>
      </c>
      <c r="F12" s="3">
        <f>-B5</f>
        <v>-3500000000</v>
      </c>
      <c r="G12" s="3">
        <v>0</v>
      </c>
      <c r="H12" s="3">
        <v>0</v>
      </c>
      <c r="I12" s="3">
        <v>0</v>
      </c>
      <c r="J12" s="3">
        <v>0</v>
      </c>
      <c r="K12" s="3">
        <f>C14</f>
        <v>832343908.0751574</v>
      </c>
    </row>
    <row r="13" spans="1:11">
      <c r="A13" s="89"/>
      <c r="B13" s="4" t="s">
        <v>16</v>
      </c>
      <c r="C13" s="38">
        <f>B6*C12</f>
        <v>355156091.92484266</v>
      </c>
      <c r="D13" s="30"/>
    </row>
    <row r="14" spans="1:11">
      <c r="A14" s="89"/>
      <c r="B14" s="7" t="s">
        <v>27</v>
      </c>
      <c r="C14" s="38">
        <f>C12-C13</f>
        <v>832343908.0751574</v>
      </c>
      <c r="D14" s="30"/>
      <c r="E14" s="8" t="s">
        <v>28</v>
      </c>
      <c r="F14" s="9">
        <f t="shared" ref="F14:K14" si="7">F10+F11+F12</f>
        <v>-3500000000</v>
      </c>
      <c r="G14" s="9">
        <f t="shared" si="7"/>
        <v>1152543990.6454325</v>
      </c>
      <c r="H14" s="9">
        <f t="shared" si="7"/>
        <v>1152543990.6454325</v>
      </c>
      <c r="I14" s="9">
        <f t="shared" si="7"/>
        <v>1152543990.6454325</v>
      </c>
      <c r="J14" s="9">
        <f t="shared" si="7"/>
        <v>1152543990.6454325</v>
      </c>
      <c r="K14" s="9">
        <f t="shared" si="7"/>
        <v>1984887898.7205899</v>
      </c>
    </row>
    <row r="15" spans="1:11">
      <c r="B15" s="7"/>
      <c r="C15" s="7"/>
      <c r="E15" s="5" t="s">
        <v>29</v>
      </c>
      <c r="F15" s="10">
        <f>NPV($B$7,G14:K14) + F14</f>
        <v>281312399.07335377</v>
      </c>
      <c r="G15" s="4"/>
      <c r="H15" s="4"/>
      <c r="I15" s="4"/>
    </row>
    <row r="16" spans="1:11">
      <c r="B16" s="11"/>
      <c r="C16" s="7"/>
      <c r="E16" s="5" t="s">
        <v>30</v>
      </c>
      <c r="F16" s="12">
        <f>IRR(F14:K14)</f>
        <v>0.23336170425278957</v>
      </c>
      <c r="G16" s="4"/>
      <c r="H16" s="4"/>
      <c r="I16" s="4"/>
    </row>
    <row r="17" spans="1:14">
      <c r="A17" s="4"/>
      <c r="B17" s="11"/>
      <c r="C17" s="7"/>
      <c r="E17" s="5" t="s">
        <v>31</v>
      </c>
      <c r="F17" s="13">
        <f t="shared" ref="F17:K17" si="8">F14/((1+$B$7)^F1)</f>
        <v>-3500000000</v>
      </c>
      <c r="G17" s="13">
        <f t="shared" si="8"/>
        <v>960453325.53786039</v>
      </c>
      <c r="H17" s="13">
        <f t="shared" si="8"/>
        <v>800377771.28155041</v>
      </c>
      <c r="I17" s="13">
        <f t="shared" si="8"/>
        <v>666981476.06795859</v>
      </c>
      <c r="J17" s="13">
        <f t="shared" si="8"/>
        <v>555817896.72329891</v>
      </c>
      <c r="K17" s="13">
        <f t="shared" si="8"/>
        <v>797681929.4626857</v>
      </c>
    </row>
    <row r="18" spans="1:14">
      <c r="A18" s="10"/>
      <c r="B18" s="10"/>
      <c r="E18" s="5" t="s">
        <v>32</v>
      </c>
      <c r="F18" s="13">
        <f>F17</f>
        <v>-3500000000</v>
      </c>
      <c r="G18" s="13">
        <f>F18+G17</f>
        <v>-2539546674.4621396</v>
      </c>
      <c r="H18" s="13">
        <f t="shared" ref="H18:K18" si="9">G18+H17</f>
        <v>-1739168903.1805892</v>
      </c>
      <c r="I18" s="13">
        <f t="shared" si="9"/>
        <v>-1072187427.1126306</v>
      </c>
      <c r="J18" s="13">
        <f t="shared" si="9"/>
        <v>-516369530.3893317</v>
      </c>
      <c r="K18" s="13">
        <f t="shared" si="9"/>
        <v>281312399.07335401</v>
      </c>
    </row>
    <row r="19" spans="1:14">
      <c r="A19" s="10"/>
      <c r="B19" s="10"/>
      <c r="E19" s="5" t="s">
        <v>33</v>
      </c>
      <c r="F19" s="14">
        <f>J1-J18/K17</f>
        <v>4.6473376308488721</v>
      </c>
      <c r="G19" s="13"/>
      <c r="H19" s="13"/>
      <c r="I19" s="13"/>
      <c r="J19" s="13"/>
      <c r="K19" s="13"/>
    </row>
    <row r="21" spans="1:14">
      <c r="A21" s="43" t="s">
        <v>34</v>
      </c>
      <c r="B21" s="44">
        <v>40543</v>
      </c>
      <c r="C21" s="44">
        <v>40908</v>
      </c>
      <c r="D21" s="44">
        <v>41274</v>
      </c>
      <c r="E21" s="44">
        <v>41639</v>
      </c>
      <c r="F21" s="44">
        <v>42004</v>
      </c>
      <c r="G21" s="44">
        <v>42369</v>
      </c>
      <c r="H21" s="44">
        <v>42735</v>
      </c>
      <c r="I21" s="44">
        <v>43100</v>
      </c>
      <c r="J21" s="44">
        <v>43465</v>
      </c>
      <c r="K21" s="44">
        <v>43830</v>
      </c>
      <c r="L21" s="44">
        <v>44196</v>
      </c>
      <c r="M21" s="44">
        <v>44561</v>
      </c>
      <c r="N21" s="44">
        <v>44926</v>
      </c>
    </row>
    <row r="22" spans="1:14">
      <c r="A22" s="17" t="s">
        <v>35</v>
      </c>
      <c r="B22" s="45">
        <v>5004023</v>
      </c>
      <c r="C22" s="45">
        <v>4917083</v>
      </c>
      <c r="D22" s="45">
        <v>5379426</v>
      </c>
      <c r="E22" s="45">
        <v>5909507</v>
      </c>
      <c r="F22" s="45">
        <v>8351387</v>
      </c>
      <c r="G22" s="45">
        <v>12009146</v>
      </c>
      <c r="H22" s="45">
        <v>12995407</v>
      </c>
      <c r="I22" s="45">
        <v>12619495</v>
      </c>
      <c r="J22" s="45">
        <v>12262472</v>
      </c>
      <c r="K22" s="45">
        <v>13735580</v>
      </c>
      <c r="L22" s="45">
        <v>17654257</v>
      </c>
      <c r="M22" s="45">
        <v>20616716</v>
      </c>
      <c r="N22" s="45">
        <v>25770584</v>
      </c>
    </row>
    <row r="23" spans="1:14">
      <c r="A23" s="17" t="s">
        <v>36</v>
      </c>
      <c r="B23" s="45">
        <v>560739</v>
      </c>
      <c r="C23" s="45">
        <v>547768</v>
      </c>
      <c r="D23" s="45">
        <v>592677</v>
      </c>
      <c r="E23" s="45">
        <v>766553</v>
      </c>
      <c r="F23" s="45">
        <v>951965</v>
      </c>
      <c r="G23" s="45">
        <v>998727</v>
      </c>
      <c r="H23" s="45">
        <v>1423112</v>
      </c>
      <c r="I23" s="45">
        <v>1940487</v>
      </c>
      <c r="J23" s="45">
        <v>1673347</v>
      </c>
      <c r="K23" s="45">
        <v>2193414</v>
      </c>
      <c r="L23" s="45">
        <v>2382911</v>
      </c>
      <c r="M23" s="45">
        <v>2696341</v>
      </c>
      <c r="N23" s="45">
        <v>3169155</v>
      </c>
    </row>
    <row r="24" spans="1:14">
      <c r="A24" s="33" t="s">
        <v>37</v>
      </c>
      <c r="B24" s="19">
        <f>B23/B22</f>
        <v>0.11205763842412395</v>
      </c>
      <c r="C24" s="19">
        <f t="shared" ref="C24:N24" si="10">C23/C22</f>
        <v>0.1114010074672321</v>
      </c>
      <c r="D24" s="19">
        <f t="shared" si="10"/>
        <v>0.11017476585791867</v>
      </c>
      <c r="E24" s="19">
        <f t="shared" si="10"/>
        <v>0.12971521989905418</v>
      </c>
      <c r="F24" s="19">
        <f t="shared" si="10"/>
        <v>0.11398884999581507</v>
      </c>
      <c r="G24" s="19">
        <f t="shared" si="10"/>
        <v>8.3163865274016993E-2</v>
      </c>
      <c r="H24" s="19">
        <f t="shared" si="10"/>
        <v>0.10950884416317241</v>
      </c>
      <c r="I24" s="19">
        <f t="shared" si="10"/>
        <v>0.15376898996354449</v>
      </c>
      <c r="J24" s="19">
        <f t="shared" si="10"/>
        <v>0.13646082127649303</v>
      </c>
      <c r="K24" s="19">
        <f t="shared" si="10"/>
        <v>0.15968848785417142</v>
      </c>
      <c r="L24" s="19">
        <f t="shared" si="10"/>
        <v>0.13497656684164053</v>
      </c>
      <c r="M24" s="19">
        <f t="shared" si="10"/>
        <v>0.13078421412993224</v>
      </c>
      <c r="N24" s="19">
        <f t="shared" si="10"/>
        <v>0.12297567645343233</v>
      </c>
    </row>
    <row r="25" spans="1:14">
      <c r="A25" s="33" t="s">
        <v>38</v>
      </c>
      <c r="B25" s="21">
        <f>AVERAGE(B24:N24)</f>
        <v>0.12374345750773443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>
      <c r="A26" s="33" t="s">
        <v>39</v>
      </c>
      <c r="B26" s="22">
        <f>1/B25</f>
        <v>8.0812353246028881</v>
      </c>
      <c r="C26" s="33" t="s">
        <v>18</v>
      </c>
      <c r="D26" s="1"/>
      <c r="E26" s="1"/>
      <c r="F26" s="1"/>
      <c r="G26" s="1"/>
      <c r="H26" s="1"/>
      <c r="I26" s="1"/>
      <c r="J26" s="1"/>
      <c r="K26" s="1"/>
      <c r="L26" s="21"/>
      <c r="M26" s="1"/>
      <c r="N26" s="1"/>
    </row>
    <row r="27" spans="1:14">
      <c r="A27" s="23" t="s">
        <v>40</v>
      </c>
      <c r="B27" s="45">
        <v>871983</v>
      </c>
      <c r="C27" s="45">
        <v>296137</v>
      </c>
      <c r="D27" s="45">
        <v>1096456</v>
      </c>
      <c r="E27" s="45">
        <v>380218</v>
      </c>
      <c r="F27" s="45">
        <v>1053623</v>
      </c>
      <c r="G27" s="45">
        <v>-1947808</v>
      </c>
      <c r="H27" s="45">
        <v>3214935</v>
      </c>
      <c r="I27" s="45">
        <v>838668</v>
      </c>
      <c r="J27" s="45">
        <v>-68581</v>
      </c>
      <c r="K27" s="45">
        <v>864526</v>
      </c>
      <c r="L27" s="45">
        <v>-3814365</v>
      </c>
      <c r="M27" s="45">
        <v>4416411</v>
      </c>
      <c r="N27" s="45">
        <v>6599155</v>
      </c>
    </row>
    <row r="28" spans="1:14">
      <c r="A28" s="23" t="s">
        <v>41</v>
      </c>
      <c r="B28" s="45">
        <v>289831</v>
      </c>
      <c r="C28" s="45">
        <v>113416</v>
      </c>
      <c r="D28" s="45">
        <v>344491</v>
      </c>
      <c r="E28" s="45">
        <v>90121</v>
      </c>
      <c r="F28" s="45">
        <v>323293</v>
      </c>
      <c r="G28" s="45">
        <v>-694611</v>
      </c>
      <c r="H28" s="45">
        <v>732989</v>
      </c>
      <c r="I28" s="45">
        <v>306499</v>
      </c>
      <c r="J28" s="45">
        <v>-255399</v>
      </c>
      <c r="K28" s="45">
        <v>149908</v>
      </c>
      <c r="L28" s="45">
        <v>-1424875</v>
      </c>
      <c r="M28" s="45">
        <v>1011537</v>
      </c>
      <c r="N28" s="45">
        <v>1910252</v>
      </c>
    </row>
    <row r="29" spans="1:14">
      <c r="A29" s="33" t="s">
        <v>42</v>
      </c>
      <c r="B29" s="19">
        <f>B28/B27</f>
        <v>0.33238147991417266</v>
      </c>
      <c r="C29" s="19">
        <f t="shared" ref="C29:N29" si="11">C28/C27</f>
        <v>0.38298490225807652</v>
      </c>
      <c r="D29" s="19">
        <f t="shared" si="11"/>
        <v>0.31418588616415066</v>
      </c>
      <c r="E29" s="19">
        <f t="shared" si="11"/>
        <v>0.23702454907447831</v>
      </c>
      <c r="F29" s="19">
        <f t="shared" si="11"/>
        <v>0.30683935335504253</v>
      </c>
      <c r="G29" s="19">
        <f t="shared" si="11"/>
        <v>0.35661163728663192</v>
      </c>
      <c r="H29" s="19">
        <f t="shared" si="11"/>
        <v>0.22799496723883997</v>
      </c>
      <c r="I29" s="19">
        <f t="shared" si="11"/>
        <v>0.36545927589940236</v>
      </c>
      <c r="J29" s="19">
        <f t="shared" si="11"/>
        <v>3.7240489348361789</v>
      </c>
      <c r="K29" s="19">
        <f t="shared" si="11"/>
        <v>0.17339906492112442</v>
      </c>
      <c r="L29" s="19">
        <f t="shared" si="11"/>
        <v>0.37355496917573439</v>
      </c>
      <c r="M29" s="19">
        <f t="shared" si="11"/>
        <v>0.22904050370312001</v>
      </c>
      <c r="N29" s="19">
        <f t="shared" si="11"/>
        <v>0.28946918203921562</v>
      </c>
    </row>
    <row r="30" spans="1:14">
      <c r="A30" s="33" t="s">
        <v>43</v>
      </c>
      <c r="B30" s="24">
        <f>AVERAGE(B29:I29,K29:N29)</f>
        <v>0.2990788142524991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2" spans="1:14">
      <c r="A32" s="31"/>
      <c r="B32" s="31"/>
      <c r="C32" s="31"/>
      <c r="D32" s="31"/>
      <c r="E32" s="32"/>
      <c r="F32" s="32"/>
      <c r="G32" s="32"/>
      <c r="H32" s="32"/>
      <c r="J32" s="31"/>
      <c r="K32" s="31"/>
    </row>
    <row r="33" spans="1:11" ht="15.75" thickBot="1">
      <c r="C33" s="31"/>
      <c r="D33" s="31"/>
      <c r="E33" s="32"/>
      <c r="F33" s="32"/>
      <c r="G33" s="32"/>
      <c r="H33" s="32"/>
      <c r="J33" s="31"/>
      <c r="K33" s="31"/>
    </row>
    <row r="34" spans="1:11">
      <c r="A34" s="46" t="s">
        <v>44</v>
      </c>
      <c r="B34" s="47">
        <v>317776.35200688598</v>
      </c>
    </row>
    <row r="35" spans="1:11">
      <c r="A35" s="48" t="s">
        <v>45</v>
      </c>
      <c r="B35" s="59">
        <v>1364.8</v>
      </c>
    </row>
    <row r="36" spans="1:11">
      <c r="A36" s="49" t="s">
        <v>46</v>
      </c>
      <c r="B36" s="50">
        <v>105049</v>
      </c>
    </row>
    <row r="37" spans="1:11" ht="15.75" thickBot="1">
      <c r="A37" s="51" t="s">
        <v>47</v>
      </c>
      <c r="B37" s="60">
        <v>886.29</v>
      </c>
    </row>
  </sheetData>
  <mergeCells count="1">
    <mergeCell ref="A10:A14"/>
  </mergeCells>
  <hyperlinks>
    <hyperlink ref="B2" r:id="rId1" location="1603616979841-d131d9ff-f56c" display="https://norexeco.com/market-data-graphs/ - 1603616979841-d131d9ff-f56c" xr:uid="{CA8E37C8-D6A0-44D5-9F8A-8FC163BD8688}"/>
    <hyperlink ref="B4" r:id="rId2" display="https://www.google.com/finance/quote/USD-BRL?sa=X&amp;ved=2ahUKEwif_96oirCCAxXwD7kGHXliA18QmY0JegQIBxAr&amp;window=1Y" xr:uid="{2B8052DF-1DFB-4DDE-BEE8-EFE0705BAEAD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19EB7-E868-1543-A008-2960CDE4B689}">
  <dimension ref="D7:E11"/>
  <sheetViews>
    <sheetView workbookViewId="0"/>
  </sheetViews>
  <sheetFormatPr defaultRowHeight="15"/>
  <cols>
    <col min="1" max="1" width="49.28515625" bestFit="1" customWidth="1"/>
    <col min="2" max="2" width="12.140625" bestFit="1" customWidth="1"/>
    <col min="4" max="4" width="49.28515625" bestFit="1" customWidth="1"/>
    <col min="5" max="5" width="12.140625" bestFit="1" customWidth="1"/>
  </cols>
  <sheetData>
    <row r="7" spans="4:5" ht="15.75" thickBot="1"/>
    <row r="8" spans="4:5">
      <c r="D8" s="55" t="s">
        <v>48</v>
      </c>
      <c r="E8" s="57">
        <v>317776.35200688598</v>
      </c>
    </row>
    <row r="9" spans="4:5">
      <c r="D9" s="48" t="s">
        <v>44</v>
      </c>
      <c r="E9" s="59">
        <v>1364.8</v>
      </c>
    </row>
    <row r="10" spans="4:5">
      <c r="D10" s="56" t="s">
        <v>49</v>
      </c>
      <c r="E10" s="58">
        <v>105049</v>
      </c>
    </row>
    <row r="11" spans="4:5" ht="15.75" thickBot="1">
      <c r="D11" s="51" t="s">
        <v>50</v>
      </c>
      <c r="E11" s="60">
        <v>886.29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AEA7F-2924-E44A-9345-159C56831EC8}">
  <dimension ref="A1:G261"/>
  <sheetViews>
    <sheetView tabSelected="1" workbookViewId="0">
      <selection activeCell="I10" sqref="I10"/>
    </sheetView>
  </sheetViews>
  <sheetFormatPr defaultRowHeight="15"/>
  <cols>
    <col min="1" max="1" width="10.7109375" bestFit="1" customWidth="1"/>
    <col min="2" max="2" width="9" bestFit="1" customWidth="1"/>
    <col min="3" max="3" width="12.140625" bestFit="1" customWidth="1"/>
    <col min="5" max="5" width="7.28515625" bestFit="1" customWidth="1"/>
    <col min="6" max="6" width="8" bestFit="1" customWidth="1"/>
    <col min="7" max="7" width="12.140625" bestFit="1" customWidth="1"/>
  </cols>
  <sheetData>
    <row r="1" spans="1:7">
      <c r="A1" t="s">
        <v>51</v>
      </c>
      <c r="B1" t="s">
        <v>52</v>
      </c>
      <c r="C1" s="54" t="s">
        <v>53</v>
      </c>
      <c r="E1" t="s">
        <v>54</v>
      </c>
      <c r="F1" t="s">
        <v>55</v>
      </c>
      <c r="G1" s="54" t="s">
        <v>56</v>
      </c>
    </row>
    <row r="2" spans="1:7">
      <c r="A2" s="52">
        <v>44564</v>
      </c>
      <c r="B2">
        <v>5.5693000000000001</v>
      </c>
      <c r="C2" s="54">
        <f>_xlfn.STDEV.S(B2:B261)</f>
        <v>0.22741075791225279</v>
      </c>
      <c r="E2" s="53">
        <v>44562</v>
      </c>
      <c r="F2">
        <v>1260.17</v>
      </c>
      <c r="G2" s="54">
        <f>_xlfn.STDEV.S(F2:F13)</f>
        <v>82.713026767067902</v>
      </c>
    </row>
    <row r="3" spans="1:7">
      <c r="A3" s="52">
        <v>44565</v>
      </c>
      <c r="B3">
        <v>5.6811999999999996</v>
      </c>
      <c r="E3" s="53">
        <v>44593</v>
      </c>
      <c r="F3">
        <v>1283.75</v>
      </c>
    </row>
    <row r="4" spans="1:7">
      <c r="A4" s="52">
        <v>44566</v>
      </c>
      <c r="B4">
        <v>5.6761999999999997</v>
      </c>
      <c r="E4" s="53">
        <v>44621</v>
      </c>
      <c r="F4">
        <v>1328.8</v>
      </c>
    </row>
    <row r="5" spans="1:7">
      <c r="A5" s="52">
        <v>44567</v>
      </c>
      <c r="B5">
        <v>5.705635</v>
      </c>
      <c r="E5" s="53">
        <v>44652</v>
      </c>
      <c r="F5">
        <v>1346.04</v>
      </c>
    </row>
    <row r="6" spans="1:7">
      <c r="A6" s="52">
        <v>44568</v>
      </c>
      <c r="B6">
        <v>5.6824000000000003</v>
      </c>
      <c r="E6" s="53">
        <v>44682</v>
      </c>
      <c r="F6">
        <v>1376.39</v>
      </c>
    </row>
    <row r="7" spans="1:7">
      <c r="A7" s="52">
        <v>44571</v>
      </c>
      <c r="B7">
        <v>5.6322000000000001</v>
      </c>
      <c r="E7" s="53">
        <v>44713</v>
      </c>
      <c r="F7">
        <v>1420.3</v>
      </c>
    </row>
    <row r="8" spans="1:7">
      <c r="A8" s="52">
        <v>44572</v>
      </c>
      <c r="B8">
        <v>5.6622000000000003</v>
      </c>
      <c r="E8" s="53">
        <v>44743</v>
      </c>
      <c r="F8">
        <v>1458.28</v>
      </c>
    </row>
    <row r="9" spans="1:7">
      <c r="A9" s="52">
        <v>44573</v>
      </c>
      <c r="B9">
        <v>5.5673000000000004</v>
      </c>
      <c r="E9" s="53">
        <v>44774</v>
      </c>
      <c r="F9">
        <v>1486.02</v>
      </c>
    </row>
    <row r="10" spans="1:7">
      <c r="A10" s="52">
        <v>44574</v>
      </c>
      <c r="B10">
        <v>5.5331999999999999</v>
      </c>
      <c r="E10" s="53">
        <v>44805</v>
      </c>
      <c r="F10">
        <v>1496.58</v>
      </c>
    </row>
    <row r="11" spans="1:7">
      <c r="A11" s="52">
        <v>44575</v>
      </c>
      <c r="B11">
        <v>5.5266999999999999</v>
      </c>
      <c r="E11" s="53">
        <v>44835</v>
      </c>
      <c r="F11">
        <v>1488.09</v>
      </c>
    </row>
    <row r="12" spans="1:7">
      <c r="A12" s="52">
        <v>44578</v>
      </c>
      <c r="B12">
        <v>5.5332999999999997</v>
      </c>
      <c r="E12" s="53">
        <v>44866</v>
      </c>
      <c r="F12">
        <v>1464.36</v>
      </c>
    </row>
    <row r="13" spans="1:7">
      <c r="A13" s="52">
        <v>44579</v>
      </c>
      <c r="B13">
        <v>5.5157999999999996</v>
      </c>
      <c r="E13" s="53">
        <v>44896</v>
      </c>
      <c r="F13">
        <v>1437.28</v>
      </c>
    </row>
    <row r="14" spans="1:7">
      <c r="A14" s="52">
        <v>44580</v>
      </c>
      <c r="B14">
        <v>5.5656999999999996</v>
      </c>
    </row>
    <row r="15" spans="1:7">
      <c r="A15" s="52">
        <v>44581</v>
      </c>
      <c r="B15">
        <v>5.4371999999999998</v>
      </c>
    </row>
    <row r="16" spans="1:7">
      <c r="A16" s="52">
        <v>44582</v>
      </c>
      <c r="B16">
        <v>5.4180999999999999</v>
      </c>
    </row>
    <row r="17" spans="1:2">
      <c r="A17" s="52">
        <v>44585</v>
      </c>
      <c r="B17">
        <v>5.4570999999999996</v>
      </c>
    </row>
    <row r="18" spans="1:2">
      <c r="A18" s="52">
        <v>44586</v>
      </c>
      <c r="B18">
        <v>5.4861000000000004</v>
      </c>
    </row>
    <row r="19" spans="1:2">
      <c r="A19" s="52">
        <v>44587</v>
      </c>
      <c r="B19">
        <v>5.4407040000000002</v>
      </c>
    </row>
    <row r="20" spans="1:2">
      <c r="A20" s="52">
        <v>44588</v>
      </c>
      <c r="B20">
        <v>5.4291669999999996</v>
      </c>
    </row>
    <row r="21" spans="1:2">
      <c r="A21" s="52">
        <v>44589</v>
      </c>
      <c r="B21">
        <v>5.4034849999999999</v>
      </c>
    </row>
    <row r="22" spans="1:2">
      <c r="A22" s="52">
        <v>44592</v>
      </c>
      <c r="B22">
        <v>5.3625999999999996</v>
      </c>
    </row>
    <row r="23" spans="1:2">
      <c r="A23" s="52">
        <v>44593</v>
      </c>
      <c r="B23">
        <v>5.3030999999999997</v>
      </c>
    </row>
    <row r="24" spans="1:2">
      <c r="A24" s="52">
        <v>44594</v>
      </c>
      <c r="B24">
        <v>5.2645</v>
      </c>
    </row>
    <row r="25" spans="1:2">
      <c r="A25" s="52">
        <v>44595</v>
      </c>
      <c r="B25">
        <v>5.2609000000000004</v>
      </c>
    </row>
    <row r="26" spans="1:2">
      <c r="A26" s="52">
        <v>44596</v>
      </c>
      <c r="B26">
        <v>5.2828999999999997</v>
      </c>
    </row>
    <row r="27" spans="1:2">
      <c r="A27" s="52">
        <v>44599</v>
      </c>
      <c r="B27">
        <v>5.3269000000000002</v>
      </c>
    </row>
    <row r="28" spans="1:2">
      <c r="A28" s="52">
        <v>44600</v>
      </c>
      <c r="B28">
        <v>5.2625999999999999</v>
      </c>
    </row>
    <row r="29" spans="1:2">
      <c r="A29" s="52">
        <v>44601</v>
      </c>
      <c r="B29">
        <v>5.2584</v>
      </c>
    </row>
    <row r="30" spans="1:2">
      <c r="A30" s="52">
        <v>44602</v>
      </c>
      <c r="B30">
        <v>5.2344999999999997</v>
      </c>
    </row>
    <row r="31" spans="1:2">
      <c r="A31" s="52">
        <v>44603</v>
      </c>
      <c r="B31">
        <v>5.2487000000000004</v>
      </c>
    </row>
    <row r="32" spans="1:2">
      <c r="A32" s="52">
        <v>44606</v>
      </c>
      <c r="B32">
        <v>5.2499560000000001</v>
      </c>
    </row>
    <row r="33" spans="1:2">
      <c r="A33" s="52">
        <v>44607</v>
      </c>
      <c r="B33">
        <v>5.2140000000000004</v>
      </c>
    </row>
    <row r="34" spans="1:2">
      <c r="A34" s="52">
        <v>44608</v>
      </c>
      <c r="B34">
        <v>5.1578999999999997</v>
      </c>
    </row>
    <row r="35" spans="1:2">
      <c r="A35" s="52">
        <v>44609</v>
      </c>
      <c r="B35">
        <v>5.1357999999999997</v>
      </c>
    </row>
    <row r="36" spans="1:2">
      <c r="A36" s="52">
        <v>44610</v>
      </c>
      <c r="B36">
        <v>5.1706000000000003</v>
      </c>
    </row>
    <row r="37" spans="1:2">
      <c r="A37" s="52">
        <v>44613</v>
      </c>
      <c r="B37">
        <v>5.1375000000000002</v>
      </c>
    </row>
    <row r="38" spans="1:2">
      <c r="A38" s="52">
        <v>44614</v>
      </c>
      <c r="B38">
        <v>5.1026999999999996</v>
      </c>
    </row>
    <row r="39" spans="1:2">
      <c r="A39" s="52">
        <v>44615</v>
      </c>
      <c r="B39">
        <v>5.0571000000000002</v>
      </c>
    </row>
    <row r="40" spans="1:2">
      <c r="A40" s="52">
        <v>44616</v>
      </c>
      <c r="B40">
        <v>5.0087000000000002</v>
      </c>
    </row>
    <row r="41" spans="1:2">
      <c r="A41" s="52">
        <v>44617</v>
      </c>
      <c r="B41">
        <v>5.1222000000000003</v>
      </c>
    </row>
    <row r="42" spans="1:2">
      <c r="A42" s="52">
        <v>44620</v>
      </c>
      <c r="B42">
        <v>5.1593999999999998</v>
      </c>
    </row>
    <row r="43" spans="1:2">
      <c r="A43" s="52">
        <v>44621</v>
      </c>
      <c r="B43">
        <v>5.1584000000000003</v>
      </c>
    </row>
    <row r="44" spans="1:2">
      <c r="A44" s="52">
        <v>44622</v>
      </c>
      <c r="B44">
        <v>5.1589999999999998</v>
      </c>
    </row>
    <row r="45" spans="1:2">
      <c r="A45" s="52">
        <v>44623</v>
      </c>
      <c r="B45">
        <v>5.0965030000000002</v>
      </c>
    </row>
    <row r="46" spans="1:2">
      <c r="A46" s="52">
        <v>44624</v>
      </c>
      <c r="B46">
        <v>5.0308999999999999</v>
      </c>
    </row>
    <row r="47" spans="1:2">
      <c r="A47" s="52">
        <v>44627</v>
      </c>
      <c r="B47">
        <v>5.0605599999999997</v>
      </c>
    </row>
    <row r="48" spans="1:2">
      <c r="A48" s="52">
        <v>44628</v>
      </c>
      <c r="B48">
        <v>5.1105</v>
      </c>
    </row>
    <row r="49" spans="1:2">
      <c r="A49" s="52">
        <v>44629</v>
      </c>
      <c r="B49">
        <v>5.0587999999999997</v>
      </c>
    </row>
    <row r="50" spans="1:2">
      <c r="A50" s="52">
        <v>44630</v>
      </c>
      <c r="B50">
        <v>5.0114999999999998</v>
      </c>
    </row>
    <row r="51" spans="1:2">
      <c r="A51" s="52">
        <v>44631</v>
      </c>
      <c r="B51">
        <v>5.0096999999999996</v>
      </c>
    </row>
    <row r="52" spans="1:2">
      <c r="A52" s="52">
        <v>44634</v>
      </c>
      <c r="B52">
        <v>5.0735000000000001</v>
      </c>
    </row>
    <row r="53" spans="1:2">
      <c r="A53" s="52">
        <v>44635</v>
      </c>
      <c r="B53">
        <v>5.1214000000000004</v>
      </c>
    </row>
    <row r="54" spans="1:2">
      <c r="A54" s="52">
        <v>44636</v>
      </c>
      <c r="B54">
        <v>5.1631999999999998</v>
      </c>
    </row>
    <row r="55" spans="1:2">
      <c r="A55" s="52">
        <v>44637</v>
      </c>
      <c r="B55">
        <v>5.0738750000000001</v>
      </c>
    </row>
    <row r="56" spans="1:2">
      <c r="A56" s="52">
        <v>44638</v>
      </c>
      <c r="B56">
        <v>5.0393999999999997</v>
      </c>
    </row>
    <row r="57" spans="1:2">
      <c r="A57" s="52">
        <v>44641</v>
      </c>
      <c r="B57">
        <v>5.0178000000000003</v>
      </c>
    </row>
    <row r="58" spans="1:2">
      <c r="A58" s="52">
        <v>44642</v>
      </c>
      <c r="B58">
        <v>4.9352</v>
      </c>
    </row>
    <row r="59" spans="1:2">
      <c r="A59" s="52">
        <v>44643</v>
      </c>
      <c r="B59">
        <v>4.91</v>
      </c>
    </row>
    <row r="60" spans="1:2">
      <c r="A60" s="52">
        <v>44644</v>
      </c>
      <c r="B60">
        <v>4.8242000000000003</v>
      </c>
    </row>
    <row r="61" spans="1:2">
      <c r="A61" s="52">
        <v>44645</v>
      </c>
      <c r="B61">
        <v>4.8262999999999998</v>
      </c>
    </row>
    <row r="62" spans="1:2">
      <c r="A62" s="52">
        <v>44648</v>
      </c>
      <c r="B62">
        <v>4.7369000000000003</v>
      </c>
    </row>
    <row r="63" spans="1:2">
      <c r="A63" s="52">
        <v>44649</v>
      </c>
      <c r="B63">
        <v>4.7641</v>
      </c>
    </row>
    <row r="64" spans="1:2">
      <c r="A64" s="52">
        <v>44650</v>
      </c>
      <c r="B64">
        <v>4.7561999999999998</v>
      </c>
    </row>
    <row r="65" spans="1:2">
      <c r="A65" s="52">
        <v>44651</v>
      </c>
      <c r="B65">
        <v>4.7697000000000003</v>
      </c>
    </row>
    <row r="66" spans="1:2">
      <c r="A66" s="52">
        <v>44652</v>
      </c>
      <c r="B66">
        <v>4.7378</v>
      </c>
    </row>
    <row r="67" spans="1:2">
      <c r="A67" s="52">
        <v>44655</v>
      </c>
      <c r="B67">
        <v>4.6571999999999996</v>
      </c>
    </row>
    <row r="68" spans="1:2">
      <c r="A68" s="52">
        <v>44656</v>
      </c>
      <c r="B68">
        <v>4.5937999999999999</v>
      </c>
    </row>
    <row r="69" spans="1:2">
      <c r="A69" s="52">
        <v>44657</v>
      </c>
      <c r="B69">
        <v>4.6506999999999996</v>
      </c>
    </row>
    <row r="70" spans="1:2">
      <c r="A70" s="52">
        <v>44658</v>
      </c>
      <c r="B70">
        <v>4.7152000000000003</v>
      </c>
    </row>
    <row r="71" spans="1:2">
      <c r="A71" s="52">
        <v>44659</v>
      </c>
      <c r="B71">
        <v>4.7521000000000004</v>
      </c>
    </row>
    <row r="72" spans="1:2">
      <c r="A72" s="52">
        <v>44662</v>
      </c>
      <c r="B72">
        <v>4.6981000000000002</v>
      </c>
    </row>
    <row r="73" spans="1:2">
      <c r="A73" s="52">
        <v>44663</v>
      </c>
      <c r="B73">
        <v>4.6936</v>
      </c>
    </row>
    <row r="74" spans="1:2">
      <c r="A74" s="52">
        <v>44664</v>
      </c>
      <c r="B74">
        <v>4.6730999999999998</v>
      </c>
    </row>
    <row r="75" spans="1:2">
      <c r="A75" s="52">
        <v>44665</v>
      </c>
      <c r="B75">
        <v>4.6901999999999999</v>
      </c>
    </row>
    <row r="76" spans="1:2">
      <c r="A76" s="52">
        <v>44666</v>
      </c>
      <c r="B76">
        <v>4.7009999999999996</v>
      </c>
    </row>
    <row r="77" spans="1:2">
      <c r="A77" s="52">
        <v>44669</v>
      </c>
      <c r="B77">
        <v>4.7005999999999997</v>
      </c>
    </row>
    <row r="78" spans="1:2">
      <c r="A78" s="52">
        <v>44670</v>
      </c>
      <c r="B78">
        <v>4.6520000000000001</v>
      </c>
    </row>
    <row r="79" spans="1:2">
      <c r="A79" s="52">
        <v>44671</v>
      </c>
      <c r="B79">
        <v>4.665</v>
      </c>
    </row>
    <row r="80" spans="1:2">
      <c r="A80" s="52">
        <v>44672</v>
      </c>
      <c r="B80">
        <v>4.6208</v>
      </c>
    </row>
    <row r="81" spans="1:2">
      <c r="A81" s="52">
        <v>44673</v>
      </c>
      <c r="B81">
        <v>4.6208</v>
      </c>
    </row>
    <row r="82" spans="1:2">
      <c r="A82" s="52">
        <v>44676</v>
      </c>
      <c r="B82">
        <v>4.7952000000000004</v>
      </c>
    </row>
    <row r="83" spans="1:2">
      <c r="A83" s="52">
        <v>44677</v>
      </c>
      <c r="B83">
        <v>4.8761999999999999</v>
      </c>
    </row>
    <row r="84" spans="1:2">
      <c r="A84" s="52">
        <v>44678</v>
      </c>
      <c r="B84">
        <v>4.9977999999999998</v>
      </c>
    </row>
    <row r="85" spans="1:2">
      <c r="A85" s="52">
        <v>44679</v>
      </c>
      <c r="B85">
        <v>4.9635999999999996</v>
      </c>
    </row>
    <row r="86" spans="1:2">
      <c r="A86" s="52">
        <v>44680</v>
      </c>
      <c r="B86">
        <v>4.9378000000000002</v>
      </c>
    </row>
    <row r="87" spans="1:2">
      <c r="A87" s="52">
        <v>44683</v>
      </c>
      <c r="B87">
        <v>4.9713000000000003</v>
      </c>
    </row>
    <row r="88" spans="1:2">
      <c r="A88" s="52">
        <v>44684</v>
      </c>
      <c r="B88">
        <v>5.0846999999999998</v>
      </c>
    </row>
    <row r="89" spans="1:2">
      <c r="A89" s="52">
        <v>44685</v>
      </c>
      <c r="B89">
        <v>4.9581</v>
      </c>
    </row>
    <row r="90" spans="1:2">
      <c r="A90" s="52">
        <v>44686</v>
      </c>
      <c r="B90">
        <v>4.9188000000000001</v>
      </c>
    </row>
    <row r="91" spans="1:2">
      <c r="A91" s="52">
        <v>44687</v>
      </c>
      <c r="B91">
        <v>5.0279999999999996</v>
      </c>
    </row>
    <row r="92" spans="1:2">
      <c r="A92" s="52">
        <v>44690</v>
      </c>
      <c r="B92">
        <v>5.0804</v>
      </c>
    </row>
    <row r="93" spans="1:2">
      <c r="A93" s="52">
        <v>44691</v>
      </c>
      <c r="B93">
        <v>5.1608999999999998</v>
      </c>
    </row>
    <row r="94" spans="1:2">
      <c r="A94" s="52">
        <v>44692</v>
      </c>
      <c r="B94">
        <v>5.1313000000000004</v>
      </c>
    </row>
    <row r="95" spans="1:2">
      <c r="A95" s="52">
        <v>44693</v>
      </c>
      <c r="B95">
        <v>5.134252</v>
      </c>
    </row>
    <row r="96" spans="1:2">
      <c r="A96" s="52">
        <v>44694</v>
      </c>
      <c r="B96">
        <v>5.1334</v>
      </c>
    </row>
    <row r="97" spans="1:2">
      <c r="A97" s="52">
        <v>44697</v>
      </c>
      <c r="B97">
        <v>5.0583</v>
      </c>
    </row>
    <row r="98" spans="1:2">
      <c r="A98" s="52">
        <v>44698</v>
      </c>
      <c r="B98">
        <v>5.0597000000000003</v>
      </c>
    </row>
    <row r="99" spans="1:2">
      <c r="A99" s="52">
        <v>44699</v>
      </c>
      <c r="B99">
        <v>4.9381000000000004</v>
      </c>
    </row>
    <row r="100" spans="1:2">
      <c r="A100" s="52">
        <v>44700</v>
      </c>
      <c r="B100">
        <v>4.9675000000000002</v>
      </c>
    </row>
    <row r="101" spans="1:2">
      <c r="A101" s="52">
        <v>44701</v>
      </c>
      <c r="B101">
        <v>4.93</v>
      </c>
    </row>
    <row r="102" spans="1:2">
      <c r="A102" s="52">
        <v>44704</v>
      </c>
      <c r="B102">
        <v>4.8802000000000003</v>
      </c>
    </row>
    <row r="103" spans="1:2">
      <c r="A103" s="52">
        <v>44705</v>
      </c>
      <c r="B103">
        <v>4.8135000000000003</v>
      </c>
    </row>
    <row r="104" spans="1:2">
      <c r="A104" s="52">
        <v>44706</v>
      </c>
      <c r="B104">
        <v>4.8178000000000001</v>
      </c>
    </row>
    <row r="105" spans="1:2">
      <c r="A105" s="52">
        <v>44707</v>
      </c>
      <c r="B105">
        <v>4.8228</v>
      </c>
    </row>
    <row r="106" spans="1:2">
      <c r="A106" s="52">
        <v>44708</v>
      </c>
      <c r="B106">
        <v>4.7682000000000002</v>
      </c>
    </row>
    <row r="107" spans="1:2">
      <c r="A107" s="52">
        <v>44711</v>
      </c>
      <c r="B107">
        <v>4.7295999999999996</v>
      </c>
    </row>
    <row r="108" spans="1:2">
      <c r="A108" s="52">
        <v>44712</v>
      </c>
      <c r="B108">
        <v>4.7523999999999997</v>
      </c>
    </row>
    <row r="109" spans="1:2">
      <c r="A109" s="52">
        <v>44713</v>
      </c>
      <c r="B109">
        <v>4.7304000000000004</v>
      </c>
    </row>
    <row r="110" spans="1:2">
      <c r="A110" s="52">
        <v>44714</v>
      </c>
      <c r="B110">
        <v>4.8155000000000001</v>
      </c>
    </row>
    <row r="111" spans="1:2">
      <c r="A111" s="52">
        <v>44715</v>
      </c>
      <c r="B111">
        <v>4.7957000000000001</v>
      </c>
    </row>
    <row r="112" spans="1:2">
      <c r="A112" s="52">
        <v>44718</v>
      </c>
      <c r="B112">
        <v>4.7750000000000004</v>
      </c>
    </row>
    <row r="113" spans="1:2">
      <c r="A113" s="52">
        <v>44719</v>
      </c>
      <c r="B113">
        <v>4.7942</v>
      </c>
    </row>
    <row r="114" spans="1:2">
      <c r="A114" s="52">
        <v>44720</v>
      </c>
      <c r="B114">
        <v>4.8675259999999998</v>
      </c>
    </row>
    <row r="115" spans="1:2">
      <c r="A115" s="52">
        <v>44721</v>
      </c>
      <c r="B115">
        <v>4.8981000000000003</v>
      </c>
    </row>
    <row r="116" spans="1:2">
      <c r="A116" s="52">
        <v>44722</v>
      </c>
      <c r="B116">
        <v>4.9032999999999998</v>
      </c>
    </row>
    <row r="117" spans="1:2">
      <c r="A117" s="52">
        <v>44725</v>
      </c>
      <c r="B117">
        <v>4.984</v>
      </c>
    </row>
    <row r="118" spans="1:2">
      <c r="A118" s="52">
        <v>44726</v>
      </c>
      <c r="B118">
        <v>5.1134000000000004</v>
      </c>
    </row>
    <row r="119" spans="1:2">
      <c r="A119" s="52">
        <v>44727</v>
      </c>
      <c r="B119">
        <v>5.1161000000000003</v>
      </c>
    </row>
    <row r="120" spans="1:2">
      <c r="A120" s="52">
        <v>44728</v>
      </c>
      <c r="B120">
        <v>5.0519999999999996</v>
      </c>
    </row>
    <row r="121" spans="1:2">
      <c r="A121" s="52">
        <v>44729</v>
      </c>
      <c r="B121">
        <v>5.0522</v>
      </c>
    </row>
    <row r="122" spans="1:2">
      <c r="A122" s="52">
        <v>44732</v>
      </c>
      <c r="B122">
        <v>5.1520999999999999</v>
      </c>
    </row>
    <row r="123" spans="1:2">
      <c r="A123" s="52">
        <v>44733</v>
      </c>
      <c r="B123">
        <v>5.1871999999999998</v>
      </c>
    </row>
    <row r="124" spans="1:2">
      <c r="A124" s="52">
        <v>44734</v>
      </c>
      <c r="B124">
        <v>5.1227999999999998</v>
      </c>
    </row>
    <row r="125" spans="1:2">
      <c r="A125" s="52">
        <v>44735</v>
      </c>
      <c r="B125">
        <v>5.1936</v>
      </c>
    </row>
    <row r="126" spans="1:2">
      <c r="A126" s="52">
        <v>44736</v>
      </c>
      <c r="B126">
        <v>5.2380000000000004</v>
      </c>
    </row>
    <row r="127" spans="1:2">
      <c r="A127" s="52">
        <v>44739</v>
      </c>
      <c r="B127">
        <v>5.2413999999999996</v>
      </c>
    </row>
    <row r="128" spans="1:2">
      <c r="A128" s="52">
        <v>44740</v>
      </c>
      <c r="B128">
        <v>5.2367999999999997</v>
      </c>
    </row>
    <row r="129" spans="1:2">
      <c r="A129" s="52">
        <v>44741</v>
      </c>
      <c r="B129">
        <v>5.2666000000000004</v>
      </c>
    </row>
    <row r="130" spans="1:2">
      <c r="A130" s="52">
        <v>44742</v>
      </c>
      <c r="B130">
        <v>5.1809000000000003</v>
      </c>
    </row>
    <row r="131" spans="1:2">
      <c r="A131" s="52">
        <v>44743</v>
      </c>
      <c r="B131">
        <v>5.2519999999999998</v>
      </c>
    </row>
    <row r="132" spans="1:2">
      <c r="A132" s="52">
        <v>44746</v>
      </c>
      <c r="B132">
        <v>5.3310000000000004</v>
      </c>
    </row>
    <row r="133" spans="1:2">
      <c r="A133" s="52">
        <v>44747</v>
      </c>
      <c r="B133">
        <v>5.3282999999999996</v>
      </c>
    </row>
    <row r="134" spans="1:2">
      <c r="A134" s="52">
        <v>44748</v>
      </c>
      <c r="B134">
        <v>5.3852000000000002</v>
      </c>
    </row>
    <row r="135" spans="1:2">
      <c r="A135" s="52">
        <v>44749</v>
      </c>
      <c r="B135">
        <v>5.4279999999999999</v>
      </c>
    </row>
    <row r="136" spans="1:2">
      <c r="A136" s="52">
        <v>44750</v>
      </c>
      <c r="B136">
        <v>5.3381999999999996</v>
      </c>
    </row>
    <row r="137" spans="1:2">
      <c r="A137" s="52">
        <v>44753</v>
      </c>
      <c r="B137">
        <v>5.2539999999999996</v>
      </c>
    </row>
    <row r="138" spans="1:2">
      <c r="A138" s="52">
        <v>44754</v>
      </c>
      <c r="B138">
        <v>5.3772000000000002</v>
      </c>
    </row>
    <row r="139" spans="1:2">
      <c r="A139" s="52">
        <v>44755</v>
      </c>
      <c r="B139">
        <v>5.4364999999999997</v>
      </c>
    </row>
    <row r="140" spans="1:2">
      <c r="A140" s="52">
        <v>44756</v>
      </c>
      <c r="B140">
        <v>5.3909000000000002</v>
      </c>
    </row>
    <row r="141" spans="1:2">
      <c r="A141" s="52">
        <v>44757</v>
      </c>
      <c r="B141">
        <v>5.4227999999999996</v>
      </c>
    </row>
    <row r="142" spans="1:2">
      <c r="A142" s="52">
        <v>44760</v>
      </c>
      <c r="B142">
        <v>5.4100999999999999</v>
      </c>
    </row>
    <row r="143" spans="1:2">
      <c r="A143" s="52">
        <v>44761</v>
      </c>
      <c r="B143">
        <v>5.4367999999999999</v>
      </c>
    </row>
    <row r="144" spans="1:2">
      <c r="A144" s="52">
        <v>44762</v>
      </c>
      <c r="B144">
        <v>5.4131</v>
      </c>
    </row>
    <row r="145" spans="1:2">
      <c r="A145" s="52">
        <v>44763</v>
      </c>
      <c r="B145">
        <v>5.4702000000000002</v>
      </c>
    </row>
    <row r="146" spans="1:2">
      <c r="A146" s="52">
        <v>44764</v>
      </c>
      <c r="B146">
        <v>5.4977999999999998</v>
      </c>
    </row>
    <row r="147" spans="1:2">
      <c r="A147" s="52">
        <v>44767</v>
      </c>
      <c r="B147">
        <v>5.4966999999999997</v>
      </c>
    </row>
    <row r="148" spans="1:2">
      <c r="A148" s="52">
        <v>44768</v>
      </c>
      <c r="B148">
        <v>5.3563000000000001</v>
      </c>
    </row>
    <row r="149" spans="1:2">
      <c r="A149" s="52">
        <v>44769</v>
      </c>
      <c r="B149">
        <v>5.3501000000000003</v>
      </c>
    </row>
    <row r="150" spans="1:2">
      <c r="A150" s="52">
        <v>44770</v>
      </c>
      <c r="B150">
        <v>5.2430000000000003</v>
      </c>
    </row>
    <row r="151" spans="1:2">
      <c r="A151" s="52">
        <v>44771</v>
      </c>
      <c r="B151">
        <v>5.1826999999999996</v>
      </c>
    </row>
    <row r="152" spans="1:2">
      <c r="A152" s="52">
        <v>44774</v>
      </c>
      <c r="B152">
        <v>5.1711999999999998</v>
      </c>
    </row>
    <row r="153" spans="1:2">
      <c r="A153" s="52">
        <v>44775</v>
      </c>
      <c r="B153">
        <v>5.1840000000000002</v>
      </c>
    </row>
    <row r="154" spans="1:2">
      <c r="A154" s="52">
        <v>44776</v>
      </c>
      <c r="B154">
        <v>5.2777000000000003</v>
      </c>
    </row>
    <row r="155" spans="1:2">
      <c r="A155" s="52">
        <v>44777</v>
      </c>
      <c r="B155">
        <v>5.2827000000000002</v>
      </c>
    </row>
    <row r="156" spans="1:2">
      <c r="A156" s="52">
        <v>44778</v>
      </c>
      <c r="B156">
        <v>5.2111000000000001</v>
      </c>
    </row>
    <row r="157" spans="1:2">
      <c r="A157" s="52">
        <v>44781</v>
      </c>
      <c r="B157">
        <v>5.1646000000000001</v>
      </c>
    </row>
    <row r="158" spans="1:2">
      <c r="A158" s="52">
        <v>44782</v>
      </c>
      <c r="B158">
        <v>5.1101000000000001</v>
      </c>
    </row>
    <row r="159" spans="1:2">
      <c r="A159" s="52">
        <v>44783</v>
      </c>
      <c r="B159">
        <v>5.1237000000000004</v>
      </c>
    </row>
    <row r="160" spans="1:2">
      <c r="A160" s="52">
        <v>44784</v>
      </c>
      <c r="B160">
        <v>5.0937000000000001</v>
      </c>
    </row>
    <row r="161" spans="1:2">
      <c r="A161" s="52">
        <v>44785</v>
      </c>
      <c r="B161">
        <v>5.157</v>
      </c>
    </row>
    <row r="162" spans="1:2">
      <c r="A162" s="52">
        <v>44788</v>
      </c>
      <c r="B162">
        <v>5.0749000000000004</v>
      </c>
    </row>
    <row r="163" spans="1:2">
      <c r="A163" s="52">
        <v>44789</v>
      </c>
      <c r="B163">
        <v>5.0956000000000001</v>
      </c>
    </row>
    <row r="164" spans="1:2">
      <c r="A164" s="52">
        <v>44790</v>
      </c>
      <c r="B164">
        <v>5.1417390000000003</v>
      </c>
    </row>
    <row r="165" spans="1:2">
      <c r="A165" s="52">
        <v>44791</v>
      </c>
      <c r="B165">
        <v>5.165</v>
      </c>
    </row>
    <row r="166" spans="1:2">
      <c r="A166" s="52">
        <v>44792</v>
      </c>
      <c r="B166">
        <v>5.1669999999999998</v>
      </c>
    </row>
    <row r="167" spans="1:2">
      <c r="A167" s="52">
        <v>44795</v>
      </c>
      <c r="B167">
        <v>5.1684000000000001</v>
      </c>
    </row>
    <row r="168" spans="1:2">
      <c r="A168" s="52">
        <v>44796</v>
      </c>
      <c r="B168">
        <v>5.1561000000000003</v>
      </c>
    </row>
    <row r="169" spans="1:2">
      <c r="A169" s="52">
        <v>44797</v>
      </c>
      <c r="B169">
        <v>5.1035000000000004</v>
      </c>
    </row>
    <row r="170" spans="1:2">
      <c r="A170" s="52">
        <v>44798</v>
      </c>
      <c r="B170">
        <v>5.1101000000000001</v>
      </c>
    </row>
    <row r="171" spans="1:2">
      <c r="A171" s="52">
        <v>44799</v>
      </c>
      <c r="B171">
        <v>5.1086999999999998</v>
      </c>
    </row>
    <row r="172" spans="1:2">
      <c r="A172" s="52">
        <v>44802</v>
      </c>
      <c r="B172">
        <v>5.0625</v>
      </c>
    </row>
    <row r="173" spans="1:2">
      <c r="A173" s="52">
        <v>44803</v>
      </c>
      <c r="B173">
        <v>5.0271999999999997</v>
      </c>
    </row>
    <row r="174" spans="1:2">
      <c r="A174" s="52">
        <v>44804</v>
      </c>
      <c r="B174">
        <v>5.1219000000000001</v>
      </c>
    </row>
    <row r="175" spans="1:2">
      <c r="A175" s="52">
        <v>44805</v>
      </c>
      <c r="B175">
        <v>5.1817000000000002</v>
      </c>
    </row>
    <row r="176" spans="1:2">
      <c r="A176" s="52">
        <v>44806</v>
      </c>
      <c r="B176">
        <v>5.2404000000000002</v>
      </c>
    </row>
    <row r="177" spans="1:2">
      <c r="A177" s="52">
        <v>44809</v>
      </c>
      <c r="B177">
        <v>5.1710000000000003</v>
      </c>
    </row>
    <row r="178" spans="1:2">
      <c r="A178" s="52">
        <v>44810</v>
      </c>
      <c r="B178">
        <v>5.1539000000000001</v>
      </c>
    </row>
    <row r="179" spans="1:2">
      <c r="A179" s="52">
        <v>44811</v>
      </c>
      <c r="B179">
        <v>5.2472000000000003</v>
      </c>
    </row>
    <row r="180" spans="1:2">
      <c r="A180" s="52">
        <v>44812</v>
      </c>
      <c r="B180">
        <v>5.2466999999999997</v>
      </c>
    </row>
    <row r="181" spans="1:2">
      <c r="A181" s="52">
        <v>44813</v>
      </c>
      <c r="B181">
        <v>5.2133000000000003</v>
      </c>
    </row>
    <row r="182" spans="1:2">
      <c r="A182" s="52">
        <v>44816</v>
      </c>
      <c r="B182">
        <v>5.1463000000000001</v>
      </c>
    </row>
    <row r="183" spans="1:2">
      <c r="A183" s="52">
        <v>44817</v>
      </c>
      <c r="B183">
        <v>5.0919999999999996</v>
      </c>
    </row>
    <row r="184" spans="1:2">
      <c r="A184" s="52">
        <v>44818</v>
      </c>
      <c r="B184">
        <v>5.1898</v>
      </c>
    </row>
    <row r="185" spans="1:2">
      <c r="A185" s="52">
        <v>44819</v>
      </c>
      <c r="B185">
        <v>5.1627000000000001</v>
      </c>
    </row>
    <row r="186" spans="1:2">
      <c r="A186" s="52">
        <v>44820</v>
      </c>
      <c r="B186">
        <v>5.2461000000000002</v>
      </c>
    </row>
    <row r="187" spans="1:2">
      <c r="A187" s="52">
        <v>44823</v>
      </c>
      <c r="B187">
        <v>5.2507000000000001</v>
      </c>
    </row>
    <row r="188" spans="1:2">
      <c r="A188" s="52">
        <v>44824</v>
      </c>
      <c r="B188">
        <v>5.1708999999999996</v>
      </c>
    </row>
    <row r="189" spans="1:2">
      <c r="A189" s="52">
        <v>44825</v>
      </c>
      <c r="B189">
        <v>5.1414999999999997</v>
      </c>
    </row>
    <row r="190" spans="1:2">
      <c r="A190" s="52">
        <v>44826</v>
      </c>
      <c r="B190">
        <v>5.1703999999999999</v>
      </c>
    </row>
    <row r="191" spans="1:2">
      <c r="A191" s="52">
        <v>44827</v>
      </c>
      <c r="B191">
        <v>5.1154999999999999</v>
      </c>
    </row>
    <row r="192" spans="1:2">
      <c r="A192" s="52">
        <v>44830</v>
      </c>
      <c r="B192">
        <v>5.2587999999999999</v>
      </c>
    </row>
    <row r="193" spans="1:2">
      <c r="A193" s="52">
        <v>44831</v>
      </c>
      <c r="B193">
        <v>5.3894000000000002</v>
      </c>
    </row>
    <row r="194" spans="1:2">
      <c r="A194" s="52">
        <v>44832</v>
      </c>
      <c r="B194">
        <v>5.3780999999999999</v>
      </c>
    </row>
    <row r="195" spans="1:2">
      <c r="A195" s="52">
        <v>44833</v>
      </c>
      <c r="B195">
        <v>5.3742000000000001</v>
      </c>
    </row>
    <row r="196" spans="1:2">
      <c r="A196" s="52">
        <v>44834</v>
      </c>
      <c r="B196">
        <v>5.3962000000000003</v>
      </c>
    </row>
    <row r="197" spans="1:2">
      <c r="A197" s="52">
        <v>44837</v>
      </c>
      <c r="B197">
        <v>5.4142999999999999</v>
      </c>
    </row>
    <row r="198" spans="1:2">
      <c r="A198" s="52">
        <v>44838</v>
      </c>
      <c r="B198">
        <v>5.1635</v>
      </c>
    </row>
    <row r="199" spans="1:2">
      <c r="A199" s="52">
        <v>44839</v>
      </c>
      <c r="B199">
        <v>5.1757999999999997</v>
      </c>
    </row>
    <row r="200" spans="1:2">
      <c r="A200" s="52">
        <v>44840</v>
      </c>
      <c r="B200">
        <v>5.1951999999999998</v>
      </c>
    </row>
    <row r="201" spans="1:2">
      <c r="A201" s="52">
        <v>44841</v>
      </c>
      <c r="B201">
        <v>5.2201000000000004</v>
      </c>
    </row>
    <row r="202" spans="1:2">
      <c r="A202" s="52">
        <v>44844</v>
      </c>
      <c r="B202">
        <v>5.1984000000000004</v>
      </c>
    </row>
    <row r="203" spans="1:2">
      <c r="A203" s="52">
        <v>44845</v>
      </c>
      <c r="B203">
        <v>5.1867999999999999</v>
      </c>
    </row>
    <row r="204" spans="1:2">
      <c r="A204" s="52">
        <v>44846</v>
      </c>
      <c r="B204">
        <v>5.2920999999999996</v>
      </c>
    </row>
    <row r="205" spans="1:2">
      <c r="A205" s="52">
        <v>44847</v>
      </c>
      <c r="B205">
        <v>5.2915000000000001</v>
      </c>
    </row>
    <row r="206" spans="1:2">
      <c r="A206" s="52">
        <v>44848</v>
      </c>
      <c r="B206">
        <v>5.2598000000000003</v>
      </c>
    </row>
    <row r="207" spans="1:2">
      <c r="A207" s="52">
        <v>44851</v>
      </c>
      <c r="B207">
        <v>5.3273999999999999</v>
      </c>
    </row>
    <row r="208" spans="1:2">
      <c r="A208" s="52">
        <v>44852</v>
      </c>
      <c r="B208">
        <v>5.2773589999999997</v>
      </c>
    </row>
    <row r="209" spans="1:2">
      <c r="A209" s="52">
        <v>44853</v>
      </c>
      <c r="B209">
        <v>5.2397999999999998</v>
      </c>
    </row>
    <row r="210" spans="1:2">
      <c r="A210" s="52">
        <v>44854</v>
      </c>
      <c r="B210">
        <v>5.2691999999999997</v>
      </c>
    </row>
    <row r="211" spans="1:2">
      <c r="A211" s="52">
        <v>44855</v>
      </c>
      <c r="B211">
        <v>5.2165999999999997</v>
      </c>
    </row>
    <row r="212" spans="1:2">
      <c r="A212" s="52">
        <v>44858</v>
      </c>
      <c r="B212">
        <v>5.1634000000000002</v>
      </c>
    </row>
    <row r="213" spans="1:2">
      <c r="A213" s="52">
        <v>44859</v>
      </c>
      <c r="B213">
        <v>5.3061999999999996</v>
      </c>
    </row>
    <row r="214" spans="1:2">
      <c r="A214" s="52">
        <v>44860</v>
      </c>
      <c r="B214">
        <v>5.3151999999999999</v>
      </c>
    </row>
    <row r="215" spans="1:2">
      <c r="A215" s="52">
        <v>44861</v>
      </c>
      <c r="B215">
        <v>5.3838999999999997</v>
      </c>
    </row>
    <row r="216" spans="1:2">
      <c r="A216" s="52">
        <v>44862</v>
      </c>
      <c r="B216">
        <v>5.3391999999999999</v>
      </c>
    </row>
    <row r="217" spans="1:2">
      <c r="A217" s="52">
        <v>44865</v>
      </c>
      <c r="B217">
        <v>5.2885</v>
      </c>
    </row>
    <row r="218" spans="1:2">
      <c r="A218" s="52">
        <v>44866</v>
      </c>
      <c r="B218">
        <v>5.1787999999999998</v>
      </c>
    </row>
    <row r="219" spans="1:2">
      <c r="A219" s="52">
        <v>44867</v>
      </c>
      <c r="B219">
        <v>5.1424000000000003</v>
      </c>
    </row>
    <row r="220" spans="1:2">
      <c r="A220" s="52">
        <v>44868</v>
      </c>
      <c r="B220">
        <v>5.1425999999999998</v>
      </c>
    </row>
    <row r="221" spans="1:2">
      <c r="A221" s="52">
        <v>44869</v>
      </c>
      <c r="B221">
        <v>5.1148999999999996</v>
      </c>
    </row>
    <row r="222" spans="1:2">
      <c r="A222" s="52">
        <v>44872</v>
      </c>
      <c r="B222">
        <v>5.0781320000000001</v>
      </c>
    </row>
    <row r="223" spans="1:2">
      <c r="A223" s="52">
        <v>44873</v>
      </c>
      <c r="B223">
        <v>5.153327</v>
      </c>
    </row>
    <row r="224" spans="1:2">
      <c r="A224" s="52">
        <v>44874</v>
      </c>
      <c r="B224">
        <v>5.1429999999999998</v>
      </c>
    </row>
    <row r="225" spans="1:2">
      <c r="A225" s="52">
        <v>44875</v>
      </c>
      <c r="B225">
        <v>5.1852</v>
      </c>
    </row>
    <row r="226" spans="1:2">
      <c r="A226" s="52">
        <v>44876</v>
      </c>
      <c r="B226">
        <v>5.3415800000000004</v>
      </c>
    </row>
    <row r="227" spans="1:2">
      <c r="A227" s="52">
        <v>44879</v>
      </c>
      <c r="B227">
        <v>5.2790590000000002</v>
      </c>
    </row>
    <row r="228" spans="1:2">
      <c r="A228" s="52">
        <v>44880</v>
      </c>
      <c r="B228">
        <v>5.3311999999999999</v>
      </c>
    </row>
    <row r="229" spans="1:2">
      <c r="A229" s="52">
        <v>44881</v>
      </c>
      <c r="B229">
        <v>5.3316999999999997</v>
      </c>
    </row>
    <row r="230" spans="1:2">
      <c r="A230" s="52">
        <v>44882</v>
      </c>
      <c r="B230">
        <v>5.399</v>
      </c>
    </row>
    <row r="231" spans="1:2">
      <c r="A231" s="52">
        <v>44883</v>
      </c>
      <c r="B231">
        <v>5.4221000000000004</v>
      </c>
    </row>
    <row r="232" spans="1:2">
      <c r="A232" s="52">
        <v>44886</v>
      </c>
      <c r="B232">
        <v>5.3813000000000004</v>
      </c>
    </row>
    <row r="233" spans="1:2">
      <c r="A233" s="52">
        <v>44887</v>
      </c>
      <c r="B233">
        <v>5.3186</v>
      </c>
    </row>
    <row r="234" spans="1:2">
      <c r="A234" s="52">
        <v>44888</v>
      </c>
      <c r="B234">
        <v>5.3577000000000004</v>
      </c>
    </row>
    <row r="235" spans="1:2">
      <c r="A235" s="52">
        <v>44889</v>
      </c>
      <c r="B235">
        <v>5.3582999999999998</v>
      </c>
    </row>
    <row r="236" spans="1:2">
      <c r="A236" s="52">
        <v>44890</v>
      </c>
      <c r="B236">
        <v>5.32</v>
      </c>
    </row>
    <row r="237" spans="1:2">
      <c r="A237" s="52">
        <v>44893</v>
      </c>
      <c r="B237">
        <v>5.4085000000000001</v>
      </c>
    </row>
    <row r="238" spans="1:2">
      <c r="A238" s="52">
        <v>44894</v>
      </c>
      <c r="B238">
        <v>5.3647</v>
      </c>
    </row>
    <row r="239" spans="1:2">
      <c r="A239" s="52">
        <v>44895</v>
      </c>
      <c r="B239">
        <v>5.2682000000000002</v>
      </c>
    </row>
    <row r="240" spans="1:2">
      <c r="A240" s="52">
        <v>44896</v>
      </c>
      <c r="B240">
        <v>5.1815889999999998</v>
      </c>
    </row>
    <row r="241" spans="1:2">
      <c r="A241" s="52">
        <v>44897</v>
      </c>
      <c r="B241">
        <v>5.1836000000000002</v>
      </c>
    </row>
    <row r="242" spans="1:2">
      <c r="A242" s="52">
        <v>44900</v>
      </c>
      <c r="B242">
        <v>5.218</v>
      </c>
    </row>
    <row r="243" spans="1:2">
      <c r="A243" s="52">
        <v>44901</v>
      </c>
      <c r="B243">
        <v>5.28</v>
      </c>
    </row>
    <row r="244" spans="1:2">
      <c r="A244" s="52">
        <v>44902</v>
      </c>
      <c r="B244">
        <v>5.234</v>
      </c>
    </row>
    <row r="245" spans="1:2">
      <c r="A245" s="52">
        <v>44903</v>
      </c>
      <c r="B245">
        <v>5.2039999999999997</v>
      </c>
    </row>
    <row r="246" spans="1:2">
      <c r="A246" s="52">
        <v>44904</v>
      </c>
      <c r="B246">
        <v>5.2243000000000004</v>
      </c>
    </row>
    <row r="247" spans="1:2">
      <c r="A247" s="52">
        <v>44907</v>
      </c>
      <c r="B247">
        <v>5.2350000000000003</v>
      </c>
    </row>
    <row r="248" spans="1:2">
      <c r="A248" s="52">
        <v>44908</v>
      </c>
      <c r="B248">
        <v>5.3212999999999999</v>
      </c>
    </row>
    <row r="249" spans="1:2">
      <c r="A249" s="52">
        <v>44909</v>
      </c>
      <c r="B249">
        <v>5.2927999999999997</v>
      </c>
    </row>
    <row r="250" spans="1:2">
      <c r="A250" s="52">
        <v>44910</v>
      </c>
      <c r="B250">
        <v>5.2771999999999997</v>
      </c>
    </row>
    <row r="251" spans="1:2">
      <c r="A251" s="52">
        <v>44911</v>
      </c>
      <c r="B251">
        <v>5.3117999999999999</v>
      </c>
    </row>
    <row r="252" spans="1:2">
      <c r="A252" s="52">
        <v>44914</v>
      </c>
      <c r="B252">
        <v>5.3065090000000001</v>
      </c>
    </row>
    <row r="253" spans="1:2">
      <c r="A253" s="52">
        <v>44915</v>
      </c>
      <c r="B253">
        <v>5.2915999999999999</v>
      </c>
    </row>
    <row r="254" spans="1:2">
      <c r="A254" s="52">
        <v>44916</v>
      </c>
      <c r="B254">
        <v>5.1984000000000004</v>
      </c>
    </row>
    <row r="255" spans="1:2">
      <c r="A255" s="52">
        <v>44917</v>
      </c>
      <c r="B255">
        <v>5.1999000000000004</v>
      </c>
    </row>
    <row r="256" spans="1:2">
      <c r="A256" s="52">
        <v>44918</v>
      </c>
      <c r="B256">
        <v>5.1656000000000004</v>
      </c>
    </row>
    <row r="257" spans="1:2">
      <c r="A257" s="52">
        <v>44921</v>
      </c>
      <c r="B257">
        <v>5.1642999999999999</v>
      </c>
    </row>
    <row r="258" spans="1:2">
      <c r="A258" s="52">
        <v>44922</v>
      </c>
      <c r="B258">
        <v>5.2175000000000002</v>
      </c>
    </row>
    <row r="259" spans="1:2">
      <c r="A259" s="52">
        <v>44923</v>
      </c>
      <c r="B259">
        <v>5.2923</v>
      </c>
    </row>
    <row r="260" spans="1:2">
      <c r="A260" s="52">
        <v>44924</v>
      </c>
      <c r="B260">
        <v>5.2667999999999999</v>
      </c>
    </row>
    <row r="261" spans="1:2">
      <c r="A261" s="52">
        <v>44925</v>
      </c>
      <c r="B261">
        <v>5.2846000000000002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27139-1C55-4A0D-8A4F-459860660DBB}">
  <dimension ref="A1:B22"/>
  <sheetViews>
    <sheetView workbookViewId="0">
      <selection activeCell="B6" sqref="B6"/>
    </sheetView>
  </sheetViews>
  <sheetFormatPr defaultRowHeight="15"/>
  <cols>
    <col min="1" max="1" width="36.42578125" bestFit="1" customWidth="1"/>
    <col min="2" max="2" width="21.140625" bestFit="1" customWidth="1"/>
  </cols>
  <sheetData>
    <row r="1" spans="1:2">
      <c r="A1" s="90" t="s">
        <v>168</v>
      </c>
      <c r="B1" s="90" t="s">
        <v>59</v>
      </c>
    </row>
    <row r="2" spans="1:2">
      <c r="A2" s="90" t="s">
        <v>60</v>
      </c>
      <c r="B2" s="90" t="s">
        <v>61</v>
      </c>
    </row>
    <row r="3" spans="1:2">
      <c r="A3" s="90" t="s">
        <v>169</v>
      </c>
      <c r="B3" s="90" t="s">
        <v>70</v>
      </c>
    </row>
    <row r="4" spans="1:2">
      <c r="A4" s="90" t="s">
        <v>170</v>
      </c>
      <c r="B4" s="90" t="s">
        <v>78</v>
      </c>
    </row>
    <row r="5" spans="1:2">
      <c r="A5" s="90" t="s">
        <v>79</v>
      </c>
      <c r="B5" s="90" t="s">
        <v>80</v>
      </c>
    </row>
    <row r="6" spans="1:2">
      <c r="A6" s="90" t="s">
        <v>83</v>
      </c>
      <c r="B6" s="91">
        <v>43469</v>
      </c>
    </row>
    <row r="7" spans="1:2">
      <c r="A7" s="90" t="s">
        <v>97</v>
      </c>
      <c r="B7" s="90">
        <v>100000</v>
      </c>
    </row>
    <row r="8" spans="1:2">
      <c r="A8" s="90" t="s">
        <v>171</v>
      </c>
      <c r="B8" s="93">
        <v>10000</v>
      </c>
    </row>
    <row r="9" spans="1:2">
      <c r="A9" s="90" t="s">
        <v>172</v>
      </c>
      <c r="B9" s="93">
        <v>10271.77</v>
      </c>
    </row>
    <row r="10" spans="1:2">
      <c r="A10" s="90" t="s">
        <v>173</v>
      </c>
      <c r="B10" s="90" t="s">
        <v>174</v>
      </c>
    </row>
    <row r="11" spans="1:2">
      <c r="A11" s="90" t="s">
        <v>175</v>
      </c>
      <c r="B11" s="90" t="s">
        <v>176</v>
      </c>
    </row>
    <row r="12" spans="1:2">
      <c r="A12" s="90" t="s">
        <v>177</v>
      </c>
      <c r="B12" s="94">
        <v>1.1465000000000001</v>
      </c>
    </row>
    <row r="13" spans="1:2">
      <c r="A13" s="90" t="s">
        <v>178</v>
      </c>
      <c r="B13" s="90">
        <v>33.33</v>
      </c>
    </row>
    <row r="14" spans="1:2">
      <c r="A14" s="90" t="s">
        <v>179</v>
      </c>
      <c r="B14" s="90" t="s">
        <v>180</v>
      </c>
    </row>
    <row r="15" spans="1:2">
      <c r="A15" s="90" t="s">
        <v>181</v>
      </c>
      <c r="B15" s="90" t="s">
        <v>131</v>
      </c>
    </row>
    <row r="16" spans="1:2">
      <c r="A16" s="90" t="s">
        <v>182</v>
      </c>
      <c r="B16" s="90" t="s">
        <v>183</v>
      </c>
    </row>
    <row r="17" spans="1:2">
      <c r="A17" s="90" t="s">
        <v>184</v>
      </c>
      <c r="B17" s="90" t="s">
        <v>140</v>
      </c>
    </row>
    <row r="18" spans="1:2">
      <c r="A18" s="90" t="s">
        <v>185</v>
      </c>
      <c r="B18" s="90" t="s">
        <v>156</v>
      </c>
    </row>
    <row r="19" spans="1:2">
      <c r="A19" s="90" t="s">
        <v>186</v>
      </c>
      <c r="B19" s="90" t="s">
        <v>161</v>
      </c>
    </row>
    <row r="20" spans="1:2">
      <c r="A20" s="90" t="s">
        <v>187</v>
      </c>
      <c r="B20" s="90" t="s">
        <v>188</v>
      </c>
    </row>
    <row r="21" spans="1:2">
      <c r="A21" s="90" t="s">
        <v>189</v>
      </c>
      <c r="B21" s="90" t="s">
        <v>190</v>
      </c>
    </row>
    <row r="22" spans="1:2">
      <c r="A22" s="90"/>
      <c r="B22" s="9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A3B18-A8DF-4998-A766-FFC117B78BB7}">
  <dimension ref="A1:H19"/>
  <sheetViews>
    <sheetView workbookViewId="0">
      <selection sqref="A1:XFD1048576"/>
    </sheetView>
  </sheetViews>
  <sheetFormatPr defaultRowHeight="15"/>
  <cols>
    <col min="1" max="1" width="18.42578125" bestFit="1" customWidth="1"/>
    <col min="2" max="2" width="10.140625" bestFit="1" customWidth="1"/>
    <col min="3" max="3" width="8.7109375" bestFit="1" customWidth="1"/>
    <col min="4" max="4" width="11.7109375" bestFit="1" customWidth="1"/>
    <col min="5" max="5" width="15.140625" bestFit="1" customWidth="1"/>
    <col min="6" max="6" width="8.140625" bestFit="1" customWidth="1"/>
    <col min="7" max="7" width="17.5703125" bestFit="1" customWidth="1"/>
    <col min="8" max="8" width="8" bestFit="1" customWidth="1"/>
  </cols>
  <sheetData>
    <row r="1" spans="1:8">
      <c r="A1" s="95" t="s">
        <v>191</v>
      </c>
      <c r="B1" s="95" t="s">
        <v>192</v>
      </c>
      <c r="C1" s="95" t="s">
        <v>193</v>
      </c>
      <c r="D1" s="95" t="s">
        <v>194</v>
      </c>
      <c r="E1" s="95" t="s">
        <v>195</v>
      </c>
      <c r="F1" s="90"/>
      <c r="G1" s="90"/>
      <c r="H1" s="90"/>
    </row>
    <row r="2" spans="1:8">
      <c r="A2" s="96" t="s">
        <v>196</v>
      </c>
      <c r="B2" s="97">
        <v>652267.91</v>
      </c>
      <c r="C2" s="96">
        <v>0</v>
      </c>
      <c r="D2" s="97">
        <v>652267.91</v>
      </c>
      <c r="E2" s="96">
        <v>-10271774.41</v>
      </c>
      <c r="F2" s="90"/>
      <c r="G2" s="90" t="s">
        <v>197</v>
      </c>
      <c r="H2" s="90"/>
    </row>
    <row r="3" spans="1:8">
      <c r="A3" s="98" t="s">
        <v>198</v>
      </c>
      <c r="B3" s="99">
        <v>621865.02</v>
      </c>
      <c r="C3" s="98">
        <v>0</v>
      </c>
      <c r="D3" s="99">
        <v>621865.02</v>
      </c>
      <c r="E3" s="99">
        <v>652267.91</v>
      </c>
      <c r="F3" s="90"/>
      <c r="G3" s="90">
        <v>10271.77441</v>
      </c>
      <c r="H3" s="90"/>
    </row>
    <row r="4" spans="1:8">
      <c r="A4" s="96" t="s">
        <v>199</v>
      </c>
      <c r="B4" s="97">
        <v>596148.84</v>
      </c>
      <c r="C4" s="96">
        <v>0</v>
      </c>
      <c r="D4" s="97">
        <v>596148.84</v>
      </c>
      <c r="E4" s="96">
        <v>621865.02</v>
      </c>
      <c r="F4" s="90"/>
      <c r="G4" s="90"/>
      <c r="H4" s="90"/>
    </row>
    <row r="5" spans="1:8">
      <c r="A5" s="98" t="s">
        <v>200</v>
      </c>
      <c r="B5" s="99">
        <v>627848.04</v>
      </c>
      <c r="C5" s="98">
        <v>0</v>
      </c>
      <c r="D5" s="99">
        <v>627848.04</v>
      </c>
      <c r="E5" s="99">
        <v>596148.84</v>
      </c>
      <c r="F5" s="90"/>
      <c r="G5" s="90">
        <v>1000</v>
      </c>
      <c r="H5" s="90"/>
    </row>
    <row r="6" spans="1:8">
      <c r="A6" s="96" t="s">
        <v>201</v>
      </c>
      <c r="B6" s="97">
        <v>627188.22</v>
      </c>
      <c r="C6" s="96">
        <v>0</v>
      </c>
      <c r="D6" s="97">
        <v>627188.22</v>
      </c>
      <c r="E6" s="96">
        <v>627848.04</v>
      </c>
      <c r="F6" s="90"/>
      <c r="G6" s="90"/>
      <c r="H6" s="90"/>
    </row>
    <row r="7" spans="1:8">
      <c r="A7" s="98" t="s">
        <v>202</v>
      </c>
      <c r="B7" s="99">
        <v>658675.93999999994</v>
      </c>
      <c r="C7" s="98">
        <v>0</v>
      </c>
      <c r="D7" s="99">
        <v>658675.93999999994</v>
      </c>
      <c r="E7" s="99">
        <v>627188.22</v>
      </c>
      <c r="F7" s="90"/>
      <c r="G7" s="90"/>
      <c r="H7" s="90"/>
    </row>
    <row r="8" spans="1:8">
      <c r="A8" s="96" t="s">
        <v>203</v>
      </c>
      <c r="B8" s="97">
        <v>645267.11</v>
      </c>
      <c r="C8" s="96">
        <v>3333000</v>
      </c>
      <c r="D8" s="97">
        <v>3978267.11</v>
      </c>
      <c r="E8" s="96">
        <v>658675.93999999994</v>
      </c>
      <c r="F8" s="90"/>
      <c r="G8" s="90"/>
      <c r="H8" s="90"/>
    </row>
    <row r="9" spans="1:8">
      <c r="A9" s="98" t="s">
        <v>204</v>
      </c>
      <c r="B9" s="99">
        <v>450553.91</v>
      </c>
      <c r="C9" s="98">
        <v>0</v>
      </c>
      <c r="D9" s="99">
        <v>450553.91</v>
      </c>
      <c r="E9" s="99">
        <v>3978267.11</v>
      </c>
      <c r="F9" s="90"/>
      <c r="G9" s="90"/>
      <c r="H9" s="90"/>
    </row>
    <row r="10" spans="1:8">
      <c r="A10" s="96" t="s">
        <v>205</v>
      </c>
      <c r="B10" s="97">
        <v>453345.44</v>
      </c>
      <c r="C10" s="96">
        <v>3333000</v>
      </c>
      <c r="D10" s="97">
        <v>3786345.45</v>
      </c>
      <c r="E10" s="96">
        <v>450553.91</v>
      </c>
      <c r="F10" s="90"/>
      <c r="G10" s="90"/>
      <c r="H10" s="90"/>
    </row>
    <row r="11" spans="1:8">
      <c r="A11" s="98" t="s">
        <v>206</v>
      </c>
      <c r="B11" s="99">
        <v>228537.54</v>
      </c>
      <c r="C11" s="98">
        <v>0</v>
      </c>
      <c r="D11" s="99">
        <v>228537.54</v>
      </c>
      <c r="E11" s="99">
        <v>3786345.45</v>
      </c>
      <c r="F11" s="90"/>
      <c r="G11" s="90"/>
      <c r="H11" s="90"/>
    </row>
    <row r="12" spans="1:8">
      <c r="A12" s="96" t="s">
        <v>207</v>
      </c>
      <c r="B12" s="97">
        <v>218456.01</v>
      </c>
      <c r="C12" s="96">
        <v>3334000</v>
      </c>
      <c r="D12" s="97">
        <v>3552456.01</v>
      </c>
      <c r="E12" s="96">
        <v>228537.54</v>
      </c>
      <c r="F12" s="90"/>
      <c r="G12" s="90" t="s">
        <v>208</v>
      </c>
      <c r="H12" s="90">
        <v>11.1153</v>
      </c>
    </row>
    <row r="13" spans="1:8">
      <c r="A13" s="90"/>
      <c r="B13" s="90"/>
      <c r="C13" s="90"/>
      <c r="D13" s="90"/>
      <c r="E13" s="99">
        <v>3552456.01</v>
      </c>
      <c r="F13" s="90"/>
      <c r="G13" s="94">
        <v>1.1465000000000001</v>
      </c>
      <c r="H13" s="90"/>
    </row>
    <row r="14" spans="1:8">
      <c r="A14" s="90"/>
      <c r="B14" s="90"/>
      <c r="C14" s="90"/>
      <c r="D14" s="95" t="s">
        <v>30</v>
      </c>
      <c r="E14" s="100">
        <v>5.9950000000000003E-2</v>
      </c>
      <c r="F14" s="90"/>
      <c r="G14" s="90"/>
      <c r="H14" s="90"/>
    </row>
    <row r="15" spans="1:8">
      <c r="A15" s="90"/>
      <c r="B15" s="90"/>
      <c r="C15" s="90"/>
      <c r="D15" s="101"/>
      <c r="E15" s="101"/>
      <c r="F15" s="90"/>
      <c r="G15" s="90" t="s">
        <v>209</v>
      </c>
      <c r="H15" s="102">
        <v>0.13</v>
      </c>
    </row>
    <row r="16" spans="1:8">
      <c r="A16" s="90"/>
      <c r="B16" s="90"/>
      <c r="C16" s="90"/>
      <c r="D16" s="90"/>
      <c r="E16" s="90"/>
      <c r="F16" s="94">
        <v>1.1234900000000001</v>
      </c>
      <c r="G16" s="90"/>
      <c r="H16" s="94">
        <v>0.12820000000000001</v>
      </c>
    </row>
    <row r="17" spans="1:8">
      <c r="A17" s="90"/>
      <c r="B17" s="90"/>
      <c r="C17" s="90"/>
      <c r="D17" s="90"/>
      <c r="E17" s="90"/>
      <c r="F17" s="90"/>
      <c r="G17" s="90"/>
      <c r="H17" s="90"/>
    </row>
    <row r="18" spans="1:8">
      <c r="A18" s="90"/>
      <c r="B18" s="90"/>
      <c r="C18" s="90"/>
      <c r="D18" s="90"/>
      <c r="E18" s="90"/>
      <c r="F18" s="94">
        <v>0.119898</v>
      </c>
      <c r="G18" s="94">
        <v>6.1809999999999997E-2</v>
      </c>
      <c r="H18" s="90"/>
    </row>
    <row r="19" spans="1:8">
      <c r="A19" s="90"/>
      <c r="B19" s="90"/>
      <c r="C19" s="90"/>
      <c r="D19" s="90"/>
      <c r="E19" s="90"/>
      <c r="F19" s="90"/>
      <c r="G19" s="90"/>
      <c r="H19" s="9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1B4BC-DE57-4C0A-8D0C-DEDF7D720961}">
  <dimension ref="A1:G26"/>
  <sheetViews>
    <sheetView workbookViewId="0">
      <selection sqref="A1:XFD1048576"/>
    </sheetView>
  </sheetViews>
  <sheetFormatPr defaultRowHeight="15"/>
  <cols>
    <col min="2" max="2" width="18.42578125" bestFit="1" customWidth="1"/>
    <col min="3" max="3" width="10.140625" bestFit="1" customWidth="1"/>
    <col min="4" max="6" width="11.7109375" bestFit="1" customWidth="1"/>
  </cols>
  <sheetData>
    <row r="1" spans="1:7">
      <c r="A1" s="31"/>
      <c r="B1" s="31" t="s">
        <v>191</v>
      </c>
      <c r="C1" s="31" t="s">
        <v>192</v>
      </c>
      <c r="D1" s="31" t="s">
        <v>193</v>
      </c>
      <c r="E1" s="31" t="s">
        <v>194</v>
      </c>
      <c r="F1" s="31"/>
      <c r="G1" s="31"/>
    </row>
    <row r="2" spans="1:7">
      <c r="A2" s="31"/>
      <c r="B2" s="31" t="s">
        <v>210</v>
      </c>
      <c r="C2" s="103">
        <v>347104.34</v>
      </c>
      <c r="D2" s="31">
        <v>0</v>
      </c>
      <c r="E2" s="103">
        <v>347104.34</v>
      </c>
      <c r="F2" s="31">
        <v>-10000000</v>
      </c>
      <c r="G2" s="31"/>
    </row>
    <row r="3" spans="1:7">
      <c r="A3" s="31"/>
      <c r="B3" s="31" t="s">
        <v>211</v>
      </c>
      <c r="C3" s="103">
        <v>372326.95</v>
      </c>
      <c r="D3" s="31">
        <v>0</v>
      </c>
      <c r="E3" s="103">
        <v>372326.95</v>
      </c>
      <c r="F3" s="103">
        <v>347104.34</v>
      </c>
      <c r="G3" s="31"/>
    </row>
    <row r="4" spans="1:7">
      <c r="A4" s="31"/>
      <c r="B4" s="31" t="s">
        <v>212</v>
      </c>
      <c r="C4" s="103">
        <v>428401.25</v>
      </c>
      <c r="D4" s="31">
        <v>0</v>
      </c>
      <c r="E4" s="103">
        <v>428401.25</v>
      </c>
      <c r="F4" s="103">
        <v>372326.95</v>
      </c>
      <c r="G4" s="31"/>
    </row>
    <row r="5" spans="1:7">
      <c r="A5" s="31"/>
      <c r="B5" s="31" t="s">
        <v>213</v>
      </c>
      <c r="C5" s="103">
        <v>462814.66</v>
      </c>
      <c r="D5" s="31">
        <v>0</v>
      </c>
      <c r="E5" s="103">
        <v>462814.66</v>
      </c>
      <c r="F5" s="103">
        <v>428401.25</v>
      </c>
      <c r="G5" s="31"/>
    </row>
    <row r="6" spans="1:7">
      <c r="A6" s="31"/>
      <c r="B6" s="31" t="s">
        <v>214</v>
      </c>
      <c r="C6" s="103">
        <v>505986.59</v>
      </c>
      <c r="D6" s="31">
        <v>0</v>
      </c>
      <c r="E6" s="103">
        <v>505986.59</v>
      </c>
      <c r="F6" s="103">
        <v>462814.66</v>
      </c>
      <c r="G6" s="31"/>
    </row>
    <row r="7" spans="1:7">
      <c r="A7" s="31"/>
      <c r="B7" s="31" t="s">
        <v>215</v>
      </c>
      <c r="C7" s="103">
        <v>510990.89</v>
      </c>
      <c r="D7" s="31">
        <v>0</v>
      </c>
      <c r="E7" s="103">
        <v>510990.89</v>
      </c>
      <c r="F7" s="103">
        <v>505986.59</v>
      </c>
      <c r="G7" s="31"/>
    </row>
    <row r="8" spans="1:7">
      <c r="A8" s="31"/>
      <c r="B8" s="31" t="s">
        <v>216</v>
      </c>
      <c r="C8" s="103">
        <v>532065.94999999995</v>
      </c>
      <c r="D8" s="31">
        <v>0</v>
      </c>
      <c r="E8" s="103">
        <v>532065.94999999995</v>
      </c>
      <c r="F8" s="103">
        <v>510990.89</v>
      </c>
      <c r="G8" s="31"/>
    </row>
    <row r="9" spans="1:7">
      <c r="A9" s="31"/>
      <c r="B9" s="31" t="s">
        <v>217</v>
      </c>
      <c r="C9" s="103">
        <v>540758.85</v>
      </c>
      <c r="D9" s="31">
        <v>0</v>
      </c>
      <c r="E9" s="103">
        <v>540758.85</v>
      </c>
      <c r="F9" s="103">
        <v>532065.94999999995</v>
      </c>
      <c r="G9" s="31"/>
    </row>
    <row r="10" spans="1:7">
      <c r="A10" s="31"/>
      <c r="B10" s="31" t="s">
        <v>218</v>
      </c>
      <c r="C10" s="103">
        <v>537408.64</v>
      </c>
      <c r="D10" s="31">
        <v>0</v>
      </c>
      <c r="E10" s="103">
        <v>537408.64</v>
      </c>
      <c r="F10" s="103">
        <v>540758.85</v>
      </c>
      <c r="G10" s="31"/>
    </row>
    <row r="11" spans="1:7">
      <c r="A11" s="31"/>
      <c r="B11" s="31" t="s">
        <v>196</v>
      </c>
      <c r="C11" s="103">
        <v>541034.74</v>
      </c>
      <c r="D11" s="31">
        <v>0</v>
      </c>
      <c r="E11" s="103">
        <v>541034.74</v>
      </c>
      <c r="F11" s="103">
        <v>537408.64</v>
      </c>
      <c r="G11" s="31"/>
    </row>
    <row r="12" spans="1:7">
      <c r="A12" s="31"/>
      <c r="B12" s="31" t="s">
        <v>198</v>
      </c>
      <c r="C12" s="103">
        <v>556385.75</v>
      </c>
      <c r="D12" s="31">
        <v>0</v>
      </c>
      <c r="E12" s="103">
        <v>556385.75</v>
      </c>
      <c r="F12" s="103">
        <v>541034.74</v>
      </c>
      <c r="G12" s="31"/>
    </row>
    <row r="13" spans="1:7">
      <c r="A13" s="31"/>
      <c r="B13" s="31" t="s">
        <v>199</v>
      </c>
      <c r="C13" s="103">
        <v>547457.17000000004</v>
      </c>
      <c r="D13" s="31">
        <v>0</v>
      </c>
      <c r="E13" s="103">
        <v>547457.17000000004</v>
      </c>
      <c r="F13" s="103">
        <v>556385.75</v>
      </c>
      <c r="G13" s="31"/>
    </row>
    <row r="14" spans="1:7">
      <c r="A14" s="31"/>
      <c r="B14" s="31" t="s">
        <v>200</v>
      </c>
      <c r="C14" s="103">
        <v>567655.14</v>
      </c>
      <c r="D14" s="31">
        <v>0</v>
      </c>
      <c r="E14" s="103">
        <v>567655.14</v>
      </c>
      <c r="F14" s="103">
        <v>547457.17000000004</v>
      </c>
      <c r="G14" s="31"/>
    </row>
    <row r="15" spans="1:7">
      <c r="A15" s="31"/>
      <c r="B15" s="31" t="s">
        <v>201</v>
      </c>
      <c r="C15" s="103">
        <v>557721.82999999996</v>
      </c>
      <c r="D15" s="31">
        <v>0</v>
      </c>
      <c r="E15" s="103">
        <v>557721.82999999996</v>
      </c>
      <c r="F15" s="103">
        <v>567655.14</v>
      </c>
      <c r="G15" s="31"/>
    </row>
    <row r="16" spans="1:7">
      <c r="A16" s="31"/>
      <c r="B16" s="31" t="s">
        <v>202</v>
      </c>
      <c r="C16" s="103">
        <v>558447.22</v>
      </c>
      <c r="D16" s="31">
        <v>0</v>
      </c>
      <c r="E16" s="103">
        <v>558447.22</v>
      </c>
      <c r="F16" s="103">
        <v>557721.82999999996</v>
      </c>
      <c r="G16" s="31"/>
    </row>
    <row r="17" spans="1:7">
      <c r="A17" s="31"/>
      <c r="B17" s="31" t="s">
        <v>203</v>
      </c>
      <c r="C17" s="103">
        <v>565852.74</v>
      </c>
      <c r="D17" s="103">
        <v>3333000</v>
      </c>
      <c r="E17" s="103">
        <v>3898852.74</v>
      </c>
      <c r="F17" s="103">
        <v>558447.22</v>
      </c>
      <c r="G17" s="31"/>
    </row>
    <row r="18" spans="1:7">
      <c r="A18" s="31"/>
      <c r="B18" s="31" t="s">
        <v>204</v>
      </c>
      <c r="C18" s="103">
        <v>375711.56</v>
      </c>
      <c r="D18" s="31">
        <v>0</v>
      </c>
      <c r="E18" s="103">
        <v>375711.56</v>
      </c>
      <c r="F18" s="103">
        <v>3898852.74</v>
      </c>
      <c r="G18" s="31"/>
    </row>
    <row r="19" spans="1:7">
      <c r="A19" s="31"/>
      <c r="B19" s="31" t="s">
        <v>205</v>
      </c>
      <c r="C19" s="103">
        <v>373773.32</v>
      </c>
      <c r="D19" s="103">
        <v>3333000</v>
      </c>
      <c r="E19" s="103">
        <v>3706773.32</v>
      </c>
      <c r="F19" s="103">
        <v>375711.56</v>
      </c>
      <c r="G19" s="31"/>
    </row>
    <row r="20" spans="1:7">
      <c r="A20" s="31"/>
      <c r="B20" s="31" t="s">
        <v>206</v>
      </c>
      <c r="C20" s="103">
        <v>179787.66</v>
      </c>
      <c r="D20" s="31">
        <v>0</v>
      </c>
      <c r="E20" s="103">
        <v>179787.66</v>
      </c>
      <c r="F20" s="103">
        <v>3706773.32</v>
      </c>
      <c r="G20" s="31"/>
    </row>
    <row r="21" spans="1:7">
      <c r="A21" s="31"/>
      <c r="B21" s="31" t="s">
        <v>207</v>
      </c>
      <c r="C21" s="103">
        <v>178492.46</v>
      </c>
      <c r="D21" s="103">
        <v>3334000</v>
      </c>
      <c r="E21" s="103">
        <v>3512492.46</v>
      </c>
      <c r="F21" s="103">
        <v>179787.66</v>
      </c>
      <c r="G21" s="31"/>
    </row>
    <row r="22" spans="1:7">
      <c r="A22" s="31"/>
      <c r="B22" s="31"/>
      <c r="C22" s="31"/>
      <c r="D22" s="31"/>
      <c r="E22" s="31"/>
      <c r="F22" s="103">
        <v>3512492.46</v>
      </c>
      <c r="G22" s="31"/>
    </row>
    <row r="23" spans="1:7">
      <c r="A23" s="31"/>
      <c r="B23" s="31"/>
      <c r="C23" s="31"/>
      <c r="D23" s="31"/>
      <c r="E23" s="31"/>
      <c r="F23" s="104">
        <v>4.9886100000000003E-2</v>
      </c>
      <c r="G23" s="31"/>
    </row>
    <row r="24" spans="1:7">
      <c r="A24" s="31"/>
      <c r="B24" s="31"/>
      <c r="C24" s="31"/>
      <c r="D24" s="31"/>
      <c r="E24" s="31"/>
      <c r="F24" s="31"/>
      <c r="G24" s="31"/>
    </row>
    <row r="25" spans="1:7">
      <c r="A25" s="31"/>
      <c r="B25" s="31"/>
      <c r="C25" s="31"/>
      <c r="D25" s="31"/>
      <c r="E25" s="31"/>
      <c r="F25" s="31"/>
      <c r="G25" s="31"/>
    </row>
    <row r="26" spans="1:7">
      <c r="A26" s="31"/>
      <c r="B26" s="31"/>
      <c r="C26" s="31"/>
      <c r="D26" s="31"/>
      <c r="E26" s="31"/>
      <c r="F26" s="31"/>
      <c r="G26" s="3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E1194-89DC-407E-B3AC-6250E3995576}">
  <dimension ref="A1:N26"/>
  <sheetViews>
    <sheetView workbookViewId="0">
      <selection activeCell="D9" sqref="D9"/>
    </sheetView>
  </sheetViews>
  <sheetFormatPr defaultRowHeight="15"/>
  <cols>
    <col min="1" max="1" width="14.7109375" bestFit="1" customWidth="1"/>
    <col min="2" max="2" width="16.5703125" bestFit="1" customWidth="1"/>
    <col min="3" max="3" width="16.28515625" bestFit="1" customWidth="1"/>
    <col min="4" max="4" width="9.7109375" bestFit="1" customWidth="1"/>
    <col min="5" max="5" width="22" bestFit="1" customWidth="1"/>
    <col min="6" max="8" width="9.7109375" bestFit="1" customWidth="1"/>
    <col min="9" max="9" width="16.85546875" bestFit="1" customWidth="1"/>
    <col min="10" max="14" width="9.7109375" bestFit="1" customWidth="1"/>
  </cols>
  <sheetData>
    <row r="1" spans="1:14">
      <c r="A1" s="105" t="s">
        <v>219</v>
      </c>
      <c r="B1" s="105" t="s">
        <v>191</v>
      </c>
      <c r="C1" s="105" t="s">
        <v>192</v>
      </c>
      <c r="D1" s="105" t="s">
        <v>193</v>
      </c>
      <c r="E1" s="105" t="s">
        <v>194</v>
      </c>
      <c r="F1" s="106"/>
      <c r="G1" s="106"/>
      <c r="H1" s="90"/>
      <c r="I1" s="90"/>
      <c r="J1" s="90"/>
      <c r="K1" s="90"/>
      <c r="L1" s="90"/>
      <c r="M1" s="90"/>
      <c r="N1" s="90"/>
    </row>
    <row r="2" spans="1:14">
      <c r="A2" s="107" t="s">
        <v>220</v>
      </c>
      <c r="B2" s="108">
        <v>43469</v>
      </c>
      <c r="C2" s="107">
        <v>0</v>
      </c>
      <c r="D2" s="107">
        <v>0</v>
      </c>
      <c r="E2" s="107">
        <v>10000</v>
      </c>
      <c r="F2" s="90"/>
      <c r="G2" s="90"/>
      <c r="H2" s="90"/>
      <c r="I2" s="90"/>
      <c r="J2" s="90"/>
      <c r="K2" s="90"/>
      <c r="L2" s="90"/>
      <c r="M2" s="90"/>
      <c r="N2" s="90"/>
    </row>
    <row r="3" spans="1:14">
      <c r="A3" s="109" t="s">
        <v>221</v>
      </c>
      <c r="B3" s="109" t="s">
        <v>140</v>
      </c>
      <c r="C3" s="109" t="s">
        <v>222</v>
      </c>
      <c r="D3" s="109">
        <v>0</v>
      </c>
      <c r="E3" s="109" t="s">
        <v>222</v>
      </c>
      <c r="F3" s="90"/>
      <c r="G3" s="90"/>
      <c r="H3" s="90"/>
      <c r="I3" s="90"/>
      <c r="J3" s="90"/>
      <c r="K3" s="90"/>
      <c r="L3" s="90"/>
      <c r="M3" s="90"/>
      <c r="N3" s="90"/>
    </row>
    <row r="4" spans="1:14">
      <c r="A4" s="107" t="s">
        <v>223</v>
      </c>
      <c r="B4" s="107" t="s">
        <v>224</v>
      </c>
      <c r="C4" s="107" t="s">
        <v>222</v>
      </c>
      <c r="D4" s="107">
        <v>0</v>
      </c>
      <c r="E4" s="107" t="s">
        <v>222</v>
      </c>
      <c r="F4" s="90"/>
      <c r="G4" s="90"/>
      <c r="H4" s="90"/>
      <c r="I4" s="90"/>
      <c r="J4" s="90"/>
      <c r="K4" s="90"/>
      <c r="L4" s="90"/>
      <c r="M4" s="90"/>
      <c r="N4" s="90"/>
    </row>
    <row r="5" spans="1:14">
      <c r="A5" s="109" t="s">
        <v>225</v>
      </c>
      <c r="B5" s="109" t="s">
        <v>226</v>
      </c>
      <c r="C5" s="109" t="s">
        <v>222</v>
      </c>
      <c r="D5" s="109">
        <v>0</v>
      </c>
      <c r="E5" s="109" t="s">
        <v>222</v>
      </c>
      <c r="F5" s="90"/>
      <c r="G5" s="90"/>
      <c r="H5" s="90"/>
      <c r="I5" s="90"/>
      <c r="J5" s="90"/>
      <c r="K5" s="90">
        <v>2520</v>
      </c>
      <c r="L5" s="90"/>
      <c r="M5" s="90"/>
      <c r="N5" s="90"/>
    </row>
    <row r="6" spans="1:14">
      <c r="A6" s="107" t="s">
        <v>227</v>
      </c>
      <c r="B6" s="107" t="s">
        <v>228</v>
      </c>
      <c r="C6" s="107" t="s">
        <v>222</v>
      </c>
      <c r="D6" s="107">
        <v>0</v>
      </c>
      <c r="E6" s="107" t="s">
        <v>222</v>
      </c>
      <c r="F6" s="90"/>
      <c r="G6" s="90"/>
      <c r="H6" s="90"/>
      <c r="I6" s="90"/>
      <c r="J6" s="90"/>
      <c r="K6" s="90"/>
      <c r="L6" s="90"/>
      <c r="M6" s="90"/>
      <c r="N6" s="90">
        <v>126</v>
      </c>
    </row>
    <row r="7" spans="1:14">
      <c r="A7" s="109" t="s">
        <v>229</v>
      </c>
      <c r="B7" s="109" t="s">
        <v>230</v>
      </c>
      <c r="C7" s="109" t="s">
        <v>222</v>
      </c>
      <c r="D7" s="109">
        <v>0</v>
      </c>
      <c r="E7" s="109" t="s">
        <v>222</v>
      </c>
      <c r="F7" s="90"/>
      <c r="G7" s="90"/>
      <c r="H7" s="90"/>
      <c r="I7" s="90"/>
      <c r="J7" s="90"/>
      <c r="K7" s="90"/>
      <c r="L7" s="90"/>
      <c r="M7" s="90"/>
      <c r="N7" s="90"/>
    </row>
    <row r="8" spans="1:14">
      <c r="A8" s="107" t="s">
        <v>231</v>
      </c>
      <c r="B8" s="107" t="s">
        <v>232</v>
      </c>
      <c r="C8" s="107" t="s">
        <v>222</v>
      </c>
      <c r="D8" s="107">
        <v>0</v>
      </c>
      <c r="E8" s="107" t="s">
        <v>222</v>
      </c>
      <c r="F8" s="90"/>
      <c r="G8" s="90"/>
      <c r="H8" s="90"/>
      <c r="I8" s="90"/>
      <c r="J8" s="90"/>
      <c r="K8" s="90"/>
      <c r="L8" s="90"/>
      <c r="M8" s="90"/>
      <c r="N8" s="90">
        <v>378</v>
      </c>
    </row>
    <row r="9" spans="1:14">
      <c r="A9" s="109" t="s">
        <v>233</v>
      </c>
      <c r="B9" s="109" t="s">
        <v>234</v>
      </c>
      <c r="C9" s="109" t="s">
        <v>222</v>
      </c>
      <c r="D9" s="109">
        <v>0</v>
      </c>
      <c r="E9" s="109" t="s">
        <v>222</v>
      </c>
      <c r="F9" s="90"/>
      <c r="G9" s="90"/>
      <c r="H9" s="90"/>
      <c r="I9" s="90"/>
      <c r="J9" s="90"/>
      <c r="K9" s="90"/>
      <c r="L9" s="90"/>
      <c r="M9" s="90"/>
      <c r="N9" s="90"/>
    </row>
    <row r="10" spans="1:14">
      <c r="A10" s="107" t="s">
        <v>235</v>
      </c>
      <c r="B10" s="107" t="s">
        <v>236</v>
      </c>
      <c r="C10" s="107" t="s">
        <v>222</v>
      </c>
      <c r="D10" s="107">
        <v>0</v>
      </c>
      <c r="E10" s="107" t="s">
        <v>222</v>
      </c>
      <c r="F10" s="90"/>
      <c r="G10" s="90"/>
      <c r="H10" s="90"/>
      <c r="I10" s="90"/>
      <c r="J10" s="90"/>
      <c r="K10" s="90"/>
      <c r="L10" s="90"/>
      <c r="M10" s="90"/>
      <c r="N10" s="90"/>
    </row>
    <row r="11" spans="1:14">
      <c r="A11" s="109" t="s">
        <v>237</v>
      </c>
      <c r="B11" s="109" t="s">
        <v>238</v>
      </c>
      <c r="C11" s="109" t="s">
        <v>222</v>
      </c>
      <c r="D11" s="109">
        <v>0</v>
      </c>
      <c r="E11" s="109" t="s">
        <v>222</v>
      </c>
      <c r="F11" s="90"/>
      <c r="G11" s="90"/>
      <c r="H11" s="90"/>
      <c r="I11" s="90" t="s">
        <v>239</v>
      </c>
      <c r="J11" s="94">
        <v>0.13150000000000001</v>
      </c>
      <c r="K11" s="90"/>
      <c r="L11" s="90"/>
      <c r="M11" s="90"/>
      <c r="N11" s="90"/>
    </row>
    <row r="12" spans="1:14">
      <c r="A12" s="107" t="s">
        <v>240</v>
      </c>
      <c r="B12" s="107" t="s">
        <v>241</v>
      </c>
      <c r="C12" s="107" t="s">
        <v>222</v>
      </c>
      <c r="D12" s="107">
        <v>0</v>
      </c>
      <c r="E12" s="107" t="s">
        <v>222</v>
      </c>
      <c r="F12" s="90"/>
      <c r="G12" s="90"/>
      <c r="H12" s="90"/>
      <c r="I12" s="90" t="s">
        <v>242</v>
      </c>
      <c r="J12" s="90">
        <v>10000</v>
      </c>
      <c r="K12" s="90"/>
      <c r="L12" s="90"/>
      <c r="M12" s="90"/>
      <c r="N12" s="90"/>
    </row>
    <row r="13" spans="1:14">
      <c r="A13" s="109" t="s">
        <v>243</v>
      </c>
      <c r="B13" s="109" t="s">
        <v>244</v>
      </c>
      <c r="C13" s="109" t="s">
        <v>222</v>
      </c>
      <c r="D13" s="109">
        <v>0</v>
      </c>
      <c r="E13" s="109" t="s">
        <v>222</v>
      </c>
      <c r="F13" s="90"/>
      <c r="G13" s="90"/>
      <c r="H13" s="90"/>
      <c r="I13" s="90" t="s">
        <v>245</v>
      </c>
      <c r="J13" s="90">
        <v>753.82</v>
      </c>
      <c r="K13" s="90"/>
      <c r="L13" s="90"/>
      <c r="M13" s="90"/>
      <c r="N13" s="90"/>
    </row>
    <row r="14" spans="1:14">
      <c r="A14" s="107" t="s">
        <v>246</v>
      </c>
      <c r="B14" s="107" t="s">
        <v>247</v>
      </c>
      <c r="C14" s="107" t="s">
        <v>222</v>
      </c>
      <c r="D14" s="107">
        <v>0</v>
      </c>
      <c r="E14" s="107" t="s">
        <v>222</v>
      </c>
      <c r="F14" s="90"/>
      <c r="G14" s="90"/>
      <c r="H14" s="90"/>
      <c r="I14" s="90"/>
      <c r="J14" s="90"/>
      <c r="K14" s="90"/>
      <c r="L14" s="90"/>
      <c r="M14" s="90"/>
      <c r="N14" s="90"/>
    </row>
    <row r="15" spans="1:14">
      <c r="A15" s="109" t="s">
        <v>248</v>
      </c>
      <c r="B15" s="109" t="s">
        <v>249</v>
      </c>
      <c r="C15" s="109" t="s">
        <v>222</v>
      </c>
      <c r="D15" s="109">
        <v>0</v>
      </c>
      <c r="E15" s="109" t="s">
        <v>222</v>
      </c>
      <c r="F15" s="90"/>
      <c r="G15" s="90"/>
      <c r="H15" s="90"/>
      <c r="I15" s="90"/>
      <c r="J15" s="90"/>
      <c r="K15" s="90"/>
      <c r="L15" s="90"/>
      <c r="M15" s="90"/>
      <c r="N15" s="90"/>
    </row>
    <row r="16" spans="1:14">
      <c r="A16" s="107" t="s">
        <v>250</v>
      </c>
      <c r="B16" s="107" t="s">
        <v>251</v>
      </c>
      <c r="C16" s="107" t="s">
        <v>222</v>
      </c>
      <c r="D16" s="107">
        <v>0</v>
      </c>
      <c r="E16" s="107" t="s">
        <v>222</v>
      </c>
      <c r="F16" s="90"/>
      <c r="G16" s="90"/>
      <c r="H16" s="90"/>
      <c r="I16" s="90"/>
      <c r="J16" s="90"/>
      <c r="K16" s="90"/>
      <c r="L16" s="90"/>
      <c r="M16" s="90"/>
      <c r="N16" s="90"/>
    </row>
    <row r="17" spans="1:14">
      <c r="A17" s="109" t="s">
        <v>252</v>
      </c>
      <c r="B17" s="109" t="s">
        <v>253</v>
      </c>
      <c r="C17" s="109" t="s">
        <v>222</v>
      </c>
      <c r="D17" s="109">
        <v>0</v>
      </c>
      <c r="E17" s="109" t="s">
        <v>222</v>
      </c>
      <c r="F17" s="90"/>
      <c r="G17" s="90"/>
      <c r="H17" s="90"/>
      <c r="I17" s="90"/>
      <c r="J17" s="90"/>
      <c r="K17" s="90"/>
      <c r="L17" s="90"/>
      <c r="M17" s="90"/>
      <c r="N17" s="90"/>
    </row>
    <row r="18" spans="1:14">
      <c r="A18" s="107" t="s">
        <v>254</v>
      </c>
      <c r="B18" s="107" t="s">
        <v>131</v>
      </c>
      <c r="C18" s="107" t="s">
        <v>222</v>
      </c>
      <c r="D18" s="107">
        <v>3333</v>
      </c>
      <c r="E18" s="107" t="s">
        <v>255</v>
      </c>
      <c r="F18" s="90"/>
      <c r="G18" s="90"/>
      <c r="H18" s="90"/>
      <c r="I18" s="90"/>
      <c r="J18" s="90"/>
      <c r="K18" s="90"/>
      <c r="L18" s="90"/>
      <c r="M18" s="90"/>
      <c r="N18" s="90"/>
    </row>
    <row r="19" spans="1:14">
      <c r="A19" s="109" t="s">
        <v>256</v>
      </c>
      <c r="B19" s="109" t="s">
        <v>257</v>
      </c>
      <c r="C19" s="109" t="s">
        <v>258</v>
      </c>
      <c r="D19" s="109">
        <v>0</v>
      </c>
      <c r="E19" s="109" t="s">
        <v>258</v>
      </c>
      <c r="F19" s="90"/>
      <c r="G19" s="90"/>
      <c r="H19" s="90"/>
      <c r="I19" s="90"/>
      <c r="J19" s="90"/>
      <c r="K19" s="90"/>
      <c r="L19" s="90"/>
      <c r="M19" s="90"/>
      <c r="N19" s="90"/>
    </row>
    <row r="20" spans="1:14">
      <c r="A20" s="107" t="s">
        <v>259</v>
      </c>
      <c r="B20" s="107" t="s">
        <v>260</v>
      </c>
      <c r="C20" s="107" t="s">
        <v>258</v>
      </c>
      <c r="D20" s="107">
        <v>3333</v>
      </c>
      <c r="E20" s="107" t="s">
        <v>261</v>
      </c>
      <c r="F20" s="90"/>
      <c r="G20" s="90"/>
      <c r="H20" s="90"/>
      <c r="I20" s="90"/>
      <c r="J20" s="90"/>
      <c r="K20" s="90"/>
      <c r="L20" s="90"/>
      <c r="M20" s="90"/>
      <c r="N20" s="90"/>
    </row>
    <row r="21" spans="1:14">
      <c r="A21" s="109" t="s">
        <v>262</v>
      </c>
      <c r="B21" s="109" t="s">
        <v>263</v>
      </c>
      <c r="C21" s="109" t="s">
        <v>264</v>
      </c>
      <c r="D21" s="109">
        <v>0</v>
      </c>
      <c r="E21" s="109" t="s">
        <v>264</v>
      </c>
      <c r="F21" s="90"/>
      <c r="G21" s="90"/>
      <c r="H21" s="90"/>
      <c r="I21" s="90"/>
      <c r="J21" s="90"/>
      <c r="K21" s="90"/>
      <c r="L21" s="90"/>
      <c r="M21" s="90"/>
      <c r="N21" s="90"/>
    </row>
    <row r="22" spans="1:14">
      <c r="A22" s="107" t="s">
        <v>265</v>
      </c>
      <c r="B22" s="107" t="s">
        <v>80</v>
      </c>
      <c r="C22" s="107" t="s">
        <v>264</v>
      </c>
      <c r="D22" s="107">
        <v>3333</v>
      </c>
      <c r="E22" s="107" t="s">
        <v>266</v>
      </c>
      <c r="F22" s="90"/>
      <c r="G22" s="90"/>
      <c r="H22" s="90"/>
      <c r="I22" s="90"/>
      <c r="J22" s="90"/>
      <c r="K22" s="90"/>
      <c r="L22" s="90"/>
      <c r="M22" s="90"/>
      <c r="N22" s="90"/>
    </row>
    <row r="23" spans="1:14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</row>
    <row r="24" spans="1:14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</row>
    <row r="25" spans="1:14">
      <c r="A25" s="90"/>
      <c r="B25" s="90"/>
      <c r="C25" s="90" t="s">
        <v>140</v>
      </c>
      <c r="D25" s="90" t="s">
        <v>224</v>
      </c>
      <c r="E25" s="90" t="s">
        <v>226</v>
      </c>
      <c r="F25" s="90" t="s">
        <v>228</v>
      </c>
      <c r="G25" s="90" t="s">
        <v>230</v>
      </c>
      <c r="H25" s="90" t="s">
        <v>232</v>
      </c>
      <c r="I25" s="90" t="s">
        <v>234</v>
      </c>
      <c r="J25" s="90" t="s">
        <v>236</v>
      </c>
      <c r="K25" s="90" t="s">
        <v>238</v>
      </c>
      <c r="L25" s="90" t="s">
        <v>241</v>
      </c>
      <c r="M25" s="90" t="s">
        <v>244</v>
      </c>
      <c r="N25" s="90" t="s">
        <v>247</v>
      </c>
    </row>
    <row r="26" spans="1:14">
      <c r="A26" s="90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7E43F-8371-417D-9310-734AF8C454FE}">
  <dimension ref="A1:I23"/>
  <sheetViews>
    <sheetView workbookViewId="0">
      <selection activeCell="C6" sqref="C6"/>
    </sheetView>
  </sheetViews>
  <sheetFormatPr defaultRowHeight="15"/>
  <cols>
    <col min="1" max="1" width="14.7109375" bestFit="1" customWidth="1"/>
    <col min="2" max="2" width="16.5703125" bestFit="1" customWidth="1"/>
    <col min="3" max="3" width="10.42578125" bestFit="1" customWidth="1"/>
    <col min="4" max="4" width="10.5703125" bestFit="1" customWidth="1"/>
    <col min="5" max="5" width="10.42578125" bestFit="1" customWidth="1"/>
    <col min="6" max="6" width="12.28515625" bestFit="1" customWidth="1"/>
    <col min="7" max="7" width="10.7109375" bestFit="1" customWidth="1"/>
    <col min="9" max="9" width="6.140625" bestFit="1" customWidth="1"/>
  </cols>
  <sheetData>
    <row r="1" spans="1:9" ht="24.75">
      <c r="A1" s="110" t="s">
        <v>219</v>
      </c>
      <c r="B1" s="111" t="s">
        <v>191</v>
      </c>
      <c r="C1" s="111" t="s">
        <v>192</v>
      </c>
      <c r="D1" s="111" t="s">
        <v>267</v>
      </c>
      <c r="E1" s="111" t="s">
        <v>194</v>
      </c>
      <c r="F1" s="111" t="s">
        <v>268</v>
      </c>
      <c r="G1" s="111" t="s">
        <v>269</v>
      </c>
      <c r="H1" s="90"/>
      <c r="I1" s="90"/>
    </row>
    <row r="2" spans="1:9">
      <c r="A2" s="107" t="s">
        <v>220</v>
      </c>
      <c r="B2" s="108">
        <v>43469</v>
      </c>
      <c r="C2" s="107">
        <v>0</v>
      </c>
      <c r="D2" s="107">
        <v>0</v>
      </c>
      <c r="E2" s="107">
        <v>0</v>
      </c>
      <c r="F2" s="107">
        <v>10000</v>
      </c>
      <c r="G2" s="112">
        <v>6.4000000000000001E-2</v>
      </c>
      <c r="H2" s="90"/>
      <c r="I2" s="90"/>
    </row>
    <row r="3" spans="1:9">
      <c r="A3" s="109" t="s">
        <v>221</v>
      </c>
      <c r="B3" s="109" t="s">
        <v>140</v>
      </c>
      <c r="C3" s="109">
        <v>309.55500000000001</v>
      </c>
      <c r="D3" s="109">
        <v>0</v>
      </c>
      <c r="E3" s="109">
        <v>10309.555</v>
      </c>
      <c r="F3" s="109">
        <v>10000</v>
      </c>
      <c r="G3" s="113">
        <v>5.3999999999999999E-2</v>
      </c>
      <c r="H3" s="90"/>
      <c r="I3" s="90"/>
    </row>
    <row r="4" spans="1:9">
      <c r="A4" s="107" t="s">
        <v>223</v>
      </c>
      <c r="B4" s="107" t="s">
        <v>224</v>
      </c>
      <c r="C4" s="107">
        <v>209.23625000000001</v>
      </c>
      <c r="D4" s="107">
        <v>0</v>
      </c>
      <c r="E4" s="107">
        <v>10209.23625</v>
      </c>
      <c r="F4" s="107">
        <v>10000</v>
      </c>
      <c r="G4" s="112">
        <v>3.6499999999999998E-2</v>
      </c>
      <c r="H4" s="90"/>
      <c r="I4" s="90"/>
    </row>
    <row r="5" spans="1:9">
      <c r="A5" s="109" t="s">
        <v>225</v>
      </c>
      <c r="B5" s="109" t="s">
        <v>226</v>
      </c>
      <c r="C5" s="109">
        <v>108.9175</v>
      </c>
      <c r="D5" s="109">
        <v>0</v>
      </c>
      <c r="E5" s="109">
        <v>10108.9175</v>
      </c>
      <c r="F5" s="109">
        <v>10000</v>
      </c>
      <c r="G5" s="113">
        <v>1.9E-2</v>
      </c>
      <c r="H5" s="90"/>
      <c r="I5" s="90"/>
    </row>
    <row r="6" spans="1:9">
      <c r="A6" s="107" t="s">
        <v>227</v>
      </c>
      <c r="B6" s="107" t="s">
        <v>228</v>
      </c>
      <c r="C6" s="107">
        <v>151.91125</v>
      </c>
      <c r="D6" s="107">
        <v>0</v>
      </c>
      <c r="E6" s="107">
        <v>10151.911249999999</v>
      </c>
      <c r="F6" s="107">
        <v>10000</v>
      </c>
      <c r="G6" s="112">
        <v>2.6499999999999999E-2</v>
      </c>
      <c r="H6" s="90"/>
      <c r="I6" s="90"/>
    </row>
    <row r="7" spans="1:9">
      <c r="A7" s="109" t="s">
        <v>229</v>
      </c>
      <c r="B7" s="109" t="s">
        <v>230</v>
      </c>
      <c r="C7" s="109">
        <v>295.22375</v>
      </c>
      <c r="D7" s="109">
        <v>0</v>
      </c>
      <c r="E7" s="109">
        <v>10295.223749999999</v>
      </c>
      <c r="F7" s="109">
        <v>10000</v>
      </c>
      <c r="G7" s="113">
        <v>5.1499999999999997E-2</v>
      </c>
      <c r="H7" s="90"/>
      <c r="I7" s="90"/>
    </row>
    <row r="8" spans="1:9">
      <c r="A8" s="107" t="s">
        <v>231</v>
      </c>
      <c r="B8" s="107" t="s">
        <v>232</v>
      </c>
      <c r="C8" s="107">
        <v>667.83624999999995</v>
      </c>
      <c r="D8" s="107">
        <v>0</v>
      </c>
      <c r="E8" s="107">
        <v>10667.83625</v>
      </c>
      <c r="F8" s="107">
        <v>10000</v>
      </c>
      <c r="G8" s="112">
        <v>0.11650000000000001</v>
      </c>
      <c r="H8" s="90"/>
      <c r="I8" s="90"/>
    </row>
    <row r="9" spans="1:9">
      <c r="A9" s="109" t="s">
        <v>233</v>
      </c>
      <c r="B9" s="109" t="s">
        <v>234</v>
      </c>
      <c r="C9" s="109">
        <v>782.48625000000004</v>
      </c>
      <c r="D9" s="109">
        <v>0</v>
      </c>
      <c r="E9" s="109">
        <v>10782.48625</v>
      </c>
      <c r="F9" s="109">
        <v>10000</v>
      </c>
      <c r="G9" s="113">
        <v>0.13650000000000001</v>
      </c>
      <c r="H9" s="90"/>
      <c r="I9" s="90"/>
    </row>
    <row r="10" spans="1:9">
      <c r="A10" s="107" t="s">
        <v>235</v>
      </c>
      <c r="B10" s="107" t="s">
        <v>236</v>
      </c>
      <c r="C10" s="107">
        <v>782.48625000000004</v>
      </c>
      <c r="D10" s="107">
        <v>0</v>
      </c>
      <c r="E10" s="107">
        <v>10782.48625</v>
      </c>
      <c r="F10" s="107">
        <v>10000</v>
      </c>
      <c r="G10" s="112">
        <v>0.13650000000000001</v>
      </c>
      <c r="H10" s="90"/>
      <c r="I10" s="90"/>
    </row>
    <row r="11" spans="1:9">
      <c r="A11" s="109" t="s">
        <v>237</v>
      </c>
      <c r="B11" s="109" t="s">
        <v>238</v>
      </c>
      <c r="C11" s="109">
        <v>753.82375000000002</v>
      </c>
      <c r="D11" s="109">
        <v>0</v>
      </c>
      <c r="E11" s="109">
        <v>10753.82375</v>
      </c>
      <c r="F11" s="109">
        <v>10000</v>
      </c>
      <c r="G11" s="113">
        <v>0.13150000000000001</v>
      </c>
      <c r="H11" s="90"/>
      <c r="I11" s="94">
        <v>8.1600000000000006E-2</v>
      </c>
    </row>
    <row r="12" spans="1:9">
      <c r="A12" s="107" t="s">
        <v>240</v>
      </c>
      <c r="B12" s="107" t="s">
        <v>241</v>
      </c>
      <c r="C12" s="107">
        <v>530.25625000000002</v>
      </c>
      <c r="D12" s="107">
        <v>0</v>
      </c>
      <c r="E12" s="107">
        <v>10530.25625</v>
      </c>
      <c r="F12" s="107">
        <v>10000</v>
      </c>
      <c r="G12" s="112">
        <v>9.2499999999999999E-2</v>
      </c>
      <c r="H12" s="90"/>
      <c r="I12" s="90"/>
    </row>
    <row r="13" spans="1:9">
      <c r="A13" s="109" t="s">
        <v>243</v>
      </c>
      <c r="B13" s="109" t="s">
        <v>244</v>
      </c>
      <c r="C13" s="109">
        <v>515.92499999999995</v>
      </c>
      <c r="D13" s="109">
        <v>0</v>
      </c>
      <c r="E13" s="109">
        <v>10515.924999999999</v>
      </c>
      <c r="F13" s="109">
        <v>10000</v>
      </c>
      <c r="G13" s="113">
        <v>0.09</v>
      </c>
      <c r="H13" s="90"/>
      <c r="I13" s="90"/>
    </row>
    <row r="14" spans="1:9">
      <c r="A14" s="107" t="s">
        <v>246</v>
      </c>
      <c r="B14" s="107" t="s">
        <v>247</v>
      </c>
      <c r="C14" s="107">
        <v>501.59375</v>
      </c>
      <c r="D14" s="107">
        <v>0</v>
      </c>
      <c r="E14" s="107">
        <v>10501.59375</v>
      </c>
      <c r="F14" s="107">
        <v>10000</v>
      </c>
      <c r="G14" s="112">
        <v>8.7499999999999994E-2</v>
      </c>
      <c r="H14" s="90"/>
      <c r="I14" s="90"/>
    </row>
    <row r="15" spans="1:9">
      <c r="A15" s="109" t="s">
        <v>248</v>
      </c>
      <c r="B15" s="109" t="s">
        <v>249</v>
      </c>
      <c r="C15" s="109">
        <v>487.26249999999999</v>
      </c>
      <c r="D15" s="109">
        <v>0</v>
      </c>
      <c r="E15" s="109">
        <v>10487.262500000001</v>
      </c>
      <c r="F15" s="109">
        <v>10000</v>
      </c>
      <c r="G15" s="113">
        <v>8.5000000000000006E-2</v>
      </c>
      <c r="H15" s="90"/>
      <c r="I15" s="90"/>
    </row>
    <row r="16" spans="1:9">
      <c r="A16" s="107" t="s">
        <v>250</v>
      </c>
      <c r="B16" s="107" t="s">
        <v>251</v>
      </c>
      <c r="C16" s="107">
        <v>487.26249999999999</v>
      </c>
      <c r="D16" s="107">
        <v>0</v>
      </c>
      <c r="E16" s="107">
        <v>10487.262500000001</v>
      </c>
      <c r="F16" s="107">
        <v>10000</v>
      </c>
      <c r="G16" s="112">
        <v>8.5000000000000006E-2</v>
      </c>
      <c r="H16" s="90"/>
      <c r="I16" s="90"/>
    </row>
    <row r="17" spans="1:9">
      <c r="A17" s="109" t="s">
        <v>252</v>
      </c>
      <c r="B17" s="109" t="s">
        <v>253</v>
      </c>
      <c r="C17" s="109">
        <v>472.93124999999998</v>
      </c>
      <c r="D17" s="109">
        <v>0</v>
      </c>
      <c r="E17" s="109">
        <v>10472.93125</v>
      </c>
      <c r="F17" s="109">
        <v>10000</v>
      </c>
      <c r="G17" s="113">
        <v>8.2500000000000004E-2</v>
      </c>
      <c r="H17" s="90"/>
      <c r="I17" s="90"/>
    </row>
    <row r="18" spans="1:9">
      <c r="A18" s="107" t="s">
        <v>254</v>
      </c>
      <c r="B18" s="107" t="s">
        <v>131</v>
      </c>
      <c r="C18" s="107">
        <v>458.6</v>
      </c>
      <c r="D18" s="107">
        <v>3333.333333</v>
      </c>
      <c r="E18" s="107">
        <v>7125.2666669999999</v>
      </c>
      <c r="F18" s="107">
        <v>6666.6666670000004</v>
      </c>
      <c r="G18" s="112">
        <v>0.08</v>
      </c>
      <c r="H18" s="90"/>
      <c r="I18" s="90"/>
    </row>
    <row r="19" spans="1:9">
      <c r="A19" s="109" t="s">
        <v>256</v>
      </c>
      <c r="B19" s="109" t="s">
        <v>257</v>
      </c>
      <c r="C19" s="109">
        <v>296.1791667</v>
      </c>
      <c r="D19" s="109">
        <v>0</v>
      </c>
      <c r="E19" s="109">
        <v>6962.8458330000003</v>
      </c>
      <c r="F19" s="109">
        <v>6666.6666670000004</v>
      </c>
      <c r="G19" s="113">
        <v>7.7499999999999999E-2</v>
      </c>
      <c r="H19" s="90"/>
      <c r="I19" s="90"/>
    </row>
    <row r="20" spans="1:9">
      <c r="A20" s="107" t="s">
        <v>259</v>
      </c>
      <c r="B20" s="107" t="s">
        <v>260</v>
      </c>
      <c r="C20" s="107">
        <v>286.625</v>
      </c>
      <c r="D20" s="107">
        <v>3333.333333</v>
      </c>
      <c r="E20" s="107">
        <v>3619.958333</v>
      </c>
      <c r="F20" s="107">
        <v>3333.333333</v>
      </c>
      <c r="G20" s="112">
        <v>7.4999999999999997E-2</v>
      </c>
      <c r="H20" s="90"/>
      <c r="I20" s="90"/>
    </row>
    <row r="21" spans="1:9">
      <c r="A21" s="109" t="s">
        <v>262</v>
      </c>
      <c r="B21" s="109" t="s">
        <v>263</v>
      </c>
      <c r="C21" s="109">
        <v>138.53541670000001</v>
      </c>
      <c r="D21" s="109">
        <v>0</v>
      </c>
      <c r="E21" s="109">
        <v>3471.8687500000001</v>
      </c>
      <c r="F21" s="109">
        <v>3333.333333</v>
      </c>
      <c r="G21" s="113">
        <v>7.2499999999999995E-2</v>
      </c>
      <c r="H21" s="90"/>
      <c r="I21" s="90"/>
    </row>
    <row r="22" spans="1:9">
      <c r="A22" s="107" t="s">
        <v>265</v>
      </c>
      <c r="B22" s="107" t="s">
        <v>80</v>
      </c>
      <c r="C22" s="107">
        <v>133.7583333</v>
      </c>
      <c r="D22" s="107">
        <v>3333.333333</v>
      </c>
      <c r="E22" s="107">
        <v>133.7583333</v>
      </c>
      <c r="F22" s="107">
        <v>0</v>
      </c>
      <c r="G22" s="112">
        <v>7.0000000000000007E-2</v>
      </c>
      <c r="H22" s="90"/>
      <c r="I22" s="90"/>
    </row>
    <row r="23" spans="1:9">
      <c r="A23" s="90"/>
      <c r="B23" s="90"/>
      <c r="C23" s="90"/>
      <c r="D23" s="90"/>
      <c r="E23" s="90"/>
      <c r="F23" s="90"/>
      <c r="G23" s="90"/>
      <c r="H23" s="90"/>
      <c r="I23" s="90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75A7A-3D2A-4E4F-AEFC-8E9CD4AD3439}">
  <dimension ref="A1:P35"/>
  <sheetViews>
    <sheetView workbookViewId="0">
      <selection sqref="A1:P35"/>
    </sheetView>
  </sheetViews>
  <sheetFormatPr defaultRowHeight="15"/>
  <sheetData>
    <row r="1" spans="1:16" ht="17.25">
      <c r="A1" s="114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</row>
    <row r="2" spans="1:16" ht="18" thickBot="1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</row>
    <row r="3" spans="1:16" ht="18.75" thickTop="1" thickBot="1">
      <c r="A3" s="114"/>
      <c r="B3" s="115" t="s">
        <v>270</v>
      </c>
      <c r="C3" s="116"/>
      <c r="D3" s="117">
        <v>0.1585</v>
      </c>
      <c r="E3" s="114"/>
      <c r="F3" s="115" t="s">
        <v>271</v>
      </c>
      <c r="G3" s="116"/>
      <c r="H3" s="117">
        <v>0.16500000000000001</v>
      </c>
      <c r="I3" s="114"/>
      <c r="J3" s="115" t="s">
        <v>272</v>
      </c>
      <c r="K3" s="116" t="s">
        <v>273</v>
      </c>
      <c r="L3" s="116" t="s">
        <v>274</v>
      </c>
      <c r="M3" s="116" t="s">
        <v>275</v>
      </c>
      <c r="N3" s="116" t="s">
        <v>275</v>
      </c>
      <c r="O3" s="116" t="s">
        <v>276</v>
      </c>
      <c r="P3" s="118">
        <v>0.15290000000000001</v>
      </c>
    </row>
    <row r="4" spans="1:16" ht="18.75" thickTop="1" thickBot="1">
      <c r="A4" s="114"/>
      <c r="B4" s="119" t="s">
        <v>271</v>
      </c>
      <c r="C4" s="120"/>
      <c r="D4" s="121">
        <v>0.16500000000000001</v>
      </c>
      <c r="E4" s="114"/>
      <c r="F4" s="122" t="s">
        <v>277</v>
      </c>
      <c r="G4" s="123"/>
      <c r="H4" s="94">
        <v>3.4299999999999997E-2</v>
      </c>
      <c r="I4" s="114"/>
      <c r="J4" s="122" t="s">
        <v>278</v>
      </c>
      <c r="K4" s="124">
        <v>1147974</v>
      </c>
      <c r="L4" s="123">
        <v>2039</v>
      </c>
      <c r="M4" s="123" t="s">
        <v>279</v>
      </c>
      <c r="N4" s="125">
        <v>8.5300000000000001E-2</v>
      </c>
      <c r="O4" s="126">
        <v>3.5000000000000003E-2</v>
      </c>
      <c r="P4" s="127">
        <v>3.0000000000000001E-3</v>
      </c>
    </row>
    <row r="5" spans="1:16" ht="18.75" thickTop="1" thickBot="1">
      <c r="A5" s="114"/>
      <c r="B5" s="128" t="s">
        <v>280</v>
      </c>
      <c r="C5" s="128"/>
      <c r="D5" s="129">
        <v>0.45</v>
      </c>
      <c r="E5" s="114"/>
      <c r="F5" s="128" t="s">
        <v>281</v>
      </c>
      <c r="G5" s="128"/>
      <c r="H5" s="129">
        <v>0.03</v>
      </c>
      <c r="I5" s="114"/>
      <c r="J5" s="128" t="s">
        <v>282</v>
      </c>
      <c r="K5" s="130">
        <v>165425</v>
      </c>
      <c r="L5" s="128">
        <v>2039</v>
      </c>
      <c r="M5" s="123" t="s">
        <v>283</v>
      </c>
      <c r="N5" s="131">
        <v>7.2800000000000004E-2</v>
      </c>
      <c r="O5" s="126">
        <v>5.0000000000000001E-3</v>
      </c>
      <c r="P5" s="127">
        <v>0</v>
      </c>
    </row>
    <row r="6" spans="1:16" ht="18.75" thickTop="1" thickBot="1">
      <c r="A6" s="114"/>
      <c r="B6" s="119" t="s">
        <v>272</v>
      </c>
      <c r="C6" s="120"/>
      <c r="D6" s="132">
        <v>0.15290000000000001</v>
      </c>
      <c r="E6" s="114"/>
      <c r="F6" s="122" t="s">
        <v>284</v>
      </c>
      <c r="G6" s="123"/>
      <c r="H6" s="122">
        <v>0.44600000000000001</v>
      </c>
      <c r="I6" s="114"/>
      <c r="J6" s="122" t="s">
        <v>285</v>
      </c>
      <c r="K6" s="124">
        <v>359410</v>
      </c>
      <c r="L6" s="133">
        <v>2025</v>
      </c>
      <c r="M6" s="123" t="s">
        <v>286</v>
      </c>
      <c r="N6" s="134">
        <v>0.1205</v>
      </c>
      <c r="O6" s="126">
        <v>1.0999999999999999E-2</v>
      </c>
      <c r="P6" s="127">
        <v>1E-3</v>
      </c>
    </row>
    <row r="7" spans="1:16" ht="18.75" thickTop="1" thickBot="1">
      <c r="A7" s="114"/>
      <c r="B7" s="128" t="s">
        <v>287</v>
      </c>
      <c r="C7" s="128"/>
      <c r="D7" s="129">
        <v>0.55000000000000004</v>
      </c>
      <c r="E7" s="114"/>
      <c r="F7" s="135" t="s">
        <v>288</v>
      </c>
      <c r="G7" s="135"/>
      <c r="H7" s="136">
        <v>4.4999999999999998E-2</v>
      </c>
      <c r="I7" s="114"/>
      <c r="J7" s="135" t="s">
        <v>289</v>
      </c>
      <c r="K7" s="137">
        <v>600000</v>
      </c>
      <c r="L7" s="135">
        <v>2026</v>
      </c>
      <c r="M7" s="123" t="s">
        <v>290</v>
      </c>
      <c r="N7" s="138">
        <v>0.11509999999999999</v>
      </c>
      <c r="O7" s="126">
        <v>1.7999999999999999E-2</v>
      </c>
      <c r="P7" s="127">
        <v>2E-3</v>
      </c>
    </row>
    <row r="8" spans="1:16" ht="18.75" thickTop="1" thickBot="1">
      <c r="A8" s="114"/>
      <c r="B8" s="128"/>
      <c r="C8" s="128"/>
      <c r="D8" s="139"/>
      <c r="E8" s="114"/>
      <c r="F8" s="135" t="s">
        <v>291</v>
      </c>
      <c r="G8" s="114"/>
      <c r="H8" s="114"/>
      <c r="I8" s="114"/>
      <c r="J8" s="135" t="s">
        <v>292</v>
      </c>
      <c r="K8" s="137">
        <v>350000</v>
      </c>
      <c r="L8" s="140">
        <v>2024</v>
      </c>
      <c r="M8" s="106" t="s">
        <v>293</v>
      </c>
      <c r="N8" s="141">
        <v>0.123</v>
      </c>
      <c r="O8" s="126">
        <v>1.0999999999999999E-2</v>
      </c>
      <c r="P8" s="127">
        <v>1E-3</v>
      </c>
    </row>
    <row r="9" spans="1:16" ht="18.75" thickTop="1" thickBot="1">
      <c r="A9" s="114"/>
      <c r="B9" s="114"/>
      <c r="C9" s="114"/>
      <c r="D9" s="114"/>
      <c r="E9" s="114"/>
      <c r="F9" s="142" t="s">
        <v>294</v>
      </c>
      <c r="G9" s="143"/>
      <c r="H9" s="94">
        <v>7.5800000000000006E-2</v>
      </c>
      <c r="I9" s="114"/>
      <c r="J9" s="135" t="s">
        <v>295</v>
      </c>
      <c r="K9" s="137">
        <v>200000</v>
      </c>
      <c r="L9" s="140">
        <v>2026</v>
      </c>
      <c r="M9" s="106" t="s">
        <v>296</v>
      </c>
      <c r="N9" s="141">
        <v>0.1157</v>
      </c>
      <c r="O9" s="126">
        <v>6.0000000000000001E-3</v>
      </c>
      <c r="P9" s="127">
        <v>1E-3</v>
      </c>
    </row>
    <row r="10" spans="1:16" ht="18.75" thickTop="1" thickBot="1">
      <c r="A10" s="114"/>
      <c r="B10" s="114"/>
      <c r="C10" s="114"/>
      <c r="D10" s="114"/>
      <c r="E10" s="120"/>
      <c r="F10" s="144" t="s">
        <v>297</v>
      </c>
      <c r="G10" s="114"/>
      <c r="H10" s="94">
        <v>0.05</v>
      </c>
      <c r="I10" s="114"/>
      <c r="J10" s="135" t="s">
        <v>298</v>
      </c>
      <c r="K10" s="137">
        <v>800000</v>
      </c>
      <c r="L10" s="140">
        <v>2029</v>
      </c>
      <c r="M10" s="106" t="s">
        <v>299</v>
      </c>
      <c r="N10" s="141">
        <v>8.5099999999999995E-2</v>
      </c>
      <c r="O10" s="126">
        <v>2.4E-2</v>
      </c>
      <c r="P10" s="127">
        <v>2E-3</v>
      </c>
    </row>
    <row r="11" spans="1:16" ht="18.75" thickTop="1" thickBot="1">
      <c r="A11" s="114"/>
      <c r="B11" s="114"/>
      <c r="C11" s="114"/>
      <c r="D11" s="114"/>
      <c r="E11" s="114"/>
      <c r="F11" s="145" t="s">
        <v>300</v>
      </c>
      <c r="G11" s="146"/>
      <c r="H11" s="94">
        <v>4.65E-2</v>
      </c>
      <c r="I11" s="114"/>
      <c r="J11" s="135" t="s">
        <v>301</v>
      </c>
      <c r="K11" s="137">
        <v>966000</v>
      </c>
      <c r="L11" s="140">
        <v>2029</v>
      </c>
      <c r="M11" s="106" t="s">
        <v>302</v>
      </c>
      <c r="N11" s="141">
        <v>0.08</v>
      </c>
      <c r="O11" s="126">
        <v>2.9000000000000001E-2</v>
      </c>
      <c r="P11" s="127">
        <v>2E-3</v>
      </c>
    </row>
    <row r="12" spans="1:16" ht="18.75" thickTop="1" thickBot="1">
      <c r="A12" s="114"/>
      <c r="B12" s="114"/>
      <c r="C12" s="114"/>
      <c r="D12" s="114"/>
      <c r="E12" s="114"/>
      <c r="F12" s="114"/>
      <c r="G12" s="114"/>
      <c r="H12" s="114"/>
      <c r="I12" s="114"/>
      <c r="J12" s="135" t="s">
        <v>303</v>
      </c>
      <c r="K12" s="137">
        <v>2500000</v>
      </c>
      <c r="L12" s="140">
        <v>2034</v>
      </c>
      <c r="M12" s="106" t="s">
        <v>304</v>
      </c>
      <c r="N12" s="141">
        <v>0.1077</v>
      </c>
      <c r="O12" s="126">
        <v>7.4999999999999997E-2</v>
      </c>
      <c r="P12" s="127">
        <v>8.0000000000000002E-3</v>
      </c>
    </row>
    <row r="13" spans="1:16" ht="18.75" thickTop="1" thickBot="1">
      <c r="A13" s="114"/>
      <c r="B13" s="114"/>
      <c r="C13" s="114"/>
      <c r="D13" s="114"/>
      <c r="E13" s="114"/>
      <c r="F13" s="114"/>
      <c r="G13" s="114"/>
      <c r="H13" s="114"/>
      <c r="I13" s="114"/>
      <c r="J13" s="135" t="s">
        <v>305</v>
      </c>
      <c r="K13" s="137">
        <v>700807</v>
      </c>
      <c r="L13" s="140">
        <v>2029</v>
      </c>
      <c r="M13" s="106" t="s">
        <v>306</v>
      </c>
      <c r="N13" s="141">
        <v>0.18429999999999999</v>
      </c>
      <c r="O13" s="126">
        <v>2.1000000000000001E-2</v>
      </c>
      <c r="P13" s="127">
        <v>4.0000000000000001E-3</v>
      </c>
    </row>
    <row r="14" spans="1:16" ht="18.75" thickTop="1" thickBot="1">
      <c r="A14" s="114"/>
      <c r="B14" s="114"/>
      <c r="C14" s="114"/>
      <c r="D14" s="114"/>
      <c r="E14" s="114"/>
      <c r="F14" s="114"/>
      <c r="G14" s="114"/>
      <c r="H14" s="114"/>
      <c r="I14" s="114"/>
      <c r="J14" s="135" t="s">
        <v>307</v>
      </c>
      <c r="K14" s="137">
        <v>3022105</v>
      </c>
      <c r="L14" s="140">
        <v>2029</v>
      </c>
      <c r="M14" s="147">
        <v>4.7E-2</v>
      </c>
      <c r="N14" s="141">
        <v>4.7E-2</v>
      </c>
      <c r="O14" s="126">
        <v>9.0999999999999998E-2</v>
      </c>
      <c r="P14" s="127">
        <v>4.0000000000000001E-3</v>
      </c>
    </row>
    <row r="15" spans="1:16" ht="18.75" thickTop="1" thickBot="1">
      <c r="A15" s="114"/>
      <c r="B15" s="114"/>
      <c r="C15" s="114"/>
      <c r="D15" s="114"/>
      <c r="E15" s="114"/>
      <c r="F15" s="114"/>
      <c r="G15" s="114"/>
      <c r="H15" s="114"/>
      <c r="I15" s="114"/>
      <c r="J15" s="135" t="s">
        <v>308</v>
      </c>
      <c r="K15" s="137">
        <v>15061816</v>
      </c>
      <c r="L15" s="140">
        <v>2029</v>
      </c>
      <c r="M15" s="148" t="s">
        <v>309</v>
      </c>
      <c r="N15" s="141">
        <v>0.19769999999999999</v>
      </c>
      <c r="O15" s="126">
        <v>0.45400000000000001</v>
      </c>
      <c r="P15" s="127">
        <v>0.09</v>
      </c>
    </row>
    <row r="16" spans="1:16" ht="18.75" thickTop="1" thickBot="1">
      <c r="A16" s="114"/>
      <c r="B16" s="114"/>
      <c r="C16" s="114"/>
      <c r="D16" s="114"/>
      <c r="E16" s="114"/>
      <c r="F16" s="114"/>
      <c r="G16" s="114"/>
      <c r="H16" s="114"/>
      <c r="I16" s="114"/>
      <c r="J16" s="135" t="s">
        <v>310</v>
      </c>
      <c r="K16" s="137">
        <v>765192</v>
      </c>
      <c r="L16" s="140" t="s">
        <v>311</v>
      </c>
      <c r="M16" s="148" t="s">
        <v>312</v>
      </c>
      <c r="N16" s="141">
        <v>4.8500000000000001E-2</v>
      </c>
      <c r="O16" s="126">
        <v>2.3E-2</v>
      </c>
      <c r="P16" s="127">
        <v>1E-3</v>
      </c>
    </row>
    <row r="17" spans="1:16" ht="48" thickTop="1" thickBot="1">
      <c r="A17" s="114"/>
      <c r="B17" s="114"/>
      <c r="C17" s="114"/>
      <c r="D17" s="114"/>
      <c r="E17" s="114"/>
      <c r="F17" s="114"/>
      <c r="G17" s="114"/>
      <c r="H17" s="114"/>
      <c r="I17" s="114"/>
      <c r="J17" s="135" t="s">
        <v>313</v>
      </c>
      <c r="K17" s="137">
        <v>1782684</v>
      </c>
      <c r="L17" s="140">
        <v>2031</v>
      </c>
      <c r="M17" s="149" t="s">
        <v>314</v>
      </c>
      <c r="N17" s="141">
        <v>0.1668</v>
      </c>
      <c r="O17" s="126">
        <v>5.3999999999999999E-2</v>
      </c>
      <c r="P17" s="127">
        <v>8.9999999999999993E-3</v>
      </c>
    </row>
    <row r="18" spans="1:16" ht="18.75" thickTop="1" thickBot="1">
      <c r="A18" s="114"/>
      <c r="B18" s="114"/>
      <c r="C18" s="114"/>
      <c r="D18" s="114"/>
      <c r="E18" s="114"/>
      <c r="F18" s="90"/>
      <c r="G18" s="114"/>
      <c r="H18" s="114"/>
      <c r="I18" s="114"/>
      <c r="J18" s="135" t="s">
        <v>315</v>
      </c>
      <c r="K18" s="137">
        <v>4625426</v>
      </c>
      <c r="L18" s="140">
        <v>2029</v>
      </c>
      <c r="M18" s="148" t="s">
        <v>316</v>
      </c>
      <c r="N18" s="141">
        <v>0.16850000000000001</v>
      </c>
      <c r="O18" s="126">
        <v>0.14000000000000001</v>
      </c>
      <c r="P18" s="127">
        <v>2.4E-2</v>
      </c>
    </row>
    <row r="19" spans="1:16" ht="18.75" thickTop="1" thickBot="1">
      <c r="A19" s="114"/>
      <c r="B19" s="114"/>
      <c r="C19" s="114"/>
      <c r="D19" s="114"/>
      <c r="E19" s="114"/>
      <c r="F19" s="114"/>
      <c r="G19" s="114"/>
      <c r="H19" s="114"/>
      <c r="I19" s="114"/>
      <c r="J19" s="135" t="s">
        <v>317</v>
      </c>
      <c r="K19" s="137">
        <v>97739</v>
      </c>
      <c r="L19" s="140">
        <v>2033</v>
      </c>
      <c r="M19" s="148" t="s">
        <v>318</v>
      </c>
      <c r="N19" s="141">
        <v>1.5900000000000001E-2</v>
      </c>
      <c r="O19" s="126">
        <v>3.0000000000000001E-3</v>
      </c>
      <c r="P19" s="127">
        <v>0</v>
      </c>
    </row>
    <row r="20" spans="1:16" ht="18.75" thickTop="1" thickBot="1">
      <c r="A20" s="114"/>
      <c r="B20" s="114"/>
      <c r="C20" s="114"/>
      <c r="D20" s="114"/>
      <c r="E20" s="114"/>
      <c r="F20" s="114"/>
      <c r="G20" s="114"/>
      <c r="H20" s="114"/>
      <c r="I20" s="114"/>
      <c r="J20" s="135" t="s">
        <v>319</v>
      </c>
      <c r="K20" s="137">
        <v>2399</v>
      </c>
      <c r="L20" s="114" t="s">
        <v>320</v>
      </c>
      <c r="M20" s="148" t="s">
        <v>321</v>
      </c>
      <c r="N20" s="141">
        <v>4.6300000000000001E-2</v>
      </c>
      <c r="O20" s="126">
        <v>0</v>
      </c>
      <c r="P20" s="127">
        <v>0</v>
      </c>
    </row>
    <row r="21" spans="1:16" ht="18" thickTop="1">
      <c r="A21" s="114"/>
      <c r="B21" s="114"/>
      <c r="C21" s="114"/>
      <c r="D21" s="114"/>
      <c r="E21" s="114"/>
      <c r="F21" s="114"/>
      <c r="G21" s="114"/>
      <c r="H21" s="114"/>
      <c r="I21" s="114"/>
      <c r="J21" s="150" t="s">
        <v>322</v>
      </c>
      <c r="K21" s="90"/>
      <c r="L21" s="90"/>
      <c r="M21" s="90"/>
      <c r="N21" s="90"/>
      <c r="O21" s="90"/>
      <c r="P21" s="90"/>
    </row>
    <row r="22" spans="1:16" ht="17.25">
      <c r="A22" s="114"/>
      <c r="B22" s="114"/>
      <c r="C22" s="114"/>
      <c r="D22" s="114"/>
      <c r="E22" s="114"/>
      <c r="F22" s="114"/>
      <c r="G22" s="114"/>
      <c r="H22" s="114"/>
      <c r="I22" s="114"/>
      <c r="J22" s="150" t="s">
        <v>194</v>
      </c>
      <c r="K22" s="151">
        <v>33146977</v>
      </c>
      <c r="L22" s="90"/>
      <c r="M22" s="90"/>
      <c r="N22" s="90"/>
      <c r="O22" s="90"/>
      <c r="P22" s="90"/>
    </row>
    <row r="23" spans="1:16" ht="17.25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</row>
    <row r="24" spans="1:16" ht="17.25">
      <c r="A24" s="114"/>
      <c r="B24" s="152" t="s">
        <v>176</v>
      </c>
      <c r="C24" s="153" t="s">
        <v>323</v>
      </c>
      <c r="D24" s="90" t="s">
        <v>324</v>
      </c>
      <c r="E24" s="90" t="s">
        <v>325</v>
      </c>
      <c r="F24" s="90" t="s">
        <v>326</v>
      </c>
      <c r="G24" s="90" t="s">
        <v>327</v>
      </c>
      <c r="H24" s="90" t="s">
        <v>328</v>
      </c>
      <c r="I24" s="90"/>
      <c r="J24" s="90"/>
      <c r="K24" s="90" t="s">
        <v>329</v>
      </c>
      <c r="L24" s="94">
        <v>4.9500000000000002E-2</v>
      </c>
      <c r="M24" s="114"/>
      <c r="N24" s="114"/>
      <c r="O24" s="114"/>
      <c r="P24" s="114"/>
    </row>
    <row r="25" spans="1:16" ht="17.25">
      <c r="A25" s="90">
        <v>2023</v>
      </c>
      <c r="B25" s="94">
        <v>0.13289999999999999</v>
      </c>
      <c r="C25" s="94">
        <v>5.2999999999999999E-2</v>
      </c>
      <c r="D25" s="90">
        <v>5.5</v>
      </c>
      <c r="E25" s="154">
        <v>1</v>
      </c>
      <c r="F25" s="90">
        <v>5.4889999999999999</v>
      </c>
      <c r="G25" s="94">
        <v>4.5499999999999999E-2</v>
      </c>
      <c r="H25" s="94">
        <v>4.5199999999999997E-2</v>
      </c>
      <c r="I25" s="90"/>
      <c r="J25" s="90"/>
      <c r="K25" s="90" t="s">
        <v>283</v>
      </c>
      <c r="L25" s="94">
        <v>7.2800000000000004E-2</v>
      </c>
      <c r="M25" s="114"/>
      <c r="N25" s="114"/>
      <c r="O25" s="114"/>
      <c r="P25" s="114"/>
    </row>
    <row r="26" spans="1:16" ht="17.25">
      <c r="A26" s="90">
        <v>2024</v>
      </c>
      <c r="B26" s="94">
        <v>0.1206</v>
      </c>
      <c r="C26" s="94">
        <v>4.2000000000000003E-2</v>
      </c>
      <c r="D26" s="90">
        <v>5.7</v>
      </c>
      <c r="E26" s="90">
        <v>0.98</v>
      </c>
      <c r="F26" s="90">
        <v>5.5860000000000003</v>
      </c>
      <c r="G26" s="94">
        <v>3.3399999999999999E-2</v>
      </c>
      <c r="H26" s="94">
        <v>2.93E-2</v>
      </c>
      <c r="I26" s="90"/>
      <c r="J26" s="90"/>
      <c r="K26" s="90" t="s">
        <v>330</v>
      </c>
      <c r="L26" s="90">
        <v>5.22</v>
      </c>
      <c r="M26" s="114"/>
      <c r="N26" s="114"/>
      <c r="O26" s="114"/>
      <c r="P26" s="114"/>
    </row>
    <row r="27" spans="1:16" ht="17.25">
      <c r="A27" s="90">
        <v>2025</v>
      </c>
      <c r="B27" s="94">
        <v>0.1176</v>
      </c>
      <c r="C27" s="94">
        <v>0.04</v>
      </c>
      <c r="D27" s="90">
        <v>5.9</v>
      </c>
      <c r="E27" s="90">
        <v>0.96</v>
      </c>
      <c r="F27" s="90">
        <v>5.6639999999999997</v>
      </c>
      <c r="G27" s="94">
        <v>2.87E-2</v>
      </c>
      <c r="H27" s="94">
        <v>2.76E-2</v>
      </c>
      <c r="I27" s="90"/>
      <c r="J27" s="90"/>
      <c r="K27" s="90" t="s">
        <v>331</v>
      </c>
      <c r="L27" s="94">
        <v>0.1303</v>
      </c>
      <c r="M27" s="114"/>
      <c r="N27" s="114"/>
      <c r="O27" s="114"/>
      <c r="P27" s="114"/>
    </row>
    <row r="28" spans="1:16" ht="17.25">
      <c r="A28" s="90">
        <v>2026</v>
      </c>
      <c r="B28" s="94">
        <v>0.1181</v>
      </c>
      <c r="C28" s="90"/>
      <c r="D28" s="90"/>
      <c r="E28" s="90">
        <v>0.90500000000000003</v>
      </c>
      <c r="F28" s="90"/>
      <c r="G28" s="94">
        <v>2.8500000000000001E-2</v>
      </c>
      <c r="H28" s="94">
        <v>2.7199999999999998E-2</v>
      </c>
      <c r="I28" s="90"/>
      <c r="J28" s="90"/>
      <c r="K28" s="90" t="s">
        <v>332</v>
      </c>
      <c r="L28" s="90">
        <v>5.6</v>
      </c>
      <c r="M28" s="114"/>
      <c r="N28" s="114"/>
      <c r="O28" s="114"/>
      <c r="P28" s="114"/>
    </row>
    <row r="29" spans="1:16" ht="17.25">
      <c r="A29" s="90">
        <v>2027</v>
      </c>
      <c r="B29" s="94">
        <v>0.1193</v>
      </c>
      <c r="C29" s="90"/>
      <c r="D29" s="90"/>
      <c r="E29" s="90"/>
      <c r="F29" s="90"/>
      <c r="G29" s="94">
        <v>2.8799999999999999E-2</v>
      </c>
      <c r="H29" s="94">
        <v>2.7699999999999999E-2</v>
      </c>
      <c r="I29" s="90"/>
      <c r="J29" s="90"/>
      <c r="K29" s="90" t="s">
        <v>333</v>
      </c>
      <c r="L29" s="94">
        <v>1.14E-2</v>
      </c>
      <c r="M29" s="114"/>
      <c r="N29" s="114"/>
      <c r="O29" s="114"/>
      <c r="P29" s="114"/>
    </row>
    <row r="30" spans="1:16" ht="17.25">
      <c r="A30" s="90">
        <v>2028</v>
      </c>
      <c r="B30" s="94">
        <v>0.1211</v>
      </c>
      <c r="C30" s="90"/>
      <c r="D30" s="90"/>
      <c r="E30" s="90"/>
      <c r="F30" s="90"/>
      <c r="G30" s="94">
        <v>2.9600000000000001E-2</v>
      </c>
      <c r="H30" s="94">
        <v>2.8500000000000001E-2</v>
      </c>
      <c r="I30" s="90"/>
      <c r="J30" s="90"/>
      <c r="K30" s="90"/>
      <c r="L30" s="90"/>
      <c r="M30" s="114"/>
      <c r="N30" s="114"/>
      <c r="O30" s="114"/>
      <c r="P30" s="114"/>
    </row>
    <row r="31" spans="1:16" ht="17.25">
      <c r="A31" s="90">
        <v>2029</v>
      </c>
      <c r="B31" s="90"/>
      <c r="C31" s="90"/>
      <c r="D31" s="90"/>
      <c r="E31" s="90"/>
      <c r="F31" s="90"/>
      <c r="G31" s="94">
        <v>2.9899999999999999E-2</v>
      </c>
      <c r="H31" s="94">
        <v>2.8799999999999999E-2</v>
      </c>
      <c r="I31" s="90"/>
      <c r="J31" s="90"/>
      <c r="K31" s="90"/>
      <c r="L31" s="90"/>
      <c r="M31" s="114"/>
      <c r="N31" s="114"/>
      <c r="O31" s="114"/>
      <c r="P31" s="114"/>
    </row>
    <row r="32" spans="1:16" ht="17.25">
      <c r="A32" s="90">
        <v>2030</v>
      </c>
      <c r="B32" s="90"/>
      <c r="C32" s="90"/>
      <c r="D32" s="90"/>
      <c r="E32" s="90"/>
      <c r="F32" s="90"/>
      <c r="G32" s="94">
        <v>3.0599999999999999E-2</v>
      </c>
      <c r="H32" s="94">
        <v>2.9399999999999999E-2</v>
      </c>
      <c r="I32" s="90"/>
      <c r="J32" s="90"/>
      <c r="K32" s="90"/>
      <c r="L32" s="90"/>
      <c r="M32" s="114"/>
      <c r="N32" s="114"/>
      <c r="O32" s="114"/>
      <c r="P32" s="114"/>
    </row>
    <row r="33" spans="1:16" ht="17.25">
      <c r="A33" s="90">
        <v>2031</v>
      </c>
      <c r="B33" s="90"/>
      <c r="C33" s="90"/>
      <c r="D33" s="90"/>
      <c r="E33" s="90"/>
      <c r="F33" s="90"/>
      <c r="G33" s="94">
        <v>3.15E-2</v>
      </c>
      <c r="H33" s="94">
        <v>3.0300000000000001E-2</v>
      </c>
      <c r="I33" s="90"/>
      <c r="J33" s="90"/>
      <c r="K33" s="90"/>
      <c r="L33" s="90"/>
      <c r="M33" s="114"/>
      <c r="N33" s="114"/>
      <c r="O33" s="114"/>
      <c r="P33" s="114"/>
    </row>
    <row r="34" spans="1:16" ht="17.25">
      <c r="A34" s="90">
        <v>2032</v>
      </c>
      <c r="B34" s="90"/>
      <c r="C34" s="90"/>
      <c r="D34" s="90"/>
      <c r="E34" s="90"/>
      <c r="F34" s="90"/>
      <c r="G34" s="94">
        <v>3.1800000000000002E-2</v>
      </c>
      <c r="H34" s="94">
        <v>3.0800000000000001E-2</v>
      </c>
      <c r="I34" s="90"/>
      <c r="J34" s="90"/>
      <c r="K34" s="90"/>
      <c r="L34" s="90"/>
      <c r="M34" s="114"/>
      <c r="N34" s="114"/>
      <c r="O34" s="114"/>
      <c r="P34" s="114"/>
    </row>
    <row r="35" spans="1:16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9767-89A7-413C-9EE5-E812AD58D27C}">
  <dimension ref="A1:J24"/>
  <sheetViews>
    <sheetView workbookViewId="0">
      <selection activeCell="C5" sqref="C5"/>
    </sheetView>
  </sheetViews>
  <sheetFormatPr defaultRowHeight="15"/>
  <cols>
    <col min="1" max="1" width="8" bestFit="1" customWidth="1"/>
    <col min="2" max="2" width="16.5703125" bestFit="1" customWidth="1"/>
    <col min="3" max="3" width="10.42578125" bestFit="1" customWidth="1"/>
    <col min="4" max="4" width="10.5703125" bestFit="1" customWidth="1"/>
    <col min="5" max="5" width="10.42578125" bestFit="1" customWidth="1"/>
    <col min="6" max="6" width="12.28515625" bestFit="1" customWidth="1"/>
    <col min="7" max="7" width="10.7109375" bestFit="1" customWidth="1"/>
    <col min="8" max="8" width="9.42578125" bestFit="1" customWidth="1"/>
    <col min="10" max="10" width="8.42578125" bestFit="1" customWidth="1"/>
  </cols>
  <sheetData>
    <row r="1" spans="1:10" ht="24.75">
      <c r="A1" s="110" t="s">
        <v>219</v>
      </c>
      <c r="B1" s="111" t="s">
        <v>191</v>
      </c>
      <c r="C1" s="111" t="s">
        <v>192</v>
      </c>
      <c r="D1" s="111" t="s">
        <v>267</v>
      </c>
      <c r="E1" s="111" t="s">
        <v>194</v>
      </c>
      <c r="F1" s="111" t="s">
        <v>268</v>
      </c>
      <c r="G1" s="111" t="s">
        <v>269</v>
      </c>
      <c r="H1" s="111" t="s">
        <v>334</v>
      </c>
      <c r="I1" s="90"/>
      <c r="J1" s="90"/>
    </row>
    <row r="2" spans="1:10">
      <c r="A2" s="107" t="s">
        <v>220</v>
      </c>
      <c r="B2" s="108">
        <v>43469</v>
      </c>
      <c r="C2" s="107">
        <v>0</v>
      </c>
      <c r="D2" s="107">
        <v>0</v>
      </c>
      <c r="E2" s="107">
        <v>0</v>
      </c>
      <c r="F2" s="107">
        <v>10000</v>
      </c>
      <c r="G2" s="155">
        <v>6.4000000000000001E-2</v>
      </c>
      <c r="H2" s="107">
        <v>-10271.77</v>
      </c>
      <c r="I2" s="90"/>
      <c r="J2" s="90"/>
    </row>
    <row r="3" spans="1:10">
      <c r="A3" s="109"/>
      <c r="B3" s="109"/>
      <c r="C3" s="109"/>
      <c r="D3" s="109"/>
      <c r="E3" s="109"/>
      <c r="F3" s="109"/>
      <c r="G3" s="109"/>
      <c r="H3" s="109"/>
      <c r="I3" s="90"/>
      <c r="J3" s="90"/>
    </row>
    <row r="4" spans="1:10">
      <c r="A4" s="107"/>
      <c r="B4" s="107"/>
      <c r="C4" s="107"/>
      <c r="D4" s="107"/>
      <c r="E4" s="107"/>
      <c r="F4" s="107"/>
      <c r="G4" s="107"/>
      <c r="H4" s="107"/>
      <c r="I4" s="90"/>
      <c r="J4" s="90"/>
    </row>
    <row r="5" spans="1:10">
      <c r="A5" s="109"/>
      <c r="B5" s="109"/>
      <c r="C5" s="109"/>
      <c r="D5" s="109"/>
      <c r="E5" s="109"/>
      <c r="F5" s="109"/>
      <c r="G5" s="109"/>
      <c r="H5" s="109"/>
      <c r="I5" s="90"/>
      <c r="J5" s="90"/>
    </row>
    <row r="6" spans="1:10">
      <c r="A6" s="107"/>
      <c r="B6" s="107"/>
      <c r="C6" s="107"/>
      <c r="D6" s="107"/>
      <c r="E6" s="107"/>
      <c r="F6" s="107"/>
      <c r="G6" s="107"/>
      <c r="H6" s="107"/>
      <c r="I6" s="90"/>
      <c r="J6" s="107">
        <v>-10271.77</v>
      </c>
    </row>
    <row r="7" spans="1:10">
      <c r="A7" s="109"/>
      <c r="B7" s="109"/>
      <c r="C7" s="109"/>
      <c r="D7" s="109"/>
      <c r="E7" s="109"/>
      <c r="F7" s="109"/>
      <c r="G7" s="109"/>
      <c r="H7" s="109"/>
      <c r="I7" s="90"/>
      <c r="J7" s="107">
        <v>530.26</v>
      </c>
    </row>
    <row r="8" spans="1:10">
      <c r="A8" s="107"/>
      <c r="B8" s="107"/>
      <c r="C8" s="107"/>
      <c r="D8" s="107"/>
      <c r="E8" s="107"/>
      <c r="F8" s="107"/>
      <c r="G8" s="107"/>
      <c r="H8" s="107"/>
      <c r="I8" s="90"/>
      <c r="J8" s="109">
        <v>515.92999999999995</v>
      </c>
    </row>
    <row r="9" spans="1:10">
      <c r="A9" s="109"/>
      <c r="B9" s="109"/>
      <c r="C9" s="109"/>
      <c r="D9" s="109"/>
      <c r="E9" s="109"/>
      <c r="F9" s="109"/>
      <c r="G9" s="109"/>
      <c r="H9" s="109"/>
      <c r="I9" s="90"/>
      <c r="J9" s="107">
        <v>501.59</v>
      </c>
    </row>
    <row r="10" spans="1:10">
      <c r="A10" s="107"/>
      <c r="B10" s="107"/>
      <c r="C10" s="107"/>
      <c r="D10" s="107"/>
      <c r="E10" s="107"/>
      <c r="F10" s="107"/>
      <c r="G10" s="107"/>
      <c r="H10" s="107"/>
      <c r="I10" s="90"/>
      <c r="J10" s="109">
        <v>487.26</v>
      </c>
    </row>
    <row r="11" spans="1:10">
      <c r="A11" s="109" t="s">
        <v>237</v>
      </c>
      <c r="B11" s="109" t="s">
        <v>238</v>
      </c>
      <c r="C11" s="109">
        <v>0</v>
      </c>
      <c r="D11" s="109">
        <v>0</v>
      </c>
      <c r="E11" s="109">
        <v>0</v>
      </c>
      <c r="F11" s="109">
        <v>10000</v>
      </c>
      <c r="G11" s="156">
        <v>0.13150000000000001</v>
      </c>
      <c r="H11" s="109">
        <v>0</v>
      </c>
      <c r="I11" s="90"/>
      <c r="J11" s="107">
        <v>487.26</v>
      </c>
    </row>
    <row r="12" spans="1:10">
      <c r="A12" s="107" t="s">
        <v>240</v>
      </c>
      <c r="B12" s="107" t="s">
        <v>241</v>
      </c>
      <c r="C12" s="107">
        <v>530.25625000000002</v>
      </c>
      <c r="D12" s="107">
        <v>0</v>
      </c>
      <c r="E12" s="107">
        <v>530.25625000000002</v>
      </c>
      <c r="F12" s="107">
        <v>10000</v>
      </c>
      <c r="G12" s="155">
        <v>9.2499999999999999E-2</v>
      </c>
      <c r="H12" s="107">
        <v>530.26</v>
      </c>
      <c r="I12" s="90"/>
      <c r="J12" s="109">
        <v>472.93</v>
      </c>
    </row>
    <row r="13" spans="1:10">
      <c r="A13" s="109" t="s">
        <v>243</v>
      </c>
      <c r="B13" s="109" t="s">
        <v>244</v>
      </c>
      <c r="C13" s="109">
        <v>515.92499999999995</v>
      </c>
      <c r="D13" s="109">
        <v>0</v>
      </c>
      <c r="E13" s="109">
        <v>515.92499999999995</v>
      </c>
      <c r="F13" s="109">
        <v>10000</v>
      </c>
      <c r="G13" s="156">
        <v>0.09</v>
      </c>
      <c r="H13" s="109">
        <v>515.92999999999995</v>
      </c>
      <c r="I13" s="90"/>
      <c r="J13" s="107">
        <v>3791.93</v>
      </c>
    </row>
    <row r="14" spans="1:10">
      <c r="A14" s="107" t="s">
        <v>246</v>
      </c>
      <c r="B14" s="107" t="s">
        <v>247</v>
      </c>
      <c r="C14" s="107">
        <v>501.59375</v>
      </c>
      <c r="D14" s="107">
        <v>0</v>
      </c>
      <c r="E14" s="107">
        <v>501.59375</v>
      </c>
      <c r="F14" s="107">
        <v>10000</v>
      </c>
      <c r="G14" s="155">
        <v>8.7499999999999994E-2</v>
      </c>
      <c r="H14" s="107">
        <v>501.59</v>
      </c>
      <c r="I14" s="90"/>
      <c r="J14" s="109">
        <v>296.18</v>
      </c>
    </row>
    <row r="15" spans="1:10">
      <c r="A15" s="109" t="s">
        <v>248</v>
      </c>
      <c r="B15" s="109" t="s">
        <v>249</v>
      </c>
      <c r="C15" s="109">
        <v>487.26249999999999</v>
      </c>
      <c r="D15" s="109">
        <v>0</v>
      </c>
      <c r="E15" s="109">
        <v>487.26249999999999</v>
      </c>
      <c r="F15" s="109">
        <v>10000</v>
      </c>
      <c r="G15" s="156">
        <v>8.5000000000000006E-2</v>
      </c>
      <c r="H15" s="109">
        <v>487.26</v>
      </c>
      <c r="I15" s="90"/>
      <c r="J15" s="107">
        <v>3619.96</v>
      </c>
    </row>
    <row r="16" spans="1:10">
      <c r="A16" s="107" t="s">
        <v>250</v>
      </c>
      <c r="B16" s="107" t="s">
        <v>251</v>
      </c>
      <c r="C16" s="107">
        <v>487.26249999999999</v>
      </c>
      <c r="D16" s="107">
        <v>0</v>
      </c>
      <c r="E16" s="107">
        <v>487.26249999999999</v>
      </c>
      <c r="F16" s="107">
        <v>10000</v>
      </c>
      <c r="G16" s="155">
        <v>8.5000000000000006E-2</v>
      </c>
      <c r="H16" s="107">
        <v>487.26</v>
      </c>
      <c r="I16" s="90"/>
      <c r="J16" s="109">
        <v>138.54</v>
      </c>
    </row>
    <row r="17" spans="1:10">
      <c r="A17" s="109" t="s">
        <v>252</v>
      </c>
      <c r="B17" s="109" t="s">
        <v>253</v>
      </c>
      <c r="C17" s="109">
        <v>472.93124999999998</v>
      </c>
      <c r="D17" s="109">
        <v>0</v>
      </c>
      <c r="E17" s="109">
        <v>472.93124999999998</v>
      </c>
      <c r="F17" s="109">
        <v>10000</v>
      </c>
      <c r="G17" s="156">
        <v>8.2500000000000004E-2</v>
      </c>
      <c r="H17" s="109">
        <v>472.93</v>
      </c>
      <c r="I17" s="90"/>
      <c r="J17" s="107">
        <v>3467.09</v>
      </c>
    </row>
    <row r="18" spans="1:10">
      <c r="A18" s="107" t="s">
        <v>254</v>
      </c>
      <c r="B18" s="107" t="s">
        <v>131</v>
      </c>
      <c r="C18" s="107">
        <v>458.6</v>
      </c>
      <c r="D18" s="107">
        <v>3333.333333</v>
      </c>
      <c r="E18" s="107">
        <v>3791.9333329999999</v>
      </c>
      <c r="F18" s="107">
        <v>6666.6666670000004</v>
      </c>
      <c r="G18" s="155">
        <v>0.08</v>
      </c>
      <c r="H18" s="107">
        <v>3791.93</v>
      </c>
      <c r="I18" s="90"/>
      <c r="J18" s="94">
        <v>4.4540000000000003E-2</v>
      </c>
    </row>
    <row r="19" spans="1:10">
      <c r="A19" s="109" t="s">
        <v>256</v>
      </c>
      <c r="B19" s="109" t="s">
        <v>257</v>
      </c>
      <c r="C19" s="109">
        <v>296.1791667</v>
      </c>
      <c r="D19" s="109">
        <v>0</v>
      </c>
      <c r="E19" s="109">
        <v>296.1791667</v>
      </c>
      <c r="F19" s="109">
        <v>6666.6666670000004</v>
      </c>
      <c r="G19" s="156">
        <v>7.7499999999999999E-2</v>
      </c>
      <c r="H19" s="109">
        <v>296.18</v>
      </c>
      <c r="I19" s="90"/>
      <c r="J19" s="90"/>
    </row>
    <row r="20" spans="1:10">
      <c r="A20" s="107" t="s">
        <v>259</v>
      </c>
      <c r="B20" s="107" t="s">
        <v>260</v>
      </c>
      <c r="C20" s="107">
        <v>286.625</v>
      </c>
      <c r="D20" s="107">
        <v>3333.333333</v>
      </c>
      <c r="E20" s="107">
        <v>3619.958333</v>
      </c>
      <c r="F20" s="107">
        <v>3333.333333</v>
      </c>
      <c r="G20" s="155">
        <v>7.4999999999999997E-2</v>
      </c>
      <c r="H20" s="107">
        <v>3619.96</v>
      </c>
      <c r="I20" s="90"/>
      <c r="J20" s="90"/>
    </row>
    <row r="21" spans="1:10">
      <c r="A21" s="109" t="s">
        <v>262</v>
      </c>
      <c r="B21" s="109" t="s">
        <v>263</v>
      </c>
      <c r="C21" s="109">
        <v>138.53541670000001</v>
      </c>
      <c r="D21" s="109">
        <v>0</v>
      </c>
      <c r="E21" s="109">
        <v>138.53541670000001</v>
      </c>
      <c r="F21" s="109">
        <v>3333.333333</v>
      </c>
      <c r="G21" s="156">
        <v>7.2499999999999995E-2</v>
      </c>
      <c r="H21" s="109">
        <v>138.54</v>
      </c>
      <c r="I21" s="90"/>
      <c r="J21" s="90"/>
    </row>
    <row r="22" spans="1:10">
      <c r="A22" s="107" t="s">
        <v>265</v>
      </c>
      <c r="B22" s="107" t="s">
        <v>80</v>
      </c>
      <c r="C22" s="107">
        <v>133.7583333</v>
      </c>
      <c r="D22" s="107">
        <v>3333.333333</v>
      </c>
      <c r="E22" s="107">
        <v>3467.0916670000001</v>
      </c>
      <c r="F22" s="107">
        <v>0</v>
      </c>
      <c r="G22" s="155">
        <v>7.0000000000000007E-2</v>
      </c>
      <c r="H22" s="107">
        <v>3467.09</v>
      </c>
      <c r="I22" s="90"/>
      <c r="J22" s="90"/>
    </row>
    <row r="23" spans="1:10">
      <c r="A23" s="90"/>
      <c r="B23" s="90"/>
      <c r="C23" s="90"/>
      <c r="D23" s="90"/>
      <c r="E23" s="90"/>
      <c r="F23" s="90"/>
      <c r="G23" s="105" t="s">
        <v>30</v>
      </c>
      <c r="H23" s="157">
        <v>3.9170000000000003E-2</v>
      </c>
      <c r="I23" s="90"/>
      <c r="J23" s="90"/>
    </row>
    <row r="24" spans="1:10">
      <c r="A24" s="90"/>
      <c r="B24" s="90"/>
      <c r="C24" s="90"/>
      <c r="D24" s="90"/>
      <c r="E24" s="90"/>
      <c r="F24" s="90"/>
      <c r="G24" s="90"/>
      <c r="H24" s="90"/>
      <c r="I24" s="90"/>
      <c r="J24" s="90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52F8A-B917-4413-8E16-E257D52A8C5A}">
  <dimension ref="A1:P6"/>
  <sheetViews>
    <sheetView workbookViewId="0">
      <selection sqref="A1:XFD1048576"/>
    </sheetView>
  </sheetViews>
  <sheetFormatPr defaultRowHeight="15"/>
  <cols>
    <col min="4" max="4" width="18.42578125" bestFit="1" customWidth="1"/>
    <col min="5" max="10" width="10.7109375" bestFit="1" customWidth="1"/>
    <col min="11" max="11" width="11.7109375" bestFit="1" customWidth="1"/>
    <col min="12" max="12" width="10.7109375" bestFit="1" customWidth="1"/>
    <col min="13" max="13" width="11.7109375" bestFit="1" customWidth="1"/>
    <col min="14" max="14" width="10.7109375" bestFit="1" customWidth="1"/>
    <col min="15" max="15" width="11.7109375" bestFit="1" customWidth="1"/>
  </cols>
  <sheetData>
    <row r="1" spans="1:16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16">
      <c r="A2" s="90"/>
      <c r="B2" s="90"/>
      <c r="C2" s="90"/>
      <c r="D2" s="90" t="s">
        <v>191</v>
      </c>
      <c r="E2" s="90" t="s">
        <v>196</v>
      </c>
      <c r="F2" s="90" t="s">
        <v>198</v>
      </c>
      <c r="G2" s="90" t="s">
        <v>199</v>
      </c>
      <c r="H2" s="90" t="s">
        <v>200</v>
      </c>
      <c r="I2" s="90" t="s">
        <v>201</v>
      </c>
      <c r="J2" s="90" t="s">
        <v>202</v>
      </c>
      <c r="K2" s="90" t="s">
        <v>203</v>
      </c>
      <c r="L2" s="90" t="s">
        <v>204</v>
      </c>
      <c r="M2" s="90" t="s">
        <v>205</v>
      </c>
      <c r="N2" s="90" t="s">
        <v>206</v>
      </c>
      <c r="O2" s="90" t="s">
        <v>207</v>
      </c>
      <c r="P2" s="90"/>
    </row>
    <row r="3" spans="1:16">
      <c r="A3" s="90"/>
      <c r="B3" s="90"/>
      <c r="C3" s="90"/>
      <c r="D3" s="90" t="s">
        <v>192</v>
      </c>
      <c r="E3" s="93">
        <v>652267.91</v>
      </c>
      <c r="F3" s="93">
        <v>621865.02</v>
      </c>
      <c r="G3" s="93">
        <v>596148.84</v>
      </c>
      <c r="H3" s="93">
        <v>627848.04</v>
      </c>
      <c r="I3" s="93">
        <v>627188.22</v>
      </c>
      <c r="J3" s="93">
        <v>658675.93999999994</v>
      </c>
      <c r="K3" s="93">
        <v>645267.11</v>
      </c>
      <c r="L3" s="93">
        <v>450553.91</v>
      </c>
      <c r="M3" s="93">
        <v>453345.44</v>
      </c>
      <c r="N3" s="93">
        <v>228537.54</v>
      </c>
      <c r="O3" s="93">
        <v>218456.01</v>
      </c>
      <c r="P3" s="90"/>
    </row>
    <row r="4" spans="1:16">
      <c r="A4" s="90"/>
      <c r="B4" s="90"/>
      <c r="C4" s="90"/>
      <c r="D4" s="90" t="s">
        <v>193</v>
      </c>
      <c r="E4" s="90">
        <v>0</v>
      </c>
      <c r="F4" s="90">
        <v>0</v>
      </c>
      <c r="G4" s="90">
        <v>0</v>
      </c>
      <c r="H4" s="90">
        <v>0</v>
      </c>
      <c r="I4" s="90">
        <v>0</v>
      </c>
      <c r="J4" s="90">
        <v>0</v>
      </c>
      <c r="K4" s="93">
        <v>3333000</v>
      </c>
      <c r="L4" s="90">
        <v>0</v>
      </c>
      <c r="M4" s="93">
        <v>3333000</v>
      </c>
      <c r="N4" s="90">
        <v>0</v>
      </c>
      <c r="O4" s="93">
        <v>3334000</v>
      </c>
      <c r="P4" s="90"/>
    </row>
    <row r="5" spans="1:16">
      <c r="A5" s="90"/>
      <c r="B5" s="90"/>
      <c r="C5" s="90"/>
      <c r="D5" s="90" t="s">
        <v>194</v>
      </c>
      <c r="E5" s="93">
        <v>652267.91</v>
      </c>
      <c r="F5" s="93">
        <v>621865.02</v>
      </c>
      <c r="G5" s="93">
        <v>596148.84</v>
      </c>
      <c r="H5" s="93">
        <v>627848.04</v>
      </c>
      <c r="I5" s="93">
        <v>627188.22</v>
      </c>
      <c r="J5" s="93">
        <v>658675.93999999994</v>
      </c>
      <c r="K5" s="93">
        <v>3978267.11</v>
      </c>
      <c r="L5" s="93">
        <v>450553.91</v>
      </c>
      <c r="M5" s="93">
        <v>3786345.45</v>
      </c>
      <c r="N5" s="93">
        <v>228537.54</v>
      </c>
      <c r="O5" s="93">
        <v>3552456.01</v>
      </c>
      <c r="P5" s="90"/>
    </row>
    <row r="6" spans="1:16">
      <c r="A6" s="90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4e1a78d-2efc-4639-833f-902d1c9eb43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88A32F0D549348872543F38B97F6DE" ma:contentTypeVersion="7" ma:contentTypeDescription="Create a new document." ma:contentTypeScope="" ma:versionID="9013f976c4d82a0c7f5b113396c2a1d1">
  <xsd:schema xmlns:xsd="http://www.w3.org/2001/XMLSchema" xmlns:xs="http://www.w3.org/2001/XMLSchema" xmlns:p="http://schemas.microsoft.com/office/2006/metadata/properties" xmlns:ns3="c4e1a78d-2efc-4639-833f-902d1c9eb435" xmlns:ns4="644f9587-9b1f-47ef-8037-0e139d6074f0" targetNamespace="http://schemas.microsoft.com/office/2006/metadata/properties" ma:root="true" ma:fieldsID="03adb8f088f17409f5db68c90d009f17" ns3:_="" ns4:_="">
    <xsd:import namespace="c4e1a78d-2efc-4639-833f-902d1c9eb435"/>
    <xsd:import namespace="644f9587-9b1f-47ef-8037-0e139d6074f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e1a78d-2efc-4639-833f-902d1c9eb4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4f9587-9b1f-47ef-8037-0e139d6074f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B250A5-AE30-45B2-91B0-DB46A63B8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AA7659-550E-474E-91AB-4E460AC76E59}">
  <ds:schemaRefs>
    <ds:schemaRef ds:uri="http://schemas.microsoft.com/office/2006/metadata/properties"/>
    <ds:schemaRef ds:uri="http://schemas.microsoft.com/office/infopath/2007/PartnerControls"/>
    <ds:schemaRef ds:uri="c4e1a78d-2efc-4639-833f-902d1c9eb435"/>
  </ds:schemaRefs>
</ds:datastoreItem>
</file>

<file path=customXml/itemProps3.xml><?xml version="1.0" encoding="utf-8"?>
<ds:datastoreItem xmlns:ds="http://schemas.openxmlformats.org/officeDocument/2006/customXml" ds:itemID="{0FB7BE76-7766-454B-B728-E2D1F6606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e1a78d-2efc-4639-833f-902d1c9eb435"/>
    <ds:schemaRef ds:uri="644f9587-9b1f-47ef-8037-0e139d6074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A - Todos os dados</vt:lpstr>
      <vt:lpstr>A - Importantes</vt:lpstr>
      <vt:lpstr>A - FCx Futuro</vt:lpstr>
      <vt:lpstr>A - FCx Emissão</vt:lpstr>
      <vt:lpstr>A - FCx total fórmulas</vt:lpstr>
      <vt:lpstr>A - FCx total aplicado</vt:lpstr>
      <vt:lpstr>A - Wacc</vt:lpstr>
      <vt:lpstr>A - Planilha 4</vt:lpstr>
      <vt:lpstr>A - Calculo Yield</vt:lpstr>
      <vt:lpstr>B.2 - Projeção do FCx</vt:lpstr>
      <vt:lpstr>B.5 - Ponto de equilíbrio</vt:lpstr>
      <vt:lpstr>B - Equilíbrio</vt:lpstr>
      <vt:lpstr>B - Desvios padrão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Luís Guilherme Silveira de Oliveira</dc:creator>
  <cp:keywords/>
  <dc:description/>
  <cp:lastModifiedBy>Luís Guilherme Silveira de Oliveira</cp:lastModifiedBy>
  <cp:revision/>
  <dcterms:created xsi:type="dcterms:W3CDTF">2023-11-07T16:40:52Z</dcterms:created>
  <dcterms:modified xsi:type="dcterms:W3CDTF">2023-11-10T02:25:58Z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0x0101005888A32F0D549348872543F38B97F6DE</vt:lpwstr>
  </property>
</Properties>
</file>