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SSANDRO 5 Sept 2018\Alexander\Università\4. Master MPM Torino\Progetto\Launcher\"/>
    </mc:Choice>
  </mc:AlternateContent>
  <xr:revisionPtr revIDLastSave="0" documentId="13_ncr:1_{0DB35C79-0794-445A-99F0-6ECD3D651EFC}" xr6:coauthVersionLast="47" xr6:coauthVersionMax="47" xr10:uidLastSave="{00000000-0000-0000-0000-000000000000}"/>
  <bookViews>
    <workbookView xWindow="-108" yWindow="-108" windowWidth="23256" windowHeight="12576" xr2:uid="{C5F90365-6BB3-484C-94EE-3EA80F152565}"/>
  </bookViews>
  <sheets>
    <sheet name="Foglio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Foglio1!$I$14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Foglio1!$I$14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13" i="1" l="1"/>
  <c r="D17" i="1" s="1"/>
  <c r="C17" i="1" l="1"/>
  <c r="B18" i="1" s="1"/>
  <c r="D18" i="1" l="1"/>
  <c r="C18" i="1"/>
  <c r="B19" i="1" l="1"/>
  <c r="C19" i="1" s="1"/>
  <c r="D19" i="1" l="1"/>
  <c r="B20" i="1" s="1"/>
  <c r="C20" i="1" s="1"/>
  <c r="D20" i="1" l="1"/>
  <c r="B21" i="1" s="1"/>
  <c r="C21" i="1" l="1"/>
  <c r="D21" i="1"/>
  <c r="B22" i="1" l="1"/>
  <c r="D22" i="1" s="1"/>
  <c r="C22" i="1" l="1"/>
  <c r="B23" i="1" s="1"/>
  <c r="C23" i="1" s="1"/>
  <c r="D23" i="1" l="1"/>
  <c r="B24" i="1" s="1"/>
  <c r="C24" i="1" l="1"/>
  <c r="D24" i="1"/>
  <c r="B25" i="1" l="1"/>
  <c r="D25" i="1" s="1"/>
  <c r="C25" i="1" l="1"/>
  <c r="B26" i="1" s="1"/>
  <c r="C26" i="1" s="1"/>
  <c r="D26" i="1" l="1"/>
  <c r="B27" i="1" s="1"/>
  <c r="G2" i="1" l="1"/>
  <c r="D27" i="1"/>
  <c r="C27" i="1"/>
  <c r="G7" i="1" l="1"/>
  <c r="G6" i="1"/>
  <c r="G5" i="1"/>
  <c r="F38" i="1" s="1"/>
  <c r="F39" i="1" l="1"/>
  <c r="G12" i="1"/>
  <c r="G11" i="1" s="1"/>
  <c r="F40" i="1"/>
  <c r="G18" i="1" l="1"/>
  <c r="I18" i="1" s="1"/>
  <c r="G10" i="1"/>
  <c r="I11" i="1"/>
  <c r="G19" i="1"/>
  <c r="I19" i="1" s="1"/>
  <c r="I12" i="1"/>
  <c r="G33" i="1"/>
  <c r="G32" i="1"/>
  <c r="G27" i="1" l="1"/>
  <c r="I27" i="1" s="1"/>
  <c r="G31" i="1"/>
  <c r="G14" i="1"/>
  <c r="G17" i="1"/>
  <c r="G25" i="1" s="1"/>
  <c r="I25" i="1" s="1"/>
  <c r="I10" i="1"/>
  <c r="G13" i="1"/>
  <c r="I13" i="1" s="1"/>
  <c r="G26" i="1"/>
  <c r="I26" i="1" s="1"/>
  <c r="I5" i="1" l="1"/>
  <c r="G35" i="1"/>
  <c r="G28" i="1"/>
  <c r="I28" i="1" s="1"/>
  <c r="G20" i="1"/>
  <c r="I20" i="1" s="1"/>
  <c r="I17" i="1"/>
  <c r="I14" i="1"/>
</calcChain>
</file>

<file path=xl/sharedStrings.xml><?xml version="1.0" encoding="utf-8"?>
<sst xmlns="http://schemas.openxmlformats.org/spreadsheetml/2006/main" count="82" uniqueCount="53">
  <si>
    <t>mpl</t>
  </si>
  <si>
    <t>Δv</t>
  </si>
  <si>
    <t>kg</t>
  </si>
  <si>
    <t>k (Struct. Ratio)</t>
  </si>
  <si>
    <t>c (km/s)</t>
  </si>
  <si>
    <t>Funzione</t>
  </si>
  <si>
    <t>x</t>
  </si>
  <si>
    <t>f'(x)</t>
  </si>
  <si>
    <t>somma c</t>
  </si>
  <si>
    <t>km/s</t>
  </si>
  <si>
    <t>Newton-Raphson</t>
  </si>
  <si>
    <t>Mass fractions</t>
  </si>
  <si>
    <t>n1</t>
  </si>
  <si>
    <t>n2</t>
  </si>
  <si>
    <t>n3</t>
  </si>
  <si>
    <t>m3</t>
  </si>
  <si>
    <t>m2</t>
  </si>
  <si>
    <t>m1</t>
  </si>
  <si>
    <t>Total mass</t>
  </si>
  <si>
    <t>t</t>
  </si>
  <si>
    <t>mE1</t>
  </si>
  <si>
    <t>mE2</t>
  </si>
  <si>
    <t>mE3</t>
  </si>
  <si>
    <t>Radice della f(x)</t>
  </si>
  <si>
    <t>f(x)  (dalla teoria)</t>
  </si>
  <si>
    <t>Total empty mass</t>
  </si>
  <si>
    <t>Propellant masses</t>
  </si>
  <si>
    <t>mp1</t>
  </si>
  <si>
    <t>mp2</t>
  </si>
  <si>
    <t>mp3</t>
  </si>
  <si>
    <t>(without payload)</t>
  </si>
  <si>
    <t>Empty masses (stage dry masses)</t>
  </si>
  <si>
    <t>Step masses (stage wet masses)</t>
  </si>
  <si>
    <t>l1</t>
  </si>
  <si>
    <t>l2</t>
  </si>
  <si>
    <t>l3</t>
  </si>
  <si>
    <r>
      <t xml:space="preserve">Payload ratios  </t>
    </r>
    <r>
      <rPr>
        <sz val="11"/>
        <color theme="1"/>
        <rFont val="Symbol"/>
        <family val="1"/>
        <charset val="2"/>
      </rPr>
      <t>l</t>
    </r>
  </si>
  <si>
    <t>(without prop)</t>
  </si>
  <si>
    <t>Tot mass vehicle   m0</t>
  </si>
  <si>
    <t>Total prop. Mass   mp</t>
  </si>
  <si>
    <t>T/W</t>
  </si>
  <si>
    <t>Launcher optimization      LEO 200km</t>
  </si>
  <si>
    <t>Stage</t>
  </si>
  <si>
    <r>
      <t>I</t>
    </r>
    <r>
      <rPr>
        <b/>
        <sz val="8"/>
        <color theme="1"/>
        <rFont val="Calibri"/>
        <family val="2"/>
        <scheme val="minor"/>
      </rPr>
      <t>SP</t>
    </r>
    <r>
      <rPr>
        <b/>
        <sz val="11"/>
        <color theme="1"/>
        <rFont val="Calibri"/>
        <family val="2"/>
        <scheme val="minor"/>
      </rPr>
      <t xml:space="preserve"> (s)</t>
    </r>
  </si>
  <si>
    <t>h + o</t>
  </si>
  <si>
    <t>keros + o</t>
  </si>
  <si>
    <t>Stages</t>
  </si>
  <si>
    <t>Mass fraction</t>
  </si>
  <si>
    <t>Wet mass   (t)</t>
  </si>
  <si>
    <t>Prop. Mass   (t)</t>
  </si>
  <si>
    <t>Mass of the single launcher  (t)</t>
  </si>
  <si>
    <r>
      <t>p</t>
    </r>
    <r>
      <rPr>
        <sz val="8"/>
        <color theme="1"/>
        <rFont val="Calibri Light"/>
        <family val="2"/>
        <scheme val="major"/>
      </rPr>
      <t>PL</t>
    </r>
  </si>
  <si>
    <t>Overal payload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</si>
</sst>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2" fontId="0" fillId="0" borderId="0" xfId="0" applyNumberFormat="1"/>
    <xf numFmtId="2" fontId="0" fillId="0" borderId="0" xfId="0" applyNumberFormat="1" applyFill="1"/>
    <xf numFmtId="0" fontId="0" fillId="3" borderId="0" xfId="0" applyFill="1"/>
    <xf numFmtId="2" fontId="0" fillId="3" borderId="0" xfId="0" applyNumberFormat="1" applyFill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1" fillId="0" borderId="1" xfId="0" applyFont="1" applyBorder="1"/>
    <xf numFmtId="165" fontId="0" fillId="3" borderId="0" xfId="0" applyNumberFormat="1" applyFill="1"/>
    <xf numFmtId="0" fontId="5" fillId="0" borderId="1" xfId="0" applyFont="1" applyBorder="1"/>
    <xf numFmtId="0" fontId="4" fillId="0" borderId="1" xfId="0" applyFont="1" applyBorder="1"/>
    <xf numFmtId="2" fontId="0" fillId="0" borderId="1" xfId="0" applyNumberFormat="1" applyBorder="1"/>
    <xf numFmtId="166" fontId="0" fillId="0" borderId="0" xfId="0" applyNumberFormat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0A2D-8F62-4540-A195-7CDFB368ADE5}">
  <dimension ref="A2:O40"/>
  <sheetViews>
    <sheetView tabSelected="1" zoomScale="115" zoomScaleNormal="115" workbookViewId="0">
      <selection activeCell="B4" sqref="B4"/>
    </sheetView>
  </sheetViews>
  <sheetFormatPr defaultRowHeight="14.4" x14ac:dyDescent="0.3"/>
  <cols>
    <col min="1" max="1" width="8.88671875" customWidth="1"/>
    <col min="2" max="5" width="15.77734375" customWidth="1"/>
    <col min="6" max="6" width="19" customWidth="1"/>
    <col min="7" max="7" width="15.77734375" customWidth="1"/>
    <col min="8" max="8" width="7.44140625" customWidth="1"/>
    <col min="9" max="9" width="12.5546875" customWidth="1"/>
    <col min="10" max="11" width="15.77734375" customWidth="1"/>
    <col min="12" max="12" width="10.109375" customWidth="1"/>
    <col min="13" max="13" width="17" customWidth="1"/>
    <col min="14" max="14" width="16.77734375" customWidth="1"/>
    <col min="15" max="15" width="15.77734375" customWidth="1"/>
  </cols>
  <sheetData>
    <row r="2" spans="1:15" x14ac:dyDescent="0.3">
      <c r="A2" s="18" t="s">
        <v>41</v>
      </c>
      <c r="B2" s="19"/>
      <c r="C2" s="20"/>
      <c r="F2" t="s">
        <v>23</v>
      </c>
      <c r="G2" s="9">
        <f>B27</f>
        <v>0.37756356114040301</v>
      </c>
    </row>
    <row r="3" spans="1:15" x14ac:dyDescent="0.3">
      <c r="A3" s="11" t="s">
        <v>0</v>
      </c>
      <c r="B3" s="11">
        <v>120000</v>
      </c>
      <c r="C3" s="11" t="s">
        <v>2</v>
      </c>
    </row>
    <row r="4" spans="1:15" x14ac:dyDescent="0.3">
      <c r="A4" s="12" t="s">
        <v>1</v>
      </c>
      <c r="B4" s="11">
        <v>9.7799999999999994</v>
      </c>
      <c r="C4" s="11" t="s">
        <v>9</v>
      </c>
      <c r="F4" s="2" t="s">
        <v>11</v>
      </c>
      <c r="G4" s="2"/>
      <c r="I4" s="6" t="s">
        <v>40</v>
      </c>
      <c r="L4" t="s">
        <v>46</v>
      </c>
      <c r="M4" t="s">
        <v>47</v>
      </c>
      <c r="N4" t="s">
        <v>48</v>
      </c>
      <c r="O4" t="s">
        <v>49</v>
      </c>
    </row>
    <row r="5" spans="1:15" x14ac:dyDescent="0.3">
      <c r="F5" t="s">
        <v>12</v>
      </c>
      <c r="G5" s="4">
        <f>(D7*$G$2-1)/(D7*C7*$G$2)</f>
        <v>4.0003156097530539</v>
      </c>
      <c r="I5" s="13">
        <f>(5000000/G14)</f>
        <v>1.9023874883575402</v>
      </c>
      <c r="L5">
        <v>1</v>
      </c>
      <c r="M5" s="17">
        <v>4.0003156097530503</v>
      </c>
      <c r="N5" s="4">
        <v>2190.2878726026315</v>
      </c>
      <c r="O5" s="4">
        <v>1971.2590853423681</v>
      </c>
    </row>
    <row r="6" spans="1:15" x14ac:dyDescent="0.3">
      <c r="A6" s="14" t="s">
        <v>42</v>
      </c>
      <c r="B6" s="15" t="s">
        <v>43</v>
      </c>
      <c r="C6" s="15" t="s">
        <v>3</v>
      </c>
      <c r="D6" s="15" t="s">
        <v>4</v>
      </c>
      <c r="F6" t="s">
        <v>13</v>
      </c>
      <c r="G6" s="4">
        <f>(D8*$G$2-1)/(D8*C8*$G$2)</f>
        <v>1.9051000580687476</v>
      </c>
      <c r="L6">
        <v>2</v>
      </c>
      <c r="M6">
        <v>1.91</v>
      </c>
      <c r="N6" s="4">
        <v>236.4606028913627</v>
      </c>
      <c r="O6" s="4">
        <v>208.0853305443992</v>
      </c>
    </row>
    <row r="7" spans="1:15" x14ac:dyDescent="0.3">
      <c r="A7" s="11">
        <v>1</v>
      </c>
      <c r="B7" s="11">
        <v>450</v>
      </c>
      <c r="C7" s="11">
        <v>0.1</v>
      </c>
      <c r="D7" s="16">
        <f xml:space="preserve"> 9.81*B7/1000</f>
        <v>4.4145000000000003</v>
      </c>
      <c r="E7" t="s">
        <v>44</v>
      </c>
      <c r="F7" t="s">
        <v>14</v>
      </c>
      <c r="G7" s="4">
        <f>(D9*$G$2-1)/(D9*C9*$G$2)</f>
        <v>1.5240800464549982</v>
      </c>
      <c r="L7">
        <v>3</v>
      </c>
      <c r="M7">
        <v>1.52</v>
      </c>
      <c r="N7" s="4">
        <v>81.527851279390148</v>
      </c>
      <c r="O7" s="4">
        <v>69.298673587481616</v>
      </c>
    </row>
    <row r="8" spans="1:15" x14ac:dyDescent="0.3">
      <c r="A8" s="11">
        <v>2</v>
      </c>
      <c r="B8" s="11">
        <v>350</v>
      </c>
      <c r="C8" s="11">
        <v>0.12</v>
      </c>
      <c r="D8" s="16">
        <f>9.81*B8/1000</f>
        <v>3.4335</v>
      </c>
      <c r="E8" t="s">
        <v>45</v>
      </c>
    </row>
    <row r="9" spans="1:15" x14ac:dyDescent="0.3">
      <c r="A9" s="11">
        <v>3</v>
      </c>
      <c r="B9" s="11">
        <v>350</v>
      </c>
      <c r="C9" s="11">
        <v>0.15</v>
      </c>
      <c r="D9" s="16">
        <f>9.81*B9/1000</f>
        <v>3.4335</v>
      </c>
      <c r="E9" t="s">
        <v>45</v>
      </c>
      <c r="F9" s="2" t="s">
        <v>32</v>
      </c>
      <c r="G9" s="2"/>
    </row>
    <row r="10" spans="1:15" x14ac:dyDescent="0.3">
      <c r="F10" t="s">
        <v>17</v>
      </c>
      <c r="G10" s="4">
        <f xml:space="preserve"> ((G5-1)/(1-G5*C7))*($B$3 + G11 + G12)</f>
        <v>2190287.8726026313</v>
      </c>
      <c r="H10" t="s">
        <v>2</v>
      </c>
      <c r="I10" s="4">
        <f>G10/1000</f>
        <v>2190.2878726026315</v>
      </c>
      <c r="J10" t="s">
        <v>19</v>
      </c>
    </row>
    <row r="11" spans="1:15" x14ac:dyDescent="0.3">
      <c r="F11" t="s">
        <v>16</v>
      </c>
      <c r="G11" s="4">
        <f xml:space="preserve"> ((G6-1)/(1-G6*C8))*($B$3 + G12)</f>
        <v>236460.60289136271</v>
      </c>
      <c r="H11" t="s">
        <v>2</v>
      </c>
      <c r="I11" s="4">
        <f t="shared" ref="I11:I14" si="0">G11/1000</f>
        <v>236.4606028913627</v>
      </c>
      <c r="J11" t="s">
        <v>19</v>
      </c>
      <c r="L11" t="s">
        <v>46</v>
      </c>
      <c r="M11" s="3" t="s">
        <v>36</v>
      </c>
    </row>
    <row r="12" spans="1:15" x14ac:dyDescent="0.3">
      <c r="D12" t="s">
        <v>8</v>
      </c>
      <c r="F12" t="s">
        <v>15</v>
      </c>
      <c r="G12" s="4">
        <f xml:space="preserve"> ((G7-1)/(1-G7*C9))*$B$3</f>
        <v>81527.851279390146</v>
      </c>
      <c r="H12" t="s">
        <v>2</v>
      </c>
      <c r="I12" s="4">
        <f t="shared" si="0"/>
        <v>81.527851279390148</v>
      </c>
      <c r="J12" t="s">
        <v>19</v>
      </c>
      <c r="L12">
        <v>1</v>
      </c>
      <c r="M12" s="4">
        <v>0.19996844234466254</v>
      </c>
    </row>
    <row r="13" spans="1:15" x14ac:dyDescent="0.3">
      <c r="D13">
        <f>SUM(D7:D9)</f>
        <v>11.281500000000001</v>
      </c>
      <c r="F13" t="s">
        <v>18</v>
      </c>
      <c r="G13" s="4">
        <f>SUM(G10:G12)</f>
        <v>2508276.3267733841</v>
      </c>
      <c r="H13" t="s">
        <v>2</v>
      </c>
      <c r="I13" s="4">
        <f t="shared" si="0"/>
        <v>2508.276326773384</v>
      </c>
      <c r="J13" t="s">
        <v>19</v>
      </c>
      <c r="L13">
        <v>2</v>
      </c>
      <c r="M13" s="4">
        <v>0.85226819527301245</v>
      </c>
    </row>
    <row r="14" spans="1:15" x14ac:dyDescent="0.3">
      <c r="F14" s="6" t="s">
        <v>38</v>
      </c>
      <c r="G14" s="7">
        <f>SUM(G10:G12) + B3</f>
        <v>2628276.3267733841</v>
      </c>
      <c r="H14" s="6" t="s">
        <v>2</v>
      </c>
      <c r="I14" s="7">
        <f t="shared" si="0"/>
        <v>2628.276326773384</v>
      </c>
      <c r="J14" s="6" t="s">
        <v>19</v>
      </c>
      <c r="L14">
        <v>3</v>
      </c>
      <c r="M14" s="4">
        <v>1.471889644052663</v>
      </c>
    </row>
    <row r="15" spans="1:15" x14ac:dyDescent="0.3">
      <c r="A15" t="s">
        <v>5</v>
      </c>
      <c r="B15" t="s">
        <v>10</v>
      </c>
      <c r="C15" s="1"/>
      <c r="L15" t="s">
        <v>50</v>
      </c>
    </row>
    <row r="16" spans="1:15" x14ac:dyDescent="0.3">
      <c r="A16" t="s">
        <v>6</v>
      </c>
      <c r="B16" t="s">
        <v>6</v>
      </c>
      <c r="C16" t="s">
        <v>24</v>
      </c>
      <c r="D16" t="s">
        <v>7</v>
      </c>
      <c r="F16" s="2" t="s">
        <v>31</v>
      </c>
      <c r="G16" s="2"/>
      <c r="H16" s="3"/>
      <c r="I16" s="3"/>
      <c r="J16" s="3"/>
      <c r="M16" s="4">
        <v>2628.276326773384</v>
      </c>
    </row>
    <row r="17" spans="2:10" x14ac:dyDescent="0.3">
      <c r="B17">
        <v>0.34</v>
      </c>
      <c r="C17">
        <f>$D$7*LN($D$7*B17-1)+$D$8*LN($D$8*B17-1)+$D$9*LN($D$9*B17-1)-$D$13*LN(B17)-($D$7*LN($D$7*$C$7) +$D$8*LN($D$8*$C$8) + $D$9*LN($D$9*$C$9)) - $B$4</f>
        <v>-4.0029914540770264</v>
      </c>
      <c r="D17">
        <f>$D$7*($D$7/($D$7*B17-1))+$D$8*($D$8/($D$8*B17-1))+$D$9*($D$9/($D$9*B17-1))-$D$13*(1/B17)</f>
        <v>146.57813111449028</v>
      </c>
      <c r="F17" t="s">
        <v>20</v>
      </c>
      <c r="G17" s="4">
        <f>G10*C7</f>
        <v>219028.78726026314</v>
      </c>
      <c r="H17" t="s">
        <v>2</v>
      </c>
      <c r="I17" s="5">
        <f>G17/1000</f>
        <v>219.02878726026313</v>
      </c>
      <c r="J17" s="3" t="s">
        <v>19</v>
      </c>
    </row>
    <row r="18" spans="2:10" x14ac:dyDescent="0.3">
      <c r="B18">
        <f xml:space="preserve"> B17 - (C17)/(D17)</f>
        <v>0.36730960903676924</v>
      </c>
      <c r="C18">
        <f t="shared" ref="C18:C27" si="1">$D$7*LN($D$7*B18-1)+$D$8*LN($D$8*B18-1)+$D$9*LN($D$9*B18-1)-$D$13*LN(B18)-($D$7*LN($D$7*$C$7) +$D$8*LN($D$8*$C$8) + $D$9*LN($D$9*$C$9)) - $B$4</f>
        <v>-0.86818073247550132</v>
      </c>
      <c r="D18">
        <f t="shared" ref="D18:D27" si="2">$D$7*($D$7/($D$7*B18-1))+$D$8*($D$8/($D$8*B18-1))+$D$9*($D$9/($D$9*B18-1))-$D$13*(1/B18)</f>
        <v>90.924884888724478</v>
      </c>
      <c r="F18" t="s">
        <v>21</v>
      </c>
      <c r="G18" s="4">
        <f>G11*C8</f>
        <v>28375.272346963524</v>
      </c>
      <c r="H18" t="s">
        <v>2</v>
      </c>
      <c r="I18" s="5">
        <f t="shared" ref="I18:I19" si="3">G18/1000</f>
        <v>28.375272346963524</v>
      </c>
      <c r="J18" s="3" t="s">
        <v>19</v>
      </c>
    </row>
    <row r="19" spans="2:10" x14ac:dyDescent="0.3">
      <c r="B19">
        <f t="shared" ref="B19:B27" si="4" xml:space="preserve"> B18 - (C18)/(D18)</f>
        <v>0.37685793822671537</v>
      </c>
      <c r="C19">
        <f t="shared" si="1"/>
        <v>-5.5936528122039419E-2</v>
      </c>
      <c r="D19">
        <f t="shared" si="2"/>
        <v>79.642024659755464</v>
      </c>
      <c r="F19" t="s">
        <v>22</v>
      </c>
      <c r="G19" s="4">
        <f>G12*C9</f>
        <v>12229.177691908522</v>
      </c>
      <c r="H19" t="s">
        <v>2</v>
      </c>
      <c r="I19" s="5">
        <f t="shared" si="3"/>
        <v>12.229177691908522</v>
      </c>
      <c r="J19" s="3" t="s">
        <v>19</v>
      </c>
    </row>
    <row r="20" spans="2:10" x14ac:dyDescent="0.3">
      <c r="B20">
        <f t="shared" si="4"/>
        <v>0.37756028762530247</v>
      </c>
      <c r="C20">
        <f t="shared" si="1"/>
        <v>-2.5830242394953018E-4</v>
      </c>
      <c r="D20">
        <f t="shared" si="2"/>
        <v>78.908441698531419</v>
      </c>
      <c r="F20" t="s">
        <v>25</v>
      </c>
      <c r="G20" s="4">
        <f>SUM(G17:G19)</f>
        <v>259633.23729913519</v>
      </c>
      <c r="H20" s="3" t="s">
        <v>2</v>
      </c>
      <c r="I20" s="5">
        <f>G20/1000</f>
        <v>259.6332372991352</v>
      </c>
      <c r="J20" s="3" t="s">
        <v>19</v>
      </c>
    </row>
    <row r="21" spans="2:10" x14ac:dyDescent="0.3">
      <c r="B21">
        <f t="shared" si="4"/>
        <v>0.37756356107004918</v>
      </c>
      <c r="C21">
        <f t="shared" si="1"/>
        <v>-5.5512732188844893E-9</v>
      </c>
      <c r="D21">
        <f t="shared" si="2"/>
        <v>78.905050040643658</v>
      </c>
      <c r="F21" t="s">
        <v>30</v>
      </c>
    </row>
    <row r="22" spans="2:10" x14ac:dyDescent="0.3">
      <c r="B22">
        <f t="shared" si="4"/>
        <v>0.37756356114040301</v>
      </c>
      <c r="C22">
        <f t="shared" si="1"/>
        <v>0</v>
      </c>
      <c r="D22">
        <f t="shared" si="2"/>
        <v>78.905049967751864</v>
      </c>
      <c r="F22" t="s">
        <v>37</v>
      </c>
    </row>
    <row r="23" spans="2:10" x14ac:dyDescent="0.3">
      <c r="B23">
        <f t="shared" si="4"/>
        <v>0.37756356114040301</v>
      </c>
      <c r="C23">
        <f t="shared" si="1"/>
        <v>0</v>
      </c>
      <c r="D23">
        <f t="shared" si="2"/>
        <v>78.905049967751864</v>
      </c>
    </row>
    <row r="24" spans="2:10" x14ac:dyDescent="0.3">
      <c r="B24">
        <f t="shared" si="4"/>
        <v>0.37756356114040301</v>
      </c>
      <c r="C24">
        <f t="shared" si="1"/>
        <v>0</v>
      </c>
      <c r="D24">
        <f t="shared" si="2"/>
        <v>78.905049967751864</v>
      </c>
      <c r="F24" s="2" t="s">
        <v>26</v>
      </c>
      <c r="G24" s="2"/>
      <c r="H24" s="3"/>
      <c r="I24" s="3"/>
      <c r="J24" s="3"/>
    </row>
    <row r="25" spans="2:10" x14ac:dyDescent="0.3">
      <c r="B25">
        <f t="shared" si="4"/>
        <v>0.37756356114040301</v>
      </c>
      <c r="C25">
        <f t="shared" si="1"/>
        <v>0</v>
      </c>
      <c r="D25">
        <f t="shared" si="2"/>
        <v>78.905049967751864</v>
      </c>
      <c r="F25" t="s">
        <v>27</v>
      </c>
      <c r="G25" s="4">
        <f>G10-G17</f>
        <v>1971259.0853423681</v>
      </c>
      <c r="H25" t="s">
        <v>2</v>
      </c>
      <c r="I25" s="5">
        <f>G25/1000</f>
        <v>1971.2590853423681</v>
      </c>
      <c r="J25" s="3" t="s">
        <v>19</v>
      </c>
    </row>
    <row r="26" spans="2:10" x14ac:dyDescent="0.3">
      <c r="B26">
        <f t="shared" si="4"/>
        <v>0.37756356114040301</v>
      </c>
      <c r="C26">
        <f t="shared" si="1"/>
        <v>0</v>
      </c>
      <c r="D26">
        <f t="shared" si="2"/>
        <v>78.905049967751864</v>
      </c>
      <c r="F26" t="s">
        <v>28</v>
      </c>
      <c r="G26" s="4">
        <f>G11-G18</f>
        <v>208085.33054439918</v>
      </c>
      <c r="H26" t="s">
        <v>2</v>
      </c>
      <c r="I26" s="5">
        <f t="shared" ref="I26:I27" si="5">G26/1000</f>
        <v>208.0853305443992</v>
      </c>
      <c r="J26" s="3" t="s">
        <v>19</v>
      </c>
    </row>
    <row r="27" spans="2:10" x14ac:dyDescent="0.3">
      <c r="B27">
        <f t="shared" si="4"/>
        <v>0.37756356114040301</v>
      </c>
      <c r="C27">
        <f t="shared" si="1"/>
        <v>0</v>
      </c>
      <c r="D27">
        <f t="shared" si="2"/>
        <v>78.905049967751864</v>
      </c>
      <c r="F27" t="s">
        <v>29</v>
      </c>
      <c r="G27" s="4">
        <f>G12-G19</f>
        <v>69298.673587481622</v>
      </c>
      <c r="H27" t="s">
        <v>2</v>
      </c>
      <c r="I27" s="5">
        <f t="shared" si="5"/>
        <v>69.298673587481616</v>
      </c>
      <c r="J27" s="3" t="s">
        <v>19</v>
      </c>
    </row>
    <row r="28" spans="2:10" x14ac:dyDescent="0.3">
      <c r="F28" s="6" t="s">
        <v>39</v>
      </c>
      <c r="G28" s="7">
        <f>SUM(G25:G27)</f>
        <v>2248643.0894742487</v>
      </c>
      <c r="H28" s="6" t="s">
        <v>2</v>
      </c>
      <c r="I28" s="7">
        <f>G28/1000</f>
        <v>2248.6430894742489</v>
      </c>
      <c r="J28" s="6" t="s">
        <v>19</v>
      </c>
    </row>
    <row r="30" spans="2:10" x14ac:dyDescent="0.3">
      <c r="F30" s="2" t="s">
        <v>36</v>
      </c>
      <c r="G30" s="2"/>
    </row>
    <row r="31" spans="2:10" x14ac:dyDescent="0.3">
      <c r="F31" s="8" t="s">
        <v>33</v>
      </c>
      <c r="G31" s="4">
        <f>(G11+G12+B3)/(G10)</f>
        <v>0.19996844234466254</v>
      </c>
    </row>
    <row r="32" spans="2:10" x14ac:dyDescent="0.3">
      <c r="F32" s="8" t="s">
        <v>34</v>
      </c>
      <c r="G32" s="4">
        <f>(G12+B3)/(G11)</f>
        <v>0.85226819527301245</v>
      </c>
    </row>
    <row r="33" spans="6:7" x14ac:dyDescent="0.3">
      <c r="F33" s="8" t="s">
        <v>35</v>
      </c>
      <c r="G33" s="4">
        <f>(B3)/(G12)</f>
        <v>1.471889644052663</v>
      </c>
    </row>
    <row r="34" spans="6:7" x14ac:dyDescent="0.3">
      <c r="F34" s="21" t="s">
        <v>52</v>
      </c>
      <c r="G34" s="21"/>
    </row>
    <row r="35" spans="6:7" x14ac:dyDescent="0.3">
      <c r="F35" s="8" t="s">
        <v>51</v>
      </c>
      <c r="G35" s="10">
        <f>B3/G14</f>
        <v>4.5657299720580968E-2</v>
      </c>
    </row>
    <row r="36" spans="6:7" x14ac:dyDescent="0.3">
      <c r="F36" s="8"/>
    </row>
    <row r="37" spans="6:7" x14ac:dyDescent="0.3">
      <c r="F37" s="8"/>
    </row>
    <row r="38" spans="6:7" x14ac:dyDescent="0.3">
      <c r="F38">
        <f>$G$2*D7*((C7*G5-1)^2) + 2*C7*G5 - 1</f>
        <v>0.40003156097530557</v>
      </c>
    </row>
    <row r="39" spans="6:7" x14ac:dyDescent="0.3">
      <c r="F39">
        <f>$G$2*D8*((C8*G6-1)^2) + 2*C8*G6 - 1</f>
        <v>0.22861200696824979</v>
      </c>
    </row>
    <row r="40" spans="6:7" x14ac:dyDescent="0.3">
      <c r="F40">
        <f>$G$2*D9*((C9*G7-1)^2) + 2*C9*G7 - 1</f>
        <v>0.22861200696824979</v>
      </c>
    </row>
  </sheetData>
  <mergeCells count="2">
    <mergeCell ref="A2:C2"/>
    <mergeCell ref="F34:G3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2022-02-17T15:31:05Z</dcterms:created>
  <dcterms:modified xsi:type="dcterms:W3CDTF">2022-03-04T12:13:48Z</dcterms:modified>
</cp:coreProperties>
</file>