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ndre\Desktop\GIL\"/>
    </mc:Choice>
  </mc:AlternateContent>
  <xr:revisionPtr revIDLastSave="0" documentId="13_ncr:1_{15640DCA-33E4-4C1B-98D1-E86C3AB696D9}" xr6:coauthVersionLast="46" xr6:coauthVersionMax="46" xr10:uidLastSave="{00000000-0000-0000-0000-000000000000}"/>
  <bookViews>
    <workbookView xWindow="-120" yWindow="-120" windowWidth="38640" windowHeight="21240" xr2:uid="{2F41FD0B-7C66-4A6B-A044-514139CB1E78}"/>
  </bookViews>
  <sheets>
    <sheet name="proforma + dcf" sheetId="1" r:id="rId1"/>
    <sheet name="capstack" sheetId="6" r:id="rId2"/>
    <sheet name="growth" sheetId="3" r:id="rId3"/>
    <sheet name="lease" sheetId="2" r:id="rId4"/>
    <sheet name="debt" sheetId="10" r:id="rId5"/>
    <sheet name="wacc" sheetId="9"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54" i="1" l="1"/>
  <c r="H81" i="1"/>
  <c r="I81" i="1"/>
  <c r="J81" i="1"/>
  <c r="K81" i="1"/>
  <c r="L81" i="1"/>
  <c r="G81" i="1"/>
  <c r="H75" i="1"/>
  <c r="I75" i="1"/>
  <c r="J75" i="1"/>
  <c r="K75" i="1"/>
  <c r="L75" i="1"/>
  <c r="G75" i="1"/>
  <c r="D75" i="1"/>
  <c r="E75" i="1"/>
  <c r="C74" i="1"/>
  <c r="D74" i="1"/>
  <c r="F33" i="3"/>
  <c r="E33" i="3"/>
  <c r="D34" i="3"/>
  <c r="E34" i="3" s="1"/>
  <c r="F36" i="3"/>
  <c r="Z5" i="1"/>
  <c r="AA5" i="1"/>
  <c r="AD5" i="1"/>
  <c r="AC5" i="1"/>
  <c r="H16" i="1"/>
  <c r="I16" i="1"/>
  <c r="J16" i="1"/>
  <c r="G16" i="1"/>
  <c r="F37" i="3"/>
  <c r="E37" i="3"/>
  <c r="I37" i="3"/>
  <c r="K16" i="1" s="1"/>
  <c r="J37" i="3"/>
  <c r="L16" i="1" s="1"/>
  <c r="H18" i="1"/>
  <c r="I18" i="1"/>
  <c r="AC13" i="1" l="1"/>
  <c r="AD13" i="1"/>
  <c r="AA13" i="1"/>
  <c r="Z13" i="1"/>
  <c r="AB13" i="1"/>
  <c r="L18" i="1"/>
  <c r="E30" i="3"/>
  <c r="E31" i="3" s="1"/>
  <c r="U7" i="1"/>
  <c r="H207" i="1"/>
  <c r="I207" i="1"/>
  <c r="J207" i="1"/>
  <c r="K207" i="1"/>
  <c r="L207" i="1"/>
  <c r="G207" i="1"/>
  <c r="G3" i="3"/>
  <c r="H3" i="3" s="1"/>
  <c r="H17" i="3" s="1"/>
  <c r="E17" i="3"/>
  <c r="F17" i="3"/>
  <c r="G17" i="3"/>
  <c r="F18" i="3"/>
  <c r="G18" i="3"/>
  <c r="H18" i="3"/>
  <c r="I18" i="3"/>
  <c r="J18" i="3"/>
  <c r="D17" i="3"/>
  <c r="D18" i="3"/>
  <c r="D16" i="3"/>
  <c r="Y17" i="1"/>
  <c r="Y18" i="1" s="1"/>
  <c r="Y15" i="1"/>
  <c r="Y14" i="1" s="1"/>
  <c r="Y13" i="1"/>
  <c r="E5" i="3"/>
  <c r="E19" i="3" s="1"/>
  <c r="E25" i="3" s="1"/>
  <c r="C18" i="9"/>
  <c r="C22" i="6"/>
  <c r="C18" i="6"/>
  <c r="G25" i="1"/>
  <c r="C59" i="1"/>
  <c r="D59" i="1"/>
  <c r="C61" i="1"/>
  <c r="D61" i="1"/>
  <c r="C260" i="1"/>
  <c r="AA16" i="1" s="1"/>
  <c r="G220" i="1"/>
  <c r="D13" i="3"/>
  <c r="F10" i="3"/>
  <c r="G10" i="3"/>
  <c r="H10" i="3"/>
  <c r="I10" i="3"/>
  <c r="J10" i="3"/>
  <c r="D9" i="3"/>
  <c r="D8" i="3"/>
  <c r="C223" i="1"/>
  <c r="D223" i="1"/>
  <c r="C21" i="9"/>
  <c r="C22" i="9"/>
  <c r="H236" i="1"/>
  <c r="H237" i="1" s="1"/>
  <c r="I236" i="1"/>
  <c r="I237" i="1" s="1"/>
  <c r="J236" i="1"/>
  <c r="J237" i="1" s="1"/>
  <c r="K236" i="1"/>
  <c r="K237" i="1" s="1"/>
  <c r="L236" i="1"/>
  <c r="G237" i="1"/>
  <c r="C252" i="1"/>
  <c r="C255" i="1"/>
  <c r="C257" i="1"/>
  <c r="AC16" i="1" l="1"/>
  <c r="AB17" i="1"/>
  <c r="Z17" i="1"/>
  <c r="Z14" i="1"/>
  <c r="AA14" i="1"/>
  <c r="AB16" i="1"/>
  <c r="AD16" i="1"/>
  <c r="AA17" i="1"/>
  <c r="AD14" i="1"/>
  <c r="Z18" i="1"/>
  <c r="AD17" i="1"/>
  <c r="Z15" i="1"/>
  <c r="AA18" i="1"/>
  <c r="AA15" i="1"/>
  <c r="AB18" i="1"/>
  <c r="F19" i="3"/>
  <c r="AB14" i="1"/>
  <c r="AB15" i="1"/>
  <c r="AC18" i="1"/>
  <c r="AC17" i="1"/>
  <c r="AC14" i="1"/>
  <c r="AC15" i="1"/>
  <c r="AD18" i="1"/>
  <c r="AD15" i="1"/>
  <c r="Z16" i="1"/>
  <c r="E24" i="3"/>
  <c r="G4" i="1" s="1"/>
  <c r="D62" i="1"/>
  <c r="C62" i="1"/>
  <c r="E9" i="3"/>
  <c r="F11" i="3" s="1"/>
  <c r="F12" i="3" s="1"/>
  <c r="F30" i="3" l="1"/>
  <c r="G19" i="3"/>
  <c r="F25" i="3"/>
  <c r="F9" i="3"/>
  <c r="G11" i="3" s="1"/>
  <c r="G30" i="3" l="1"/>
  <c r="F31" i="3"/>
  <c r="H222" i="1" s="1"/>
  <c r="H220" i="1" s="1"/>
  <c r="H19" i="3"/>
  <c r="G25" i="3"/>
  <c r="G9" i="3"/>
  <c r="H11" i="3" s="1"/>
  <c r="G12" i="3"/>
  <c r="H30" i="3" l="1"/>
  <c r="G31" i="3"/>
  <c r="I222" i="1" s="1"/>
  <c r="I220" i="1" s="1"/>
  <c r="I19" i="3"/>
  <c r="H25" i="3"/>
  <c r="H9" i="3"/>
  <c r="I11" i="3" s="1"/>
  <c r="H12" i="3"/>
  <c r="I30" i="3" l="1"/>
  <c r="H31" i="3"/>
  <c r="J222" i="1" s="1"/>
  <c r="J220" i="1" s="1"/>
  <c r="J19" i="3"/>
  <c r="I25" i="3"/>
  <c r="I9" i="3"/>
  <c r="I12" i="3"/>
  <c r="J30" i="3" l="1"/>
  <c r="J31" i="3" s="1"/>
  <c r="L222" i="1" s="1"/>
  <c r="I31" i="3"/>
  <c r="K222" i="1" s="1"/>
  <c r="K220" i="1" s="1"/>
  <c r="J11" i="3"/>
  <c r="J12" i="3" s="1"/>
  <c r="L220" i="1" l="1"/>
  <c r="J9" i="3"/>
  <c r="S16" i="10" l="1"/>
  <c r="O16" i="10"/>
  <c r="F28" i="6"/>
  <c r="F30" i="6"/>
  <c r="F26" i="6"/>
  <c r="G15" i="6"/>
  <c r="H15" i="6" s="1"/>
  <c r="G16" i="6"/>
  <c r="H16" i="6" s="1"/>
  <c r="G14" i="6"/>
  <c r="H14" i="6" s="1"/>
  <c r="H17" i="6" s="1"/>
  <c r="H18" i="6" s="1"/>
  <c r="G7" i="6"/>
  <c r="H7" i="6" s="1"/>
  <c r="G8" i="6"/>
  <c r="H8" i="6" s="1"/>
  <c r="G9" i="6"/>
  <c r="H9" i="6" s="1"/>
  <c r="G6" i="6"/>
  <c r="H6" i="6" s="1"/>
  <c r="H10" i="6" s="1"/>
  <c r="H11" i="6" s="1"/>
  <c r="B145" i="1"/>
  <c r="B50" i="1"/>
  <c r="B65" i="1" s="1"/>
  <c r="H213" i="1"/>
  <c r="I213" i="1"/>
  <c r="J213" i="1"/>
  <c r="K213" i="1"/>
  <c r="L213" i="1"/>
  <c r="G213" i="1"/>
  <c r="W14" i="10"/>
  <c r="U14" i="10"/>
  <c r="S5" i="10"/>
  <c r="T5" i="10" s="1"/>
  <c r="S6" i="10"/>
  <c r="T6" i="10" s="1"/>
  <c r="S7" i="10"/>
  <c r="T7" i="10" s="1"/>
  <c r="S10" i="10"/>
  <c r="U10" i="10" s="1"/>
  <c r="S11" i="10"/>
  <c r="U11" i="10" s="1"/>
  <c r="S4" i="10"/>
  <c r="T4" i="10" s="1"/>
  <c r="C160" i="1"/>
  <c r="D160" i="1"/>
  <c r="C165" i="1"/>
  <c r="D165" i="1"/>
  <c r="C158" i="1"/>
  <c r="D158" i="1"/>
  <c r="C177" i="1"/>
  <c r="D177" i="1"/>
  <c r="C230" i="1"/>
  <c r="D230" i="1"/>
  <c r="C210" i="1"/>
  <c r="D210" i="1"/>
  <c r="C206" i="1"/>
  <c r="C207" i="1" s="1"/>
  <c r="D206" i="1"/>
  <c r="D207" i="1" s="1"/>
  <c r="C141" i="1"/>
  <c r="D141" i="1"/>
  <c r="C112" i="1"/>
  <c r="C136" i="1" s="1"/>
  <c r="D112" i="1"/>
  <c r="D136" i="1" s="1"/>
  <c r="C103" i="1"/>
  <c r="D103" i="1"/>
  <c r="C86" i="1"/>
  <c r="C104" i="1" s="1"/>
  <c r="D86" i="1"/>
  <c r="D104" i="1" s="1"/>
  <c r="C85" i="1"/>
  <c r="D85" i="1"/>
  <c r="C145" i="1"/>
  <c r="D145" i="1"/>
  <c r="C65" i="1"/>
  <c r="D65" i="1"/>
  <c r="C50" i="1"/>
  <c r="D50" i="1"/>
  <c r="C18" i="1"/>
  <c r="D18" i="1"/>
  <c r="C13" i="1"/>
  <c r="D13" i="1"/>
  <c r="C14" i="1"/>
  <c r="D14" i="1"/>
  <c r="D5" i="1"/>
  <c r="E5" i="1"/>
  <c r="C4" i="9"/>
  <c r="C17" i="9"/>
  <c r="C6" i="6" l="1"/>
  <c r="C23" i="6" s="1"/>
  <c r="D29" i="1"/>
  <c r="D37" i="1" s="1"/>
  <c r="D48" i="1" s="1"/>
  <c r="D16" i="1"/>
  <c r="C29" i="1"/>
  <c r="C37" i="1" s="1"/>
  <c r="C16" i="1"/>
  <c r="D108" i="1"/>
  <c r="D81" i="1"/>
  <c r="H20" i="6"/>
  <c r="C48" i="1"/>
  <c r="C47" i="1"/>
  <c r="Y7" i="10"/>
  <c r="Y11" i="10"/>
  <c r="Y10" i="10"/>
  <c r="Y6" i="10"/>
  <c r="Y5" i="10"/>
  <c r="Y4" i="10"/>
  <c r="V10" i="10"/>
  <c r="T10" i="10"/>
  <c r="T11" i="10"/>
  <c r="X10" i="10"/>
  <c r="W10" i="10"/>
  <c r="X11" i="10"/>
  <c r="W11" i="10"/>
  <c r="V11" i="10"/>
  <c r="X7" i="10"/>
  <c r="W7" i="10"/>
  <c r="V7" i="10"/>
  <c r="U7" i="10"/>
  <c r="X6" i="10"/>
  <c r="W6" i="10"/>
  <c r="V6" i="10"/>
  <c r="U6" i="10"/>
  <c r="X5" i="10"/>
  <c r="W5" i="10"/>
  <c r="V5" i="10"/>
  <c r="U5" i="10"/>
  <c r="X4" i="10"/>
  <c r="W4" i="10"/>
  <c r="V4" i="10"/>
  <c r="U4" i="10"/>
  <c r="C142" i="1"/>
  <c r="C143" i="1" s="1"/>
  <c r="D142" i="1"/>
  <c r="D143" i="1" s="1"/>
  <c r="L214" i="1"/>
  <c r="L243" i="1" s="1"/>
  <c r="K214" i="1"/>
  <c r="K243" i="1" s="1"/>
  <c r="J214" i="1"/>
  <c r="J243" i="1" s="1"/>
  <c r="I214" i="1"/>
  <c r="I243" i="1" s="1"/>
  <c r="H214" i="1"/>
  <c r="H243" i="1" s="1"/>
  <c r="F50" i="1"/>
  <c r="G50" i="1"/>
  <c r="H50" i="1"/>
  <c r="I50" i="1"/>
  <c r="J50" i="1"/>
  <c r="K50" i="1"/>
  <c r="L50" i="1"/>
  <c r="E50" i="1"/>
  <c r="C7" i="6" l="1"/>
  <c r="C9" i="6" s="1"/>
  <c r="C32" i="9" s="1"/>
  <c r="C24" i="6"/>
  <c r="C26" i="6" s="1"/>
  <c r="D47" i="1"/>
  <c r="C218" i="1"/>
  <c r="C146" i="1"/>
  <c r="C189" i="1" s="1"/>
  <c r="C232" i="1" s="1"/>
  <c r="C234" i="1" s="1"/>
  <c r="D218" i="1"/>
  <c r="D146" i="1"/>
  <c r="D189" i="1" s="1"/>
  <c r="D232" i="1" s="1"/>
  <c r="D234" i="1" s="1"/>
  <c r="Y13" i="10"/>
  <c r="L31" i="1" s="1"/>
  <c r="X13" i="10"/>
  <c r="K31" i="1" s="1"/>
  <c r="U13" i="10"/>
  <c r="H31" i="1" s="1"/>
  <c r="V13" i="10"/>
  <c r="I31" i="1" s="1"/>
  <c r="W13" i="10"/>
  <c r="J31" i="1" s="1"/>
  <c r="T13" i="10"/>
  <c r="G31" i="1" s="1"/>
  <c r="H224" i="1"/>
  <c r="I224" i="1"/>
  <c r="J224" i="1"/>
  <c r="K224" i="1"/>
  <c r="L224" i="1"/>
  <c r="H227" i="1"/>
  <c r="I227" i="1"/>
  <c r="J227" i="1"/>
  <c r="K227" i="1"/>
  <c r="L227" i="1"/>
  <c r="H185" i="1"/>
  <c r="I185" i="1"/>
  <c r="J185" i="1"/>
  <c r="K185" i="1"/>
  <c r="L185" i="1"/>
  <c r="E177" i="1"/>
  <c r="H177" i="1" s="1"/>
  <c r="F177" i="1"/>
  <c r="H167" i="1"/>
  <c r="I167" i="1"/>
  <c r="L167" i="1"/>
  <c r="H117" i="1"/>
  <c r="I117" i="1"/>
  <c r="L117" i="1"/>
  <c r="L34" i="1"/>
  <c r="K34" i="1"/>
  <c r="J34" i="1"/>
  <c r="I34" i="1"/>
  <c r="H34" i="1"/>
  <c r="H168" i="1"/>
  <c r="H28" i="1" s="1"/>
  <c r="I168" i="1"/>
  <c r="I28" i="1" s="1"/>
  <c r="J168" i="1"/>
  <c r="J28" i="1" s="1"/>
  <c r="K168" i="1"/>
  <c r="K28" i="1" s="1"/>
  <c r="L168" i="1"/>
  <c r="L28" i="1" s="1"/>
  <c r="H145" i="1"/>
  <c r="I145" i="1"/>
  <c r="J145" i="1"/>
  <c r="K145" i="1"/>
  <c r="L145" i="1"/>
  <c r="G145" i="1"/>
  <c r="F65" i="1"/>
  <c r="G65" i="1"/>
  <c r="H65" i="1"/>
  <c r="I65" i="1"/>
  <c r="J65" i="1"/>
  <c r="K65" i="1"/>
  <c r="L65" i="1"/>
  <c r="E65" i="1"/>
  <c r="G27" i="1"/>
  <c r="H27" i="1" s="1"/>
  <c r="I27" i="1" s="1"/>
  <c r="J26" i="1"/>
  <c r="K26" i="1" s="1"/>
  <c r="K167" i="1" s="1"/>
  <c r="D5" i="3"/>
  <c r="D19" i="3" s="1"/>
  <c r="F2" i="3"/>
  <c r="F23" i="3" s="1"/>
  <c r="G2" i="3"/>
  <c r="G23" i="3" s="1"/>
  <c r="H2" i="3"/>
  <c r="H23" i="3" s="1"/>
  <c r="I2" i="3"/>
  <c r="I23" i="3" s="1"/>
  <c r="J2" i="3"/>
  <c r="J23" i="3" s="1"/>
  <c r="E2" i="3"/>
  <c r="E23" i="3" s="1"/>
  <c r="F5" i="1"/>
  <c r="F13" i="1"/>
  <c r="G101" i="1"/>
  <c r="H101" i="1" s="1"/>
  <c r="I101" i="1" s="1"/>
  <c r="J101" i="1" s="1"/>
  <c r="K101" i="1" s="1"/>
  <c r="L101" i="1" s="1"/>
  <c r="L178" i="1" s="1"/>
  <c r="E41" i="1"/>
  <c r="F41" i="1"/>
  <c r="G34" i="1"/>
  <c r="E13" i="1"/>
  <c r="E84" i="1"/>
  <c r="F84" i="1"/>
  <c r="F85" i="1" s="1"/>
  <c r="G85" i="1" s="1"/>
  <c r="H85" i="1" s="1"/>
  <c r="G214" i="1"/>
  <c r="G243" i="1" s="1"/>
  <c r="C11" i="2"/>
  <c r="D11" i="2" s="1"/>
  <c r="G10" i="2" s="1"/>
  <c r="H10" i="2" s="1"/>
  <c r="D5" i="2"/>
  <c r="C9" i="2"/>
  <c r="D9" i="2" s="1"/>
  <c r="C6" i="2"/>
  <c r="D6" i="2" s="1"/>
  <c r="C10" i="2"/>
  <c r="D10" i="2" s="1"/>
  <c r="C7" i="2"/>
  <c r="C8" i="2" s="1"/>
  <c r="D8" i="2" s="1"/>
  <c r="G117" i="1"/>
  <c r="G167" i="1"/>
  <c r="F103" i="1"/>
  <c r="G103" i="1" s="1"/>
  <c r="H103" i="1" s="1"/>
  <c r="E103" i="1"/>
  <c r="F156" i="1"/>
  <c r="G156" i="1" s="1"/>
  <c r="H156" i="1" s="1"/>
  <c r="I156" i="1" s="1"/>
  <c r="E156" i="1"/>
  <c r="E85" i="1"/>
  <c r="E106" i="1"/>
  <c r="F106" i="1"/>
  <c r="F223" i="1"/>
  <c r="E223" i="1"/>
  <c r="F206" i="1"/>
  <c r="F207" i="1" s="1"/>
  <c r="E206" i="1"/>
  <c r="E207" i="1" s="1"/>
  <c r="E165" i="1"/>
  <c r="F165" i="1"/>
  <c r="G165" i="1" s="1"/>
  <c r="H165" i="1" s="1"/>
  <c r="F163" i="1"/>
  <c r="G163" i="1" s="1"/>
  <c r="H163" i="1" s="1"/>
  <c r="E163" i="1"/>
  <c r="G161" i="1"/>
  <c r="H161" i="1" s="1"/>
  <c r="I161" i="1" s="1"/>
  <c r="J161" i="1" s="1"/>
  <c r="K161" i="1" s="1"/>
  <c r="L161" i="1" s="1"/>
  <c r="E160" i="1"/>
  <c r="F160" i="1"/>
  <c r="G160" i="1" s="1"/>
  <c r="H160" i="1" s="1"/>
  <c r="E158" i="1"/>
  <c r="F158" i="1"/>
  <c r="F154" i="1"/>
  <c r="H154" i="1" s="1"/>
  <c r="E154" i="1"/>
  <c r="G168" i="1"/>
  <c r="G28" i="1" s="1"/>
  <c r="G100" i="1"/>
  <c r="H100" i="1" s="1"/>
  <c r="I100" i="1" s="1"/>
  <c r="J100" i="1" s="1"/>
  <c r="K100" i="1" s="1"/>
  <c r="L100" i="1" s="1"/>
  <c r="H218" i="1" l="1"/>
  <c r="I218" i="1" s="1"/>
  <c r="J218" i="1" s="1"/>
  <c r="K218" i="1" s="1"/>
  <c r="L218" i="1" s="1"/>
  <c r="E8" i="3"/>
  <c r="E16" i="3"/>
  <c r="J8" i="3"/>
  <c r="J16" i="3"/>
  <c r="I8" i="3"/>
  <c r="I16" i="3"/>
  <c r="H8" i="3"/>
  <c r="H16" i="3"/>
  <c r="G8" i="3"/>
  <c r="G16" i="3"/>
  <c r="F8" i="3"/>
  <c r="F16" i="3"/>
  <c r="G5" i="1"/>
  <c r="E4" i="3"/>
  <c r="E18" i="3" s="1"/>
  <c r="F15" i="1"/>
  <c r="F16" i="1" s="1"/>
  <c r="F81" i="1"/>
  <c r="F108" i="1"/>
  <c r="E108" i="1"/>
  <c r="G108" i="1" s="1"/>
  <c r="H108" i="1" s="1"/>
  <c r="I108" i="1" s="1"/>
  <c r="J108" i="1" s="1"/>
  <c r="K108" i="1" s="1"/>
  <c r="L108" i="1" s="1"/>
  <c r="E81" i="1"/>
  <c r="I177" i="1"/>
  <c r="G177" i="1"/>
  <c r="K178" i="1"/>
  <c r="J178" i="1"/>
  <c r="I178" i="1"/>
  <c r="H178" i="1"/>
  <c r="I154" i="1"/>
  <c r="J154" i="1" s="1"/>
  <c r="I103" i="1"/>
  <c r="I163" i="1"/>
  <c r="I165" i="1"/>
  <c r="J165" i="1" s="1"/>
  <c r="K165" i="1" s="1"/>
  <c r="K117" i="1"/>
  <c r="J117" i="1"/>
  <c r="J167" i="1"/>
  <c r="I160" i="1"/>
  <c r="J156" i="1"/>
  <c r="J27" i="1"/>
  <c r="K27" i="1" s="1"/>
  <c r="I85" i="1"/>
  <c r="F5" i="3"/>
  <c r="D7" i="2"/>
  <c r="G5" i="2"/>
  <c r="H5" i="2" s="1"/>
  <c r="G6" i="2"/>
  <c r="H6" i="2" s="1"/>
  <c r="G11" i="2"/>
  <c r="H11" i="2" s="1"/>
  <c r="G9" i="2"/>
  <c r="H9" i="2" s="1"/>
  <c r="G8" i="2"/>
  <c r="H8" i="2" s="1"/>
  <c r="G7" i="2"/>
  <c r="H7" i="2" s="1"/>
  <c r="F197" i="1"/>
  <c r="F205" i="1" s="1"/>
  <c r="E197" i="1"/>
  <c r="G18" i="1" l="1"/>
  <c r="F24" i="3"/>
  <c r="H4" i="1" s="1"/>
  <c r="G28" i="6"/>
  <c r="H28" i="6" s="1"/>
  <c r="I28" i="6" s="1"/>
  <c r="G176" i="1"/>
  <c r="J177" i="1"/>
  <c r="J103" i="1"/>
  <c r="J163" i="1"/>
  <c r="L165" i="1"/>
  <c r="K163" i="1"/>
  <c r="J160" i="1"/>
  <c r="K154" i="1"/>
  <c r="K156" i="1"/>
  <c r="G5" i="3"/>
  <c r="J85" i="1"/>
  <c r="E205" i="1"/>
  <c r="G197" i="1"/>
  <c r="H197" i="1" s="1"/>
  <c r="G24" i="3" l="1"/>
  <c r="I4" i="1" s="1"/>
  <c r="I197" i="1"/>
  <c r="H205" i="1"/>
  <c r="K177" i="1"/>
  <c r="H176" i="1"/>
  <c r="H206" i="1"/>
  <c r="H242" i="1" s="1"/>
  <c r="H148" i="1"/>
  <c r="H162" i="1"/>
  <c r="H159" i="1"/>
  <c r="H102" i="1"/>
  <c r="H155" i="1"/>
  <c r="H164" i="1"/>
  <c r="K103" i="1"/>
  <c r="K160" i="1"/>
  <c r="L163" i="1"/>
  <c r="L156" i="1"/>
  <c r="L154" i="1"/>
  <c r="K85" i="1"/>
  <c r="H5" i="3"/>
  <c r="H5" i="1"/>
  <c r="H82" i="1"/>
  <c r="G205" i="1"/>
  <c r="J18" i="1" l="1"/>
  <c r="H24" i="3"/>
  <c r="J4" i="1" s="1"/>
  <c r="H190" i="1"/>
  <c r="H198" i="1"/>
  <c r="I206" i="1"/>
  <c r="I242" i="1" s="1"/>
  <c r="I176" i="1"/>
  <c r="L177" i="1"/>
  <c r="J197" i="1"/>
  <c r="I205" i="1"/>
  <c r="I190" i="1"/>
  <c r="I164" i="1"/>
  <c r="I155" i="1"/>
  <c r="I162" i="1"/>
  <c r="I148" i="1"/>
  <c r="I102" i="1"/>
  <c r="I181" i="1" s="1"/>
  <c r="I159" i="1"/>
  <c r="L103" i="1"/>
  <c r="H158" i="1"/>
  <c r="H241" i="1" s="1"/>
  <c r="L160" i="1"/>
  <c r="I5" i="1"/>
  <c r="I82" i="1"/>
  <c r="I187" i="1" s="1"/>
  <c r="I5" i="3"/>
  <c r="L85" i="1"/>
  <c r="K18" i="1" l="1"/>
  <c r="I24" i="3"/>
  <c r="K4" i="1" s="1"/>
  <c r="I198" i="1"/>
  <c r="I210" i="1" s="1"/>
  <c r="K197" i="1"/>
  <c r="J205" i="1"/>
  <c r="H210" i="1"/>
  <c r="J206" i="1"/>
  <c r="J242" i="1" s="1"/>
  <c r="J176" i="1"/>
  <c r="I158" i="1"/>
  <c r="I241" i="1" s="1"/>
  <c r="J164" i="1"/>
  <c r="J155" i="1"/>
  <c r="J162" i="1"/>
  <c r="J148" i="1"/>
  <c r="J102" i="1"/>
  <c r="J181" i="1" s="1"/>
  <c r="J159" i="1"/>
  <c r="J5" i="3"/>
  <c r="J17" i="1"/>
  <c r="J5" i="1"/>
  <c r="J82" i="1"/>
  <c r="J187" i="1" s="1"/>
  <c r="L4" i="1" l="1"/>
  <c r="J24" i="3" s="1"/>
  <c r="J25" i="3" s="1"/>
  <c r="M4" i="1"/>
  <c r="J158" i="1"/>
  <c r="J241" i="1" s="1"/>
  <c r="J198" i="1"/>
  <c r="K206" i="1"/>
  <c r="K176" i="1"/>
  <c r="J190" i="1"/>
  <c r="J210" i="1" s="1"/>
  <c r="L197" i="1"/>
  <c r="K205" i="1"/>
  <c r="K164" i="1"/>
  <c r="K148" i="1"/>
  <c r="K155" i="1"/>
  <c r="K162" i="1"/>
  <c r="K102" i="1"/>
  <c r="K181" i="1" s="1"/>
  <c r="K159" i="1"/>
  <c r="H14" i="1"/>
  <c r="K5" i="1"/>
  <c r="K17" i="1"/>
  <c r="K82" i="1"/>
  <c r="K187" i="1" s="1"/>
  <c r="L14" i="1" l="1"/>
  <c r="L17" i="1"/>
  <c r="L176" i="1"/>
  <c r="L102" i="1"/>
  <c r="L181" i="1" s="1"/>
  <c r="L148" i="1"/>
  <c r="L159" i="1"/>
  <c r="L206" i="1"/>
  <c r="L242" i="1" s="1"/>
  <c r="L155" i="1"/>
  <c r="L162" i="1"/>
  <c r="L164" i="1"/>
  <c r="L82" i="1"/>
  <c r="K190" i="1"/>
  <c r="K242" i="1"/>
  <c r="K198" i="1"/>
  <c r="L198" i="1"/>
  <c r="L187" i="1"/>
  <c r="K158" i="1"/>
  <c r="K241" i="1" s="1"/>
  <c r="L205" i="1"/>
  <c r="H6" i="1"/>
  <c r="L6" i="1"/>
  <c r="L190" i="1" l="1"/>
  <c r="L210" i="1" s="1"/>
  <c r="L158" i="1"/>
  <c r="L241" i="1" s="1"/>
  <c r="K210" i="1"/>
  <c r="H105" i="1"/>
  <c r="H13" i="1"/>
  <c r="L105" i="1"/>
  <c r="L13" i="1"/>
  <c r="I14" i="1"/>
  <c r="I6" i="1" s="1"/>
  <c r="K14" i="1"/>
  <c r="J14" i="1"/>
  <c r="I105" i="1" l="1"/>
  <c r="I188" i="1" s="1"/>
  <c r="I13" i="1"/>
  <c r="J6" i="1"/>
  <c r="K6" i="1"/>
  <c r="J105" i="1" l="1"/>
  <c r="J188" i="1" s="1"/>
  <c r="J13" i="1"/>
  <c r="K105" i="1"/>
  <c r="L188" i="1" s="1"/>
  <c r="K13" i="1"/>
  <c r="K188" i="1" l="1"/>
  <c r="E68" i="1"/>
  <c r="E74" i="1" s="1"/>
  <c r="E72" i="1" s="1"/>
  <c r="F68" i="1"/>
  <c r="F74" i="1" s="1"/>
  <c r="F72" i="1" s="1"/>
  <c r="G72" i="1" s="1"/>
  <c r="H72" i="1" s="1"/>
  <c r="E18" i="1"/>
  <c r="F18" i="1"/>
  <c r="F128" i="1"/>
  <c r="E128" i="1"/>
  <c r="E135" i="1"/>
  <c r="F135" i="1"/>
  <c r="G135" i="1" s="1"/>
  <c r="H135" i="1" s="1"/>
  <c r="E129" i="1"/>
  <c r="F129" i="1"/>
  <c r="E119" i="1"/>
  <c r="E126" i="1" s="1"/>
  <c r="F119" i="1"/>
  <c r="G185" i="1"/>
  <c r="E32" i="1"/>
  <c r="F32" i="1"/>
  <c r="G113" i="1"/>
  <c r="G227" i="1"/>
  <c r="G137" i="1"/>
  <c r="H137" i="1" s="1"/>
  <c r="I137" i="1" s="1"/>
  <c r="F221" i="1"/>
  <c r="G140" i="1"/>
  <c r="H140" i="1" s="1"/>
  <c r="I140" i="1" s="1"/>
  <c r="J140" i="1" s="1"/>
  <c r="K140" i="1" s="1"/>
  <c r="L140" i="1" s="1"/>
  <c r="G138" i="1"/>
  <c r="H138" i="1" s="1"/>
  <c r="F115" i="1"/>
  <c r="F61" i="1" s="1"/>
  <c r="F63" i="1" s="1"/>
  <c r="E115" i="1"/>
  <c r="G178" i="1"/>
  <c r="F230" i="1"/>
  <c r="E230" i="1"/>
  <c r="G14" i="1"/>
  <c r="M14" i="1" s="1"/>
  <c r="F145" i="1"/>
  <c r="E145" i="1"/>
  <c r="F210" i="1"/>
  <c r="E210" i="1"/>
  <c r="F141" i="1"/>
  <c r="E141" i="1"/>
  <c r="F112" i="1"/>
  <c r="F136" i="1" s="1"/>
  <c r="E112" i="1"/>
  <c r="E136" i="1" s="1"/>
  <c r="F86" i="1"/>
  <c r="F104" i="1" s="1"/>
  <c r="E86" i="1"/>
  <c r="E104" i="1" s="1"/>
  <c r="F14" i="1"/>
  <c r="E14" i="1"/>
  <c r="E16" i="1" s="1"/>
  <c r="E111" i="1" l="1"/>
  <c r="E61" i="1"/>
  <c r="E63" i="1" s="1"/>
  <c r="F27" i="6"/>
  <c r="P16" i="10"/>
  <c r="H113" i="1"/>
  <c r="I113" i="1" s="1"/>
  <c r="J113" i="1" s="1"/>
  <c r="K113" i="1" s="1"/>
  <c r="L113" i="1" s="1"/>
  <c r="G32" i="1"/>
  <c r="I135" i="1"/>
  <c r="I138" i="1"/>
  <c r="J138" i="1" s="1"/>
  <c r="K138" i="1" s="1"/>
  <c r="L138" i="1" s="1"/>
  <c r="J137" i="1"/>
  <c r="H17" i="1"/>
  <c r="I72" i="1"/>
  <c r="H77" i="1"/>
  <c r="G102" i="1"/>
  <c r="G82" i="1"/>
  <c r="F111" i="1"/>
  <c r="G111" i="1" s="1"/>
  <c r="H111" i="1" s="1"/>
  <c r="G115" i="1"/>
  <c r="G27" i="6" s="1"/>
  <c r="G155" i="1"/>
  <c r="G93" i="1" s="1"/>
  <c r="H93" i="1" s="1"/>
  <c r="I93" i="1" s="1"/>
  <c r="J93" i="1" s="1"/>
  <c r="K93" i="1" s="1"/>
  <c r="L93" i="1" s="1"/>
  <c r="F29" i="1"/>
  <c r="F37" i="1" s="1"/>
  <c r="F47" i="1" s="1"/>
  <c r="E29" i="1"/>
  <c r="G130" i="1"/>
  <c r="G134" i="1" s="1"/>
  <c r="F126" i="1"/>
  <c r="G128" i="1"/>
  <c r="G206" i="1"/>
  <c r="G242" i="1" s="1"/>
  <c r="G148" i="1"/>
  <c r="G159" i="1"/>
  <c r="G162" i="1"/>
  <c r="G164" i="1"/>
  <c r="F75" i="1"/>
  <c r="G70" i="1"/>
  <c r="E69" i="1"/>
  <c r="F69" i="1"/>
  <c r="G224" i="1"/>
  <c r="F142" i="1"/>
  <c r="F143" i="1" s="1"/>
  <c r="E142" i="1"/>
  <c r="E143" i="1" s="1"/>
  <c r="H27" i="6" l="1"/>
  <c r="H32" i="1"/>
  <c r="G198" i="1"/>
  <c r="G187" i="1"/>
  <c r="H187" i="1"/>
  <c r="G181" i="1"/>
  <c r="H181" i="1"/>
  <c r="G127" i="1"/>
  <c r="H128" i="1"/>
  <c r="J135" i="1"/>
  <c r="I111" i="1"/>
  <c r="K137" i="1"/>
  <c r="G17" i="1"/>
  <c r="G110" i="1"/>
  <c r="H115" i="1"/>
  <c r="I17" i="1"/>
  <c r="G190" i="1"/>
  <c r="I77" i="1"/>
  <c r="I186" i="1" s="1"/>
  <c r="G74" i="1"/>
  <c r="G71" i="1" s="1"/>
  <c r="G22" i="1" s="1"/>
  <c r="J72" i="1"/>
  <c r="H69" i="1"/>
  <c r="I69" i="1" s="1"/>
  <c r="J69" i="1" s="1"/>
  <c r="K69" i="1" s="1"/>
  <c r="L69" i="1" s="1"/>
  <c r="G69" i="1"/>
  <c r="G68" i="1" s="1"/>
  <c r="E37" i="1"/>
  <c r="E47" i="1" s="1"/>
  <c r="E57" i="1"/>
  <c r="E58" i="1" s="1"/>
  <c r="E59" i="1" s="1"/>
  <c r="E62" i="1" s="1"/>
  <c r="F57" i="1"/>
  <c r="F58" i="1" s="1"/>
  <c r="F48" i="1"/>
  <c r="F39" i="1"/>
  <c r="L47" i="1" s="1"/>
  <c r="E48" i="1"/>
  <c r="G114" i="1"/>
  <c r="G126" i="1"/>
  <c r="G158" i="1"/>
  <c r="G241" i="1" s="1"/>
  <c r="G129" i="1"/>
  <c r="G35" i="1"/>
  <c r="G30" i="1" s="1"/>
  <c r="G6" i="1"/>
  <c r="F59" i="1" l="1"/>
  <c r="F62" i="1" s="1"/>
  <c r="F29" i="6"/>
  <c r="I27" i="6"/>
  <c r="C10" i="6" s="1"/>
  <c r="G105" i="1"/>
  <c r="H188" i="1" s="1"/>
  <c r="G13" i="1"/>
  <c r="L239" i="1"/>
  <c r="C26" i="9"/>
  <c r="C30" i="9" s="1"/>
  <c r="I32" i="1"/>
  <c r="G94" i="1"/>
  <c r="H94" i="1" s="1"/>
  <c r="I94" i="1" s="1"/>
  <c r="J94" i="1" s="1"/>
  <c r="K94" i="1" s="1"/>
  <c r="L94" i="1" s="1"/>
  <c r="G210" i="1"/>
  <c r="F56" i="1"/>
  <c r="F55" i="1"/>
  <c r="E56" i="1"/>
  <c r="E55" i="1"/>
  <c r="E39" i="1"/>
  <c r="E146" i="1"/>
  <c r="E189" i="1" s="1"/>
  <c r="E232" i="1" s="1"/>
  <c r="E234" i="1" s="1"/>
  <c r="F233" i="1" s="1"/>
  <c r="E218" i="1"/>
  <c r="F146" i="1"/>
  <c r="F189" i="1" s="1"/>
  <c r="F232" i="1" s="1"/>
  <c r="F218" i="1"/>
  <c r="G87" i="1"/>
  <c r="H87" i="1" s="1"/>
  <c r="I87" i="1" s="1"/>
  <c r="J87" i="1" s="1"/>
  <c r="K87" i="1" s="1"/>
  <c r="L87" i="1" s="1"/>
  <c r="I115" i="1"/>
  <c r="I114" i="1" s="1"/>
  <c r="H110" i="1"/>
  <c r="H112" i="1" s="1"/>
  <c r="J111" i="1"/>
  <c r="L137" i="1"/>
  <c r="G47" i="1"/>
  <c r="G119" i="1"/>
  <c r="G118" i="1" s="1"/>
  <c r="G182" i="1" s="1"/>
  <c r="H126" i="1"/>
  <c r="H114" i="1"/>
  <c r="K135" i="1"/>
  <c r="H130" i="1"/>
  <c r="I128" i="1"/>
  <c r="H127" i="1"/>
  <c r="G67" i="1"/>
  <c r="G184" i="1" s="1"/>
  <c r="H70" i="1"/>
  <c r="K72" i="1"/>
  <c r="H74" i="1"/>
  <c r="J77" i="1"/>
  <c r="J186" i="1" s="1"/>
  <c r="G77" i="1"/>
  <c r="G188" i="1"/>
  <c r="C33" i="9" l="1"/>
  <c r="C35" i="9" s="1"/>
  <c r="C36" i="9" s="1"/>
  <c r="C27" i="6"/>
  <c r="G239" i="1"/>
  <c r="C25" i="9"/>
  <c r="C29" i="9" s="1"/>
  <c r="H47" i="1"/>
  <c r="J32" i="1"/>
  <c r="F234" i="1"/>
  <c r="G233" i="1" s="1"/>
  <c r="G186" i="1"/>
  <c r="H186" i="1"/>
  <c r="L135" i="1"/>
  <c r="J128" i="1"/>
  <c r="I127" i="1"/>
  <c r="H134" i="1"/>
  <c r="H35" i="1" s="1"/>
  <c r="H30" i="1" s="1"/>
  <c r="H119" i="1"/>
  <c r="I126" i="1"/>
  <c r="K111" i="1"/>
  <c r="J115" i="1"/>
  <c r="J114" i="1" s="1"/>
  <c r="I110" i="1"/>
  <c r="I112" i="1" s="1"/>
  <c r="L77" i="1"/>
  <c r="K77" i="1"/>
  <c r="K186" i="1" s="1"/>
  <c r="L72" i="1"/>
  <c r="H71" i="1"/>
  <c r="H22" i="1" s="1"/>
  <c r="I74" i="1"/>
  <c r="H68" i="1"/>
  <c r="I70" i="1" s="1"/>
  <c r="G112" i="1"/>
  <c r="C40" i="9" l="1"/>
  <c r="L247" i="1" s="1"/>
  <c r="C39" i="9"/>
  <c r="G247" i="1" s="1"/>
  <c r="I47" i="1"/>
  <c r="H239" i="1"/>
  <c r="L32" i="1"/>
  <c r="K32" i="1"/>
  <c r="L186" i="1"/>
  <c r="I119" i="1"/>
  <c r="J126" i="1"/>
  <c r="K128" i="1"/>
  <c r="J127" i="1"/>
  <c r="L111" i="1"/>
  <c r="H129" i="1"/>
  <c r="I130" i="1" s="1"/>
  <c r="J110" i="1"/>
  <c r="J112" i="1" s="1"/>
  <c r="K115" i="1"/>
  <c r="K114" i="1" s="1"/>
  <c r="I68" i="1"/>
  <c r="J70" i="1" s="1"/>
  <c r="I71" i="1"/>
  <c r="I22" i="1" s="1"/>
  <c r="J74" i="1"/>
  <c r="H67" i="1"/>
  <c r="H184" i="1" s="1"/>
  <c r="G136" i="1"/>
  <c r="G248" i="1" l="1"/>
  <c r="J47" i="1"/>
  <c r="I239" i="1"/>
  <c r="J119" i="1"/>
  <c r="K126" i="1"/>
  <c r="L115" i="1"/>
  <c r="K110" i="1"/>
  <c r="K112" i="1" s="1"/>
  <c r="I134" i="1"/>
  <c r="I35" i="1" s="1"/>
  <c r="I30" i="1" s="1"/>
  <c r="K127" i="1"/>
  <c r="L128" i="1"/>
  <c r="L127" i="1" s="1"/>
  <c r="H118" i="1"/>
  <c r="I67" i="1"/>
  <c r="I184" i="1" s="1"/>
  <c r="J68" i="1"/>
  <c r="K70" i="1" s="1"/>
  <c r="J71" i="1"/>
  <c r="J22" i="1" s="1"/>
  <c r="L74" i="1"/>
  <c r="K74" i="1"/>
  <c r="Y7" i="1" l="1"/>
  <c r="Y6" i="1" s="1"/>
  <c r="Y9" i="1"/>
  <c r="Y10" i="1" s="1"/>
  <c r="K47" i="1"/>
  <c r="K239" i="1" s="1"/>
  <c r="J239" i="1"/>
  <c r="H136" i="1"/>
  <c r="H182" i="1"/>
  <c r="I129" i="1"/>
  <c r="L114" i="1"/>
  <c r="L110" i="1"/>
  <c r="L112" i="1" s="1"/>
  <c r="K119" i="1"/>
  <c r="L126" i="1"/>
  <c r="L119" i="1" s="1"/>
  <c r="K68" i="1"/>
  <c r="L70" i="1" s="1"/>
  <c r="K71" i="1"/>
  <c r="L68" i="1"/>
  <c r="L71" i="1"/>
  <c r="L22" i="1" s="1"/>
  <c r="J67" i="1"/>
  <c r="J184" i="1" s="1"/>
  <c r="J130" i="1" l="1"/>
  <c r="I118" i="1"/>
  <c r="K67" i="1"/>
  <c r="K184" i="1" s="1"/>
  <c r="K22" i="1"/>
  <c r="L67" i="1"/>
  <c r="L23" i="1"/>
  <c r="L29" i="1" s="1"/>
  <c r="L184" i="1" l="1"/>
  <c r="L57" i="1"/>
  <c r="L238" i="1" s="1"/>
  <c r="L240" i="1" s="1"/>
  <c r="I136" i="1"/>
  <c r="I182" i="1"/>
  <c r="J134" i="1"/>
  <c r="J35" i="1" s="1"/>
  <c r="J30" i="1" s="1"/>
  <c r="L58" i="1" l="1"/>
  <c r="L59" i="1" s="1"/>
  <c r="J129" i="1"/>
  <c r="K130" i="1" l="1"/>
  <c r="J118" i="1"/>
  <c r="J136" i="1" l="1"/>
  <c r="J182" i="1"/>
  <c r="K134" i="1"/>
  <c r="K35" i="1" s="1"/>
  <c r="K30" i="1" s="1"/>
  <c r="K129" i="1" l="1"/>
  <c r="L130" i="1" l="1"/>
  <c r="K118" i="1"/>
  <c r="K136" i="1" l="1"/>
  <c r="K182" i="1"/>
  <c r="L134" i="1"/>
  <c r="L35" i="1" s="1"/>
  <c r="L30" i="1" s="1"/>
  <c r="L37" i="1" s="1"/>
  <c r="L38" i="1" l="1"/>
  <c r="L48" i="1" s="1"/>
  <c r="L215" i="1" s="1"/>
  <c r="L129" i="1"/>
  <c r="L118" i="1" s="1"/>
  <c r="L146" i="1" l="1"/>
  <c r="L136" i="1"/>
  <c r="L182" i="1"/>
  <c r="I23" i="1"/>
  <c r="I29" i="1" s="1"/>
  <c r="J23" i="1"/>
  <c r="J29" i="1" s="1"/>
  <c r="L189" i="1" l="1"/>
  <c r="K23" i="1"/>
  <c r="K29" i="1" s="1"/>
  <c r="K37" i="1" s="1"/>
  <c r="J57" i="1"/>
  <c r="J238" i="1" s="1"/>
  <c r="J240" i="1" s="1"/>
  <c r="J37" i="1"/>
  <c r="I57" i="1"/>
  <c r="I238" i="1" s="1"/>
  <c r="I240" i="1" s="1"/>
  <c r="I37" i="1"/>
  <c r="K57" i="1" l="1"/>
  <c r="K238" i="1" s="1"/>
  <c r="K240" i="1" s="1"/>
  <c r="I38" i="1"/>
  <c r="I48" i="1" s="1"/>
  <c r="I215" i="1" s="1"/>
  <c r="I58" i="1"/>
  <c r="I59" i="1" s="1"/>
  <c r="J38" i="1"/>
  <c r="J48" i="1" s="1"/>
  <c r="J215" i="1" s="1"/>
  <c r="J58" i="1"/>
  <c r="J59" i="1" s="1"/>
  <c r="K38" i="1"/>
  <c r="K48" i="1" s="1"/>
  <c r="K215" i="1" s="1"/>
  <c r="K58" i="1" l="1"/>
  <c r="K59" i="1" s="1"/>
  <c r="K146" i="1"/>
  <c r="K189" i="1" s="1"/>
  <c r="J146" i="1"/>
  <c r="J189" i="1" s="1"/>
  <c r="I146" i="1"/>
  <c r="I189" i="1" s="1"/>
  <c r="G223" i="1" l="1"/>
  <c r="H223" i="1"/>
  <c r="I223" i="1"/>
  <c r="J223" i="1"/>
  <c r="K223" i="1"/>
  <c r="L223" i="1"/>
  <c r="I230" i="1"/>
  <c r="I232" i="1" s="1"/>
  <c r="J230" i="1"/>
  <c r="J232" i="1" s="1"/>
  <c r="K230" i="1"/>
  <c r="K232" i="1" s="1"/>
  <c r="L230" i="1"/>
  <c r="L232" i="1" s="1"/>
  <c r="H23" i="1"/>
  <c r="G24" i="1"/>
  <c r="G23" i="1" s="1"/>
  <c r="G29" i="1" s="1"/>
  <c r="H29" i="1"/>
  <c r="H57" i="1" s="1"/>
  <c r="H58" i="1" s="1"/>
  <c r="H59" i="1" s="1"/>
  <c r="H37" i="1" l="1"/>
  <c r="H38" i="1" s="1"/>
  <c r="H48" i="1" s="1"/>
  <c r="H215" i="1" s="1"/>
  <c r="M29" i="1"/>
  <c r="G37" i="1"/>
  <c r="G57" i="1"/>
  <c r="H238" i="1"/>
  <c r="H240" i="1" s="1"/>
  <c r="H230" i="1" l="1"/>
  <c r="H146" i="1"/>
  <c r="H189" i="1" s="1"/>
  <c r="G38" i="1"/>
  <c r="G48" i="1" s="1"/>
  <c r="M37" i="1"/>
  <c r="G58" i="1"/>
  <c r="G238" i="1"/>
  <c r="G240" i="1" s="1"/>
  <c r="H232" i="1" l="1"/>
  <c r="G59" i="1"/>
  <c r="G29" i="6"/>
  <c r="H29" i="6" s="1"/>
  <c r="I29" i="6" s="1"/>
  <c r="G146" i="1"/>
  <c r="G189" i="1" s="1"/>
  <c r="M48" i="1"/>
  <c r="G215" i="1"/>
  <c r="G230" i="1" s="1"/>
  <c r="G232" i="1" l="1"/>
  <c r="G234" i="1" s="1"/>
  <c r="H233" i="1" s="1"/>
  <c r="H234" i="1" s="1"/>
  <c r="G139" i="1"/>
  <c r="G141" i="1" s="1"/>
  <c r="G142" i="1" s="1"/>
  <c r="G66" i="1" l="1"/>
  <c r="G61" i="1" s="1"/>
  <c r="G62" i="1" s="1"/>
  <c r="H139" i="1"/>
  <c r="I139" i="1" s="1"/>
  <c r="I233" i="1"/>
  <c r="I234" i="1" s="1"/>
  <c r="H66" i="1"/>
  <c r="G86" i="1" l="1"/>
  <c r="G244" i="1" s="1"/>
  <c r="G245" i="1" s="1"/>
  <c r="G26" i="6"/>
  <c r="H26" i="6" s="1"/>
  <c r="I26" i="6" s="1"/>
  <c r="C11" i="6" s="1"/>
  <c r="C28" i="6" s="1"/>
  <c r="C29" i="6" s="1"/>
  <c r="C32" i="6" s="1"/>
  <c r="H141" i="1"/>
  <c r="H142" i="1" s="1"/>
  <c r="J139" i="1"/>
  <c r="I141" i="1"/>
  <c r="I142" i="1" s="1"/>
  <c r="H61" i="1"/>
  <c r="H62" i="1" s="1"/>
  <c r="H86" i="1"/>
  <c r="I66" i="1"/>
  <c r="J233" i="1"/>
  <c r="J234" i="1" s="1"/>
  <c r="G104" i="1" l="1"/>
  <c r="G143" i="1" s="1"/>
  <c r="C12" i="6"/>
  <c r="C14" i="6" s="1"/>
  <c r="K139" i="1"/>
  <c r="J141" i="1"/>
  <c r="J142" i="1" s="1"/>
  <c r="I86" i="1"/>
  <c r="I61" i="1"/>
  <c r="I62" i="1" s="1"/>
  <c r="K233" i="1"/>
  <c r="K234" i="1" s="1"/>
  <c r="J66" i="1"/>
  <c r="H244" i="1"/>
  <c r="H245" i="1" s="1"/>
  <c r="H104" i="1"/>
  <c r="H143" i="1" s="1"/>
  <c r="G249" i="1"/>
  <c r="C15" i="6" l="1"/>
  <c r="J86" i="1"/>
  <c r="J61" i="1"/>
  <c r="J62" i="1" s="1"/>
  <c r="L233" i="1"/>
  <c r="L234" i="1" s="1"/>
  <c r="L66" i="1" s="1"/>
  <c r="K66" i="1"/>
  <c r="I244" i="1"/>
  <c r="I245" i="1" s="1"/>
  <c r="I104" i="1"/>
  <c r="I143" i="1" s="1"/>
  <c r="K141" i="1"/>
  <c r="K142" i="1" s="1"/>
  <c r="L139" i="1"/>
  <c r="L141" i="1" s="1"/>
  <c r="L142" i="1" s="1"/>
  <c r="K61" i="1" l="1"/>
  <c r="K62" i="1" s="1"/>
  <c r="K86" i="1"/>
  <c r="J244" i="1"/>
  <c r="J245" i="1" s="1"/>
  <c r="J104" i="1"/>
  <c r="J143" i="1" s="1"/>
  <c r="L61" i="1"/>
  <c r="L62" i="1" s="1"/>
  <c r="L86" i="1"/>
  <c r="K244" i="1" l="1"/>
  <c r="K245" i="1" s="1"/>
  <c r="K104" i="1"/>
  <c r="K143" i="1" s="1"/>
  <c r="L104" i="1"/>
  <c r="L143" i="1" s="1"/>
  <c r="L244" i="1"/>
  <c r="L245" i="1" s="1"/>
  <c r="H247" i="1" l="1"/>
  <c r="H248" i="1" s="1"/>
  <c r="H249" i="1" s="1"/>
  <c r="I247" i="1" l="1"/>
  <c r="I248" i="1" l="1"/>
  <c r="I249" i="1" s="1"/>
  <c r="J247" i="1"/>
  <c r="J248" i="1" l="1"/>
  <c r="J249" i="1" s="1"/>
  <c r="K247" i="1"/>
  <c r="K248" i="1" s="1"/>
  <c r="L249" i="1" l="1"/>
  <c r="K249" i="1"/>
  <c r="C251" i="1" l="1"/>
  <c r="C256" i="1" s="1"/>
  <c r="C259" i="1" s="1"/>
  <c r="C261" i="1" s="1"/>
  <c r="Y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Andre</author>
  </authors>
  <commentList>
    <comment ref="G4" authorId="0" shapeId="0" xr:uid="{1055D8E3-4C31-4F7E-A155-952248A28325}">
      <text>
        <r>
          <rPr>
            <b/>
            <sz val="9"/>
            <color indexed="81"/>
            <rFont val="Tahoma"/>
            <family val="2"/>
          </rPr>
          <t xml:space="preserve">Confirmation: </t>
        </r>
        <r>
          <rPr>
            <sz val="9"/>
            <color indexed="81"/>
            <rFont val="Tahoma"/>
            <family val="2"/>
          </rPr>
          <t>This is a bit high, its quite near consensus.</t>
        </r>
      </text>
    </comment>
    <comment ref="M4" authorId="0" shapeId="0" xr:uid="{2921336E-05F3-4A91-ABE0-4AA78A96D79E}">
      <text>
        <r>
          <rPr>
            <b/>
            <sz val="9"/>
            <color indexed="81"/>
            <rFont val="Tahoma"/>
            <family val="2"/>
          </rPr>
          <t xml:space="preserve">Confirmation: </t>
        </r>
        <r>
          <rPr>
            <sz val="9"/>
            <color indexed="81"/>
            <rFont val="Tahoma"/>
            <family val="2"/>
          </rPr>
          <t xml:space="preserve">Never in recent history has the company exhibited this kind of top line growth. This calculaion does not include a big recovery from 2020 COVID-19 effects. From 2014 to 2018 sales grew at 6% CAGR. </t>
        </r>
      </text>
    </comment>
    <comment ref="I5" authorId="0" shapeId="0" xr:uid="{5405E204-52D9-4BCF-9683-A2C9A1696532}">
      <text>
        <r>
          <rPr>
            <b/>
            <sz val="9"/>
            <color indexed="81"/>
            <rFont val="Tahoma"/>
            <family val="2"/>
          </rPr>
          <t xml:space="preserve">Assumption: </t>
        </r>
        <r>
          <rPr>
            <sz val="9"/>
            <color indexed="81"/>
            <rFont val="Tahoma"/>
            <family val="2"/>
          </rPr>
          <t>Management says Bangladesh likely to come online in 2023. Indicates 500M sales cap expansion. 3/4 of this potential cap is utilized in 2023, other 1/4 in 2024. Revenue is calcualted on 'growth' sheet because of this sales cap expansion.</t>
        </r>
      </text>
    </comment>
    <comment ref="L16" authorId="0" shapeId="0" xr:uid="{A3CFB0C9-EE1C-42BD-96D1-BEDA7433CCCB}">
      <text>
        <r>
          <rPr>
            <b/>
            <sz val="9"/>
            <color indexed="81"/>
            <rFont val="Tahoma"/>
            <family val="2"/>
          </rPr>
          <t xml:space="preserve">Assumption: 
</t>
        </r>
        <r>
          <rPr>
            <sz val="9"/>
            <color indexed="81"/>
            <rFont val="Tahoma"/>
            <family val="2"/>
          </rPr>
          <t>Base Case</t>
        </r>
        <r>
          <rPr>
            <b/>
            <sz val="9"/>
            <color indexed="81"/>
            <rFont val="Tahoma"/>
            <family val="2"/>
          </rPr>
          <t xml:space="preserve">: </t>
        </r>
        <r>
          <rPr>
            <sz val="9"/>
            <color indexed="81"/>
            <rFont val="Tahoma"/>
            <family val="2"/>
          </rPr>
          <t>Management target of 30% will co-incide with Bangladesh plant.
Bull Cash: No only does GIL hit 30%, but second plant unlocks 2.5% which is based on ~(30% - 2018 GM figure)</t>
        </r>
      </text>
    </comment>
    <comment ref="J18" authorId="0" shapeId="0" xr:uid="{3B31D1EE-3B35-4126-A1BA-BB212DCAEE0B}">
      <text>
        <r>
          <rPr>
            <b/>
            <sz val="9"/>
            <color indexed="81"/>
            <rFont val="Tahoma"/>
            <family val="2"/>
          </rPr>
          <t xml:space="preserve">Assumption: </t>
        </r>
        <r>
          <rPr>
            <sz val="9"/>
            <color indexed="81"/>
            <rFont val="Tahoma"/>
            <family val="2"/>
          </rPr>
          <t>Management indicates a 12% target.
Base case: assume this occurs when the Bangladesh expasion is fully online. Bangladesh costs 1/4 of Honduras production according to mgmt, it is likely this is what they are referring to as the driver for cost reduction.
Bull case: 2020 restucruting effects are nearly immediate and lasting</t>
        </r>
      </text>
    </comment>
    <comment ref="G23" authorId="0" shapeId="0" xr:uid="{97A49FF8-C560-4D10-B5AC-31F605152E7E}">
      <text>
        <r>
          <rPr>
            <b/>
            <sz val="9"/>
            <color indexed="81"/>
            <rFont val="Tahoma"/>
            <family val="2"/>
          </rPr>
          <t xml:space="preserve">Assumption: </t>
        </r>
        <r>
          <rPr>
            <sz val="9"/>
            <color indexed="81"/>
            <rFont val="Tahoma"/>
            <family val="2"/>
          </rPr>
          <t>Back to Basics is a long-term plan. Continued restructuring based on % of sales. I'm tapering this to zero because there is only so much terminantion and relocations that can be done without gutting business. Also corresponds to completeion of new Bangladesh facility</t>
        </r>
      </text>
    </comment>
    <comment ref="G26" authorId="0" shapeId="0" xr:uid="{879309C7-66DB-4F01-A72E-F6C995EE45AA}">
      <text>
        <r>
          <rPr>
            <b/>
            <sz val="9"/>
            <color indexed="81"/>
            <rFont val="Tahoma"/>
            <family val="2"/>
          </rPr>
          <t>Assumption:</t>
        </r>
        <r>
          <rPr>
            <sz val="9"/>
            <color indexed="81"/>
            <rFont val="Tahoma"/>
            <family val="2"/>
          </rPr>
          <t xml:space="preserve"> Management indicated that this is mostly from software. Given the value of software intangibles, this cannot be too high (assuming no fixed asset resructuring write-downs).
</t>
        </r>
      </text>
    </comment>
    <comment ref="L31" authorId="0" shapeId="0" xr:uid="{0A55F3BB-0AF8-47AB-B9F6-0F2B52C85256}">
      <text>
        <r>
          <rPr>
            <b/>
            <sz val="9"/>
            <color indexed="81"/>
            <rFont val="Tahoma"/>
            <family val="2"/>
          </rPr>
          <t xml:space="preserve">Assumption: </t>
        </r>
        <r>
          <rPr>
            <sz val="9"/>
            <color indexed="81"/>
            <rFont val="Tahoma"/>
            <family val="2"/>
          </rPr>
          <t>No new debt is inccured. Debt is paid down when due. Floating rates stay the same (LIBOR).</t>
        </r>
      </text>
    </comment>
    <comment ref="L34" authorId="0" shapeId="0" xr:uid="{241B15F7-853C-452B-924F-F25F1A546E91}">
      <text>
        <r>
          <rPr>
            <b/>
            <sz val="9"/>
            <color indexed="81"/>
            <rFont val="Tahoma"/>
            <family val="2"/>
          </rPr>
          <t xml:space="preserve">Assumption: </t>
        </r>
        <r>
          <rPr>
            <sz val="9"/>
            <color indexed="81"/>
            <rFont val="Tahoma"/>
            <family val="2"/>
          </rPr>
          <t>Very basic calculation from lease obligations</t>
        </r>
      </text>
    </comment>
    <comment ref="L47" authorId="0" shapeId="0" xr:uid="{13CE4DB3-213B-4B30-8FA9-744175F69952}">
      <text>
        <r>
          <rPr>
            <b/>
            <sz val="9"/>
            <color indexed="81"/>
            <rFont val="Tahoma"/>
            <family val="2"/>
          </rPr>
          <t xml:space="preserve">Assumption: </t>
        </r>
        <r>
          <rPr>
            <sz val="9"/>
            <color indexed="81"/>
            <rFont val="Tahoma"/>
            <family val="2"/>
          </rPr>
          <t>Historical, TV uses statutory.</t>
        </r>
      </text>
    </comment>
    <comment ref="G62" authorId="0" shapeId="0" xr:uid="{7F8174F6-7EA6-4ED9-8929-584634EB37F6}">
      <text>
        <r>
          <rPr>
            <b/>
            <sz val="9"/>
            <color indexed="81"/>
            <rFont val="Tahoma"/>
            <family val="2"/>
          </rPr>
          <t xml:space="preserve">Assumption: </t>
        </r>
        <r>
          <rPr>
            <sz val="9"/>
            <color indexed="81"/>
            <rFont val="Tahoma"/>
            <family val="2"/>
          </rPr>
          <t xml:space="preserve">Despite a reduction from 2020 here, this ratio  (which corresponds to an external net debt ratio -- unspecified by mgmt) is assumed to not trigger the dividend and repo program reinstatment. There is no 2021 gudiance for reinstatment.
</t>
        </r>
      </text>
    </comment>
    <comment ref="G69" authorId="0" shapeId="0" xr:uid="{24BC2D01-2062-4F5A-B071-0CA2B840EF10}">
      <text>
        <r>
          <rPr>
            <b/>
            <sz val="9"/>
            <color indexed="81"/>
            <rFont val="Tahoma"/>
            <family val="2"/>
          </rPr>
          <t xml:space="preserve">Assumption: </t>
        </r>
        <r>
          <rPr>
            <sz val="9"/>
            <color indexed="81"/>
            <rFont val="Tahoma"/>
            <family val="2"/>
          </rPr>
          <t>COVID-19 means mgmt increase their allowance in 2020. Since 2021 still has lingering effects, I use blend between historical allocation and COVID-19 for 2021. Subsequently I use historical.</t>
        </r>
      </text>
    </comment>
    <comment ref="G75" authorId="0" shapeId="0" xr:uid="{048014B8-BEC6-4803-AF86-D4E7EA3312F1}">
      <text>
        <r>
          <rPr>
            <b/>
            <sz val="9"/>
            <color indexed="81"/>
            <rFont val="Tahoma"/>
            <family val="2"/>
          </rPr>
          <t xml:space="preserve">Assumption: </t>
        </r>
        <r>
          <rPr>
            <sz val="9"/>
            <color indexed="81"/>
            <rFont val="Tahoma"/>
            <family val="2"/>
          </rPr>
          <t xml:space="preserve">
Bull + Base Case: Due to COVID-19 this will return to 2019 levels</t>
        </r>
      </text>
    </comment>
    <comment ref="G81" authorId="0" shapeId="0" xr:uid="{76BCCF18-B7C8-422C-BA9C-DB5D921E5A1B}">
      <text>
        <r>
          <rPr>
            <b/>
            <sz val="9"/>
            <color indexed="81"/>
            <rFont val="Tahoma"/>
            <family val="2"/>
          </rPr>
          <t xml:space="preserve">Assumption: 
</t>
        </r>
        <r>
          <rPr>
            <sz val="9"/>
            <color indexed="81"/>
            <rFont val="Tahoma"/>
            <family val="2"/>
          </rPr>
          <t>Base Case: Back to Basics product SKU reductions have an limited effect on turns, restoring them to 2019 levels
Bull Case: Back to Basics product SKU reductions have an positive effect on turns, restoring them to 2018 levels</t>
        </r>
      </text>
    </comment>
    <comment ref="G85" authorId="0" shapeId="0" xr:uid="{04A2157B-EDEB-42C7-998B-F7809E112342}">
      <text>
        <r>
          <rPr>
            <b/>
            <sz val="9"/>
            <color indexed="81"/>
            <rFont val="Tahoma"/>
            <family val="2"/>
          </rPr>
          <t xml:space="preserve">Assumption: </t>
        </r>
        <r>
          <rPr>
            <sz val="9"/>
            <color indexed="81"/>
            <rFont val="Tahoma"/>
            <family val="2"/>
          </rPr>
          <t>No reason to think this will change. Possible to improve model with a MC approach on hurriance possbility. Honduras has a lot of hurriances so it may be worth building a P(x) model into DCF with more time.</t>
        </r>
      </text>
    </comment>
    <comment ref="L103" authorId="0" shapeId="0" xr:uid="{58DB497D-4B34-4696-B11F-FFCC7C4B7296}">
      <text>
        <r>
          <rPr>
            <b/>
            <sz val="9"/>
            <color indexed="81"/>
            <rFont val="Tahoma"/>
            <family val="2"/>
          </rPr>
          <t xml:space="preserve">Assumption: </t>
        </r>
        <r>
          <rPr>
            <sz val="9"/>
            <color indexed="81"/>
            <rFont val="Tahoma"/>
            <family val="2"/>
          </rPr>
          <t>Constant percent of sales.</t>
        </r>
      </text>
    </comment>
    <comment ref="L108" authorId="0" shapeId="0" xr:uid="{F0E36651-0210-41A5-84CD-8B48481031AC}">
      <text>
        <r>
          <rPr>
            <b/>
            <sz val="9"/>
            <color indexed="81"/>
            <rFont val="Tahoma"/>
            <family val="2"/>
          </rPr>
          <t xml:space="preserve">Assumption: </t>
        </r>
        <r>
          <rPr>
            <sz val="9"/>
            <color indexed="81"/>
            <rFont val="Tahoma"/>
            <family val="2"/>
          </rPr>
          <t>No indication this will change, but I use historical level which represents a non-relief payment scenario to reflect my views that suppliers are more leinient during COVID-19.</t>
        </r>
      </text>
    </comment>
    <comment ref="L117" authorId="0" shapeId="0" xr:uid="{BE192031-E6E1-455A-8119-73D844D6DB5D}">
      <text>
        <r>
          <rPr>
            <b/>
            <sz val="9"/>
            <color indexed="81"/>
            <rFont val="Tahoma"/>
            <family val="2"/>
          </rPr>
          <t xml:space="preserve">Plug: </t>
        </r>
        <r>
          <rPr>
            <sz val="9"/>
            <color indexed="81"/>
            <rFont val="Tahoma"/>
            <family val="2"/>
          </rPr>
          <t xml:space="preserve">I added this as a plug because there is not enough disclosure to deal with  Net loss on disposal and write-downs of PPE, ROU assets &amp; software related to exits
</t>
        </r>
      </text>
    </comment>
    <comment ref="B118" authorId="0" shapeId="0" xr:uid="{F664EC75-740D-4362-A2DC-A16240027A0F}">
      <text>
        <r>
          <rPr>
            <b/>
            <sz val="9"/>
            <color indexed="81"/>
            <rFont val="Tahoma"/>
            <family val="2"/>
          </rPr>
          <t xml:space="preserve">Assumption: </t>
        </r>
        <r>
          <rPr>
            <sz val="9"/>
            <color indexed="81"/>
            <rFont val="Tahoma"/>
            <family val="2"/>
          </rPr>
          <t>Forecast as constant percent of sales since there is no view on this, but treat provisions according to accrual rules in financial notes.</t>
        </r>
      </text>
    </comment>
    <comment ref="L154" authorId="0" shapeId="0" xr:uid="{04942A1D-DE7A-4F05-BC54-AA037EE3875C}">
      <text>
        <r>
          <rPr>
            <b/>
            <sz val="9"/>
            <color indexed="81"/>
            <rFont val="Tahoma"/>
            <family val="2"/>
          </rPr>
          <t xml:space="preserve">Assumption: </t>
        </r>
        <r>
          <rPr>
            <sz val="9"/>
            <color indexed="81"/>
            <rFont val="Tahoma"/>
            <family val="2"/>
          </rPr>
          <t>Constant to reflect no particular view on this.</t>
        </r>
      </text>
    </comment>
    <comment ref="L156" authorId="0" shapeId="0" xr:uid="{877A9575-A38B-46F8-BF00-BCA0FE833E47}">
      <text>
        <r>
          <rPr>
            <b/>
            <sz val="9"/>
            <color indexed="81"/>
            <rFont val="Tahoma"/>
            <family val="2"/>
          </rPr>
          <t xml:space="preserve">Assumption: </t>
        </r>
        <r>
          <rPr>
            <sz val="9"/>
            <color indexed="81"/>
            <rFont val="Tahoma"/>
            <family val="2"/>
          </rPr>
          <t>Constant to reflect no particular view on this.</t>
        </r>
      </text>
    </comment>
    <comment ref="L160" authorId="0" shapeId="0" xr:uid="{0A658097-7593-43AF-9BCC-4010FDDF94D1}">
      <text>
        <r>
          <rPr>
            <b/>
            <sz val="9"/>
            <color indexed="81"/>
            <rFont val="Tahoma"/>
            <family val="2"/>
          </rPr>
          <t xml:space="preserve">Assumption: </t>
        </r>
        <r>
          <rPr>
            <sz val="9"/>
            <color indexed="81"/>
            <rFont val="Tahoma"/>
            <family val="2"/>
          </rPr>
          <t xml:space="preserve">Constant to reflect no particular view on this.
</t>
        </r>
      </text>
    </comment>
    <comment ref="L161" authorId="0" shapeId="0" xr:uid="{51AA64C3-0952-4DBD-8923-F7234C6E0EA6}">
      <text>
        <r>
          <rPr>
            <b/>
            <sz val="9"/>
            <color indexed="81"/>
            <rFont val="Tahoma"/>
            <family val="2"/>
          </rPr>
          <t xml:space="preserve">Assumption: </t>
        </r>
        <r>
          <rPr>
            <sz val="9"/>
            <color indexed="81"/>
            <rFont val="Tahoma"/>
            <family val="2"/>
          </rPr>
          <t>This is the actual amortization.</t>
        </r>
      </text>
    </comment>
    <comment ref="L163" authorId="0" shapeId="0" xr:uid="{0CE2CA27-BA32-41F4-8F85-47A63D2477BF}">
      <text>
        <r>
          <rPr>
            <b/>
            <sz val="9"/>
            <color indexed="81"/>
            <rFont val="Tahoma"/>
            <family val="2"/>
          </rPr>
          <t xml:space="preserve">Assumption: </t>
        </r>
        <r>
          <rPr>
            <sz val="9"/>
            <color indexed="81"/>
            <rFont val="Tahoma"/>
            <family val="2"/>
          </rPr>
          <t xml:space="preserve">Constant to reflect no particular view on this.
</t>
        </r>
      </text>
    </comment>
    <comment ref="L165" authorId="0" shapeId="0" xr:uid="{BB1A0E76-A78B-4228-A8D3-7ACFCF327FC8}">
      <text>
        <r>
          <rPr>
            <b/>
            <sz val="9"/>
            <color indexed="81"/>
            <rFont val="Tahoma"/>
            <family val="2"/>
          </rPr>
          <t xml:space="preserve">Assumption: </t>
        </r>
        <r>
          <rPr>
            <sz val="9"/>
            <color indexed="81"/>
            <rFont val="Tahoma"/>
            <family val="2"/>
          </rPr>
          <t xml:space="preserve">More software will need to be purchased, so despite amoritization &gt; current software carry in year 3, assume Banladesh will require more software.
</t>
        </r>
      </text>
    </comment>
    <comment ref="E168" authorId="0" shapeId="0" xr:uid="{ADAD570F-CE47-4D13-A5C4-55EBDED3AE64}">
      <text>
        <r>
          <rPr>
            <sz val="9"/>
            <color indexed="81"/>
            <rFont val="Tahoma"/>
            <family val="2"/>
          </rPr>
          <t>Reported.</t>
        </r>
      </text>
    </comment>
    <comment ref="L168" authorId="0" shapeId="0" xr:uid="{44CBA39D-8350-4AF8-A607-380788F8CC98}">
      <text>
        <r>
          <rPr>
            <b/>
            <sz val="9"/>
            <color indexed="81"/>
            <rFont val="Tahoma"/>
            <family val="2"/>
          </rPr>
          <t xml:space="preserve">Assumption: </t>
        </r>
        <r>
          <rPr>
            <sz val="9"/>
            <color indexed="81"/>
            <rFont val="Tahoma"/>
            <family val="2"/>
          </rPr>
          <t xml:space="preserve">2020 10k pg 95 indicates that if management's internal multiple applied to Adjusted EBITDA falls by 1, there may be a 30 million imapirment on the hosiery CGU. They indicate reasonable possbility of this happening, it is dependant on the multiple from comps. I am forecasting as 0 for simplicity, but a MC valuation could account for this is a p(x) is assumed. </t>
        </r>
      </text>
    </comment>
    <comment ref="G177" authorId="0" shapeId="0" xr:uid="{03887A19-E5A7-4F71-978A-14728DBCAB84}">
      <text>
        <r>
          <rPr>
            <b/>
            <sz val="9"/>
            <color indexed="81"/>
            <rFont val="Tahoma"/>
            <family val="2"/>
          </rPr>
          <t xml:space="preserve">Assumption: </t>
        </r>
        <r>
          <rPr>
            <sz val="9"/>
            <color indexed="81"/>
            <rFont val="Tahoma"/>
            <family val="2"/>
          </rPr>
          <t xml:space="preserve">Given current price levels, it's likely that compesnation will return to former levels. I assume this occurs in year 2 past the COVID effects and smooth.
</t>
        </r>
      </text>
    </comment>
    <comment ref="G197" authorId="0" shapeId="0" xr:uid="{C49E4155-C77E-4023-821D-17BBE743AE23}">
      <text>
        <r>
          <rPr>
            <b/>
            <sz val="9"/>
            <color indexed="81"/>
            <rFont val="Tahoma"/>
            <family val="2"/>
          </rPr>
          <t xml:space="preserve">Assumptions: </t>
        </r>
        <r>
          <rPr>
            <sz val="9"/>
            <color indexed="81"/>
            <rFont val="Tahoma"/>
            <family val="2"/>
          </rPr>
          <t>I don't have a strong view on this other than debt covenats prevented CAPEX over 100M in 2020 and I suspect management was conservative to make sure they didn't exceed this, so I used historical value. And kept it constanat.</t>
        </r>
      </text>
    </comment>
    <comment ref="G207" authorId="0" shapeId="0" xr:uid="{A4A84A89-0693-478E-8141-2966A1E3D184}">
      <text>
        <r>
          <rPr>
            <b/>
            <sz val="9"/>
            <color indexed="81"/>
            <rFont val="Tahoma"/>
            <family val="2"/>
          </rPr>
          <t xml:space="preserve">Assumption: </t>
        </r>
        <r>
          <rPr>
            <sz val="9"/>
            <color indexed="81"/>
            <rFont val="Tahoma"/>
            <family val="2"/>
          </rPr>
          <t>Management indicates 4% range. Year 2 onwards I revert to 3.5 % which historically supported a 6% y/y revenue growth rate (as forecasted)</t>
        </r>
      </text>
    </comment>
    <comment ref="G211" authorId="0" shapeId="0" xr:uid="{3CEC622A-3FB9-40A1-AED2-FC277600FE62}">
      <text>
        <r>
          <rPr>
            <b/>
            <sz val="9"/>
            <color indexed="81"/>
            <rFont val="Tahoma"/>
            <family val="2"/>
          </rPr>
          <t xml:space="preserve">Assumption: </t>
        </r>
        <r>
          <rPr>
            <sz val="9"/>
            <color indexed="81"/>
            <rFont val="Tahoma"/>
            <family val="2"/>
          </rPr>
          <t xml:space="preserve">No revolving credit line is currently in use and will not be a source of forecasted debt.
</t>
        </r>
      </text>
    </comment>
    <comment ref="L218" authorId="0" shapeId="0" xr:uid="{3274B81F-DE0E-4E11-961D-375F8715B3A5}">
      <text>
        <r>
          <rPr>
            <b/>
            <sz val="9"/>
            <color indexed="81"/>
            <rFont val="Tahoma"/>
            <family val="2"/>
          </rPr>
          <t xml:space="preserve">Assumption: </t>
        </r>
        <r>
          <rPr>
            <sz val="9"/>
            <color indexed="81"/>
            <rFont val="Tahoma"/>
            <family val="2"/>
          </rPr>
          <t xml:space="preserve">Management has indicated they are commited to returning capital to investors  (Q4 Earnings call) but are cautious about 2021 and this all depends on the net debt leverage ratio being within the target range of 1x to 2x. As Q2 2020 drops from LTM ratio, I forecast leverage within the target range and a I assume that a conservative 2017 payout ratio (start of back to basics) and grow it at an approx historical 20% annual growth rate. </t>
        </r>
      </text>
    </comment>
    <comment ref="L221" authorId="0" shapeId="0" xr:uid="{7C89DF27-4E9D-46CA-B2D4-A424794C3BA2}">
      <text>
        <r>
          <rPr>
            <b/>
            <sz val="9"/>
            <color indexed="81"/>
            <rFont val="Tahoma"/>
            <family val="2"/>
          </rPr>
          <t xml:space="preserve">Assumption: </t>
        </r>
        <r>
          <rPr>
            <sz val="9"/>
            <color indexed="81"/>
            <rFont val="Tahoma"/>
            <family val="2"/>
          </rPr>
          <t>The majority of this is coming from Ret. Earnings historically so simplify with just use RE to pay it.</t>
        </r>
      </text>
    </comment>
    <comment ref="I223" authorId="0" shapeId="0" xr:uid="{55E8BC57-579B-4B25-B164-B13B34464003}">
      <text>
        <r>
          <rPr>
            <b/>
            <sz val="9"/>
            <color indexed="81"/>
            <rFont val="Tahoma"/>
            <family val="2"/>
          </rPr>
          <t xml:space="preserve">Assumption: </t>
        </r>
        <r>
          <rPr>
            <sz val="9"/>
            <color indexed="81"/>
            <rFont val="Tahoma"/>
            <family val="2"/>
          </rPr>
          <t>Based on Q4 earnings transcript, this all depends on the net debt leverage ratio being within the target range of 1x to 2x. As Q2 2020 drops from LTM ratio, I forecast leverage within the target range and a I assume that repurchasing will resume at NCIB plan rate of 5% outstanding p.a. I delay this by 2 quarters and begin in 2022.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Andre</author>
  </authors>
  <commentList>
    <comment ref="G3" authorId="0" shapeId="0" xr:uid="{40EDFDAD-6378-4FA2-8CFA-EE8CC6BA8CEE}">
      <text>
        <r>
          <rPr>
            <b/>
            <sz val="9"/>
            <color indexed="81"/>
            <rFont val="Tahoma"/>
            <family val="2"/>
          </rPr>
          <t xml:space="preserve">Assumption: </t>
        </r>
        <r>
          <rPr>
            <sz val="9"/>
            <color indexed="81"/>
            <rFont val="Tahoma"/>
            <family val="2"/>
          </rPr>
          <t>Earnigns call, indicates 500m sales capacity comes online 2023 with bangladesh. Spread capacity over 2 years for full utilization.</t>
        </r>
      </text>
    </comment>
    <comment ref="F4" authorId="0" shapeId="0" xr:uid="{8C75EC78-10A6-4C5E-A462-DC150415E464}">
      <text>
        <r>
          <rPr>
            <b/>
            <sz val="9"/>
            <color indexed="81"/>
            <rFont val="Tahoma"/>
            <family val="2"/>
          </rPr>
          <t>Assumption:</t>
        </r>
        <r>
          <rPr>
            <sz val="9"/>
            <color indexed="81"/>
            <rFont val="Tahoma"/>
            <family val="2"/>
          </rPr>
          <t xml:space="preserve"> Historical 6% y/y growth is sustainable. I think this is optimisitic.
</t>
        </r>
      </text>
    </comment>
    <comment ref="E5" authorId="0" shapeId="0" xr:uid="{03B7A282-A31B-4C37-AEDF-F390EC973017}">
      <text>
        <r>
          <rPr>
            <b/>
            <sz val="9"/>
            <color indexed="81"/>
            <rFont val="Tahoma"/>
            <family val="2"/>
          </rPr>
          <t xml:space="preserve">Assumption: </t>
        </r>
        <r>
          <rPr>
            <sz val="9"/>
            <color indexed="81"/>
            <rFont val="Tahoma"/>
            <family val="2"/>
          </rPr>
          <t>Sales will reach normalized level. I take the average of back-to-basics period and penalize it by including 2020 sales.</t>
        </r>
      </text>
    </comment>
    <comment ref="H17" authorId="0" shapeId="0" xr:uid="{BF9EBA41-3D8C-489D-9D44-2E32F1BDE80F}">
      <text>
        <r>
          <rPr>
            <b/>
            <sz val="9"/>
            <color indexed="81"/>
            <rFont val="Tahoma"/>
            <family val="2"/>
          </rPr>
          <t xml:space="preserve">Assumption: </t>
        </r>
        <r>
          <rPr>
            <sz val="9"/>
            <color indexed="81"/>
            <rFont val="Tahoma"/>
            <family val="2"/>
          </rPr>
          <t>New plant</t>
        </r>
        <r>
          <rPr>
            <b/>
            <sz val="9"/>
            <color indexed="81"/>
            <rFont val="Tahoma"/>
            <family val="2"/>
          </rPr>
          <t xml:space="preserve"> </t>
        </r>
        <r>
          <rPr>
            <sz val="9"/>
            <color indexed="81"/>
            <rFont val="Tahoma"/>
            <family val="2"/>
          </rPr>
          <t>500M comes online faster due to experience in opening prior plant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Andre</author>
  </authors>
  <commentList>
    <comment ref="C3" authorId="0" shapeId="0" xr:uid="{368D8EE2-A0F3-46D9-A16D-36CCACEE689B}">
      <text>
        <r>
          <rPr>
            <b/>
            <sz val="9"/>
            <color indexed="81"/>
            <rFont val="Tahoma"/>
            <family val="2"/>
          </rPr>
          <t xml:space="preserve">Methodolgy: </t>
        </r>
        <r>
          <rPr>
            <sz val="9"/>
            <color indexed="81"/>
            <rFont val="Tahoma"/>
            <family val="2"/>
          </rPr>
          <t>Bloomberg, Monthly Beta 5 years regression against the SPTSX Index.</t>
        </r>
      </text>
    </comment>
    <comment ref="C7" authorId="0" shapeId="0" xr:uid="{55782F75-ECAD-4B27-8B21-EC9D53D8A18A}">
      <text>
        <r>
          <rPr>
            <b/>
            <sz val="9"/>
            <color indexed="81"/>
            <rFont val="Tahoma"/>
            <family val="2"/>
          </rPr>
          <t xml:space="preserve">Source: </t>
        </r>
        <r>
          <rPr>
            <sz val="9"/>
            <color indexed="81"/>
            <rFont val="Tahoma"/>
            <family val="2"/>
          </rPr>
          <t>10year rate https://fred.stlouisfed.org/series/DGS10</t>
        </r>
      </text>
    </comment>
    <comment ref="C8" authorId="0" shapeId="0" xr:uid="{6C6DC034-A40E-4F0A-B480-1A481010CA2F}">
      <text>
        <r>
          <rPr>
            <b/>
            <sz val="9"/>
            <color indexed="81"/>
            <rFont val="Tahoma"/>
            <family val="2"/>
          </rPr>
          <t xml:space="preserve">Source: </t>
        </r>
        <r>
          <rPr>
            <sz val="9"/>
            <color indexed="81"/>
            <rFont val="Tahoma"/>
            <family val="2"/>
          </rPr>
          <t xml:space="preserve">Long run average of 10year.
</t>
        </r>
      </text>
    </comment>
    <comment ref="C11" authorId="0" shapeId="0" xr:uid="{BB26A7DC-187D-4C3D-80CD-2A57E72AE393}">
      <text>
        <r>
          <rPr>
            <b/>
            <sz val="9"/>
            <color indexed="81"/>
            <rFont val="Tahoma"/>
            <family val="2"/>
          </rPr>
          <t xml:space="preserve">Source: </t>
        </r>
        <r>
          <rPr>
            <sz val="9"/>
            <color indexed="81"/>
            <rFont val="Tahoma"/>
            <family val="2"/>
          </rPr>
          <t>http://people.stern.nyu.edu/adamodar/New_Home_Page/home.htm</t>
        </r>
      </text>
    </comment>
    <comment ref="C12" authorId="0" shapeId="0" xr:uid="{5902FE3B-1DBD-4369-9567-B31DC425879F}">
      <text>
        <r>
          <rPr>
            <b/>
            <sz val="9"/>
            <color indexed="81"/>
            <rFont val="Tahoma"/>
            <family val="2"/>
          </rPr>
          <t>Source</t>
        </r>
        <r>
          <rPr>
            <sz val="9"/>
            <color indexed="81"/>
            <rFont val="Tahoma"/>
            <family val="2"/>
          </rPr>
          <t xml:space="preserve">: Long run average
</t>
        </r>
      </text>
    </comment>
    <comment ref="C14" authorId="0" shapeId="0" xr:uid="{EA98E2BD-ACD8-4032-A204-52A6F189E984}">
      <text>
        <r>
          <rPr>
            <b/>
            <sz val="9"/>
            <color indexed="81"/>
            <rFont val="Tahoma"/>
            <family val="2"/>
          </rPr>
          <t xml:space="preserve">Source: </t>
        </r>
        <r>
          <rPr>
            <sz val="9"/>
            <color indexed="81"/>
            <rFont val="Tahoma"/>
            <family val="2"/>
          </rPr>
          <t>http://pages.stern.nyu.edu/~adamodar/New_Home_Page/datafile/ctryprem.html</t>
        </r>
      </text>
    </comment>
    <comment ref="C21" authorId="0" shapeId="0" xr:uid="{1929B0AD-F952-4C46-B797-59563C9792BF}">
      <text>
        <r>
          <rPr>
            <b/>
            <sz val="9"/>
            <color indexed="81"/>
            <rFont val="Tahoma"/>
            <family val="2"/>
          </rPr>
          <t xml:space="preserve">Source: </t>
        </r>
        <r>
          <rPr>
            <sz val="9"/>
            <color indexed="81"/>
            <rFont val="Tahoma"/>
            <family val="2"/>
          </rPr>
          <t>US 12 Month Libor rate (bloomberg) + worst spread in loan terms.</t>
        </r>
      </text>
    </comment>
  </commentList>
</comments>
</file>

<file path=xl/sharedStrings.xml><?xml version="1.0" encoding="utf-8"?>
<sst xmlns="http://schemas.openxmlformats.org/spreadsheetml/2006/main" count="422" uniqueCount="313">
  <si>
    <t>Net sales</t>
  </si>
  <si>
    <t>Cost of sales</t>
  </si>
  <si>
    <t>Gross profit</t>
  </si>
  <si>
    <t>SG&amp;A</t>
  </si>
  <si>
    <t>Impairment of trade accounts receivable</t>
  </si>
  <si>
    <t>Restructuring and acquisition costs</t>
  </si>
  <si>
    <t>Impairment of goodwill and intangible assets</t>
  </si>
  <si>
    <t>Operating income</t>
  </si>
  <si>
    <t>Financial expenses, net</t>
  </si>
  <si>
    <t>Earnings (loss) before income taxes</t>
  </si>
  <si>
    <t>Net earnings (loss)</t>
  </si>
  <si>
    <t>Cash and cash equivalents</t>
  </si>
  <si>
    <t>Trade accounts recievable</t>
  </si>
  <si>
    <t>Income taxes recievable</t>
  </si>
  <si>
    <t>Inventories</t>
  </si>
  <si>
    <t>Prepaid expenses, deposits and other current assets</t>
  </si>
  <si>
    <t>Total current assets</t>
  </si>
  <si>
    <t>Property, plant and equipment</t>
  </si>
  <si>
    <t>Right-of-use assets</t>
  </si>
  <si>
    <t>Intangible assets</t>
  </si>
  <si>
    <t>Goodwill</t>
  </si>
  <si>
    <t>Deferred income taxes</t>
  </si>
  <si>
    <t>Other non-current assets</t>
  </si>
  <si>
    <t>Total assets</t>
  </si>
  <si>
    <t>Accounts payable and accrued liabiltiies</t>
  </si>
  <si>
    <t>Income taxes payable</t>
  </si>
  <si>
    <t>Current portion of lease obligations</t>
  </si>
  <si>
    <t>Total current liabilities</t>
  </si>
  <si>
    <t>Long-term debt</t>
  </si>
  <si>
    <t>Lease obligations</t>
  </si>
  <si>
    <t>Other non-current liabilities</t>
  </si>
  <si>
    <t>Total liabilities</t>
  </si>
  <si>
    <t>Share capital</t>
  </si>
  <si>
    <t>Contributed surplus</t>
  </si>
  <si>
    <t>Retained earnings</t>
  </si>
  <si>
    <t>Accumulated other comprehensive income</t>
  </si>
  <si>
    <t>Total shareholders' equity</t>
  </si>
  <si>
    <t>Check</t>
  </si>
  <si>
    <t>Total liabilites and equity</t>
  </si>
  <si>
    <t>Adjustments:</t>
  </si>
  <si>
    <t>Change in non-cash working capital balances</t>
  </si>
  <si>
    <t>Income taxes</t>
  </si>
  <si>
    <t>Accounts payable and accrued liabilities</t>
  </si>
  <si>
    <t>Cash flows from operating activities</t>
  </si>
  <si>
    <t>Purchase of property, plant and equipment</t>
  </si>
  <si>
    <t>Purchase of intangible assets</t>
  </si>
  <si>
    <t>Business acquisitions</t>
  </si>
  <si>
    <t>Proceeds on disposal of property, plant and equipment</t>
  </si>
  <si>
    <t>Cash flows from investing activities</t>
  </si>
  <si>
    <t>Proceeds from term loan</t>
  </si>
  <si>
    <t>Payments of lease obligations</t>
  </si>
  <si>
    <t>Dividends paid</t>
  </si>
  <si>
    <t>Proceeds from the issuance of shares</t>
  </si>
  <si>
    <t>Repurchase and cancellation of shares</t>
  </si>
  <si>
    <t>Share repurchases for settling non-Treasury RSUs</t>
  </si>
  <si>
    <t>Withholding taxes paid pursand to settlement of non-Treasury RSUs</t>
  </si>
  <si>
    <t>(Decrease) increase in amounts drawn under revolver</t>
  </si>
  <si>
    <t>Cash flows from financing activities</t>
  </si>
  <si>
    <t>Effect of exchange rate on cash and cash equivalents</t>
  </si>
  <si>
    <t>Net increase (decrease) in cash and cash equivalents</t>
  </si>
  <si>
    <t>Cash and cash equivalents, beginning</t>
  </si>
  <si>
    <t>Cash and cash equivalents, end</t>
  </si>
  <si>
    <t>Depreciation of PP&amp;E</t>
  </si>
  <si>
    <t>Depreciation of right-of-use assets</t>
  </si>
  <si>
    <t>Adj. for variation of depreciation incl. in inventories at beg &amp; end</t>
  </si>
  <si>
    <t>Loss on disposal of PP&amp;E and software</t>
  </si>
  <si>
    <t>Share based compensation</t>
  </si>
  <si>
    <t>Unrealized net (gain) loss on fx and financial derivatives</t>
  </si>
  <si>
    <t>Timing differences on financial derivates deferred gains transfer</t>
  </si>
  <si>
    <t>Non cash restructuring charges related to PP&amp;E, ROU assets and software</t>
  </si>
  <si>
    <t>Income Statement</t>
  </si>
  <si>
    <t>Statement of Cash Flows</t>
  </si>
  <si>
    <t>Balance Sheet</t>
  </si>
  <si>
    <t>2021E</t>
  </si>
  <si>
    <t>AR Turnover</t>
  </si>
  <si>
    <t>Inventory Turnover</t>
  </si>
  <si>
    <t>AP Turnover</t>
  </si>
  <si>
    <t>Repayment of term loan</t>
  </si>
  <si>
    <t>Total lease obligation</t>
  </si>
  <si>
    <t>Liability</t>
  </si>
  <si>
    <t>Year</t>
  </si>
  <si>
    <t>Portion in share capital</t>
  </si>
  <si>
    <t>Portion in retained earnings</t>
  </si>
  <si>
    <t>Portion in contributed surplus</t>
  </si>
  <si>
    <t>Interest expense on financial liabilities recorded at amortized cost</t>
  </si>
  <si>
    <t>Bank and other financial charges</t>
  </si>
  <si>
    <t>Interest accretion on discounted lease obligations</t>
  </si>
  <si>
    <t>Interest accretion on discounted provisions</t>
  </si>
  <si>
    <t>Foreign exchange loss (gain)</t>
  </si>
  <si>
    <t>percent of long-term debt</t>
  </si>
  <si>
    <t xml:space="preserve">percent of total lease liability </t>
  </si>
  <si>
    <t>Employee benefit obligation start</t>
  </si>
  <si>
    <t>Service cost</t>
  </si>
  <si>
    <t>Interest cost</t>
  </si>
  <si>
    <t>Actuarial (gain) loss</t>
  </si>
  <si>
    <t>Foreign exchange gain</t>
  </si>
  <si>
    <t>Benefits paid</t>
  </si>
  <si>
    <t>Employee benefit obligation - Statutory severance and pre-notice</t>
  </si>
  <si>
    <t>Opening balance</t>
  </si>
  <si>
    <t>Change in estimates</t>
  </si>
  <si>
    <t>Employee benefit obligation - defined contribution plan</t>
  </si>
  <si>
    <t>percent of sales</t>
  </si>
  <si>
    <t>Accretion of interest</t>
  </si>
  <si>
    <t>Impact of initial adoption of IFRS 16</t>
  </si>
  <si>
    <t>Provisions - Primarily decomissioning &amp; site restoration costs</t>
  </si>
  <si>
    <t>Lease exit costs</t>
  </si>
  <si>
    <t>% of provisions</t>
  </si>
  <si>
    <t>Selling expenses</t>
  </si>
  <si>
    <t>Administrative expenses</t>
  </si>
  <si>
    <t>Distribution expenses</t>
  </si>
  <si>
    <t>Allowance for expected credit losses</t>
  </si>
  <si>
    <t>Beginning balance</t>
  </si>
  <si>
    <t>Impairment</t>
  </si>
  <si>
    <t>Write-offs</t>
  </si>
  <si>
    <t>Trade accounts recievable, net</t>
  </si>
  <si>
    <t>Trade accounts recievable, gross</t>
  </si>
  <si>
    <t>percent of gross</t>
  </si>
  <si>
    <t>Raw materials and spare parts inventories</t>
  </si>
  <si>
    <t>Work in progress</t>
  </si>
  <si>
    <t>Finished goods</t>
  </si>
  <si>
    <t>Land</t>
  </si>
  <si>
    <t>Buildings &amp; Improvements</t>
  </si>
  <si>
    <t>Manufacturing equipment</t>
  </si>
  <si>
    <t>Other equipment</t>
  </si>
  <si>
    <t>Assets not yet utilized in operations</t>
  </si>
  <si>
    <t>Customer contracts &amp; customer relationships</t>
  </si>
  <si>
    <t>Trademarks</t>
  </si>
  <si>
    <t>License agreements</t>
  </si>
  <si>
    <t>Computer software</t>
  </si>
  <si>
    <t>Non-compete agreements</t>
  </si>
  <si>
    <t>Amortization of intangibles</t>
  </si>
  <si>
    <t>Total CAPEX</t>
  </si>
  <si>
    <t>percent of total capex</t>
  </si>
  <si>
    <t>Additions (As reported, not to reconcile):</t>
  </si>
  <si>
    <t>Employee termination and benefit costs</t>
  </si>
  <si>
    <t>Exit, relocation and other costs</t>
  </si>
  <si>
    <t>Acquisition-related transaction costs</t>
  </si>
  <si>
    <t>Derivative financial liabilities included AP &amp; accrued liabilities</t>
  </si>
  <si>
    <t>Net loss on disposal and write-downs of PPE, ROU assets &amp; software related to exits</t>
  </si>
  <si>
    <t>Restructuring Liability</t>
  </si>
  <si>
    <t>Commitment</t>
  </si>
  <si>
    <t>PV</t>
  </si>
  <si>
    <t>Interest Rate</t>
  </si>
  <si>
    <t>Years embedded in last pmt</t>
  </si>
  <si>
    <t>Interest</t>
  </si>
  <si>
    <t>Insurance gain (hurriane)</t>
  </si>
  <si>
    <t>Accured insurance recoveries from hurricane</t>
  </si>
  <si>
    <t>Adj. prepaied expenses / percent of sales</t>
  </si>
  <si>
    <t>Adj. prepaid expenses excl. insurance recoveries</t>
  </si>
  <si>
    <t>Manuf. Costs associated with COVID-19 suspension</t>
  </si>
  <si>
    <t>Excess commodity contracts since less cotton is used during COVID-19</t>
  </si>
  <si>
    <t>Inventory writedowns to net-realizable-value</t>
  </si>
  <si>
    <t>Transfer of derivaties from OCI which no longer meet hedge requirement</t>
  </si>
  <si>
    <t>Adj. gross profit margin %</t>
  </si>
  <si>
    <t>Adjusted cost of sales (COVID-19  and hurriance effects)</t>
  </si>
  <si>
    <t>Adjusted gross profit (COVID-19 and hurriance effects)</t>
  </si>
  <si>
    <t>Applicable statutory rate</t>
  </si>
  <si>
    <t>Income taxes at applicable statutory rate</t>
  </si>
  <si>
    <t>Increase (decrease) in income taxes resulting from:</t>
  </si>
  <si>
    <t>Effect of different tax rates on earnings of foreign subsidiaries</t>
  </si>
  <si>
    <t>Income tax recovery and other adj. related to prior taxation years</t>
  </si>
  <si>
    <t>Regonition of previously de-recognized benefits related to losses</t>
  </si>
  <si>
    <t>Non-recognition of tax ebenfits related to tax losses</t>
  </si>
  <si>
    <t>Effect of non-deductible expenses and other</t>
  </si>
  <si>
    <t>Effective income tax rate</t>
  </si>
  <si>
    <t>EBIT</t>
  </si>
  <si>
    <t>EBITDA</t>
  </si>
  <si>
    <t>Shares Outstanding</t>
  </si>
  <si>
    <t>Basic</t>
  </si>
  <si>
    <t>Diluted</t>
  </si>
  <si>
    <t>EPS</t>
  </si>
  <si>
    <t>Adj. EBITDA, Reported</t>
  </si>
  <si>
    <t>Discontinuance of PPE SKUs</t>
  </si>
  <si>
    <t>Adj. EBITDA, Calculated (ex. restructuring costs)</t>
  </si>
  <si>
    <t>2022E</t>
  </si>
  <si>
    <t>2023E</t>
  </si>
  <si>
    <t>2024E</t>
  </si>
  <si>
    <t>2025E</t>
  </si>
  <si>
    <t>percent growth y/y</t>
  </si>
  <si>
    <t>Base y/y growth</t>
  </si>
  <si>
    <t>Total revenue</t>
  </si>
  <si>
    <t>Capacity unlock, bangladesh, $</t>
  </si>
  <si>
    <t>Income tax recovery (expense)</t>
  </si>
  <si>
    <t>CAGR</t>
  </si>
  <si>
    <t>TREND</t>
  </si>
  <si>
    <t>Payout ratio</t>
  </si>
  <si>
    <t>Tax Rate</t>
  </si>
  <si>
    <t>+ Depreciation &amp; Amortization</t>
  </si>
  <si>
    <t>- CAPEX, owned assets</t>
  </si>
  <si>
    <t>- CAPEX, leased assets</t>
  </si>
  <si>
    <t>Years</t>
  </si>
  <si>
    <t>Supplmental Information</t>
  </si>
  <si>
    <t>- Change in WC</t>
  </si>
  <si>
    <t>FCFF</t>
  </si>
  <si>
    <t>WACC</t>
  </si>
  <si>
    <t>Cumulative Discount Factor</t>
  </si>
  <si>
    <t>Value of Operating Assets</t>
  </si>
  <si>
    <t>- Debt</t>
  </si>
  <si>
    <t>- Minority Interest</t>
  </si>
  <si>
    <t>- Preferred Shares</t>
  </si>
  <si>
    <t>+ Cash</t>
  </si>
  <si>
    <t>Value of Equity</t>
  </si>
  <si>
    <t>Shares oustanding</t>
  </si>
  <si>
    <t>Intrinsic value per share</t>
  </si>
  <si>
    <t>Discount/Premium to Intrinsic Value</t>
  </si>
  <si>
    <t>Current share price (USD)</t>
  </si>
  <si>
    <t>Cost of Equity</t>
  </si>
  <si>
    <t>Raw Beta</t>
  </si>
  <si>
    <t>CRP</t>
  </si>
  <si>
    <t>Adj Beta</t>
  </si>
  <si>
    <t>Floating</t>
  </si>
  <si>
    <t>Fixed</t>
  </si>
  <si>
    <t>Term Loan</t>
  </si>
  <si>
    <t>Note Payable</t>
  </si>
  <si>
    <t>Effective Rate</t>
  </si>
  <si>
    <t>Principal</t>
  </si>
  <si>
    <t>Maturirty</t>
  </si>
  <si>
    <t>Years to Mat</t>
  </si>
  <si>
    <t>Frequency</t>
  </si>
  <si>
    <t>Interest Payments</t>
  </si>
  <si>
    <t>Interest Payment</t>
  </si>
  <si>
    <t>Principal Payment</t>
  </si>
  <si>
    <t>2026E</t>
  </si>
  <si>
    <t>Shares Oustanding</t>
  </si>
  <si>
    <t>(in thousands of USD, except per share data)</t>
  </si>
  <si>
    <t>(millions of USD, except per share values)</t>
  </si>
  <si>
    <t>EBIT * (1 - Tax Rate)</t>
  </si>
  <si>
    <t>Stock Options</t>
  </si>
  <si>
    <t>Exercise Price</t>
  </si>
  <si>
    <t>Canadian</t>
  </si>
  <si>
    <t>American</t>
  </si>
  <si>
    <t>Outstanding</t>
  </si>
  <si>
    <t>Exerciseable</t>
  </si>
  <si>
    <t>Current Price (CAD)</t>
  </si>
  <si>
    <t>Current Price (USD)</t>
  </si>
  <si>
    <t>Exercise Proceeds</t>
  </si>
  <si>
    <t>Total Proceeds</t>
  </si>
  <si>
    <t>Number of Shares Purchaseable</t>
  </si>
  <si>
    <t>Total shares repurchased</t>
  </si>
  <si>
    <t>+ Options / RSUs</t>
  </si>
  <si>
    <t>RSUs</t>
  </si>
  <si>
    <t>Total</t>
  </si>
  <si>
    <t>FD Market Cap (000's)</t>
  </si>
  <si>
    <t>+ Proforma Debt</t>
  </si>
  <si>
    <t>Cash</t>
  </si>
  <si>
    <t>Debt</t>
  </si>
  <si>
    <t>- Proforma Cash</t>
  </si>
  <si>
    <t>FD Enterprise Value</t>
  </si>
  <si>
    <t>Period</t>
  </si>
  <si>
    <t>Difference</t>
  </si>
  <si>
    <t>Proforma</t>
  </si>
  <si>
    <t>yrs</t>
  </si>
  <si>
    <t>EV / Proforma Sales</t>
  </si>
  <si>
    <t>Sales</t>
  </si>
  <si>
    <t>Proforma Calculations</t>
  </si>
  <si>
    <t>Market Value of Equity</t>
  </si>
  <si>
    <t>Market Value of Debt</t>
  </si>
  <si>
    <t>Terminal</t>
  </si>
  <si>
    <t>Lease Obligation</t>
  </si>
  <si>
    <t>Cost of Debt</t>
  </si>
  <si>
    <t>Short Term</t>
  </si>
  <si>
    <t>Long Term</t>
  </si>
  <si>
    <t>Risk Free</t>
  </si>
  <si>
    <t>Equity Risk Premium</t>
  </si>
  <si>
    <t>Cost of Debt After Tax</t>
  </si>
  <si>
    <t>Short Tem</t>
  </si>
  <si>
    <t>% of debt</t>
  </si>
  <si>
    <t>% of equity</t>
  </si>
  <si>
    <t>Discounted Cash Flow Valuation</t>
  </si>
  <si>
    <t>Revenue</t>
  </si>
  <si>
    <t>Repos</t>
  </si>
  <si>
    <t>Shares out, basic</t>
  </si>
  <si>
    <t>Repurchase Target</t>
  </si>
  <si>
    <t>Shares repurchased</t>
  </si>
  <si>
    <t>Current share price</t>
  </si>
  <si>
    <t>Net Debt, Calculated</t>
  </si>
  <si>
    <t>Net Debt / Adj EBITDA (Calculated)</t>
  </si>
  <si>
    <t>Net Debt / Adj EBTIDA (Reported)</t>
  </si>
  <si>
    <t>Dollar Value</t>
  </si>
  <si>
    <t>EV / Proforma EBITDA</t>
  </si>
  <si>
    <t>EBTIDA</t>
  </si>
  <si>
    <t>Ticker</t>
  </si>
  <si>
    <t>GIL CN Equity</t>
  </si>
  <si>
    <t>Share Price</t>
  </si>
  <si>
    <t>52-Wk H / L</t>
  </si>
  <si>
    <t>$16.91 - $42.92</t>
  </si>
  <si>
    <t>YTD Total Return</t>
  </si>
  <si>
    <t>Proforma Shares Out</t>
  </si>
  <si>
    <t>Options / RSUs</t>
  </si>
  <si>
    <t>FD Market Cap.</t>
  </si>
  <si>
    <t>+ Debt</t>
  </si>
  <si>
    <t>- Cash</t>
  </si>
  <si>
    <t>USDCAD</t>
  </si>
  <si>
    <t>Enterprise Val.</t>
  </si>
  <si>
    <t>FY20A EV / Sales</t>
  </si>
  <si>
    <t>FY21E EV / Sales</t>
  </si>
  <si>
    <t>1mo. Avg Volume</t>
  </si>
  <si>
    <t>Terminal Growth Rate</t>
  </si>
  <si>
    <t>DCF Sensitivity Analysis</t>
  </si>
  <si>
    <t>Option Exercised Model</t>
  </si>
  <si>
    <t>Selectors</t>
  </si>
  <si>
    <t>CAPEX</t>
  </si>
  <si>
    <t>Mdoel Selection</t>
  </si>
  <si>
    <t>Model Selection</t>
  </si>
  <si>
    <t>Bull Case</t>
  </si>
  <si>
    <t>Conservative Case</t>
  </si>
  <si>
    <t>Share Repos</t>
  </si>
  <si>
    <t>SG&amp;A / Sales</t>
  </si>
  <si>
    <t>2020A</t>
  </si>
  <si>
    <t>Andre Bodo</t>
  </si>
  <si>
    <t>Author:</t>
  </si>
  <si>
    <t>Adj. Gross Profit Margins</t>
  </si>
  <si>
    <t>Inventory Turns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</si>
</sst>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0.0\x"/>
    <numFmt numFmtId="165" formatCode="0.0%"/>
    <numFmt numFmtId="166" formatCode="0.0\x"/>
    <numFmt numFmtId="167" formatCode="0.000"/>
    <numFmt numFmtId="168" formatCode="&quot;$&quot;#,##0.00"/>
    <numFmt numFmtId="169" formatCode="&quot;$&quot;#,##0.0"/>
    <numFmt numFmtId="170" formatCode="&quot;$&quot;#,##0"/>
    <numFmt numFmtId="171" formatCode="#,##0.00\x"/>
  </numFmts>
  <fonts count="2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sz val="11"/>
      <color theme="0" tint="-0.249977111117893"/>
      <name val="Calibri"/>
      <family val="2"/>
      <scheme val="minor"/>
    </font>
    <font>
      <sz val="11"/>
      <color theme="0" tint="-0.14999847407452621"/>
      <name val="Calibri"/>
      <family val="2"/>
      <scheme val="minor"/>
    </font>
    <font>
      <sz val="11"/>
      <name val="Calibri"/>
      <family val="2"/>
      <scheme val="minor"/>
    </font>
    <font>
      <b/>
      <sz val="11"/>
      <name val="Calibri"/>
      <family val="2"/>
      <scheme val="minor"/>
    </font>
    <font>
      <i/>
      <sz val="10"/>
      <color theme="1"/>
      <name val="Calibri"/>
      <family val="2"/>
      <scheme val="minor"/>
    </font>
    <font>
      <i/>
      <sz val="10"/>
      <color theme="4"/>
      <name val="Calibri"/>
      <family val="2"/>
      <scheme val="minor"/>
    </font>
    <font>
      <i/>
      <sz val="10"/>
      <name val="Calibri"/>
      <family val="2"/>
      <scheme val="minor"/>
    </font>
    <font>
      <sz val="9"/>
      <color indexed="81"/>
      <name val="Tahoma"/>
      <family val="2"/>
    </font>
    <font>
      <b/>
      <sz val="9"/>
      <color indexed="81"/>
      <name val="Tahoma"/>
      <family val="2"/>
    </font>
    <font>
      <sz val="11"/>
      <color theme="4"/>
      <name val="Calibri"/>
      <family val="2"/>
      <scheme val="minor"/>
    </font>
    <font>
      <sz val="11"/>
      <color theme="5"/>
      <name val="Calibri"/>
      <family val="2"/>
      <scheme val="minor"/>
    </font>
    <font>
      <i/>
      <sz val="11"/>
      <color theme="0"/>
      <name val="Calibri"/>
      <family val="2"/>
      <scheme val="minor"/>
    </font>
    <font>
      <sz val="10"/>
      <color theme="1"/>
      <name val="Roboto Condensed"/>
    </font>
    <font>
      <sz val="10"/>
      <color rgb="FFEAEAEA"/>
      <name val="Roboto Condensed"/>
    </font>
    <font>
      <b/>
      <sz val="10"/>
      <color theme="1"/>
      <name val="Roboto Condensed"/>
    </font>
    <font>
      <b/>
      <sz val="10"/>
      <name val="Roboto Condensed"/>
    </font>
    <font>
      <b/>
      <sz val="18"/>
      <color theme="1"/>
      <name val="Calibri"/>
      <family val="2"/>
      <scheme val="minor"/>
    </font>
    <font>
      <b/>
      <sz val="18"/>
      <color rgb="FFF13B3B"/>
      <name val="Calibri"/>
      <family val="2"/>
      <scheme val="minor"/>
    </font>
  </fonts>
  <fills count="17">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rgb="FFE6E9EE"/>
        <bgColor indexed="64"/>
      </patternFill>
    </fill>
    <fill>
      <patternFill patternType="solid">
        <fgColor rgb="FFF6FAF4"/>
        <bgColor indexed="64"/>
      </patternFill>
    </fill>
    <fill>
      <patternFill patternType="solid">
        <fgColor rgb="FFECF4E8"/>
        <bgColor indexed="64"/>
      </patternFill>
    </fill>
    <fill>
      <patternFill patternType="solid">
        <fgColor rgb="FFFFF9E7"/>
        <bgColor indexed="64"/>
      </patternFill>
    </fill>
    <fill>
      <patternFill patternType="solid">
        <fgColor rgb="FFF8F3FB"/>
        <bgColor indexed="64"/>
      </patternFill>
    </fill>
    <fill>
      <patternFill patternType="solid">
        <fgColor rgb="FFEFF2F5"/>
        <bgColor indexed="64"/>
      </patternFill>
    </fill>
    <fill>
      <patternFill patternType="solid">
        <fgColor rgb="FFFFF7F7"/>
        <bgColor indexed="64"/>
      </patternFill>
    </fill>
    <fill>
      <patternFill patternType="solid">
        <fgColor theme="0"/>
        <bgColor indexed="64"/>
      </patternFill>
    </fill>
    <fill>
      <patternFill patternType="solid">
        <fgColor theme="2"/>
        <bgColor indexed="64"/>
      </patternFill>
    </fill>
    <fill>
      <patternFill patternType="solid">
        <fgColor rgb="FFEAEAEA"/>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11">
    <border>
      <left/>
      <right/>
      <top/>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270">
    <xf numFmtId="0" fontId="0" fillId="0" borderId="0" xfId="0"/>
    <xf numFmtId="3" fontId="0" fillId="0" borderId="0" xfId="0" applyNumberFormat="1"/>
    <xf numFmtId="0" fontId="0" fillId="0" borderId="0" xfId="0" applyAlignment="1">
      <alignment horizontal="left"/>
    </xf>
    <xf numFmtId="9" fontId="0" fillId="0" borderId="0" xfId="1" applyFont="1"/>
    <xf numFmtId="10" fontId="0" fillId="0" borderId="0" xfId="1" applyNumberFormat="1" applyFont="1"/>
    <xf numFmtId="0" fontId="4" fillId="2" borderId="0" xfId="0" applyFont="1" applyFill="1"/>
    <xf numFmtId="0" fontId="0" fillId="0" borderId="0" xfId="0" applyAlignment="1">
      <alignment horizontal="right"/>
    </xf>
    <xf numFmtId="0" fontId="4" fillId="2" borderId="0" xfId="0" applyFont="1" applyFill="1" applyAlignment="1">
      <alignment horizontal="right"/>
    </xf>
    <xf numFmtId="165" fontId="0" fillId="0" borderId="0" xfId="1" applyNumberFormat="1" applyFont="1"/>
    <xf numFmtId="0" fontId="0" fillId="3" borderId="0" xfId="0" applyFill="1"/>
    <xf numFmtId="3" fontId="0" fillId="3" borderId="0" xfId="0" applyNumberFormat="1" applyFill="1"/>
    <xf numFmtId="3" fontId="8" fillId="3" borderId="0" xfId="0" applyNumberFormat="1" applyFont="1" applyFill="1"/>
    <xf numFmtId="3" fontId="0" fillId="4" borderId="0" xfId="0" applyNumberFormat="1" applyFill="1"/>
    <xf numFmtId="0" fontId="0" fillId="4" borderId="0" xfId="0" applyFill="1" applyAlignment="1">
      <alignment horizontal="left" indent="1"/>
    </xf>
    <xf numFmtId="0" fontId="0" fillId="5" borderId="0" xfId="0" applyFill="1" applyAlignment="1">
      <alignment horizontal="left"/>
    </xf>
    <xf numFmtId="3" fontId="0" fillId="5" borderId="0" xfId="0" applyNumberFormat="1" applyFill="1"/>
    <xf numFmtId="0" fontId="0" fillId="5" borderId="0" xfId="0" applyFill="1" applyAlignment="1">
      <alignment horizontal="left" indent="1"/>
    </xf>
    <xf numFmtId="0" fontId="0" fillId="6" borderId="0" xfId="0" applyFill="1" applyAlignment="1">
      <alignment horizontal="left"/>
    </xf>
    <xf numFmtId="3" fontId="0" fillId="6" borderId="0" xfId="0" applyNumberFormat="1" applyFill="1"/>
    <xf numFmtId="0" fontId="0" fillId="6" borderId="0" xfId="0" applyFill="1" applyAlignment="1">
      <alignment horizontal="left" indent="1"/>
    </xf>
    <xf numFmtId="0" fontId="0" fillId="7" borderId="0" xfId="0" applyFill="1" applyAlignment="1">
      <alignment horizontal="left"/>
    </xf>
    <xf numFmtId="3" fontId="0" fillId="7" borderId="0" xfId="0" applyNumberFormat="1" applyFill="1"/>
    <xf numFmtId="0" fontId="0" fillId="7" borderId="0" xfId="0" applyFill="1" applyAlignment="1">
      <alignment horizontal="left" indent="1"/>
    </xf>
    <xf numFmtId="165" fontId="10" fillId="3" borderId="0" xfId="1" applyNumberFormat="1" applyFont="1" applyFill="1"/>
    <xf numFmtId="9" fontId="11" fillId="3" borderId="0" xfId="1" applyFont="1" applyFill="1"/>
    <xf numFmtId="165" fontId="11" fillId="3" borderId="0" xfId="1" applyNumberFormat="1" applyFont="1" applyFill="1"/>
    <xf numFmtId="0" fontId="0" fillId="8" borderId="0" xfId="0" applyFill="1"/>
    <xf numFmtId="3" fontId="0" fillId="8" borderId="0" xfId="0" applyNumberFormat="1" applyFill="1"/>
    <xf numFmtId="0" fontId="0" fillId="8" borderId="0" xfId="0" applyFill="1" applyAlignment="1">
      <alignment horizontal="left" indent="1"/>
    </xf>
    <xf numFmtId="0" fontId="10" fillId="8" borderId="0" xfId="0" applyFont="1" applyFill="1" applyAlignment="1">
      <alignment horizontal="left" indent="1"/>
    </xf>
    <xf numFmtId="165" fontId="10" fillId="8" borderId="0" xfId="1" applyNumberFormat="1" applyFont="1" applyFill="1"/>
    <xf numFmtId="165" fontId="11" fillId="8" borderId="0" xfId="1" applyNumberFormat="1" applyFont="1" applyFill="1"/>
    <xf numFmtId="0" fontId="0" fillId="8" borderId="0" xfId="0" applyFill="1" applyAlignment="1">
      <alignment horizontal="left"/>
    </xf>
    <xf numFmtId="0" fontId="10" fillId="3" borderId="0" xfId="0" applyFont="1" applyFill="1"/>
    <xf numFmtId="9" fontId="10" fillId="3" borderId="0" xfId="1" applyFont="1" applyFill="1"/>
    <xf numFmtId="0" fontId="0" fillId="7" borderId="0" xfId="0" applyFill="1"/>
    <xf numFmtId="3" fontId="8" fillId="7" borderId="0" xfId="0" applyNumberFormat="1" applyFont="1" applyFill="1"/>
    <xf numFmtId="0" fontId="0" fillId="7" borderId="0" xfId="0" applyFill="1" applyAlignment="1">
      <alignment horizontal="left" indent="2"/>
    </xf>
    <xf numFmtId="165" fontId="10" fillId="7" borderId="0" xfId="1" applyNumberFormat="1" applyFont="1" applyFill="1"/>
    <xf numFmtId="165" fontId="11" fillId="7" borderId="0" xfId="1" applyNumberFormat="1" applyFont="1" applyFill="1"/>
    <xf numFmtId="0" fontId="10" fillId="7" borderId="0" xfId="0" applyFont="1" applyFill="1" applyAlignment="1">
      <alignment horizontal="left" indent="2"/>
    </xf>
    <xf numFmtId="0" fontId="6" fillId="7" borderId="0" xfId="0" applyFont="1" applyFill="1" applyAlignment="1">
      <alignment horizontal="left" indent="2"/>
    </xf>
    <xf numFmtId="3" fontId="6" fillId="7" borderId="0" xfId="0" applyNumberFormat="1" applyFont="1" applyFill="1"/>
    <xf numFmtId="0" fontId="10" fillId="7" borderId="0" xfId="0" applyFont="1" applyFill="1" applyAlignment="1">
      <alignment horizontal="left" indent="1"/>
    </xf>
    <xf numFmtId="0" fontId="12" fillId="8" borderId="0" xfId="0" applyFont="1" applyFill="1" applyAlignment="1">
      <alignment horizontal="left" indent="1"/>
    </xf>
    <xf numFmtId="165" fontId="12" fillId="8" borderId="0" xfId="1" applyNumberFormat="1" applyFont="1" applyFill="1"/>
    <xf numFmtId="0" fontId="6" fillId="8" borderId="0" xfId="0" applyFont="1" applyFill="1" applyAlignment="1">
      <alignment horizontal="left" indent="1"/>
    </xf>
    <xf numFmtId="3" fontId="6" fillId="8" borderId="0" xfId="0" applyNumberFormat="1" applyFont="1" applyFill="1"/>
    <xf numFmtId="0" fontId="0" fillId="5" borderId="0" xfId="0" applyFill="1"/>
    <xf numFmtId="0" fontId="10" fillId="5" borderId="0" xfId="0" applyFont="1" applyFill="1"/>
    <xf numFmtId="165" fontId="10" fillId="5" borderId="0" xfId="1" applyNumberFormat="1" applyFont="1" applyFill="1"/>
    <xf numFmtId="3" fontId="8" fillId="5" borderId="0" xfId="0" applyNumberFormat="1" applyFont="1" applyFill="1"/>
    <xf numFmtId="0" fontId="0" fillId="5" borderId="0" xfId="0" applyFill="1" applyAlignment="1">
      <alignment horizontal="left" indent="2"/>
    </xf>
    <xf numFmtId="0" fontId="10" fillId="5" borderId="0" xfId="0" applyFont="1" applyFill="1" applyAlignment="1">
      <alignment horizontal="left" indent="1"/>
    </xf>
    <xf numFmtId="164" fontId="10" fillId="5" borderId="0" xfId="0" applyNumberFormat="1" applyFont="1" applyFill="1"/>
    <xf numFmtId="0" fontId="6" fillId="5" borderId="0" xfId="0" applyFont="1" applyFill="1" applyAlignment="1">
      <alignment horizontal="left" indent="2"/>
    </xf>
    <xf numFmtId="3" fontId="6" fillId="5" borderId="0" xfId="0" applyNumberFormat="1" applyFont="1" applyFill="1"/>
    <xf numFmtId="0" fontId="10" fillId="5" borderId="0" xfId="0" applyFont="1" applyFill="1" applyAlignment="1">
      <alignment horizontal="left" indent="2"/>
    </xf>
    <xf numFmtId="165" fontId="12" fillId="5" borderId="0" xfId="1" applyNumberFormat="1" applyFont="1" applyFill="1"/>
    <xf numFmtId="0" fontId="0" fillId="9" borderId="0" xfId="0" applyFill="1"/>
    <xf numFmtId="3" fontId="0" fillId="9" borderId="0" xfId="0" applyNumberFormat="1" applyFill="1"/>
    <xf numFmtId="3" fontId="8" fillId="9" borderId="0" xfId="0" applyNumberFormat="1" applyFont="1" applyFill="1"/>
    <xf numFmtId="0" fontId="10" fillId="9" borderId="0" xfId="0" applyFont="1" applyFill="1" applyAlignment="1">
      <alignment horizontal="left" indent="1"/>
    </xf>
    <xf numFmtId="164" fontId="10" fillId="9" borderId="0" xfId="0" applyNumberFormat="1" applyFont="1" applyFill="1"/>
    <xf numFmtId="164" fontId="11" fillId="5" borderId="0" xfId="0" applyNumberFormat="1" applyFont="1" applyFill="1"/>
    <xf numFmtId="165" fontId="11" fillId="5" borderId="0" xfId="1" applyNumberFormat="1" applyFont="1" applyFill="1"/>
    <xf numFmtId="164" fontId="11" fillId="9" borderId="0" xfId="0" applyNumberFormat="1" applyFont="1" applyFill="1"/>
    <xf numFmtId="0" fontId="0" fillId="4" borderId="0" xfId="0" applyFill="1"/>
    <xf numFmtId="0" fontId="0" fillId="10" borderId="0" xfId="0" applyFill="1"/>
    <xf numFmtId="3" fontId="0" fillId="10" borderId="0" xfId="0" applyNumberFormat="1" applyFill="1"/>
    <xf numFmtId="0" fontId="0" fillId="10" borderId="0" xfId="0" applyFill="1" applyAlignment="1">
      <alignment horizontal="left" indent="1"/>
    </xf>
    <xf numFmtId="0" fontId="0" fillId="10" borderId="0" xfId="0" applyFill="1" applyAlignment="1">
      <alignment horizontal="left"/>
    </xf>
    <xf numFmtId="0" fontId="10" fillId="10" borderId="0" xfId="0" applyFont="1" applyFill="1" applyAlignment="1">
      <alignment horizontal="left"/>
    </xf>
    <xf numFmtId="9" fontId="10" fillId="10" borderId="0" xfId="1" applyFont="1" applyFill="1"/>
    <xf numFmtId="165" fontId="10" fillId="10" borderId="0" xfId="1" applyNumberFormat="1" applyFont="1" applyFill="1"/>
    <xf numFmtId="165" fontId="11" fillId="10" borderId="0" xfId="1" applyNumberFormat="1" applyFont="1" applyFill="1"/>
    <xf numFmtId="0" fontId="8" fillId="5" borderId="0" xfId="0" applyFont="1" applyFill="1"/>
    <xf numFmtId="0" fontId="8" fillId="5" borderId="0" xfId="0" applyFont="1" applyFill="1" applyAlignment="1">
      <alignment horizontal="left" indent="1"/>
    </xf>
    <xf numFmtId="0" fontId="12" fillId="5" borderId="0" xfId="0" applyFont="1" applyFill="1" applyAlignment="1">
      <alignment horizontal="left" indent="1"/>
    </xf>
    <xf numFmtId="3" fontId="15" fillId="5" borderId="0" xfId="0" applyNumberFormat="1" applyFont="1" applyFill="1"/>
    <xf numFmtId="0" fontId="0" fillId="3" borderId="0" xfId="0" applyFill="1" applyAlignment="1">
      <alignment horizontal="left"/>
    </xf>
    <xf numFmtId="0" fontId="10" fillId="3" borderId="0" xfId="0" applyFont="1" applyFill="1" applyAlignment="1">
      <alignment horizontal="left"/>
    </xf>
    <xf numFmtId="0" fontId="5" fillId="5" borderId="0" xfId="0" applyFont="1" applyFill="1" applyAlignment="1">
      <alignment horizontal="left" indent="1"/>
    </xf>
    <xf numFmtId="3" fontId="5" fillId="5" borderId="0" xfId="0" applyNumberFormat="1" applyFont="1" applyFill="1"/>
    <xf numFmtId="0" fontId="5" fillId="5" borderId="0" xfId="0" applyFont="1" applyFill="1" applyAlignment="1">
      <alignment horizontal="left" indent="2"/>
    </xf>
    <xf numFmtId="0" fontId="10" fillId="5" borderId="0" xfId="0" applyFont="1" applyFill="1" applyAlignment="1">
      <alignment horizontal="left"/>
    </xf>
    <xf numFmtId="3" fontId="8" fillId="10" borderId="0" xfId="0" applyNumberFormat="1" applyFont="1" applyFill="1"/>
    <xf numFmtId="0" fontId="5" fillId="10" borderId="0" xfId="0" applyFont="1" applyFill="1" applyAlignment="1">
      <alignment horizontal="left" indent="1"/>
    </xf>
    <xf numFmtId="3" fontId="5" fillId="10" borderId="0" xfId="0" applyNumberFormat="1" applyFont="1" applyFill="1"/>
    <xf numFmtId="0" fontId="5" fillId="10" borderId="0" xfId="0" applyFont="1" applyFill="1" applyAlignment="1">
      <alignment horizontal="left" indent="2"/>
    </xf>
    <xf numFmtId="0" fontId="10" fillId="6" borderId="0" xfId="0" applyFont="1" applyFill="1" applyAlignment="1">
      <alignment horizontal="left"/>
    </xf>
    <xf numFmtId="165" fontId="10" fillId="6" borderId="0" xfId="1" applyNumberFormat="1" applyFont="1" applyFill="1"/>
    <xf numFmtId="3" fontId="8" fillId="8" borderId="0" xfId="0" applyNumberFormat="1" applyFont="1" applyFill="1"/>
    <xf numFmtId="0" fontId="10" fillId="8" borderId="0" xfId="0" applyFont="1" applyFill="1" applyAlignment="1">
      <alignment horizontal="left"/>
    </xf>
    <xf numFmtId="166" fontId="10" fillId="8" borderId="0" xfId="0" applyNumberFormat="1" applyFont="1" applyFill="1"/>
    <xf numFmtId="0" fontId="0" fillId="11" borderId="0" xfId="0" applyFill="1"/>
    <xf numFmtId="3" fontId="0" fillId="11" borderId="0" xfId="0" applyNumberFormat="1" applyFill="1"/>
    <xf numFmtId="3" fontId="8" fillId="11" borderId="0" xfId="0" applyNumberFormat="1" applyFont="1" applyFill="1"/>
    <xf numFmtId="0" fontId="16" fillId="11" borderId="0" xfId="0" applyFont="1" applyFill="1"/>
    <xf numFmtId="3" fontId="16" fillId="11" borderId="0" xfId="0" applyNumberFormat="1" applyFont="1" applyFill="1"/>
    <xf numFmtId="44" fontId="0" fillId="0" borderId="0" xfId="2" applyFont="1"/>
    <xf numFmtId="0" fontId="10" fillId="11" borderId="0" xfId="0" applyFont="1" applyFill="1"/>
    <xf numFmtId="165" fontId="10" fillId="11" borderId="0" xfId="1" applyNumberFormat="1" applyFont="1" applyFill="1"/>
    <xf numFmtId="0" fontId="0" fillId="4" borderId="1" xfId="0" applyFill="1" applyBorder="1" applyAlignment="1">
      <alignment horizontal="left"/>
    </xf>
    <xf numFmtId="3" fontId="0" fillId="4" borderId="1" xfId="0" applyNumberFormat="1" applyFill="1" applyBorder="1"/>
    <xf numFmtId="0" fontId="3" fillId="11" borderId="0" xfId="0" applyFont="1" applyFill="1"/>
    <xf numFmtId="3" fontId="3" fillId="11" borderId="0" xfId="0" applyNumberFormat="1" applyFont="1" applyFill="1"/>
    <xf numFmtId="3" fontId="0" fillId="11" borderId="0" xfId="0" applyNumberFormat="1" applyFont="1" applyFill="1"/>
    <xf numFmtId="0" fontId="3" fillId="10" borderId="0" xfId="0" applyFont="1" applyFill="1"/>
    <xf numFmtId="3" fontId="3" fillId="10" borderId="0" xfId="0" applyNumberFormat="1" applyFont="1" applyFill="1"/>
    <xf numFmtId="3" fontId="0" fillId="10" borderId="0" xfId="0" applyNumberFormat="1" applyFont="1" applyFill="1"/>
    <xf numFmtId="0" fontId="0" fillId="10" borderId="0" xfId="0" applyFont="1" applyFill="1" applyAlignment="1">
      <alignment horizontal="left" indent="1"/>
    </xf>
    <xf numFmtId="0" fontId="10" fillId="10" borderId="0" xfId="0" applyFont="1" applyFill="1" applyAlignment="1">
      <alignment horizontal="left" indent="1"/>
    </xf>
    <xf numFmtId="0" fontId="6" fillId="10" borderId="0" xfId="0" applyFont="1" applyFill="1" applyAlignment="1">
      <alignment horizontal="left" indent="1"/>
    </xf>
    <xf numFmtId="165" fontId="6" fillId="10" borderId="0" xfId="1" applyNumberFormat="1" applyFont="1" applyFill="1"/>
    <xf numFmtId="3" fontId="6" fillId="10" borderId="0" xfId="0" applyNumberFormat="1" applyFont="1" applyFill="1"/>
    <xf numFmtId="0" fontId="6" fillId="10" borderId="1" xfId="0" applyFont="1" applyFill="1" applyBorder="1" applyAlignment="1">
      <alignment horizontal="left" indent="2"/>
    </xf>
    <xf numFmtId="3" fontId="6" fillId="10" borderId="1" xfId="0" applyNumberFormat="1" applyFont="1" applyFill="1" applyBorder="1"/>
    <xf numFmtId="0" fontId="6" fillId="10" borderId="0" xfId="0" applyFont="1" applyFill="1" applyAlignment="1">
      <alignment horizontal="left" indent="2"/>
    </xf>
    <xf numFmtId="0" fontId="12" fillId="10" borderId="0" xfId="0" applyFont="1" applyFill="1" applyAlignment="1">
      <alignment horizontal="left"/>
    </xf>
    <xf numFmtId="165" fontId="12" fillId="10" borderId="0" xfId="1" applyNumberFormat="1" applyFont="1" applyFill="1"/>
    <xf numFmtId="0" fontId="10" fillId="4" borderId="0" xfId="0" applyFont="1" applyFill="1" applyAlignment="1">
      <alignment horizontal="left"/>
    </xf>
    <xf numFmtId="10" fontId="10" fillId="4" borderId="0" xfId="1" applyNumberFormat="1" applyFont="1" applyFill="1"/>
    <xf numFmtId="10" fontId="11" fillId="4" borderId="0" xfId="1" applyNumberFormat="1" applyFont="1" applyFill="1"/>
    <xf numFmtId="3" fontId="0" fillId="0" borderId="0" xfId="0" applyNumberFormat="1" applyAlignment="1">
      <alignment horizontal="right"/>
    </xf>
    <xf numFmtId="165" fontId="0" fillId="0" borderId="0" xfId="1" applyNumberFormat="1" applyFont="1" applyAlignment="1">
      <alignment horizontal="right"/>
    </xf>
    <xf numFmtId="0" fontId="6" fillId="9" borderId="0" xfId="0" applyFont="1" applyFill="1" applyAlignment="1">
      <alignment horizontal="left" indent="1"/>
    </xf>
    <xf numFmtId="3" fontId="6" fillId="9" borderId="0" xfId="0" applyNumberFormat="1" applyFont="1" applyFill="1"/>
    <xf numFmtId="0" fontId="5" fillId="11" borderId="0" xfId="0" applyFont="1" applyFill="1"/>
    <xf numFmtId="3" fontId="5" fillId="11" borderId="0" xfId="0" applyNumberFormat="1" applyFont="1" applyFill="1"/>
    <xf numFmtId="0" fontId="2" fillId="11" borderId="0" xfId="0" applyFont="1" applyFill="1"/>
    <xf numFmtId="3" fontId="9" fillId="11" borderId="0" xfId="0" applyNumberFormat="1" applyFont="1" applyFill="1"/>
    <xf numFmtId="0" fontId="8" fillId="11" borderId="0" xfId="0" applyFont="1" applyFill="1"/>
    <xf numFmtId="3" fontId="15" fillId="7" borderId="0" xfId="0" applyNumberFormat="1" applyFont="1" applyFill="1"/>
    <xf numFmtId="3" fontId="15" fillId="11" borderId="0" xfId="0" applyNumberFormat="1" applyFont="1" applyFill="1"/>
    <xf numFmtId="166" fontId="11" fillId="8" borderId="0" xfId="0" applyNumberFormat="1" applyFont="1" applyFill="1"/>
    <xf numFmtId="0" fontId="6" fillId="11" borderId="0" xfId="0" applyFont="1" applyFill="1"/>
    <xf numFmtId="3" fontId="6" fillId="11" borderId="0" xfId="0" applyNumberFormat="1" applyFont="1" applyFill="1"/>
    <xf numFmtId="0" fontId="7" fillId="11" borderId="0" xfId="0" applyFont="1" applyFill="1"/>
    <xf numFmtId="3" fontId="7" fillId="11" borderId="0" xfId="0" applyNumberFormat="1" applyFont="1" applyFill="1"/>
    <xf numFmtId="0" fontId="0" fillId="11" borderId="0" xfId="0" applyFill="1" applyAlignment="1">
      <alignment horizontal="left" indent="1"/>
    </xf>
    <xf numFmtId="0" fontId="3" fillId="11" borderId="0" xfId="0" applyFont="1" applyFill="1" applyAlignment="1">
      <alignment horizontal="left"/>
    </xf>
    <xf numFmtId="10" fontId="15" fillId="8" borderId="0" xfId="1" applyNumberFormat="1" applyFont="1" applyFill="1"/>
    <xf numFmtId="10" fontId="0" fillId="8" borderId="0" xfId="1" applyNumberFormat="1" applyFont="1" applyFill="1"/>
    <xf numFmtId="0" fontId="6" fillId="11" borderId="0" xfId="0" applyFont="1" applyFill="1" applyAlignment="1">
      <alignment horizontal="left"/>
    </xf>
    <xf numFmtId="0" fontId="8" fillId="11" borderId="0" xfId="0" applyFont="1" applyFill="1" applyAlignment="1">
      <alignment horizontal="left"/>
    </xf>
    <xf numFmtId="0" fontId="6" fillId="11" borderId="0" xfId="0" applyFont="1" applyFill="1" applyAlignment="1">
      <alignment horizontal="left" indent="1"/>
    </xf>
    <xf numFmtId="0" fontId="7" fillId="11" borderId="0" xfId="0" applyFont="1" applyFill="1" applyAlignment="1">
      <alignment horizontal="left"/>
    </xf>
    <xf numFmtId="0" fontId="0" fillId="11" borderId="1" xfId="0" applyFont="1" applyFill="1" applyBorder="1" applyAlignment="1">
      <alignment horizontal="left"/>
    </xf>
    <xf numFmtId="3" fontId="0" fillId="11" borderId="1" xfId="0" applyNumberFormat="1" applyFont="1" applyFill="1" applyBorder="1"/>
    <xf numFmtId="0" fontId="3" fillId="11" borderId="0" xfId="0" applyFont="1" applyFill="1" applyBorder="1" applyAlignment="1">
      <alignment horizontal="left"/>
    </xf>
    <xf numFmtId="0" fontId="10" fillId="7" borderId="0" xfId="0" applyFont="1" applyFill="1" applyAlignment="1">
      <alignment horizontal="left"/>
    </xf>
    <xf numFmtId="0" fontId="0" fillId="11" borderId="0" xfId="0" applyFill="1" applyAlignment="1">
      <alignment horizontal="left"/>
    </xf>
    <xf numFmtId="0" fontId="6" fillId="4" borderId="0" xfId="0" applyFont="1" applyFill="1" applyAlignment="1">
      <alignment horizontal="left"/>
    </xf>
    <xf numFmtId="3" fontId="6" fillId="4" borderId="0" xfId="0" applyNumberFormat="1" applyFont="1" applyFill="1"/>
    <xf numFmtId="0" fontId="6" fillId="4" borderId="0" xfId="0" applyFont="1" applyFill="1" applyAlignment="1">
      <alignment horizontal="left" indent="1"/>
    </xf>
    <xf numFmtId="0" fontId="0" fillId="0" borderId="0" xfId="0" quotePrefix="1"/>
    <xf numFmtId="2" fontId="0" fillId="0" borderId="0" xfId="0" applyNumberFormat="1"/>
    <xf numFmtId="0" fontId="0" fillId="11" borderId="0" xfId="0" applyFont="1" applyFill="1" applyAlignment="1">
      <alignment horizontal="left" indent="1"/>
    </xf>
    <xf numFmtId="0" fontId="0" fillId="11" borderId="0" xfId="0" applyFont="1" applyFill="1" applyAlignment="1">
      <alignment horizontal="left"/>
    </xf>
    <xf numFmtId="3" fontId="0" fillId="12" borderId="0" xfId="0" applyNumberFormat="1" applyFill="1"/>
    <xf numFmtId="0" fontId="0" fillId="12" borderId="0" xfId="0" applyFill="1"/>
    <xf numFmtId="3" fontId="0" fillId="12" borderId="0" xfId="0" applyNumberFormat="1" applyFont="1" applyFill="1"/>
    <xf numFmtId="44" fontId="0" fillId="11" borderId="0" xfId="2" applyFont="1" applyFill="1"/>
    <xf numFmtId="10" fontId="0" fillId="0" borderId="0" xfId="0" applyNumberFormat="1"/>
    <xf numFmtId="3" fontId="0" fillId="11" borderId="0" xfId="0" applyNumberFormat="1" applyFill="1" applyBorder="1"/>
    <xf numFmtId="165" fontId="10" fillId="11" borderId="0" xfId="1" applyNumberFormat="1" applyFont="1" applyFill="1" applyBorder="1"/>
    <xf numFmtId="3" fontId="3" fillId="11" borderId="0" xfId="0" applyNumberFormat="1" applyFont="1" applyFill="1" applyBorder="1"/>
    <xf numFmtId="3" fontId="0" fillId="11" borderId="0" xfId="0" applyNumberFormat="1" applyFont="1" applyFill="1" applyBorder="1"/>
    <xf numFmtId="3" fontId="8" fillId="11" borderId="0" xfId="0" applyNumberFormat="1" applyFont="1" applyFill="1" applyBorder="1"/>
    <xf numFmtId="165" fontId="12" fillId="11" borderId="0" xfId="1" applyNumberFormat="1" applyFont="1" applyFill="1" applyBorder="1"/>
    <xf numFmtId="3" fontId="6" fillId="11" borderId="0" xfId="0" applyNumberFormat="1" applyFont="1" applyFill="1" applyBorder="1"/>
    <xf numFmtId="165" fontId="6" fillId="11" borderId="0" xfId="1" applyNumberFormat="1" applyFont="1" applyFill="1" applyBorder="1"/>
    <xf numFmtId="0" fontId="4" fillId="11" borderId="0" xfId="0" applyFont="1" applyFill="1" applyBorder="1" applyAlignment="1">
      <alignment horizontal="right"/>
    </xf>
    <xf numFmtId="44" fontId="0" fillId="11" borderId="0" xfId="2" applyFont="1" applyFill="1" applyBorder="1"/>
    <xf numFmtId="0" fontId="4" fillId="11" borderId="0" xfId="0" applyFont="1" applyFill="1" applyBorder="1"/>
    <xf numFmtId="164" fontId="10" fillId="11" borderId="0" xfId="0" applyNumberFormat="1" applyFont="1" applyFill="1" applyBorder="1"/>
    <xf numFmtId="3" fontId="5" fillId="11" borderId="0" xfId="0" applyNumberFormat="1" applyFont="1" applyFill="1" applyBorder="1"/>
    <xf numFmtId="166" fontId="10" fillId="11" borderId="0" xfId="0" applyNumberFormat="1" applyFont="1" applyFill="1" applyBorder="1"/>
    <xf numFmtId="9" fontId="10" fillId="11" borderId="0" xfId="1" applyFont="1" applyFill="1" applyBorder="1"/>
    <xf numFmtId="3" fontId="16" fillId="11" borderId="0" xfId="0" applyNumberFormat="1" applyFont="1" applyFill="1" applyBorder="1"/>
    <xf numFmtId="3" fontId="2" fillId="11" borderId="0" xfId="0" applyNumberFormat="1" applyFont="1" applyFill="1" applyBorder="1"/>
    <xf numFmtId="10" fontId="10" fillId="11" borderId="0" xfId="1" applyNumberFormat="1" applyFont="1" applyFill="1" applyBorder="1"/>
    <xf numFmtId="3" fontId="7" fillId="11" borderId="0" xfId="0" applyNumberFormat="1" applyFont="1" applyFill="1" applyBorder="1"/>
    <xf numFmtId="10" fontId="0" fillId="11" borderId="0" xfId="1" applyNumberFormat="1" applyFont="1" applyFill="1" applyBorder="1"/>
    <xf numFmtId="0" fontId="0" fillId="11" borderId="0" xfId="0" applyFill="1" applyBorder="1"/>
    <xf numFmtId="0" fontId="0" fillId="3" borderId="0" xfId="0" applyFont="1" applyFill="1"/>
    <xf numFmtId="3" fontId="0" fillId="3" borderId="0" xfId="0" applyNumberFormat="1" applyFont="1" applyFill="1"/>
    <xf numFmtId="14" fontId="0" fillId="0" borderId="0" xfId="0" applyNumberFormat="1"/>
    <xf numFmtId="167" fontId="0" fillId="0" borderId="0" xfId="0" applyNumberFormat="1"/>
    <xf numFmtId="0" fontId="0" fillId="2" borderId="0" xfId="0" applyFill="1"/>
    <xf numFmtId="2" fontId="0" fillId="0" borderId="0" xfId="0" applyNumberFormat="1" applyAlignment="1">
      <alignment horizontal="right"/>
    </xf>
    <xf numFmtId="3" fontId="0" fillId="0" borderId="0" xfId="1" applyNumberFormat="1" applyFont="1"/>
    <xf numFmtId="3" fontId="15" fillId="8" borderId="0" xfId="0" applyNumberFormat="1" applyFont="1" applyFill="1"/>
    <xf numFmtId="0" fontId="17" fillId="2" borderId="0" xfId="0" applyFont="1" applyFill="1"/>
    <xf numFmtId="2" fontId="0" fillId="11" borderId="0" xfId="0" applyNumberFormat="1" applyFill="1"/>
    <xf numFmtId="165" fontId="0" fillId="11" borderId="0" xfId="1" applyNumberFormat="1" applyFont="1" applyFill="1"/>
    <xf numFmtId="0" fontId="0" fillId="11" borderId="0" xfId="0" quotePrefix="1" applyFill="1"/>
    <xf numFmtId="0" fontId="0" fillId="11" borderId="1" xfId="0" applyFill="1" applyBorder="1"/>
    <xf numFmtId="3" fontId="0" fillId="11" borderId="1" xfId="0" applyNumberFormat="1" applyFill="1" applyBorder="1"/>
    <xf numFmtId="9" fontId="0" fillId="11" borderId="0" xfId="1" applyFont="1" applyFill="1"/>
    <xf numFmtId="168" fontId="0" fillId="0" borderId="0" xfId="0" applyNumberFormat="1" applyAlignment="1">
      <alignment horizontal="left"/>
    </xf>
    <xf numFmtId="168" fontId="0" fillId="0" borderId="0" xfId="2" applyNumberFormat="1" applyFont="1" applyAlignment="1">
      <alignment horizontal="left"/>
    </xf>
    <xf numFmtId="168" fontId="0" fillId="0" borderId="0" xfId="0" applyNumberFormat="1"/>
    <xf numFmtId="0" fontId="0" fillId="0" borderId="0" xfId="0" applyAlignment="1">
      <alignment horizontal="right"/>
    </xf>
    <xf numFmtId="165" fontId="0" fillId="0" borderId="0" xfId="1" applyNumberFormat="1" applyFont="1" applyAlignment="1">
      <alignment horizontal="left"/>
    </xf>
    <xf numFmtId="0" fontId="0" fillId="0" borderId="0" xfId="0" applyAlignment="1">
      <alignment horizontal="left" indent="1"/>
    </xf>
    <xf numFmtId="165" fontId="0" fillId="0" borderId="0" xfId="0" applyNumberFormat="1"/>
    <xf numFmtId="44" fontId="0" fillId="0" borderId="0" xfId="0" applyNumberFormat="1" applyAlignment="1">
      <alignment horizontal="right"/>
    </xf>
    <xf numFmtId="165" fontId="12" fillId="6" borderId="0" xfId="1" applyNumberFormat="1" applyFont="1" applyFill="1"/>
    <xf numFmtId="166" fontId="0" fillId="11" borderId="0" xfId="0" applyNumberFormat="1" applyFont="1" applyFill="1"/>
    <xf numFmtId="165" fontId="11" fillId="11" borderId="0" xfId="1" applyNumberFormat="1" applyFont="1" applyFill="1"/>
    <xf numFmtId="164" fontId="11" fillId="11" borderId="0" xfId="0" applyNumberFormat="1" applyFont="1" applyFill="1"/>
    <xf numFmtId="0" fontId="8" fillId="11" borderId="0" xfId="0" applyFont="1" applyFill="1" applyAlignment="1">
      <alignment horizontal="right"/>
    </xf>
    <xf numFmtId="164" fontId="0" fillId="0" borderId="0" xfId="0" applyNumberFormat="1"/>
    <xf numFmtId="0" fontId="0" fillId="0" borderId="0" xfId="0" applyBorder="1"/>
    <xf numFmtId="0" fontId="3" fillId="0" borderId="1" xfId="0" applyFont="1" applyBorder="1"/>
    <xf numFmtId="3" fontId="3" fillId="0" borderId="1" xfId="0" applyNumberFormat="1" applyFont="1" applyBorder="1"/>
    <xf numFmtId="0" fontId="0" fillId="0" borderId="0" xfId="0" quotePrefix="1" applyFill="1" applyBorder="1"/>
    <xf numFmtId="0" fontId="3" fillId="0" borderId="0" xfId="0" applyFont="1" applyFill="1" applyBorder="1"/>
    <xf numFmtId="170" fontId="3" fillId="0" borderId="0" xfId="2" applyNumberFormat="1" applyFont="1"/>
    <xf numFmtId="170" fontId="3" fillId="0" borderId="1" xfId="2" applyNumberFormat="1" applyFont="1" applyBorder="1"/>
    <xf numFmtId="171" fontId="0" fillId="0" borderId="0" xfId="0" applyNumberFormat="1"/>
    <xf numFmtId="0" fontId="6" fillId="7" borderId="0" xfId="0" applyFont="1" applyFill="1" applyAlignment="1">
      <alignment horizontal="left" indent="1"/>
    </xf>
    <xf numFmtId="0" fontId="6" fillId="6" borderId="0" xfId="0" applyFont="1" applyFill="1" applyAlignment="1">
      <alignment horizontal="left" indent="1"/>
    </xf>
    <xf numFmtId="3" fontId="6" fillId="6" borderId="0" xfId="0" applyNumberFormat="1" applyFont="1" applyFill="1"/>
    <xf numFmtId="165" fontId="3" fillId="11" borderId="0" xfId="1" applyNumberFormat="1" applyFont="1" applyFill="1"/>
    <xf numFmtId="0" fontId="4" fillId="2" borderId="0" xfId="0" applyFont="1" applyFill="1" applyAlignment="1">
      <alignment horizontal="center"/>
    </xf>
    <xf numFmtId="0" fontId="18" fillId="13" borderId="0" xfId="0" applyFont="1" applyFill="1"/>
    <xf numFmtId="9" fontId="18" fillId="13" borderId="0" xfId="1" applyNumberFormat="1" applyFont="1" applyFill="1" applyAlignment="1">
      <alignment horizontal="center"/>
    </xf>
    <xf numFmtId="165" fontId="21" fillId="13" borderId="0" xfId="1" applyNumberFormat="1" applyFont="1" applyFill="1" applyAlignment="1">
      <alignment horizontal="center"/>
    </xf>
    <xf numFmtId="9" fontId="18" fillId="14" borderId="0" xfId="1" applyNumberFormat="1" applyFont="1" applyFill="1" applyAlignment="1">
      <alignment horizontal="center"/>
    </xf>
    <xf numFmtId="9" fontId="18" fillId="15" borderId="0" xfId="1" applyNumberFormat="1" applyFont="1" applyFill="1" applyAlignment="1">
      <alignment horizontal="center"/>
    </xf>
    <xf numFmtId="0" fontId="18" fillId="13" borderId="0" xfId="0" applyFont="1" applyFill="1" applyAlignment="1">
      <alignment horizontal="left"/>
    </xf>
    <xf numFmtId="165" fontId="19" fillId="13" borderId="0" xfId="0" applyNumberFormat="1" applyFont="1" applyFill="1" applyAlignment="1">
      <alignment horizontal="left"/>
    </xf>
    <xf numFmtId="165" fontId="21" fillId="13" borderId="0" xfId="1" applyNumberFormat="1" applyFont="1" applyFill="1" applyAlignment="1">
      <alignment horizontal="left"/>
    </xf>
    <xf numFmtId="169" fontId="18" fillId="13" borderId="0" xfId="1" applyNumberFormat="1" applyFont="1" applyFill="1" applyAlignment="1">
      <alignment horizontal="center"/>
    </xf>
    <xf numFmtId="169" fontId="18" fillId="14" borderId="0" xfId="1" applyNumberFormat="1" applyFont="1" applyFill="1" applyAlignment="1">
      <alignment horizontal="center"/>
    </xf>
    <xf numFmtId="169" fontId="18" fillId="15" borderId="0" xfId="1" applyNumberFormat="1" applyFont="1" applyFill="1" applyAlignment="1">
      <alignment horizontal="center"/>
    </xf>
    <xf numFmtId="0" fontId="0" fillId="11" borderId="0" xfId="0" applyFill="1" applyAlignment="1">
      <alignment horizontal="center"/>
    </xf>
    <xf numFmtId="3" fontId="0" fillId="11" borderId="0" xfId="0" applyNumberFormat="1" applyFill="1" applyAlignment="1">
      <alignment horizontal="right"/>
    </xf>
    <xf numFmtId="0" fontId="0" fillId="11" borderId="0" xfId="0" applyFill="1" applyAlignment="1">
      <alignment horizontal="right"/>
    </xf>
    <xf numFmtId="165" fontId="0" fillId="11" borderId="0" xfId="0" applyNumberFormat="1" applyFill="1" applyAlignment="1">
      <alignment horizontal="right"/>
    </xf>
    <xf numFmtId="165" fontId="0" fillId="11" borderId="0" xfId="1" applyNumberFormat="1" applyFont="1" applyFill="1" applyAlignment="1">
      <alignment horizontal="right"/>
    </xf>
    <xf numFmtId="0" fontId="0" fillId="11" borderId="0" xfId="0" applyFill="1" applyAlignment="1">
      <alignment horizontal="center"/>
    </xf>
    <xf numFmtId="0" fontId="4" fillId="2" borderId="0" xfId="0" applyFont="1" applyFill="1" applyAlignment="1">
      <alignment horizontal="center"/>
    </xf>
    <xf numFmtId="0" fontId="22" fillId="11" borderId="0" xfId="0" applyFont="1" applyFill="1" applyAlignment="1">
      <alignment vertical="center" wrapText="1"/>
    </xf>
    <xf numFmtId="0" fontId="23" fillId="11" borderId="0" xfId="0" applyFont="1" applyFill="1" applyAlignment="1">
      <alignment vertical="center"/>
    </xf>
    <xf numFmtId="166" fontId="0" fillId="11" borderId="0" xfId="1" applyNumberFormat="1" applyFont="1" applyFill="1" applyAlignment="1">
      <alignment horizontal="right"/>
    </xf>
    <xf numFmtId="0" fontId="4" fillId="11" borderId="0" xfId="0" applyFont="1" applyFill="1" applyBorder="1" applyAlignment="1">
      <alignment horizontal="center"/>
    </xf>
    <xf numFmtId="0" fontId="0" fillId="16" borderId="2" xfId="0" applyFill="1" applyBorder="1" applyAlignment="1" applyProtection="1">
      <alignment horizontal="center" vertical="center"/>
      <protection locked="0"/>
    </xf>
    <xf numFmtId="0" fontId="0" fillId="16" borderId="3" xfId="0" applyFill="1" applyBorder="1" applyAlignment="1" applyProtection="1">
      <alignment horizontal="center" vertical="center"/>
      <protection locked="0"/>
    </xf>
    <xf numFmtId="0" fontId="0" fillId="16" borderId="4" xfId="0" applyFill="1" applyBorder="1" applyAlignment="1" applyProtection="1">
      <alignment horizontal="center" vertical="center"/>
      <protection locked="0"/>
    </xf>
    <xf numFmtId="0" fontId="0" fillId="16" borderId="5" xfId="0" applyFill="1" applyBorder="1" applyAlignment="1" applyProtection="1">
      <alignment horizontal="center" vertical="center"/>
      <protection locked="0"/>
    </xf>
    <xf numFmtId="0" fontId="3" fillId="11" borderId="0" xfId="0" applyFont="1" applyFill="1" applyBorder="1" applyAlignment="1">
      <alignment horizontal="center"/>
    </xf>
    <xf numFmtId="0" fontId="0" fillId="11" borderId="0" xfId="0" applyFill="1" applyAlignment="1">
      <alignment horizontal="center"/>
    </xf>
    <xf numFmtId="10" fontId="20" fillId="15" borderId="0" xfId="1" applyNumberFormat="1" applyFont="1" applyFill="1" applyAlignment="1">
      <alignment horizontal="center" vertical="center"/>
    </xf>
    <xf numFmtId="0" fontId="20" fillId="15" borderId="0" xfId="0" applyFont="1" applyFill="1" applyAlignment="1">
      <alignment horizontal="center"/>
    </xf>
    <xf numFmtId="0" fontId="4" fillId="2" borderId="0" xfId="0" applyFont="1" applyFill="1" applyAlignment="1">
      <alignment horizontal="center"/>
    </xf>
    <xf numFmtId="0" fontId="22" fillId="11" borderId="6" xfId="0" applyFont="1" applyFill="1" applyBorder="1" applyAlignment="1">
      <alignment horizontal="left" vertical="center" wrapText="1"/>
    </xf>
    <xf numFmtId="0" fontId="22" fillId="11" borderId="1" xfId="0" applyFont="1" applyFill="1" applyBorder="1" applyAlignment="1">
      <alignment horizontal="left" vertical="center" wrapText="1"/>
    </xf>
    <xf numFmtId="0" fontId="22" fillId="11" borderId="8" xfId="0" applyFont="1" applyFill="1" applyBorder="1" applyAlignment="1">
      <alignment horizontal="left" vertical="center" wrapText="1"/>
    </xf>
    <xf numFmtId="0" fontId="22" fillId="11" borderId="9" xfId="0" applyFont="1" applyFill="1" applyBorder="1" applyAlignment="1">
      <alignment horizontal="left" vertical="center" wrapText="1"/>
    </xf>
    <xf numFmtId="0" fontId="23" fillId="11" borderId="1" xfId="0" applyFont="1" applyFill="1" applyBorder="1" applyAlignment="1">
      <alignment horizontal="center" vertical="center"/>
    </xf>
    <xf numFmtId="0" fontId="23" fillId="11" borderId="7" xfId="0" applyFont="1" applyFill="1" applyBorder="1" applyAlignment="1">
      <alignment horizontal="center" vertical="center"/>
    </xf>
    <xf numFmtId="0" fontId="23" fillId="11" borderId="9" xfId="0" applyFont="1" applyFill="1" applyBorder="1" applyAlignment="1">
      <alignment horizontal="center" vertical="center"/>
    </xf>
    <xf numFmtId="0" fontId="23" fillId="11" borderId="10" xfId="0" applyFont="1" applyFill="1" applyBorder="1" applyAlignment="1">
      <alignment horizontal="center" vertical="center"/>
    </xf>
    <xf numFmtId="168" fontId="0" fillId="0" borderId="0" xfId="2" applyNumberFormat="1" applyFont="1" applyAlignment="1">
      <alignment horizontal="right"/>
    </xf>
    <xf numFmtId="0" fontId="0" fillId="0" borderId="0" xfId="0" applyAlignment="1">
      <alignment horizontal="right"/>
    </xf>
    <xf numFmtId="0" fontId="0" fillId="0" borderId="0" xfId="0" applyAlignment="1">
      <alignment horizontal="center"/>
    </xf>
  </cellXfs>
  <cellStyles count="3">
    <cellStyle name="Currency" xfId="2" builtinId="4"/>
    <cellStyle name="Normal" xfId="0" builtinId="0"/>
    <cellStyle name="Percent" xfId="1" builtinId="5"/>
  </cellStyles>
  <dxfs count="0"/>
  <tableStyles count="0" defaultTableStyle="TableStyleMedium2" defaultPivotStyle="PivotStyleLight16"/>
  <colors>
    <mruColors>
      <color rgb="FFF13B3B"/>
      <color rgb="FFEAEAEA"/>
      <color rgb="FFFDFDFD"/>
      <color rgb="FFF8F3FB"/>
      <color rgb="FFEFF2F5"/>
      <color rgb="FFE6E9EE"/>
      <color rgb="FFFFF7F7"/>
      <color rgb="FFFFF9E7"/>
      <color rgb="FFF6FAF4"/>
      <color rgb="FFECF4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295275</xdr:colOff>
      <xdr:row>1</xdr:row>
      <xdr:rowOff>95250</xdr:rowOff>
    </xdr:from>
    <xdr:to>
      <xdr:col>20</xdr:col>
      <xdr:colOff>333375</xdr:colOff>
      <xdr:row>21</xdr:row>
      <xdr:rowOff>113611</xdr:rowOff>
    </xdr:to>
    <xdr:pic>
      <xdr:nvPicPr>
        <xdr:cNvPr id="2" name="Picture 1">
          <a:extLst>
            <a:ext uri="{FF2B5EF4-FFF2-40B4-BE49-F238E27FC236}">
              <a16:creationId xmlns:a16="http://schemas.microsoft.com/office/drawing/2014/main" id="{926F3B5E-F871-4F2F-8AC9-EB7E099F4A0C}"/>
            </a:ext>
          </a:extLst>
        </xdr:cNvPr>
        <xdr:cNvPicPr>
          <a:picLocks noChangeAspect="1"/>
        </xdr:cNvPicPr>
      </xdr:nvPicPr>
      <xdr:blipFill>
        <a:blip xmlns:r="http://schemas.openxmlformats.org/officeDocument/2006/relationships" r:embed="rId1"/>
        <a:stretch>
          <a:fillRect/>
        </a:stretch>
      </xdr:blipFill>
      <xdr:spPr>
        <a:xfrm>
          <a:off x="5629275" y="285750"/>
          <a:ext cx="7648575" cy="3828361"/>
        </a:xfrm>
        <a:prstGeom prst="rect">
          <a:avLst/>
        </a:prstGeom>
      </xdr:spPr>
    </xdr:pic>
    <xdr:clientData/>
  </xdr:twoCellAnchor>
  <xdr:twoCellAnchor editAs="oneCell">
    <xdr:from>
      <xdr:col>8</xdr:col>
      <xdr:colOff>152400</xdr:colOff>
      <xdr:row>21</xdr:row>
      <xdr:rowOff>28575</xdr:rowOff>
    </xdr:from>
    <xdr:to>
      <xdr:col>20</xdr:col>
      <xdr:colOff>285750</xdr:colOff>
      <xdr:row>25</xdr:row>
      <xdr:rowOff>163228</xdr:rowOff>
    </xdr:to>
    <xdr:pic>
      <xdr:nvPicPr>
        <xdr:cNvPr id="3" name="Picture 2">
          <a:extLst>
            <a:ext uri="{FF2B5EF4-FFF2-40B4-BE49-F238E27FC236}">
              <a16:creationId xmlns:a16="http://schemas.microsoft.com/office/drawing/2014/main" id="{D3B334C4-0914-4F3C-99FB-66B916FD6004}"/>
            </a:ext>
          </a:extLst>
        </xdr:cNvPr>
        <xdr:cNvPicPr>
          <a:picLocks noChangeAspect="1"/>
        </xdr:cNvPicPr>
      </xdr:nvPicPr>
      <xdr:blipFill>
        <a:blip xmlns:r="http://schemas.openxmlformats.org/officeDocument/2006/relationships" r:embed="rId2"/>
        <a:stretch>
          <a:fillRect/>
        </a:stretch>
      </xdr:blipFill>
      <xdr:spPr>
        <a:xfrm>
          <a:off x="5486400" y="4029075"/>
          <a:ext cx="7743825" cy="8966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57150</xdr:rowOff>
    </xdr:from>
    <xdr:to>
      <xdr:col>11</xdr:col>
      <xdr:colOff>524873</xdr:colOff>
      <xdr:row>40</xdr:row>
      <xdr:rowOff>48687</xdr:rowOff>
    </xdr:to>
    <xdr:pic>
      <xdr:nvPicPr>
        <xdr:cNvPr id="2" name="Picture 1">
          <a:extLst>
            <a:ext uri="{FF2B5EF4-FFF2-40B4-BE49-F238E27FC236}">
              <a16:creationId xmlns:a16="http://schemas.microsoft.com/office/drawing/2014/main" id="{2C73B2D6-A66B-4F42-AD69-2DB8BD9A742A}"/>
            </a:ext>
          </a:extLst>
        </xdr:cNvPr>
        <xdr:cNvPicPr>
          <a:picLocks noChangeAspect="1"/>
        </xdr:cNvPicPr>
      </xdr:nvPicPr>
      <xdr:blipFill>
        <a:blip xmlns:r="http://schemas.openxmlformats.org/officeDocument/2006/relationships" r:embed="rId1"/>
        <a:stretch>
          <a:fillRect/>
        </a:stretch>
      </xdr:blipFill>
      <xdr:spPr>
        <a:xfrm>
          <a:off x="76200" y="57150"/>
          <a:ext cx="7154273" cy="76115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12F90-4136-44B6-AC73-7B2CE71752A6}">
  <dimension ref="A1:AD261"/>
  <sheetViews>
    <sheetView tabSelected="1" workbookViewId="0">
      <selection activeCell="U4" sqref="U4:V5"/>
    </sheetView>
  </sheetViews>
  <sheetFormatPr defaultRowHeight="15" x14ac:dyDescent="0.25"/>
  <cols>
    <col min="1" max="1" width="3.28515625" style="185" customWidth="1"/>
    <col min="2" max="2" width="67" style="95" bestFit="1" customWidth="1"/>
    <col min="3" max="12" width="9.7109375" style="95" customWidth="1"/>
    <col min="13" max="23" width="9.140625" style="95"/>
    <col min="24" max="24" width="8.7109375" style="95" customWidth="1"/>
    <col min="25" max="25" width="4.7109375" style="152" bestFit="1" customWidth="1"/>
    <col min="26" max="30" width="8.7109375" style="95" customWidth="1"/>
    <col min="31" max="16384" width="9.140625" style="95"/>
  </cols>
  <sheetData>
    <row r="1" spans="1:30" x14ac:dyDescent="0.25">
      <c r="A1" s="165"/>
    </row>
    <row r="2" spans="1:30" x14ac:dyDescent="0.25">
      <c r="A2" s="166"/>
      <c r="B2" s="5" t="s">
        <v>70</v>
      </c>
      <c r="C2" s="190"/>
      <c r="D2" s="190"/>
      <c r="E2" s="190"/>
      <c r="F2" s="190"/>
      <c r="G2" s="190"/>
      <c r="H2" s="190"/>
      <c r="I2" s="190"/>
      <c r="J2" s="190"/>
      <c r="K2" s="190"/>
      <c r="L2" s="190"/>
      <c r="U2" s="254" t="s">
        <v>303</v>
      </c>
      <c r="V2" s="254"/>
      <c r="X2" s="258" t="s">
        <v>298</v>
      </c>
      <c r="Y2" s="258"/>
      <c r="Z2" s="258"/>
      <c r="AA2" s="258"/>
      <c r="AB2" s="258"/>
      <c r="AC2" s="258"/>
      <c r="AD2" s="258"/>
    </row>
    <row r="3" spans="1:30" ht="15.75" thickBot="1" x14ac:dyDescent="0.3">
      <c r="A3" s="165"/>
      <c r="B3" s="194" t="s">
        <v>224</v>
      </c>
      <c r="C3" s="5">
        <v>2017</v>
      </c>
      <c r="D3" s="5">
        <v>2018</v>
      </c>
      <c r="E3" s="5">
        <v>2019</v>
      </c>
      <c r="F3" s="5">
        <v>2020</v>
      </c>
      <c r="G3" s="7" t="s">
        <v>73</v>
      </c>
      <c r="H3" s="7" t="s">
        <v>174</v>
      </c>
      <c r="I3" s="7" t="s">
        <v>175</v>
      </c>
      <c r="J3" s="7" t="s">
        <v>176</v>
      </c>
      <c r="K3" s="7" t="s">
        <v>177</v>
      </c>
      <c r="L3" s="7" t="s">
        <v>257</v>
      </c>
      <c r="M3" s="213" t="s">
        <v>183</v>
      </c>
      <c r="N3" s="213" t="s">
        <v>184</v>
      </c>
      <c r="U3" s="249" t="s">
        <v>302</v>
      </c>
      <c r="V3" s="249"/>
    </row>
    <row r="4" spans="1:30" x14ac:dyDescent="0.25">
      <c r="A4" s="165"/>
      <c r="B4" s="95" t="s">
        <v>0</v>
      </c>
      <c r="C4" s="96">
        <v>2750816</v>
      </c>
      <c r="D4" s="96">
        <v>2908565</v>
      </c>
      <c r="E4" s="96">
        <v>2823901</v>
      </c>
      <c r="F4" s="96">
        <v>1981276</v>
      </c>
      <c r="G4" s="96">
        <f>CHOOSE($U$4,growth!E24,growth!E25)</f>
        <v>2616139.5</v>
      </c>
      <c r="H4" s="96">
        <f>CHOOSE($U$4,growth!F24,growth!F25)</f>
        <v>2773107.87</v>
      </c>
      <c r="I4" s="96">
        <f>CHOOSE($U$4,growth!G24,growth!G25)</f>
        <v>3314494.3422000003</v>
      </c>
      <c r="J4" s="96">
        <f>CHOOSE($U$4,growth!H24,growth!H25)</f>
        <v>3638364.0027320003</v>
      </c>
      <c r="K4" s="96">
        <f>CHOOSE($U$4,growth!I24,growth!I25)</f>
        <v>3856665.8428959204</v>
      </c>
      <c r="L4" s="96">
        <f>K4*(1+L5)</f>
        <v>3933799.159753839</v>
      </c>
      <c r="M4" s="196">
        <f>POWER(K4/G4,1/(COUNT(G4:K4)-1))-1</f>
        <v>0.10188882432055801</v>
      </c>
      <c r="U4" s="250">
        <v>1</v>
      </c>
      <c r="V4" s="251"/>
      <c r="X4" s="228"/>
      <c r="Y4" s="233"/>
      <c r="Z4" s="257" t="s">
        <v>297</v>
      </c>
      <c r="AA4" s="257"/>
      <c r="AB4" s="257"/>
      <c r="AC4" s="257"/>
      <c r="AD4" s="257"/>
    </row>
    <row r="5" spans="1:30" ht="15" customHeight="1" thickBot="1" x14ac:dyDescent="0.3">
      <c r="A5" s="165"/>
      <c r="B5" s="101" t="s">
        <v>178</v>
      </c>
      <c r="C5" s="102"/>
      <c r="D5" s="102">
        <f t="shared" ref="D5:E5" si="0">D4/C4-1</f>
        <v>5.734625652897174E-2</v>
      </c>
      <c r="E5" s="102">
        <f t="shared" si="0"/>
        <v>-2.910851227323441E-2</v>
      </c>
      <c r="F5" s="102">
        <f>F4/E4-1</f>
        <v>-0.29839041807768751</v>
      </c>
      <c r="G5" s="102">
        <f t="shared" ref="G5:K5" si="1">G4/F4-1</f>
        <v>0.32043163092875493</v>
      </c>
      <c r="H5" s="102">
        <f t="shared" si="1"/>
        <v>6.0000000000000053E-2</v>
      </c>
      <c r="I5" s="102">
        <f t="shared" si="1"/>
        <v>0.19522733971397943</v>
      </c>
      <c r="J5" s="102">
        <f t="shared" si="1"/>
        <v>9.7713143271510594E-2</v>
      </c>
      <c r="K5" s="102">
        <f t="shared" si="1"/>
        <v>6.0000000000000053E-2</v>
      </c>
      <c r="L5" s="102">
        <v>0.02</v>
      </c>
      <c r="M5" s="102"/>
      <c r="U5" s="252"/>
      <c r="V5" s="253"/>
      <c r="X5" s="228"/>
      <c r="Y5" s="234">
        <f ca="1">C261</f>
        <v>-0.10030575436935951</v>
      </c>
      <c r="Z5" s="230">
        <f>AA5-0.005</f>
        <v>9.9999999999999985E-3</v>
      </c>
      <c r="AA5" s="230">
        <f>AB5-0.005</f>
        <v>1.4999999999999999E-2</v>
      </c>
      <c r="AB5" s="230">
        <v>0.02</v>
      </c>
      <c r="AC5" s="230">
        <f>AB5+0.005</f>
        <v>2.5000000000000001E-2</v>
      </c>
      <c r="AD5" s="230">
        <f>AC5+0.005</f>
        <v>3.0000000000000002E-2</v>
      </c>
    </row>
    <row r="6" spans="1:30" ht="15" customHeight="1" x14ac:dyDescent="0.25">
      <c r="A6" s="165"/>
      <c r="B6" s="67" t="s">
        <v>1</v>
      </c>
      <c r="C6" s="12">
        <v>1949597</v>
      </c>
      <c r="D6" s="12">
        <v>2102612</v>
      </c>
      <c r="E6" s="12">
        <v>2119440</v>
      </c>
      <c r="F6" s="12">
        <v>1732217</v>
      </c>
      <c r="G6" s="12">
        <f>G4-G14</f>
        <v>1978557.2031213723</v>
      </c>
      <c r="H6" s="12">
        <f t="shared" ref="H6:L6" si="2">H4-H14</f>
        <v>2019223.0721543273</v>
      </c>
      <c r="I6" s="12">
        <f t="shared" si="2"/>
        <v>2320146.0395400003</v>
      </c>
      <c r="J6" s="12">
        <f t="shared" si="2"/>
        <v>2546854.8019123999</v>
      </c>
      <c r="K6" s="12">
        <f t="shared" si="2"/>
        <v>2699666.0900271442</v>
      </c>
      <c r="L6" s="12">
        <f t="shared" si="2"/>
        <v>2753659.4118276872</v>
      </c>
      <c r="X6" s="256" t="s">
        <v>194</v>
      </c>
      <c r="Y6" s="235">
        <f>Y7-0.005</f>
        <v>7.2592342911745364E-2</v>
      </c>
      <c r="Z6" s="229">
        <f t="dataTable" ref="Z6:AD10" dt2D="1" dtr="1" r1="L5" r2="G247" ca="1"/>
        <v>-0.18335036699589269</v>
      </c>
      <c r="AA6" s="229">
        <v>-0.13382080192484769</v>
      </c>
      <c r="AB6" s="229">
        <v>-8.2672391368343146E-2</v>
      </c>
      <c r="AC6" s="229">
        <v>-2.9824450195530261E-2</v>
      </c>
      <c r="AD6" s="229">
        <v>2.4809159231139577E-2</v>
      </c>
    </row>
    <row r="7" spans="1:30" ht="15" customHeight="1" x14ac:dyDescent="0.25">
      <c r="A7" s="165"/>
      <c r="B7" s="13" t="s">
        <v>145</v>
      </c>
      <c r="C7" s="12"/>
      <c r="D7" s="12"/>
      <c r="E7" s="12"/>
      <c r="F7" s="12">
        <v>-9600</v>
      </c>
      <c r="G7" s="12"/>
      <c r="H7" s="12"/>
      <c r="I7" s="12"/>
      <c r="J7" s="12"/>
      <c r="K7" s="12"/>
      <c r="L7" s="12"/>
      <c r="U7" s="255" t="str">
        <f>INDEX(growth!B24:B25,MATCH('proforma + dcf'!$U$4,growth!C24:C25,0))</f>
        <v>Conservative Case</v>
      </c>
      <c r="V7" s="255"/>
      <c r="X7" s="256"/>
      <c r="Y7" s="235">
        <f>Y8-0.005</f>
        <v>7.7592342911745368E-2</v>
      </c>
      <c r="Z7" s="229">
        <v>-0.19275030398466764</v>
      </c>
      <c r="AA7" s="231">
        <v>-0.14279070376043346</v>
      </c>
      <c r="AB7" s="231">
        <v>-9.1201560832194994E-2</v>
      </c>
      <c r="AC7" s="231">
        <v>-3.7901826710667441E-2</v>
      </c>
      <c r="AD7" s="229">
        <v>1.7195012511070584E-2</v>
      </c>
    </row>
    <row r="8" spans="1:30" ht="15" customHeight="1" x14ac:dyDescent="0.25">
      <c r="A8" s="165"/>
      <c r="B8" s="13" t="s">
        <v>149</v>
      </c>
      <c r="C8" s="12"/>
      <c r="D8" s="12"/>
      <c r="E8" s="12"/>
      <c r="F8" s="12">
        <v>108400</v>
      </c>
      <c r="G8" s="12"/>
      <c r="H8" s="12"/>
      <c r="I8" s="12"/>
      <c r="J8" s="12"/>
      <c r="K8" s="12"/>
      <c r="L8" s="12"/>
      <c r="X8" s="256"/>
      <c r="Y8" s="235">
        <v>8.2592342911745373E-2</v>
      </c>
      <c r="Z8" s="229">
        <v>-0.20221361111168967</v>
      </c>
      <c r="AA8" s="231">
        <v>-0.1518206437426457</v>
      </c>
      <c r="AB8" s="232">
        <v>-9.978739466324571E-2</v>
      </c>
      <c r="AC8" s="231">
        <v>-4.603245261619815E-2</v>
      </c>
      <c r="AD8" s="229">
        <v>9.5310718112804338E-3</v>
      </c>
    </row>
    <row r="9" spans="1:30" x14ac:dyDescent="0.25">
      <c r="A9" s="165"/>
      <c r="B9" s="13" t="s">
        <v>150</v>
      </c>
      <c r="C9" s="12"/>
      <c r="D9" s="12"/>
      <c r="E9" s="12"/>
      <c r="F9" s="12">
        <v>11300</v>
      </c>
      <c r="G9" s="12"/>
      <c r="H9" s="12"/>
      <c r="I9" s="12"/>
      <c r="J9" s="12"/>
      <c r="K9" s="12"/>
      <c r="L9" s="12"/>
      <c r="X9" s="256"/>
      <c r="Y9" s="235">
        <f>Y8+0.005</f>
        <v>8.7592342911745377E-2</v>
      </c>
      <c r="Z9" s="229">
        <v>-0.21174070759563146</v>
      </c>
      <c r="AA9" s="231">
        <v>-0.16091101295065147</v>
      </c>
      <c r="AB9" s="231">
        <v>-0.10843025600525258</v>
      </c>
      <c r="AC9" s="231">
        <v>-5.4216663367100404E-2</v>
      </c>
      <c r="AD9" s="229">
        <v>1.8170290726885474E-3</v>
      </c>
    </row>
    <row r="10" spans="1:30" x14ac:dyDescent="0.25">
      <c r="A10" s="165"/>
      <c r="B10" s="13" t="s">
        <v>151</v>
      </c>
      <c r="C10" s="12"/>
      <c r="D10" s="12"/>
      <c r="E10" s="12"/>
      <c r="F10" s="12">
        <v>108100</v>
      </c>
      <c r="G10" s="12"/>
      <c r="H10" s="12"/>
      <c r="I10" s="12"/>
      <c r="J10" s="12"/>
      <c r="K10" s="12"/>
      <c r="L10" s="12"/>
      <c r="X10" s="256"/>
      <c r="Y10" s="235">
        <f>Y9+0.005</f>
        <v>9.2592342911745382E-2</v>
      </c>
      <c r="Z10" s="229">
        <v>-0.22133201598796703</v>
      </c>
      <c r="AA10" s="229">
        <v>-0.17006220550192608</v>
      </c>
      <c r="AB10" s="229">
        <v>-0.1171305107544669</v>
      </c>
      <c r="AC10" s="229">
        <v>-6.2454796894380937E-2</v>
      </c>
      <c r="AD10" s="229">
        <v>-5.9474259733969248E-3</v>
      </c>
    </row>
    <row r="11" spans="1:30" x14ac:dyDescent="0.25">
      <c r="A11" s="167"/>
      <c r="B11" s="13" t="s">
        <v>152</v>
      </c>
      <c r="C11" s="12"/>
      <c r="D11" s="12"/>
      <c r="E11" s="12"/>
      <c r="F11" s="12">
        <v>9400</v>
      </c>
      <c r="G11" s="12"/>
      <c r="H11" s="12"/>
      <c r="I11" s="12"/>
      <c r="J11" s="12"/>
      <c r="K11" s="12"/>
      <c r="L11" s="12"/>
    </row>
    <row r="12" spans="1:30" x14ac:dyDescent="0.25">
      <c r="A12" s="168"/>
      <c r="B12" s="13" t="s">
        <v>172</v>
      </c>
      <c r="C12" s="12"/>
      <c r="D12" s="12"/>
      <c r="E12" s="12"/>
      <c r="F12" s="12">
        <v>6200</v>
      </c>
      <c r="G12" s="12"/>
      <c r="H12" s="12"/>
      <c r="I12" s="12"/>
      <c r="J12" s="12"/>
      <c r="K12" s="12"/>
      <c r="L12" s="12"/>
      <c r="X12" s="228"/>
      <c r="Y12" s="233"/>
      <c r="Z12" s="257" t="s">
        <v>297</v>
      </c>
      <c r="AA12" s="257"/>
      <c r="AB12" s="257"/>
      <c r="AC12" s="257"/>
      <c r="AD12" s="257"/>
    </row>
    <row r="13" spans="1:30" x14ac:dyDescent="0.25">
      <c r="A13" s="166"/>
      <c r="B13" s="103" t="s">
        <v>154</v>
      </c>
      <c r="C13" s="104">
        <f t="shared" ref="C13:D13" si="3">C6-C7-C8-C9-C10-C11</f>
        <v>1949597</v>
      </c>
      <c r="D13" s="104">
        <f t="shared" si="3"/>
        <v>2102612</v>
      </c>
      <c r="E13" s="104">
        <f>E6-E7-E8-E9-E10-E11</f>
        <v>2119440</v>
      </c>
      <c r="F13" s="104">
        <f>F6-F7-F8-F9-F10-F11-F12</f>
        <v>1498417</v>
      </c>
      <c r="G13" s="104">
        <f t="shared" ref="G13:L13" si="4">G6-G7-G8-G9-G10-G11-G12</f>
        <v>1978557.2031213723</v>
      </c>
      <c r="H13" s="104">
        <f t="shared" si="4"/>
        <v>2019223.0721543273</v>
      </c>
      <c r="I13" s="104">
        <f t="shared" si="4"/>
        <v>2320146.0395400003</v>
      </c>
      <c r="J13" s="104">
        <f t="shared" si="4"/>
        <v>2546854.8019123999</v>
      </c>
      <c r="K13" s="104">
        <f t="shared" si="4"/>
        <v>2699666.0900271442</v>
      </c>
      <c r="L13" s="104">
        <f t="shared" si="4"/>
        <v>2753659.4118276872</v>
      </c>
      <c r="X13" s="228"/>
      <c r="Y13" s="234">
        <f>C269</f>
        <v>0</v>
      </c>
      <c r="Z13" s="230">
        <f>Z5</f>
        <v>9.9999999999999985E-3</v>
      </c>
      <c r="AA13" s="230">
        <f>AA5</f>
        <v>1.4999999999999999E-2</v>
      </c>
      <c r="AB13" s="230">
        <f>AB5</f>
        <v>0.02</v>
      </c>
      <c r="AC13" s="230">
        <f>AC5</f>
        <v>2.5000000000000001E-2</v>
      </c>
      <c r="AD13" s="230">
        <f>AD5</f>
        <v>3.0000000000000002E-2</v>
      </c>
    </row>
    <row r="14" spans="1:30" x14ac:dyDescent="0.25">
      <c r="A14" s="165"/>
      <c r="B14" s="108" t="s">
        <v>2</v>
      </c>
      <c r="C14" s="109">
        <f t="shared" ref="C14:D14" si="5">C4-C6</f>
        <v>801219</v>
      </c>
      <c r="D14" s="109">
        <f t="shared" si="5"/>
        <v>805953</v>
      </c>
      <c r="E14" s="109">
        <f>E4-E6</f>
        <v>704461</v>
      </c>
      <c r="F14" s="109">
        <f>F4-F6</f>
        <v>249059</v>
      </c>
      <c r="G14" s="109">
        <f>G16*G4</f>
        <v>637582.29687862773</v>
      </c>
      <c r="H14" s="109">
        <f t="shared" ref="H14:L14" si="6">H16*H4</f>
        <v>753884.7978456727</v>
      </c>
      <c r="I14" s="109">
        <f t="shared" si="6"/>
        <v>994348.30266000004</v>
      </c>
      <c r="J14" s="109">
        <f t="shared" si="6"/>
        <v>1091509.2008196001</v>
      </c>
      <c r="K14" s="109">
        <f t="shared" si="6"/>
        <v>1156999.752868776</v>
      </c>
      <c r="L14" s="109">
        <f t="shared" si="6"/>
        <v>1180139.7479261516</v>
      </c>
      <c r="M14" s="196">
        <f>POWER(L14/G14,1/(COUNT(G14:L14)+1))-1</f>
        <v>9.1942069032009188E-2</v>
      </c>
      <c r="X14" s="256" t="s">
        <v>194</v>
      </c>
      <c r="Y14" s="235">
        <f>Y15-0.005</f>
        <v>7.2592342911745364E-2</v>
      </c>
      <c r="Z14" s="236">
        <f>(1+Z6)*'proforma + dcf'!$C$260</f>
        <v>28.737900585414536</v>
      </c>
      <c r="AA14" s="236">
        <f>(1+AA6)*'proforma + dcf'!$C$260</f>
        <v>30.480845980264608</v>
      </c>
      <c r="AB14" s="236">
        <f>(1+AB6)*'proforma + dcf'!$C$260</f>
        <v>32.280758547748</v>
      </c>
      <c r="AC14" s="236">
        <f>(1+AC6)*'proforma + dcf'!$C$260</f>
        <v>34.140477597619288</v>
      </c>
      <c r="AD14" s="236">
        <f>(1+AD6)*'proforma + dcf'!$C$260</f>
        <v>36.063034313343806</v>
      </c>
    </row>
    <row r="15" spans="1:30" x14ac:dyDescent="0.25">
      <c r="A15" s="166"/>
      <c r="B15" s="111" t="s">
        <v>155</v>
      </c>
      <c r="C15" s="110"/>
      <c r="D15" s="110"/>
      <c r="E15" s="110"/>
      <c r="F15" s="110">
        <f>F4-F13</f>
        <v>482859</v>
      </c>
      <c r="G15" s="110"/>
      <c r="H15" s="110"/>
      <c r="I15" s="110"/>
      <c r="J15" s="110"/>
      <c r="K15" s="110"/>
      <c r="L15" s="110"/>
      <c r="X15" s="256"/>
      <c r="Y15" s="235">
        <f>Y16-0.005</f>
        <v>7.7592342911745368E-2</v>
      </c>
      <c r="Z15" s="236">
        <f>(1+Z7)*'proforma + dcf'!$C$260</f>
        <v>28.407116802779544</v>
      </c>
      <c r="AA15" s="237">
        <f>(1+AA7)*'proforma + dcf'!$C$260</f>
        <v>30.165195134670345</v>
      </c>
      <c r="AB15" s="237">
        <f>(1+AB7)*'proforma + dcf'!$C$260</f>
        <v>31.980617074315056</v>
      </c>
      <c r="AC15" s="237">
        <f>(1+AC7)*'proforma + dcf'!$C$260</f>
        <v>33.85623471805161</v>
      </c>
      <c r="AD15" s="236">
        <f>(1+AD7)*'proforma + dcf'!$C$260</f>
        <v>35.795092490264565</v>
      </c>
    </row>
    <row r="16" spans="1:30" x14ac:dyDescent="0.25">
      <c r="A16" s="165"/>
      <c r="B16" s="112" t="s">
        <v>153</v>
      </c>
      <c r="C16" s="74">
        <f t="shared" ref="C16:D16" si="7">C14/C4</f>
        <v>0.29126593708921278</v>
      </c>
      <c r="D16" s="74">
        <f t="shared" si="7"/>
        <v>0.27709643759035812</v>
      </c>
      <c r="E16" s="74">
        <f>E14/E4</f>
        <v>0.24946377369461606</v>
      </c>
      <c r="F16" s="74">
        <f>F15/F4</f>
        <v>0.24371112353856808</v>
      </c>
      <c r="G16" s="75">
        <f>CHOOSE($U$4,growth!E36,growth!E37)</f>
        <v>0.24371112353856808</v>
      </c>
      <c r="H16" s="75">
        <f>CHOOSE($U$4,growth!F36,growth!F37)</f>
        <v>0.27185556176928405</v>
      </c>
      <c r="I16" s="75">
        <f>CHOOSE($U$4,growth!G36,growth!G37)</f>
        <v>0.3</v>
      </c>
      <c r="J16" s="75">
        <f>CHOOSE($U$4,growth!H36,growth!H37)</f>
        <v>0.3</v>
      </c>
      <c r="K16" s="75">
        <f>CHOOSE($U$4,growth!I36,growth!I37)</f>
        <v>0.3</v>
      </c>
      <c r="L16" s="75">
        <f>CHOOSE($U$4,growth!J36,growth!J37)</f>
        <v>0.3</v>
      </c>
      <c r="M16" s="196"/>
      <c r="X16" s="256"/>
      <c r="Y16" s="235">
        <v>8.2592342911745373E-2</v>
      </c>
      <c r="Z16" s="236">
        <f>(1+Z8)*'proforma + dcf'!$C$260</f>
        <v>28.074103024979639</v>
      </c>
      <c r="AA16" s="237">
        <f>(1+AA8)*'proforma + dcf'!$C$260</f>
        <v>29.847431546696296</v>
      </c>
      <c r="AB16" s="238">
        <f>(1+AB8)*'proforma + dcf'!$C$260</f>
        <v>31.67848158180038</v>
      </c>
      <c r="AC16" s="237">
        <f>(1+AC8)*'proforma + dcf'!$C$260</f>
        <v>33.570117992435982</v>
      </c>
      <c r="AD16" s="236">
        <f>(1+AD8)*'proforma + dcf'!$C$260</f>
        <v>35.525398417038957</v>
      </c>
    </row>
    <row r="17" spans="1:30" x14ac:dyDescent="0.25">
      <c r="A17" s="165"/>
      <c r="B17" s="48" t="s">
        <v>3</v>
      </c>
      <c r="C17" s="15">
        <v>377323</v>
      </c>
      <c r="D17" s="15">
        <v>368546</v>
      </c>
      <c r="E17" s="15">
        <v>340487</v>
      </c>
      <c r="F17" s="15">
        <v>272306</v>
      </c>
      <c r="G17" s="15">
        <f t="shared" ref="G17:L17" si="8">G18*G4</f>
        <v>344353.21712779038</v>
      </c>
      <c r="H17" s="15">
        <f t="shared" si="8"/>
        <v>348893.67727772897</v>
      </c>
      <c r="I17" s="15">
        <f t="shared" si="8"/>
        <v>397739.32106400002</v>
      </c>
      <c r="J17" s="15">
        <f t="shared" si="8"/>
        <v>436603.68032784003</v>
      </c>
      <c r="K17" s="15">
        <f t="shared" si="8"/>
        <v>462799.90114751045</v>
      </c>
      <c r="L17" s="15">
        <f t="shared" si="8"/>
        <v>472055.89917046065</v>
      </c>
      <c r="X17" s="256"/>
      <c r="Y17" s="235">
        <f>Y16+0.005</f>
        <v>8.7592342911745377E-2</v>
      </c>
      <c r="Z17" s="236">
        <f>(1+Z9)*'proforma + dcf'!$C$260</f>
        <v>27.738844499709728</v>
      </c>
      <c r="AA17" s="237">
        <f>(1+AA9)*'proforma + dcf'!$C$260</f>
        <v>29.527541454266572</v>
      </c>
      <c r="AB17" s="237">
        <f>(1+AB9)*'proforma + dcf'!$C$260</f>
        <v>31.374339291175161</v>
      </c>
      <c r="AC17" s="237">
        <f>(1+AC9)*'proforma + dcf'!$C$260</f>
        <v>33.282115616111732</v>
      </c>
      <c r="AD17" s="236">
        <f>(1+AD9)*'proforma + dcf'!$C$260</f>
        <v>35.253941253067914</v>
      </c>
    </row>
    <row r="18" spans="1:30" x14ac:dyDescent="0.25">
      <c r="A18" s="165"/>
      <c r="B18" s="49" t="s">
        <v>101</v>
      </c>
      <c r="C18" s="50">
        <f>C17/C4</f>
        <v>0.13716766225003782</v>
      </c>
      <c r="D18" s="50">
        <f>D17/D4</f>
        <v>0.1267105943996438</v>
      </c>
      <c r="E18" s="50">
        <f>E17/E4</f>
        <v>0.12057327788757467</v>
      </c>
      <c r="F18" s="50">
        <f>F17/F4</f>
        <v>0.1374397105703597</v>
      </c>
      <c r="G18" s="65">
        <f>CHOOSE($U$4,growth!E33,growth!E34)</f>
        <v>0.13162647371357314</v>
      </c>
      <c r="H18" s="65">
        <f>CHOOSE($U$4,growth!F33,growth!F34)</f>
        <v>0.12581323685678658</v>
      </c>
      <c r="I18" s="65">
        <f>CHOOSE($U$4,growth!G33,growth!G34)</f>
        <v>0.12</v>
      </c>
      <c r="J18" s="65">
        <f>CHOOSE($U$4,growth!H33,growth!H34)</f>
        <v>0.12</v>
      </c>
      <c r="K18" s="65">
        <f>CHOOSE($U$4,growth!I33,growth!I34)</f>
        <v>0.12</v>
      </c>
      <c r="L18" s="65">
        <f>CHOOSE($U$4,growth!J33,growth!J34)</f>
        <v>0.12</v>
      </c>
      <c r="X18" s="256"/>
      <c r="Y18" s="235">
        <f>Y17+0.005</f>
        <v>9.2592342911745382E-2</v>
      </c>
      <c r="Z18" s="236">
        <f>(1+Z10)*'proforma + dcf'!$C$260</f>
        <v>27.401326357383439</v>
      </c>
      <c r="AA18" s="236">
        <f>(1+AA10)*'proforma + dcf'!$C$260</f>
        <v>29.205510988387218</v>
      </c>
      <c r="AB18" s="236">
        <f>(1+AB10)*'proforma + dcf'!$C$260</f>
        <v>31.068177326550309</v>
      </c>
      <c r="AC18" s="236">
        <f>(1+AC10)*'proforma + dcf'!$C$260</f>
        <v>32.992215697286731</v>
      </c>
      <c r="AD18" s="236">
        <f>(1+AD10)*'proforma + dcf'!$C$260</f>
        <v>34.980710079996157</v>
      </c>
    </row>
    <row r="19" spans="1:30" x14ac:dyDescent="0.25">
      <c r="A19" s="169"/>
      <c r="B19" s="16" t="s">
        <v>107</v>
      </c>
      <c r="C19" s="15"/>
      <c r="D19" s="15"/>
      <c r="E19" s="15">
        <v>99419</v>
      </c>
      <c r="F19" s="15">
        <v>76327</v>
      </c>
      <c r="G19" s="15"/>
      <c r="H19" s="15"/>
      <c r="I19" s="15"/>
      <c r="J19" s="15"/>
      <c r="K19" s="15"/>
      <c r="L19" s="15"/>
    </row>
    <row r="20" spans="1:30" ht="15.75" customHeight="1" x14ac:dyDescent="0.25">
      <c r="A20" s="165"/>
      <c r="B20" s="16" t="s">
        <v>108</v>
      </c>
      <c r="C20" s="15"/>
      <c r="D20" s="15"/>
      <c r="E20" s="15">
        <v>121273</v>
      </c>
      <c r="F20" s="15">
        <v>101492</v>
      </c>
      <c r="G20" s="15"/>
      <c r="H20" s="15"/>
      <c r="I20" s="15"/>
      <c r="J20" s="15"/>
      <c r="K20" s="15"/>
      <c r="L20" s="15"/>
      <c r="X20" s="259" t="s">
        <v>310</v>
      </c>
      <c r="Y20" s="260"/>
      <c r="Z20" s="263" t="s">
        <v>309</v>
      </c>
      <c r="AA20" s="263"/>
      <c r="AB20" s="263"/>
      <c r="AC20" s="263"/>
      <c r="AD20" s="264"/>
    </row>
    <row r="21" spans="1:30" ht="15" customHeight="1" x14ac:dyDescent="0.25">
      <c r="A21" s="165"/>
      <c r="B21" s="16" t="s">
        <v>109</v>
      </c>
      <c r="C21" s="15"/>
      <c r="D21" s="15"/>
      <c r="E21" s="15">
        <v>119795</v>
      </c>
      <c r="F21" s="15">
        <v>94487</v>
      </c>
      <c r="G21" s="15"/>
      <c r="H21" s="15"/>
      <c r="I21" s="15"/>
      <c r="J21" s="15"/>
      <c r="K21" s="15"/>
      <c r="L21" s="15"/>
      <c r="X21" s="261"/>
      <c r="Y21" s="262"/>
      <c r="Z21" s="265"/>
      <c r="AA21" s="265"/>
      <c r="AB21" s="265"/>
      <c r="AC21" s="265"/>
      <c r="AD21" s="266"/>
    </row>
    <row r="22" spans="1:30" ht="15" customHeight="1" x14ac:dyDescent="0.25">
      <c r="A22" s="165"/>
      <c r="B22" s="132" t="s">
        <v>4</v>
      </c>
      <c r="C22" s="97"/>
      <c r="D22" s="97"/>
      <c r="E22" s="97">
        <v>27652</v>
      </c>
      <c r="F22" s="97">
        <v>15453</v>
      </c>
      <c r="G22" s="97">
        <f>-G71</f>
        <v>21686.700529415961</v>
      </c>
      <c r="H22" s="97">
        <f t="shared" ref="H22:L22" si="9">-H71</f>
        <v>22987.902561180919</v>
      </c>
      <c r="I22" s="97">
        <f t="shared" si="9"/>
        <v>27475.769623804448</v>
      </c>
      <c r="J22" s="97">
        <f t="shared" si="9"/>
        <v>30160.513437550275</v>
      </c>
      <c r="K22" s="97">
        <f t="shared" si="9"/>
        <v>31970.144243803286</v>
      </c>
      <c r="L22" s="97">
        <f t="shared" si="9"/>
        <v>32609.547128679355</v>
      </c>
      <c r="X22" s="246"/>
      <c r="Y22" s="246"/>
      <c r="Z22" s="246"/>
      <c r="AA22" s="247"/>
      <c r="AB22" s="247"/>
      <c r="AC22" s="247"/>
      <c r="AD22" s="247"/>
    </row>
    <row r="23" spans="1:30" x14ac:dyDescent="0.25">
      <c r="A23" s="165"/>
      <c r="B23" s="35" t="s">
        <v>5</v>
      </c>
      <c r="C23" s="21">
        <v>22894</v>
      </c>
      <c r="D23" s="21">
        <v>34228</v>
      </c>
      <c r="E23" s="21">
        <v>47329</v>
      </c>
      <c r="F23" s="21">
        <v>48154</v>
      </c>
      <c r="G23" s="133">
        <f t="shared" ref="G23:L23" si="10">G24+G25+G26+G27</f>
        <v>12110.5</v>
      </c>
      <c r="H23" s="133">
        <f t="shared" si="10"/>
        <v>0</v>
      </c>
      <c r="I23" s="133">
        <f t="shared" si="10"/>
        <v>0</v>
      </c>
      <c r="J23" s="133">
        <f t="shared" si="10"/>
        <v>0</v>
      </c>
      <c r="K23" s="133">
        <f t="shared" si="10"/>
        <v>0</v>
      </c>
      <c r="L23" s="133">
        <f t="shared" si="10"/>
        <v>0</v>
      </c>
    </row>
    <row r="24" spans="1:30" x14ac:dyDescent="0.25">
      <c r="A24" s="165"/>
      <c r="B24" s="22" t="s">
        <v>134</v>
      </c>
      <c r="C24" s="21"/>
      <c r="D24" s="21"/>
      <c r="E24" s="21">
        <v>17064</v>
      </c>
      <c r="F24" s="21">
        <v>10900</v>
      </c>
      <c r="G24" s="133">
        <f>($H24-$F24)/2+F24</f>
        <v>5450</v>
      </c>
      <c r="H24" s="133">
        <v>0</v>
      </c>
      <c r="I24" s="133">
        <v>0</v>
      </c>
      <c r="J24" s="133">
        <v>0</v>
      </c>
      <c r="K24" s="133">
        <v>0</v>
      </c>
      <c r="L24" s="133">
        <v>0</v>
      </c>
    </row>
    <row r="25" spans="1:30" x14ac:dyDescent="0.25">
      <c r="A25" s="169"/>
      <c r="B25" s="22" t="s">
        <v>135</v>
      </c>
      <c r="C25" s="21"/>
      <c r="D25" s="21"/>
      <c r="E25" s="21">
        <v>17190</v>
      </c>
      <c r="F25" s="21">
        <v>13321</v>
      </c>
      <c r="G25" s="133">
        <f>($H25-$F25)/2+F25</f>
        <v>6660.5</v>
      </c>
      <c r="H25" s="133">
        <v>0</v>
      </c>
      <c r="I25" s="133">
        <v>0</v>
      </c>
      <c r="J25" s="133">
        <v>0</v>
      </c>
      <c r="K25" s="133">
        <v>0</v>
      </c>
      <c r="L25" s="133">
        <v>0</v>
      </c>
    </row>
    <row r="26" spans="1:30" x14ac:dyDescent="0.25">
      <c r="A26" s="167"/>
      <c r="B26" s="22" t="s">
        <v>138</v>
      </c>
      <c r="C26" s="21"/>
      <c r="D26" s="21"/>
      <c r="E26" s="21">
        <v>13061</v>
      </c>
      <c r="F26" s="21">
        <v>23933</v>
      </c>
      <c r="G26" s="133">
        <v>0</v>
      </c>
      <c r="H26" s="133">
        <v>0</v>
      </c>
      <c r="I26" s="133">
        <v>0</v>
      </c>
      <c r="J26" s="133">
        <f t="shared" ref="J26" si="11">I26</f>
        <v>0</v>
      </c>
      <c r="K26" s="133">
        <f t="shared" ref="K26" si="12">J26</f>
        <v>0</v>
      </c>
      <c r="L26" s="133">
        <v>0</v>
      </c>
    </row>
    <row r="27" spans="1:30" x14ac:dyDescent="0.25">
      <c r="A27" s="165"/>
      <c r="B27" s="22" t="s">
        <v>136</v>
      </c>
      <c r="C27" s="21"/>
      <c r="D27" s="21"/>
      <c r="E27" s="21">
        <v>14</v>
      </c>
      <c r="F27" s="21">
        <v>0</v>
      </c>
      <c r="G27" s="133">
        <f>F27</f>
        <v>0</v>
      </c>
      <c r="H27" s="133">
        <f t="shared" ref="H27:J27" si="13">G27</f>
        <v>0</v>
      </c>
      <c r="I27" s="133">
        <f t="shared" si="13"/>
        <v>0</v>
      </c>
      <c r="J27" s="133">
        <f t="shared" si="13"/>
        <v>0</v>
      </c>
      <c r="K27" s="133">
        <f t="shared" ref="K27" si="14">J27</f>
        <v>0</v>
      </c>
      <c r="L27" s="133">
        <v>0</v>
      </c>
    </row>
    <row r="28" spans="1:30" x14ac:dyDescent="0.25">
      <c r="A28" s="165"/>
      <c r="B28" s="132" t="s">
        <v>6</v>
      </c>
      <c r="C28" s="97"/>
      <c r="D28" s="97"/>
      <c r="E28" s="97"/>
      <c r="F28" s="97">
        <v>93989</v>
      </c>
      <c r="G28" s="97">
        <f>G168</f>
        <v>0</v>
      </c>
      <c r="H28" s="97">
        <f t="shared" ref="H28:L28" si="15">H168</f>
        <v>0</v>
      </c>
      <c r="I28" s="97">
        <f t="shared" si="15"/>
        <v>0</v>
      </c>
      <c r="J28" s="97">
        <f t="shared" si="15"/>
        <v>0</v>
      </c>
      <c r="K28" s="97">
        <f t="shared" si="15"/>
        <v>0</v>
      </c>
      <c r="L28" s="97">
        <f t="shared" si="15"/>
        <v>0</v>
      </c>
    </row>
    <row r="29" spans="1:30" x14ac:dyDescent="0.25">
      <c r="A29" s="170"/>
      <c r="B29" s="105" t="s">
        <v>7</v>
      </c>
      <c r="C29" s="106">
        <f t="shared" ref="C29:L29" si="16">C14-C17-C22-C23-C28</f>
        <v>401002</v>
      </c>
      <c r="D29" s="106">
        <f t="shared" si="16"/>
        <v>403179</v>
      </c>
      <c r="E29" s="106">
        <f t="shared" si="16"/>
        <v>288993</v>
      </c>
      <c r="F29" s="106">
        <f t="shared" si="16"/>
        <v>-180843</v>
      </c>
      <c r="G29" s="106">
        <f t="shared" si="16"/>
        <v>259431.87922142138</v>
      </c>
      <c r="H29" s="106">
        <f t="shared" si="16"/>
        <v>382003.21800676279</v>
      </c>
      <c r="I29" s="106">
        <f t="shared" si="16"/>
        <v>569133.21197219554</v>
      </c>
      <c r="J29" s="106">
        <f t="shared" si="16"/>
        <v>624745.00705420983</v>
      </c>
      <c r="K29" s="106">
        <f t="shared" si="16"/>
        <v>662229.70747746225</v>
      </c>
      <c r="L29" s="106">
        <f t="shared" si="16"/>
        <v>675474.30162701162</v>
      </c>
      <c r="M29" s="196">
        <f>POWER(L29/G29,1/(COUNT(G29:L29)+1))-1</f>
        <v>0.14648758341573376</v>
      </c>
    </row>
    <row r="30" spans="1:30" x14ac:dyDescent="0.25">
      <c r="A30" s="171"/>
      <c r="B30" s="26" t="s">
        <v>8</v>
      </c>
      <c r="C30" s="27">
        <v>24186</v>
      </c>
      <c r="D30" s="27">
        <v>31045</v>
      </c>
      <c r="E30" s="27">
        <v>39168</v>
      </c>
      <c r="F30" s="27">
        <v>48530</v>
      </c>
      <c r="G30" s="27">
        <f ca="1">G31+G33+G34+G35</f>
        <v>29262.878578379539</v>
      </c>
      <c r="H30" s="27">
        <f t="shared" ref="H30:L30" ca="1" si="17">H31+H33+H34+H35</f>
        <v>18535.051588969331</v>
      </c>
      <c r="I30" s="27">
        <f t="shared" ca="1" si="17"/>
        <v>18219.868202660931</v>
      </c>
      <c r="J30" s="27">
        <f t="shared" ca="1" si="17"/>
        <v>13866.86326702696</v>
      </c>
      <c r="K30" s="27">
        <f t="shared" ca="1" si="17"/>
        <v>5769.696423795589</v>
      </c>
      <c r="L30" s="27">
        <f t="shared" ca="1" si="17"/>
        <v>5484.0505255401622</v>
      </c>
    </row>
    <row r="31" spans="1:30" x14ac:dyDescent="0.25">
      <c r="A31" s="165"/>
      <c r="B31" s="28" t="s">
        <v>84</v>
      </c>
      <c r="C31" s="27"/>
      <c r="D31" s="27"/>
      <c r="E31" s="27">
        <v>28659</v>
      </c>
      <c r="F31" s="27">
        <v>30205</v>
      </c>
      <c r="G31" s="193">
        <f ca="1">debt!T13</f>
        <v>26600</v>
      </c>
      <c r="H31" s="193">
        <f ca="1">debt!U13</f>
        <v>16200</v>
      </c>
      <c r="I31" s="193">
        <f ca="1">debt!V13</f>
        <v>16200</v>
      </c>
      <c r="J31" s="193">
        <f ca="1">debt!W13</f>
        <v>12150</v>
      </c>
      <c r="K31" s="193">
        <f ca="1">debt!X13</f>
        <v>4350</v>
      </c>
      <c r="L31" s="193">
        <f ca="1">debt!Y13</f>
        <v>4350</v>
      </c>
    </row>
    <row r="32" spans="1:30" x14ac:dyDescent="0.25">
      <c r="A32" s="165"/>
      <c r="B32" s="44" t="s">
        <v>89</v>
      </c>
      <c r="C32" s="45"/>
      <c r="D32" s="45"/>
      <c r="E32" s="45">
        <f t="shared" ref="E32:L32" si="18">E31/E113</f>
        <v>3.3915976331360946E-2</v>
      </c>
      <c r="F32" s="45">
        <f t="shared" si="18"/>
        <v>3.0204999999999999E-2</v>
      </c>
      <c r="G32" s="45">
        <f t="shared" ca="1" si="18"/>
        <v>2.6599999999999999E-2</v>
      </c>
      <c r="H32" s="45">
        <f t="shared" ca="1" si="18"/>
        <v>2.7E-2</v>
      </c>
      <c r="I32" s="45">
        <f t="shared" ca="1" si="18"/>
        <v>2.7E-2</v>
      </c>
      <c r="J32" s="45">
        <f t="shared" ca="1" si="18"/>
        <v>2.7E-2</v>
      </c>
      <c r="K32" s="45">
        <f t="shared" ca="1" si="18"/>
        <v>9.6666666666666672E-3</v>
      </c>
      <c r="L32" s="45">
        <f t="shared" ca="1" si="18"/>
        <v>9.6666666666666672E-3</v>
      </c>
      <c r="N32" s="130"/>
    </row>
    <row r="33" spans="1:15" x14ac:dyDescent="0.25">
      <c r="A33" s="171"/>
      <c r="B33" s="46" t="s">
        <v>85</v>
      </c>
      <c r="C33" s="47"/>
      <c r="D33" s="47"/>
      <c r="E33" s="47">
        <v>8010</v>
      </c>
      <c r="F33" s="47">
        <v>14627</v>
      </c>
      <c r="G33" s="47"/>
      <c r="H33" s="47"/>
      <c r="I33" s="47"/>
      <c r="J33" s="47"/>
      <c r="K33" s="47"/>
      <c r="L33" s="47"/>
    </row>
    <row r="34" spans="1:15" x14ac:dyDescent="0.25">
      <c r="A34" s="167"/>
      <c r="B34" s="28" t="s">
        <v>86</v>
      </c>
      <c r="C34" s="27"/>
      <c r="D34" s="27"/>
      <c r="E34" s="27">
        <v>3141</v>
      </c>
      <c r="F34" s="27">
        <v>3227</v>
      </c>
      <c r="G34" s="27">
        <f>lease!H5</f>
        <v>2388.3577257382049</v>
      </c>
      <c r="H34" s="27">
        <f>lease!H6</f>
        <v>2054.3737348137047</v>
      </c>
      <c r="I34" s="27">
        <f>lease!H7</f>
        <v>1732.8952566882833</v>
      </c>
      <c r="J34" s="27">
        <f>lease!H8</f>
        <v>1423.4540418211916</v>
      </c>
      <c r="K34" s="27">
        <f>lease!H9</f>
        <v>1119.7065653646305</v>
      </c>
      <c r="L34" s="27">
        <f>lease!H10</f>
        <v>827.33244229546017</v>
      </c>
    </row>
    <row r="35" spans="1:15" x14ac:dyDescent="0.25">
      <c r="A35" s="165"/>
      <c r="B35" s="28" t="s">
        <v>87</v>
      </c>
      <c r="C35" s="27"/>
      <c r="D35" s="27"/>
      <c r="E35" s="27">
        <v>287</v>
      </c>
      <c r="F35" s="27">
        <v>242</v>
      </c>
      <c r="G35" s="27">
        <f>G134</f>
        <v>274.52085264133456</v>
      </c>
      <c r="H35" s="27">
        <f t="shared" ref="H35:L35" si="19">H134</f>
        <v>280.67785415562588</v>
      </c>
      <c r="I35" s="27">
        <f t="shared" si="19"/>
        <v>286.97294597264727</v>
      </c>
      <c r="J35" s="27">
        <f t="shared" si="19"/>
        <v>293.40922520576879</v>
      </c>
      <c r="K35" s="27">
        <f t="shared" si="19"/>
        <v>299.98985843095841</v>
      </c>
      <c r="L35" s="27">
        <f t="shared" si="19"/>
        <v>306.71808324470186</v>
      </c>
    </row>
    <row r="36" spans="1:15" x14ac:dyDescent="0.25">
      <c r="A36" s="172"/>
      <c r="B36" s="46" t="s">
        <v>88</v>
      </c>
      <c r="C36" s="47"/>
      <c r="D36" s="47"/>
      <c r="E36" s="47">
        <v>-929</v>
      </c>
      <c r="F36" s="47">
        <v>229</v>
      </c>
      <c r="G36" s="47"/>
      <c r="H36" s="47"/>
      <c r="I36" s="47"/>
      <c r="J36" s="47"/>
      <c r="K36" s="47"/>
      <c r="L36" s="47"/>
    </row>
    <row r="37" spans="1:15" x14ac:dyDescent="0.25">
      <c r="A37" s="171"/>
      <c r="B37" s="105" t="s">
        <v>9</v>
      </c>
      <c r="C37" s="106">
        <f t="shared" ref="C37:D37" si="20">C29-C30</f>
        <v>376816</v>
      </c>
      <c r="D37" s="106">
        <f t="shared" si="20"/>
        <v>372134</v>
      </c>
      <c r="E37" s="106">
        <f>E29-E30</f>
        <v>249825</v>
      </c>
      <c r="F37" s="106">
        <f>F29-F30</f>
        <v>-229373</v>
      </c>
      <c r="G37" s="106">
        <f ca="1">G29-G30</f>
        <v>230169.00064304183</v>
      </c>
      <c r="H37" s="106">
        <f t="shared" ref="H37:L37" ca="1" si="21">H29-H30</f>
        <v>363468.16641779349</v>
      </c>
      <c r="I37" s="106">
        <f t="shared" ca="1" si="21"/>
        <v>550913.34376953461</v>
      </c>
      <c r="J37" s="106">
        <f t="shared" ca="1" si="21"/>
        <v>610878.14378718287</v>
      </c>
      <c r="K37" s="106">
        <f t="shared" ca="1" si="21"/>
        <v>656460.01105366671</v>
      </c>
      <c r="L37" s="106">
        <f t="shared" ca="1" si="21"/>
        <v>669990.25110147148</v>
      </c>
      <c r="M37" s="196">
        <f ca="1">POWER(L37/G37,1/(COUNT(G37:L37)+1))-1</f>
        <v>0.16490043470982063</v>
      </c>
    </row>
    <row r="38" spans="1:15" x14ac:dyDescent="0.25">
      <c r="A38" s="171"/>
      <c r="B38" s="68" t="s">
        <v>182</v>
      </c>
      <c r="C38" s="69">
        <v>14482</v>
      </c>
      <c r="D38" s="69">
        <v>21360</v>
      </c>
      <c r="E38" s="69">
        <v>-9984</v>
      </c>
      <c r="F38" s="69">
        <v>-4091</v>
      </c>
      <c r="G38" s="69">
        <f ca="1">G47*G37</f>
        <v>13586.821060921206</v>
      </c>
      <c r="H38" s="69">
        <f t="shared" ref="H38:L38" ca="1" si="22">H47*H37</f>
        <v>21455.438936880924</v>
      </c>
      <c r="I38" s="69">
        <f t="shared" ca="1" si="22"/>
        <v>32520.282926712698</v>
      </c>
      <c r="J38" s="69">
        <f t="shared" ca="1" si="22"/>
        <v>36059.990730619968</v>
      </c>
      <c r="K38" s="69">
        <f t="shared" ca="1" si="22"/>
        <v>38750.677454036901</v>
      </c>
      <c r="L38" s="69">
        <f t="shared" ca="1" si="22"/>
        <v>177547.86929129343</v>
      </c>
    </row>
    <row r="39" spans="1:15" x14ac:dyDescent="0.25">
      <c r="A39" s="171"/>
      <c r="B39" s="113" t="s">
        <v>156</v>
      </c>
      <c r="C39" s="114"/>
      <c r="D39" s="114"/>
      <c r="E39" s="114">
        <f>E40/E37</f>
        <v>0.26580206144301011</v>
      </c>
      <c r="F39" s="114">
        <f>F40/F37</f>
        <v>0.26500067575521097</v>
      </c>
      <c r="G39" s="115"/>
      <c r="H39" s="115"/>
      <c r="I39" s="115"/>
      <c r="J39" s="115"/>
      <c r="K39" s="115"/>
      <c r="L39" s="115"/>
    </row>
    <row r="40" spans="1:15" x14ac:dyDescent="0.25">
      <c r="A40" s="171"/>
      <c r="B40" s="113" t="s">
        <v>157</v>
      </c>
      <c r="C40" s="115"/>
      <c r="D40" s="115"/>
      <c r="E40" s="115">
        <v>66404</v>
      </c>
      <c r="F40" s="115">
        <v>-60784</v>
      </c>
      <c r="G40" s="115"/>
      <c r="H40" s="115"/>
      <c r="I40" s="115"/>
      <c r="J40" s="115"/>
      <c r="K40" s="115"/>
      <c r="L40" s="115"/>
    </row>
    <row r="41" spans="1:15" x14ac:dyDescent="0.25">
      <c r="A41" s="171"/>
      <c r="B41" s="113" t="s">
        <v>158</v>
      </c>
      <c r="C41" s="115"/>
      <c r="D41" s="115"/>
      <c r="E41" s="115">
        <f>E42+E43+E44+E45</f>
        <v>-81366</v>
      </c>
      <c r="F41" s="115">
        <f>F42+F43+F44+F45</f>
        <v>50901</v>
      </c>
      <c r="G41" s="115"/>
      <c r="H41" s="115"/>
      <c r="I41" s="115"/>
      <c r="J41" s="115"/>
      <c r="K41" s="115"/>
      <c r="L41" s="115"/>
    </row>
    <row r="42" spans="1:15" x14ac:dyDescent="0.25">
      <c r="A42" s="171"/>
      <c r="B42" s="116" t="s">
        <v>159</v>
      </c>
      <c r="C42" s="117"/>
      <c r="D42" s="117"/>
      <c r="E42" s="117">
        <v>-79229</v>
      </c>
      <c r="F42" s="117">
        <v>35017</v>
      </c>
      <c r="G42" s="117"/>
      <c r="H42" s="117"/>
      <c r="I42" s="117"/>
      <c r="J42" s="117"/>
      <c r="K42" s="117"/>
      <c r="L42" s="117"/>
    </row>
    <row r="43" spans="1:15" x14ac:dyDescent="0.25">
      <c r="A43" s="171"/>
      <c r="B43" s="118" t="s">
        <v>160</v>
      </c>
      <c r="C43" s="115"/>
      <c r="D43" s="115"/>
      <c r="E43" s="115">
        <v>197</v>
      </c>
      <c r="F43" s="115">
        <v>-1417</v>
      </c>
      <c r="G43" s="115"/>
      <c r="H43" s="115"/>
      <c r="I43" s="115"/>
      <c r="J43" s="115"/>
      <c r="K43" s="115"/>
      <c r="L43" s="115"/>
    </row>
    <row r="44" spans="1:15" x14ac:dyDescent="0.25">
      <c r="A44" s="170"/>
      <c r="B44" s="118" t="s">
        <v>161</v>
      </c>
      <c r="C44" s="115"/>
      <c r="D44" s="115"/>
      <c r="E44" s="115">
        <v>-19211</v>
      </c>
      <c r="F44" s="115">
        <v>-5150</v>
      </c>
      <c r="G44" s="115"/>
      <c r="H44" s="115"/>
      <c r="I44" s="115"/>
      <c r="J44" s="115"/>
      <c r="K44" s="115"/>
      <c r="L44" s="115"/>
    </row>
    <row r="45" spans="1:15" x14ac:dyDescent="0.25">
      <c r="A45" s="167"/>
      <c r="B45" s="118" t="s">
        <v>162</v>
      </c>
      <c r="C45" s="115"/>
      <c r="D45" s="115"/>
      <c r="E45" s="115">
        <v>16877</v>
      </c>
      <c r="F45" s="115">
        <v>22451</v>
      </c>
      <c r="G45" s="115"/>
      <c r="H45" s="115"/>
      <c r="I45" s="115"/>
      <c r="J45" s="115"/>
      <c r="K45" s="115"/>
      <c r="L45" s="115"/>
    </row>
    <row r="46" spans="1:15" x14ac:dyDescent="0.25">
      <c r="A46" s="168"/>
      <c r="B46" s="118" t="s">
        <v>163</v>
      </c>
      <c r="C46" s="115"/>
      <c r="D46" s="115"/>
      <c r="E46" s="115">
        <v>4978</v>
      </c>
      <c r="F46" s="115">
        <v>5792</v>
      </c>
      <c r="G46" s="115"/>
      <c r="H46" s="115"/>
      <c r="I46" s="115"/>
      <c r="J46" s="115"/>
      <c r="K46" s="115"/>
      <c r="L46" s="115"/>
    </row>
    <row r="47" spans="1:15" x14ac:dyDescent="0.25">
      <c r="A47" s="173"/>
      <c r="B47" s="119" t="s">
        <v>164</v>
      </c>
      <c r="C47" s="120">
        <f t="shared" ref="C47:D47" si="23">C38/C37</f>
        <v>3.8432550634792575E-2</v>
      </c>
      <c r="D47" s="120">
        <f t="shared" si="23"/>
        <v>5.7398678970478373E-2</v>
      </c>
      <c r="E47" s="120">
        <f>E38/E37</f>
        <v>-3.9963974782347644E-2</v>
      </c>
      <c r="F47" s="120">
        <f>F38/F37</f>
        <v>1.783557785789958E-2</v>
      </c>
      <c r="G47" s="75">
        <f>($L47-$F47)/COUNT($G4:$L4)+F47</f>
        <v>5.9029760840784817E-2</v>
      </c>
      <c r="H47" s="75">
        <f>G47</f>
        <v>5.9029760840784817E-2</v>
      </c>
      <c r="I47" s="75">
        <f t="shared" ref="I47:K47" si="24">H47</f>
        <v>5.9029760840784817E-2</v>
      </c>
      <c r="J47" s="75">
        <f t="shared" si="24"/>
        <v>5.9029760840784817E-2</v>
      </c>
      <c r="K47" s="75">
        <f t="shared" si="24"/>
        <v>5.9029760840784817E-2</v>
      </c>
      <c r="L47" s="75">
        <f>F39</f>
        <v>0.26500067575521097</v>
      </c>
      <c r="O47" s="96"/>
    </row>
    <row r="48" spans="1:15" x14ac:dyDescent="0.25">
      <c r="A48" s="167"/>
      <c r="B48" s="105" t="s">
        <v>10</v>
      </c>
      <c r="C48" s="106">
        <f t="shared" ref="C48:D48" si="25">C37-C38</f>
        <v>362334</v>
      </c>
      <c r="D48" s="106">
        <f t="shared" si="25"/>
        <v>350774</v>
      </c>
      <c r="E48" s="106">
        <f>E37-E38</f>
        <v>259809</v>
      </c>
      <c r="F48" s="106">
        <f>F37-F38</f>
        <v>-225282</v>
      </c>
      <c r="G48" s="106">
        <f ca="1">G37-G38</f>
        <v>216582.17958212062</v>
      </c>
      <c r="H48" s="106">
        <f t="shared" ref="H48:L48" ca="1" si="26">H37-H38</f>
        <v>342012.72748091258</v>
      </c>
      <c r="I48" s="106">
        <f t="shared" ca="1" si="26"/>
        <v>518393.0608428219</v>
      </c>
      <c r="J48" s="106">
        <f t="shared" ca="1" si="26"/>
        <v>574818.15305656288</v>
      </c>
      <c r="K48" s="106">
        <f t="shared" ca="1" si="26"/>
        <v>617709.33359962981</v>
      </c>
      <c r="L48" s="106">
        <f t="shared" ca="1" si="26"/>
        <v>492442.38181017805</v>
      </c>
      <c r="M48" s="196">
        <f ca="1">POWER(L48/G48,1/(COUNT(G48:L48)+1))-1</f>
        <v>0.12450609766827148</v>
      </c>
      <c r="O48" s="96"/>
    </row>
    <row r="49" spans="1:15" x14ac:dyDescent="0.25">
      <c r="A49" s="167"/>
      <c r="B49" s="5" t="s">
        <v>191</v>
      </c>
      <c r="C49" s="190"/>
      <c r="D49" s="190"/>
      <c r="E49" s="190"/>
      <c r="F49" s="190"/>
      <c r="G49" s="190"/>
      <c r="H49" s="190"/>
      <c r="I49" s="190"/>
      <c r="J49" s="190"/>
      <c r="K49" s="190"/>
      <c r="L49" s="190"/>
      <c r="O49" s="96"/>
    </row>
    <row r="50" spans="1:15" x14ac:dyDescent="0.25">
      <c r="A50" s="168"/>
      <c r="B50" s="194" t="str">
        <f t="shared" ref="B50:L50" si="27">B3</f>
        <v>(in thousands of USD, except per share data)</v>
      </c>
      <c r="C50" s="5">
        <f t="shared" si="27"/>
        <v>2017</v>
      </c>
      <c r="D50" s="5">
        <f t="shared" si="27"/>
        <v>2018</v>
      </c>
      <c r="E50" s="5">
        <f t="shared" si="27"/>
        <v>2019</v>
      </c>
      <c r="F50" s="5">
        <f t="shared" si="27"/>
        <v>2020</v>
      </c>
      <c r="G50" s="7" t="str">
        <f t="shared" si="27"/>
        <v>2021E</v>
      </c>
      <c r="H50" s="7" t="str">
        <f t="shared" si="27"/>
        <v>2022E</v>
      </c>
      <c r="I50" s="7" t="str">
        <f t="shared" si="27"/>
        <v>2023E</v>
      </c>
      <c r="J50" s="7" t="str">
        <f t="shared" si="27"/>
        <v>2024E</v>
      </c>
      <c r="K50" s="7" t="str">
        <f t="shared" si="27"/>
        <v>2025E</v>
      </c>
      <c r="L50" s="7" t="str">
        <f t="shared" si="27"/>
        <v>Terminal</v>
      </c>
    </row>
    <row r="51" spans="1:15" x14ac:dyDescent="0.25">
      <c r="A51" s="167"/>
      <c r="B51" s="105" t="s">
        <v>167</v>
      </c>
      <c r="C51" s="106"/>
      <c r="D51" s="106"/>
      <c r="E51" s="106"/>
      <c r="F51" s="106"/>
      <c r="G51" s="106"/>
      <c r="H51" s="106"/>
      <c r="I51" s="105"/>
      <c r="J51" s="105"/>
      <c r="K51" s="105"/>
      <c r="L51" s="105"/>
    </row>
    <row r="52" spans="1:15" x14ac:dyDescent="0.25">
      <c r="A52" s="174"/>
      <c r="B52" s="158" t="s">
        <v>168</v>
      </c>
      <c r="C52" s="107"/>
      <c r="D52" s="107"/>
      <c r="E52" s="107">
        <v>204161</v>
      </c>
      <c r="F52" s="107">
        <v>198361</v>
      </c>
      <c r="G52" s="162"/>
      <c r="H52" s="160"/>
      <c r="I52" s="161"/>
      <c r="J52" s="161"/>
      <c r="K52" s="161"/>
      <c r="L52" s="161"/>
    </row>
    <row r="53" spans="1:15" x14ac:dyDescent="0.25">
      <c r="A53" s="174"/>
      <c r="B53" s="158" t="s">
        <v>169</v>
      </c>
      <c r="C53" s="107"/>
      <c r="D53" s="107"/>
      <c r="E53" s="107">
        <v>204609</v>
      </c>
      <c r="F53" s="107">
        <v>198361</v>
      </c>
      <c r="G53" s="162"/>
      <c r="H53" s="160"/>
      <c r="I53" s="161"/>
      <c r="J53" s="161"/>
      <c r="K53" s="161"/>
      <c r="L53" s="161"/>
    </row>
    <row r="54" spans="1:15" x14ac:dyDescent="0.25">
      <c r="A54" s="168"/>
      <c r="B54" s="105" t="s">
        <v>170</v>
      </c>
      <c r="C54" s="106"/>
      <c r="D54" s="106"/>
      <c r="E54" s="106"/>
      <c r="F54" s="106"/>
      <c r="G54" s="106"/>
      <c r="H54" s="106"/>
      <c r="I54" s="105"/>
      <c r="J54" s="105"/>
      <c r="K54" s="105"/>
      <c r="L54" s="105"/>
    </row>
    <row r="55" spans="1:15" x14ac:dyDescent="0.25">
      <c r="A55" s="168"/>
      <c r="B55" s="158" t="s">
        <v>168</v>
      </c>
      <c r="C55" s="163"/>
      <c r="D55" s="163"/>
      <c r="E55" s="163">
        <f>$E$48/E52</f>
        <v>1.2725691978389604</v>
      </c>
      <c r="F55" s="163">
        <f>$F$48/F52</f>
        <v>-1.1357172024742768</v>
      </c>
      <c r="G55" s="162"/>
      <c r="H55" s="160"/>
      <c r="I55" s="161"/>
      <c r="J55" s="161"/>
      <c r="K55" s="161"/>
      <c r="L55" s="161"/>
    </row>
    <row r="56" spans="1:15" x14ac:dyDescent="0.25">
      <c r="A56" s="168"/>
      <c r="B56" s="158" t="s">
        <v>169</v>
      </c>
      <c r="C56" s="163"/>
      <c r="D56" s="163"/>
      <c r="E56" s="163">
        <f>$E$48/E53</f>
        <v>1.2697828541266514</v>
      </c>
      <c r="F56" s="163">
        <f>$F$48/F53</f>
        <v>-1.1357172024742768</v>
      </c>
      <c r="G56" s="162"/>
      <c r="H56" s="160"/>
      <c r="I56" s="161"/>
      <c r="J56" s="161"/>
      <c r="K56" s="161"/>
      <c r="L56" s="161"/>
    </row>
    <row r="57" spans="1:15" x14ac:dyDescent="0.25">
      <c r="A57" s="168"/>
      <c r="B57" s="159" t="s">
        <v>165</v>
      </c>
      <c r="C57" s="107"/>
      <c r="D57" s="107"/>
      <c r="E57" s="107">
        <f t="shared" ref="E57:L57" si="28">E29</f>
        <v>288993</v>
      </c>
      <c r="F57" s="107">
        <f t="shared" si="28"/>
        <v>-180843</v>
      </c>
      <c r="G57" s="107">
        <f t="shared" si="28"/>
        <v>259431.87922142138</v>
      </c>
      <c r="H57" s="107">
        <f t="shared" si="28"/>
        <v>382003.21800676279</v>
      </c>
      <c r="I57" s="107">
        <f t="shared" si="28"/>
        <v>569133.21197219554</v>
      </c>
      <c r="J57" s="107">
        <f t="shared" si="28"/>
        <v>624745.00705420983</v>
      </c>
      <c r="K57" s="107">
        <f t="shared" si="28"/>
        <v>662229.70747746225</v>
      </c>
      <c r="L57" s="107">
        <f t="shared" si="28"/>
        <v>675474.30162701162</v>
      </c>
    </row>
    <row r="58" spans="1:15" x14ac:dyDescent="0.25">
      <c r="A58" s="175"/>
      <c r="B58" s="159" t="s">
        <v>166</v>
      </c>
      <c r="C58" s="107"/>
      <c r="D58" s="107"/>
      <c r="E58" s="107">
        <f t="shared" ref="E58:L58" si="29">E57+E148+E155+E157+E158</f>
        <v>445787</v>
      </c>
      <c r="F58" s="107">
        <f t="shared" si="29"/>
        <v>-33653</v>
      </c>
      <c r="G58" s="107">
        <f t="shared" si="29"/>
        <v>448708.0021608806</v>
      </c>
      <c r="H58" s="107">
        <f t="shared" si="29"/>
        <v>582593.90832258959</v>
      </c>
      <c r="I58" s="107">
        <f t="shared" si="29"/>
        <v>808748.02999197203</v>
      </c>
      <c r="J58" s="107">
        <f t="shared" si="29"/>
        <v>887704.94291683962</v>
      </c>
      <c r="K58" s="107">
        <f t="shared" si="29"/>
        <v>940925.23949184979</v>
      </c>
      <c r="L58" s="107">
        <f t="shared" si="29"/>
        <v>959729.74428168708</v>
      </c>
    </row>
    <row r="59" spans="1:15" x14ac:dyDescent="0.25">
      <c r="A59" s="165"/>
      <c r="B59" s="159" t="s">
        <v>173</v>
      </c>
      <c r="C59" s="107">
        <f t="shared" ref="C59:D59" si="30">C58+C23+C28</f>
        <v>22894</v>
      </c>
      <c r="D59" s="107">
        <f t="shared" si="30"/>
        <v>34228</v>
      </c>
      <c r="E59" s="107">
        <f t="shared" ref="E59:L59" si="31">E58+E23+E28</f>
        <v>493116</v>
      </c>
      <c r="F59" s="107">
        <f t="shared" si="31"/>
        <v>108490</v>
      </c>
      <c r="G59" s="107">
        <f t="shared" si="31"/>
        <v>460818.5021608806</v>
      </c>
      <c r="H59" s="107">
        <f t="shared" si="31"/>
        <v>582593.90832258959</v>
      </c>
      <c r="I59" s="107">
        <f t="shared" si="31"/>
        <v>808748.02999197203</v>
      </c>
      <c r="J59" s="107">
        <f t="shared" si="31"/>
        <v>887704.94291683962</v>
      </c>
      <c r="K59" s="107">
        <f t="shared" si="31"/>
        <v>940925.23949184979</v>
      </c>
      <c r="L59" s="107">
        <f t="shared" si="31"/>
        <v>959729.74428168708</v>
      </c>
    </row>
    <row r="60" spans="1:15" x14ac:dyDescent="0.25">
      <c r="A60" s="165"/>
      <c r="B60" s="159" t="s">
        <v>171</v>
      </c>
      <c r="C60" s="107"/>
      <c r="D60" s="107"/>
      <c r="E60" s="107">
        <v>548100</v>
      </c>
      <c r="F60" s="107">
        <v>165100</v>
      </c>
      <c r="G60" s="107">
        <v>165101</v>
      </c>
      <c r="H60" s="160"/>
      <c r="I60" s="161"/>
      <c r="J60" s="161"/>
      <c r="K60" s="161"/>
      <c r="L60" s="161"/>
    </row>
    <row r="61" spans="1:15" x14ac:dyDescent="0.25">
      <c r="A61" s="165"/>
      <c r="B61" s="159" t="s">
        <v>275</v>
      </c>
      <c r="C61" s="107">
        <f t="shared" ref="C61:D61" si="32">C115+C113-C66</f>
        <v>577205</v>
      </c>
      <c r="D61" s="107">
        <f t="shared" si="32"/>
        <v>622343</v>
      </c>
      <c r="E61" s="107">
        <f>E115+E113-E66</f>
        <v>862374</v>
      </c>
      <c r="F61" s="107">
        <f t="shared" ref="F61:L61" si="33">F115+F113-F66</f>
        <v>577200</v>
      </c>
      <c r="G61" s="107">
        <f t="shared" ca="1" si="33"/>
        <v>461548.57992054336</v>
      </c>
      <c r="H61" s="107">
        <f t="shared" ca="1" si="33"/>
        <v>467668.31173954834</v>
      </c>
      <c r="I61" s="107">
        <f t="shared" ca="1" si="33"/>
        <v>460161.63892277703</v>
      </c>
      <c r="J61" s="107">
        <f t="shared" ca="1" si="33"/>
        <v>370574.66907291248</v>
      </c>
      <c r="K61" s="107">
        <f t="shared" ca="1" si="33"/>
        <v>250241.17147813563</v>
      </c>
      <c r="L61" s="107">
        <f t="shared" ca="1" si="33"/>
        <v>194648.93101453572</v>
      </c>
    </row>
    <row r="62" spans="1:15" x14ac:dyDescent="0.25">
      <c r="A62" s="165"/>
      <c r="B62" s="159" t="s">
        <v>276</v>
      </c>
      <c r="C62" s="210">
        <f>C61/C59</f>
        <v>25.212064296322179</v>
      </c>
      <c r="D62" s="210">
        <f t="shared" ref="D62:E62" si="34">D61/D59</f>
        <v>18.182277667406801</v>
      </c>
      <c r="E62" s="210">
        <f t="shared" si="34"/>
        <v>1.748825834083664</v>
      </c>
      <c r="F62" s="210">
        <f t="shared" ref="F62" si="35">F61/F59</f>
        <v>5.3203060189879254</v>
      </c>
      <c r="G62" s="210">
        <f t="shared" ref="G62" ca="1" si="36">G61/G59</f>
        <v>1.0015843065246715</v>
      </c>
      <c r="H62" s="210">
        <f t="shared" ref="H62" ca="1" si="37">H61/H59</f>
        <v>0.80273464081707235</v>
      </c>
      <c r="I62" s="210">
        <f t="shared" ref="I62" ca="1" si="38">I61/I59</f>
        <v>0.56898022852351771</v>
      </c>
      <c r="J62" s="210">
        <f t="shared" ref="J62" ca="1" si="39">J61/J59</f>
        <v>0.41745252409575462</v>
      </c>
      <c r="K62" s="210">
        <f t="shared" ref="K62" ca="1" si="40">K61/K59</f>
        <v>0.26595223613438124</v>
      </c>
      <c r="L62" s="210">
        <f t="shared" ref="L62" ca="1" si="41">L61/L59</f>
        <v>0.20281639927730005</v>
      </c>
    </row>
    <row r="63" spans="1:15" x14ac:dyDescent="0.25">
      <c r="A63" s="165"/>
      <c r="B63" s="159" t="s">
        <v>277</v>
      </c>
      <c r="C63" s="210"/>
      <c r="D63" s="210"/>
      <c r="E63" s="210">
        <f t="shared" ref="E63:F63" si="42">E61/E60</f>
        <v>1.5733880678708265</v>
      </c>
      <c r="F63" s="210">
        <f t="shared" si="42"/>
        <v>3.4960629921259843</v>
      </c>
      <c r="G63" s="210"/>
      <c r="H63" s="210"/>
      <c r="I63" s="210"/>
      <c r="J63" s="210"/>
      <c r="K63" s="210"/>
      <c r="L63" s="210"/>
    </row>
    <row r="64" spans="1:15" x14ac:dyDescent="0.25">
      <c r="A64" s="165"/>
      <c r="B64" s="5" t="s">
        <v>72</v>
      </c>
      <c r="C64" s="190"/>
      <c r="D64" s="190"/>
      <c r="E64" s="190"/>
      <c r="F64" s="190"/>
      <c r="G64" s="190"/>
      <c r="H64" s="190"/>
      <c r="I64" s="190"/>
      <c r="J64" s="190"/>
      <c r="K64" s="190"/>
      <c r="L64" s="190"/>
    </row>
    <row r="65" spans="1:13" x14ac:dyDescent="0.25">
      <c r="A65" s="165"/>
      <c r="B65" s="194" t="str">
        <f>B50</f>
        <v>(in thousands of USD, except per share data)</v>
      </c>
      <c r="C65" s="5">
        <f t="shared" ref="C65:L65" si="43">C3</f>
        <v>2017</v>
      </c>
      <c r="D65" s="5">
        <f t="shared" si="43"/>
        <v>2018</v>
      </c>
      <c r="E65" s="5">
        <f t="shared" si="43"/>
        <v>2019</v>
      </c>
      <c r="F65" s="5">
        <f t="shared" si="43"/>
        <v>2020</v>
      </c>
      <c r="G65" s="7" t="str">
        <f t="shared" si="43"/>
        <v>2021E</v>
      </c>
      <c r="H65" s="7" t="str">
        <f t="shared" si="43"/>
        <v>2022E</v>
      </c>
      <c r="I65" s="7" t="str">
        <f t="shared" si="43"/>
        <v>2023E</v>
      </c>
      <c r="J65" s="7" t="str">
        <f t="shared" si="43"/>
        <v>2024E</v>
      </c>
      <c r="K65" s="7" t="str">
        <f t="shared" si="43"/>
        <v>2025E</v>
      </c>
      <c r="L65" s="7" t="str">
        <f t="shared" si="43"/>
        <v>Terminal</v>
      </c>
    </row>
    <row r="66" spans="1:13" x14ac:dyDescent="0.25">
      <c r="A66" s="166"/>
      <c r="B66" s="95" t="s">
        <v>11</v>
      </c>
      <c r="C66" s="96">
        <v>52795</v>
      </c>
      <c r="D66" s="96">
        <v>46657</v>
      </c>
      <c r="E66" s="96">
        <v>64126</v>
      </c>
      <c r="F66" s="96">
        <v>505264</v>
      </c>
      <c r="G66" s="97">
        <f ca="1">G234</f>
        <v>601124.29485084955</v>
      </c>
      <c r="H66" s="97">
        <f t="shared" ref="H66:L66" ca="1" si="44">H234</f>
        <v>186418.85632427374</v>
      </c>
      <c r="I66" s="97">
        <f t="shared" ca="1" si="44"/>
        <v>185661.30091159977</v>
      </c>
      <c r="J66" s="97">
        <f t="shared" ca="1" si="44"/>
        <v>117293.48374688614</v>
      </c>
      <c r="K66" s="97">
        <f t="shared" ca="1" si="44"/>
        <v>229818.56292375654</v>
      </c>
      <c r="L66" s="97">
        <f t="shared" ca="1" si="44"/>
        <v>277894.75909251918</v>
      </c>
    </row>
    <row r="67" spans="1:13" x14ac:dyDescent="0.25">
      <c r="A67" s="165"/>
      <c r="B67" s="48" t="s">
        <v>114</v>
      </c>
      <c r="C67" s="15">
        <v>243365</v>
      </c>
      <c r="D67" s="15">
        <v>317159</v>
      </c>
      <c r="E67" s="15">
        <v>320931</v>
      </c>
      <c r="F67" s="15">
        <v>196480</v>
      </c>
      <c r="G67" s="51">
        <f>G74+G68+G70+G71+G73</f>
        <v>245076.45192884112</v>
      </c>
      <c r="H67" s="51">
        <f t="shared" ref="H67:L67" si="45">H74+H68+H70+H71+H73</f>
        <v>273894.85541129252</v>
      </c>
      <c r="I67" s="51">
        <f t="shared" si="45"/>
        <v>340235.28264392528</v>
      </c>
      <c r="J67" s="51">
        <f t="shared" si="45"/>
        <v>372796.37386615993</v>
      </c>
      <c r="K67" s="51">
        <f t="shared" si="45"/>
        <v>394847.80843495612</v>
      </c>
      <c r="L67" s="51">
        <f t="shared" si="45"/>
        <v>402376.44822678767</v>
      </c>
    </row>
    <row r="68" spans="1:13" x14ac:dyDescent="0.25">
      <c r="A68" s="165"/>
      <c r="B68" s="16" t="s">
        <v>110</v>
      </c>
      <c r="C68" s="15">
        <v>-5054</v>
      </c>
      <c r="D68" s="15">
        <v>-7547</v>
      </c>
      <c r="E68" s="15">
        <f>E70+E71+E73</f>
        <v>-7184</v>
      </c>
      <c r="F68" s="15">
        <f>F70+F71+F73</f>
        <v>-18994</v>
      </c>
      <c r="G68" s="51">
        <f>G69*G74</f>
        <v>-16638.505981875882</v>
      </c>
      <c r="H68" s="51">
        <f t="shared" ref="H68:L68" si="46">H69*H74</f>
        <v>-7018.1339921916097</v>
      </c>
      <c r="I68" s="51">
        <f t="shared" si="46"/>
        <v>-8388.2656212434285</v>
      </c>
      <c r="J68" s="51">
        <f t="shared" si="46"/>
        <v>-9207.9094216914764</v>
      </c>
      <c r="K68" s="51">
        <f t="shared" si="46"/>
        <v>-9760.3839869929634</v>
      </c>
      <c r="L68" s="51">
        <f t="shared" si="46"/>
        <v>-9955.5916667328238</v>
      </c>
    </row>
    <row r="69" spans="1:13" x14ac:dyDescent="0.25">
      <c r="A69" s="166"/>
      <c r="B69" s="53" t="s">
        <v>116</v>
      </c>
      <c r="C69" s="50"/>
      <c r="D69" s="50"/>
      <c r="E69" s="50">
        <f>E68/E74</f>
        <v>-2.1894762507047832E-2</v>
      </c>
      <c r="F69" s="50">
        <f>F68/F74</f>
        <v>-8.8149846385178726E-2</v>
      </c>
      <c r="G69" s="65">
        <f>AVERAGE(E69:F69)</f>
        <v>-5.5022304446113279E-2</v>
      </c>
      <c r="H69" s="65">
        <f>E69</f>
        <v>-2.1894762507047832E-2</v>
      </c>
      <c r="I69" s="65">
        <f>H69</f>
        <v>-2.1894762507047832E-2</v>
      </c>
      <c r="J69" s="65">
        <f t="shared" ref="J69:L69" si="47">I69</f>
        <v>-2.1894762507047832E-2</v>
      </c>
      <c r="K69" s="65">
        <f t="shared" si="47"/>
        <v>-2.1894762507047832E-2</v>
      </c>
      <c r="L69" s="65">
        <f t="shared" si="47"/>
        <v>-2.1894762507047832E-2</v>
      </c>
    </row>
    <row r="70" spans="1:13" x14ac:dyDescent="0.25">
      <c r="A70" s="171"/>
      <c r="B70" s="52" t="s">
        <v>111</v>
      </c>
      <c r="C70" s="15"/>
      <c r="D70" s="15"/>
      <c r="E70" s="15">
        <v>-7547</v>
      </c>
      <c r="F70" s="15">
        <v>-7184</v>
      </c>
      <c r="G70" s="51">
        <f>F68</f>
        <v>-18994</v>
      </c>
      <c r="H70" s="51">
        <f t="shared" ref="H70:L70" si="48">G68</f>
        <v>-16638.505981875882</v>
      </c>
      <c r="I70" s="51">
        <f t="shared" si="48"/>
        <v>-7018.1339921916097</v>
      </c>
      <c r="J70" s="51">
        <f t="shared" si="48"/>
        <v>-8388.2656212434285</v>
      </c>
      <c r="K70" s="51">
        <f t="shared" si="48"/>
        <v>-9207.9094216914764</v>
      </c>
      <c r="L70" s="51">
        <f t="shared" si="48"/>
        <v>-9760.3839869929634</v>
      </c>
    </row>
    <row r="71" spans="1:13" x14ac:dyDescent="0.25">
      <c r="A71" s="165"/>
      <c r="B71" s="52" t="s">
        <v>112</v>
      </c>
      <c r="C71" s="15"/>
      <c r="D71" s="15"/>
      <c r="E71" s="15">
        <v>-27652</v>
      </c>
      <c r="F71" s="15">
        <v>-15453</v>
      </c>
      <c r="G71" s="51">
        <f>G72*G74</f>
        <v>-21686.700529415961</v>
      </c>
      <c r="H71" s="51">
        <f t="shared" ref="H71:L71" si="49">H72*H74</f>
        <v>-22987.902561180919</v>
      </c>
      <c r="I71" s="51">
        <f t="shared" si="49"/>
        <v>-27475.769623804448</v>
      </c>
      <c r="J71" s="51">
        <f t="shared" si="49"/>
        <v>-30160.513437550275</v>
      </c>
      <c r="K71" s="51">
        <f t="shared" si="49"/>
        <v>-31970.144243803286</v>
      </c>
      <c r="L71" s="51">
        <f t="shared" si="49"/>
        <v>-32609.547128679355</v>
      </c>
    </row>
    <row r="72" spans="1:13" x14ac:dyDescent="0.25">
      <c r="A72" s="176"/>
      <c r="B72" s="57" t="s">
        <v>116</v>
      </c>
      <c r="C72" s="50"/>
      <c r="D72" s="50"/>
      <c r="E72" s="50">
        <f>E71/E74</f>
        <v>-8.4275330295780437E-2</v>
      </c>
      <c r="F72" s="50">
        <f>F71/F74</f>
        <v>-7.1716309160269914E-2</v>
      </c>
      <c r="G72" s="65">
        <f>F72</f>
        <v>-7.1716309160269914E-2</v>
      </c>
      <c r="H72" s="65">
        <f t="shared" ref="H72:L72" si="50">G72</f>
        <v>-7.1716309160269914E-2</v>
      </c>
      <c r="I72" s="65">
        <f t="shared" si="50"/>
        <v>-7.1716309160269914E-2</v>
      </c>
      <c r="J72" s="65">
        <f t="shared" si="50"/>
        <v>-7.1716309160269914E-2</v>
      </c>
      <c r="K72" s="65">
        <f t="shared" si="50"/>
        <v>-7.1716309160269914E-2</v>
      </c>
      <c r="L72" s="65">
        <f t="shared" si="50"/>
        <v>-7.1716309160269914E-2</v>
      </c>
      <c r="M72" s="211"/>
    </row>
    <row r="73" spans="1:13" x14ac:dyDescent="0.25">
      <c r="A73" s="177"/>
      <c r="B73" s="55" t="s">
        <v>113</v>
      </c>
      <c r="C73" s="56">
        <v>4224</v>
      </c>
      <c r="D73" s="56">
        <v>1932</v>
      </c>
      <c r="E73" s="56">
        <v>28015</v>
      </c>
      <c r="F73" s="56">
        <v>3643</v>
      </c>
      <c r="G73" s="56"/>
      <c r="H73" s="56"/>
      <c r="I73" s="56"/>
      <c r="J73" s="56"/>
      <c r="K73" s="56"/>
      <c r="L73" s="56"/>
    </row>
    <row r="74" spans="1:13" x14ac:dyDescent="0.25">
      <c r="A74" s="165"/>
      <c r="B74" s="16" t="s">
        <v>115</v>
      </c>
      <c r="C74" s="15">
        <f t="shared" ref="C74:D74" si="51">C67-C68</f>
        <v>248419</v>
      </c>
      <c r="D74" s="15">
        <f t="shared" si="51"/>
        <v>324706</v>
      </c>
      <c r="E74" s="15">
        <f>E67-E68</f>
        <v>328115</v>
      </c>
      <c r="F74" s="15">
        <f>F67-F68</f>
        <v>215474</v>
      </c>
      <c r="G74" s="51">
        <f t="shared" ref="G74:L74" si="52">G4/G75</f>
        <v>302395.65844013297</v>
      </c>
      <c r="H74" s="51">
        <f t="shared" si="52"/>
        <v>320539.39794654096</v>
      </c>
      <c r="I74" s="51">
        <f t="shared" si="52"/>
        <v>383117.4518811648</v>
      </c>
      <c r="J74" s="51">
        <f t="shared" si="52"/>
        <v>420553.06234664517</v>
      </c>
      <c r="K74" s="51">
        <f t="shared" si="52"/>
        <v>445786.24608744384</v>
      </c>
      <c r="L74" s="51">
        <f t="shared" si="52"/>
        <v>454701.97100919276</v>
      </c>
      <c r="M74" s="97"/>
    </row>
    <row r="75" spans="1:13" x14ac:dyDescent="0.25">
      <c r="A75" s="171"/>
      <c r="B75" s="53" t="s">
        <v>74</v>
      </c>
      <c r="C75" s="54"/>
      <c r="D75" s="54">
        <f t="shared" ref="D75:E75" si="53">D4/((D74+C74)/2)</f>
        <v>10.149845147219192</v>
      </c>
      <c r="E75" s="54">
        <f t="shared" si="53"/>
        <v>8.6513791682559233</v>
      </c>
      <c r="F75" s="54">
        <f>F4/((F74+E74)/2)</f>
        <v>7.2896103489952884</v>
      </c>
      <c r="G75" s="64">
        <f>CHOOSE($U$4,growth!E39,growth!E40)</f>
        <v>8.6513791682559233</v>
      </c>
      <c r="H75" s="64">
        <f>CHOOSE($U$4,growth!F39,growth!F40)</f>
        <v>8.6513791682559233</v>
      </c>
      <c r="I75" s="64">
        <f>CHOOSE($U$4,growth!G39,growth!G40)</f>
        <v>8.6513791682559233</v>
      </c>
      <c r="J75" s="64">
        <f>CHOOSE($U$4,growth!H39,growth!H40)</f>
        <v>8.6513791682559233</v>
      </c>
      <c r="K75" s="64">
        <f>CHOOSE($U$4,growth!I39,growth!I40)</f>
        <v>8.6513791682559233</v>
      </c>
      <c r="L75" s="64">
        <f>CHOOSE($U$4,growth!J39,growth!J40)</f>
        <v>8.6513791682559233</v>
      </c>
      <c r="M75" s="212"/>
    </row>
    <row r="76" spans="1:13" x14ac:dyDescent="0.25">
      <c r="A76" s="171"/>
      <c r="B76" s="128" t="s">
        <v>13</v>
      </c>
      <c r="C76" s="129">
        <v>3891</v>
      </c>
      <c r="D76" s="129">
        <v>1689</v>
      </c>
      <c r="E76" s="129"/>
      <c r="F76" s="129">
        <v>4632</v>
      </c>
      <c r="G76" s="97"/>
      <c r="H76" s="130"/>
    </row>
    <row r="77" spans="1:13" x14ac:dyDescent="0.25">
      <c r="A77" s="171"/>
      <c r="B77" s="59" t="s">
        <v>14</v>
      </c>
      <c r="C77" s="60">
        <v>945738</v>
      </c>
      <c r="D77" s="60">
        <v>940029</v>
      </c>
      <c r="E77" s="60">
        <v>1052052</v>
      </c>
      <c r="F77" s="60">
        <v>727992</v>
      </c>
      <c r="G77" s="61">
        <f t="shared" ref="G77:L77" si="54">G6/G81</f>
        <v>942170.09672446293</v>
      </c>
      <c r="H77" s="61">
        <f t="shared" si="54"/>
        <v>961534.79626396531</v>
      </c>
      <c r="I77" s="61">
        <f t="shared" si="54"/>
        <v>1104831.4474000002</v>
      </c>
      <c r="J77" s="61">
        <f t="shared" si="54"/>
        <v>1212788.0009106665</v>
      </c>
      <c r="K77" s="61">
        <f t="shared" si="54"/>
        <v>1285555.2809653068</v>
      </c>
      <c r="L77" s="61">
        <f t="shared" si="54"/>
        <v>1311266.3865846128</v>
      </c>
    </row>
    <row r="78" spans="1:13" x14ac:dyDescent="0.25">
      <c r="A78" s="176"/>
      <c r="B78" s="126" t="s">
        <v>117</v>
      </c>
      <c r="C78" s="127"/>
      <c r="D78" s="127"/>
      <c r="E78" s="127">
        <v>152584</v>
      </c>
      <c r="F78" s="127">
        <v>124243</v>
      </c>
      <c r="G78" s="127"/>
      <c r="H78" s="127"/>
      <c r="I78" s="127"/>
      <c r="J78" s="127"/>
      <c r="K78" s="127"/>
      <c r="L78" s="127"/>
    </row>
    <row r="79" spans="1:13" x14ac:dyDescent="0.25">
      <c r="A79" s="165"/>
      <c r="B79" s="126" t="s">
        <v>118</v>
      </c>
      <c r="C79" s="127"/>
      <c r="D79" s="127"/>
      <c r="E79" s="127">
        <v>75535</v>
      </c>
      <c r="F79" s="127">
        <v>42590</v>
      </c>
      <c r="G79" s="127"/>
      <c r="H79" s="127"/>
      <c r="I79" s="127"/>
      <c r="J79" s="127"/>
      <c r="K79" s="127"/>
      <c r="L79" s="127"/>
    </row>
    <row r="80" spans="1:13" x14ac:dyDescent="0.25">
      <c r="A80" s="171"/>
      <c r="B80" s="126" t="s">
        <v>119</v>
      </c>
      <c r="C80" s="127"/>
      <c r="D80" s="127"/>
      <c r="E80" s="127">
        <v>823933</v>
      </c>
      <c r="F80" s="127">
        <v>561159</v>
      </c>
      <c r="G80" s="127"/>
      <c r="H80" s="127"/>
      <c r="I80" s="127"/>
      <c r="J80" s="127"/>
      <c r="K80" s="127"/>
      <c r="L80" s="127"/>
    </row>
    <row r="81" spans="1:12" x14ac:dyDescent="0.25">
      <c r="A81" s="171"/>
      <c r="B81" s="62" t="s">
        <v>75</v>
      </c>
      <c r="C81" s="63"/>
      <c r="D81" s="63">
        <f>D13/((D77+C77)/2)</f>
        <v>2.2299806922064072</v>
      </c>
      <c r="E81" s="63">
        <f>E13/((E77+D77)/2)</f>
        <v>2.1278652825864008</v>
      </c>
      <c r="F81" s="63">
        <f>F13/((F77+E77)/2)</f>
        <v>1.6835729903305761</v>
      </c>
      <c r="G81" s="66">
        <f>CHOOSE($U$4,growth!E42,growth!E43)</f>
        <v>2.1</v>
      </c>
      <c r="H81" s="66">
        <f>CHOOSE($U$4,growth!F42,growth!F43)</f>
        <v>2.1</v>
      </c>
      <c r="I81" s="66">
        <f>CHOOSE($U$4,growth!G42,growth!G43)</f>
        <v>2.1</v>
      </c>
      <c r="J81" s="66">
        <f>CHOOSE($U$4,growth!H42,growth!H43)</f>
        <v>2.1</v>
      </c>
      <c r="K81" s="66">
        <f>CHOOSE($U$4,growth!I42,growth!I43)</f>
        <v>2.1</v>
      </c>
      <c r="L81" s="66">
        <f>CHOOSE($U$4,growth!J42,growth!J43)</f>
        <v>2.1</v>
      </c>
    </row>
    <row r="82" spans="1:12" x14ac:dyDescent="0.25">
      <c r="A82" s="166"/>
      <c r="B82" s="26" t="s">
        <v>15</v>
      </c>
      <c r="C82" s="27">
        <v>62092</v>
      </c>
      <c r="D82" s="27">
        <v>77377</v>
      </c>
      <c r="E82" s="27">
        <v>77064</v>
      </c>
      <c r="F82" s="27">
        <v>110105</v>
      </c>
      <c r="G82" s="92">
        <f t="shared" ref="G82:L82" si="55">G85*G4</f>
        <v>64839.795236756516</v>
      </c>
      <c r="H82" s="92">
        <f t="shared" si="55"/>
        <v>68730.182950961913</v>
      </c>
      <c r="I82" s="92">
        <f t="shared" si="55"/>
        <v>82148.193726533311</v>
      </c>
      <c r="J82" s="92">
        <f t="shared" si="55"/>
        <v>90175.151949629872</v>
      </c>
      <c r="K82" s="92">
        <f t="shared" si="55"/>
        <v>95585.661066607674</v>
      </c>
      <c r="L82" s="92">
        <f t="shared" si="55"/>
        <v>97497.374287939834</v>
      </c>
    </row>
    <row r="83" spans="1:12" x14ac:dyDescent="0.25">
      <c r="A83" s="167"/>
      <c r="B83" s="46" t="s">
        <v>146</v>
      </c>
      <c r="C83" s="47"/>
      <c r="D83" s="47"/>
      <c r="E83" s="47"/>
      <c r="F83" s="47">
        <v>61000</v>
      </c>
      <c r="G83" s="47"/>
      <c r="H83" s="47"/>
      <c r="I83" s="47"/>
      <c r="J83" s="47"/>
      <c r="K83" s="47"/>
      <c r="L83" s="47"/>
    </row>
    <row r="84" spans="1:12" x14ac:dyDescent="0.25">
      <c r="A84" s="165"/>
      <c r="B84" s="46" t="s">
        <v>148</v>
      </c>
      <c r="C84" s="47"/>
      <c r="D84" s="47"/>
      <c r="E84" s="47">
        <f>E82-E83</f>
        <v>77064</v>
      </c>
      <c r="F84" s="47">
        <f>F82-F83</f>
        <v>49105</v>
      </c>
      <c r="G84" s="47"/>
      <c r="H84" s="47"/>
      <c r="I84" s="47"/>
      <c r="J84" s="47"/>
      <c r="K84" s="47"/>
      <c r="L84" s="47"/>
    </row>
    <row r="85" spans="1:12" x14ac:dyDescent="0.25">
      <c r="A85" s="165"/>
      <c r="B85" s="29" t="s">
        <v>147</v>
      </c>
      <c r="C85" s="30">
        <f>C82/C4</f>
        <v>2.2572211300210556E-2</v>
      </c>
      <c r="D85" s="30">
        <f>D82/D4</f>
        <v>2.6603153101271589E-2</v>
      </c>
      <c r="E85" s="30">
        <f>E82/E4</f>
        <v>2.728990853432893E-2</v>
      </c>
      <c r="F85" s="30">
        <f>F84/F4</f>
        <v>2.4784532796036495E-2</v>
      </c>
      <c r="G85" s="31">
        <f>F85</f>
        <v>2.4784532796036495E-2</v>
      </c>
      <c r="H85" s="31">
        <f t="shared" ref="H85:L85" si="56">G85</f>
        <v>2.4784532796036495E-2</v>
      </c>
      <c r="I85" s="31">
        <f t="shared" si="56"/>
        <v>2.4784532796036495E-2</v>
      </c>
      <c r="J85" s="31">
        <f t="shared" si="56"/>
        <v>2.4784532796036495E-2</v>
      </c>
      <c r="K85" s="31">
        <f t="shared" si="56"/>
        <v>2.4784532796036495E-2</v>
      </c>
      <c r="L85" s="31">
        <f t="shared" si="56"/>
        <v>2.4784532796036495E-2</v>
      </c>
    </row>
    <row r="86" spans="1:12" x14ac:dyDescent="0.25">
      <c r="A86" s="165"/>
      <c r="B86" s="105" t="s">
        <v>16</v>
      </c>
      <c r="C86" s="106">
        <f t="shared" ref="C86:D86" si="57">C66+C67+C76+C77+C82</f>
        <v>1307881</v>
      </c>
      <c r="D86" s="106">
        <f t="shared" si="57"/>
        <v>1382911</v>
      </c>
      <c r="E86" s="106">
        <f>E66+E67+E76+E77+E82</f>
        <v>1514173</v>
      </c>
      <c r="F86" s="106">
        <f>F66+F67+F76+F77+F82</f>
        <v>1544473</v>
      </c>
      <c r="G86" s="131">
        <f ca="1">G66+G67+G76+G77+G82</f>
        <v>1853210.6387409102</v>
      </c>
      <c r="H86" s="131">
        <f t="shared" ref="H86:L86" ca="1" si="58">H66+H67+H76+H77+H82</f>
        <v>1490578.6909504933</v>
      </c>
      <c r="I86" s="131">
        <f t="shared" ca="1" si="58"/>
        <v>1712876.2246820584</v>
      </c>
      <c r="J86" s="131">
        <f t="shared" ca="1" si="58"/>
        <v>1793053.0104733424</v>
      </c>
      <c r="K86" s="131">
        <f t="shared" ca="1" si="58"/>
        <v>2005807.313390627</v>
      </c>
      <c r="L86" s="131">
        <f t="shared" ca="1" si="58"/>
        <v>2089034.9681918595</v>
      </c>
    </row>
    <row r="87" spans="1:12" x14ac:dyDescent="0.25">
      <c r="A87" s="165"/>
      <c r="B87" s="68" t="s">
        <v>17</v>
      </c>
      <c r="C87" s="69">
        <v>1035818</v>
      </c>
      <c r="D87" s="69">
        <v>990475</v>
      </c>
      <c r="E87" s="69">
        <v>994980</v>
      </c>
      <c r="F87" s="69">
        <v>896800</v>
      </c>
      <c r="G87" s="86">
        <f>F87+(-G190)-G148</f>
        <v>849617.30444287742</v>
      </c>
      <c r="H87" s="86">
        <f t="shared" ref="H87:L87" si="59">G87+(-H190)-H148</f>
        <v>786880.89702467946</v>
      </c>
      <c r="I87" s="86">
        <f t="shared" si="59"/>
        <v>711896.62768301438</v>
      </c>
      <c r="J87" s="86">
        <f t="shared" si="59"/>
        <v>629585.40968805761</v>
      </c>
      <c r="K87" s="86">
        <f t="shared" si="59"/>
        <v>542335.51861340343</v>
      </c>
      <c r="L87" s="86">
        <f t="shared" si="59"/>
        <v>453340.62971725623</v>
      </c>
    </row>
    <row r="88" spans="1:12" x14ac:dyDescent="0.25">
      <c r="A88" s="165"/>
      <c r="B88" s="70" t="s">
        <v>120</v>
      </c>
      <c r="C88" s="69"/>
      <c r="D88" s="69"/>
      <c r="E88" s="69"/>
      <c r="F88" s="69"/>
      <c r="G88" s="86"/>
      <c r="H88" s="86"/>
      <c r="I88" s="86"/>
      <c r="J88" s="86"/>
      <c r="K88" s="86"/>
      <c r="L88" s="86"/>
    </row>
    <row r="89" spans="1:12" x14ac:dyDescent="0.25">
      <c r="A89" s="165"/>
      <c r="B89" s="70" t="s">
        <v>121</v>
      </c>
      <c r="C89" s="69"/>
      <c r="D89" s="69"/>
      <c r="E89" s="69"/>
      <c r="F89" s="69"/>
      <c r="G89" s="86"/>
      <c r="H89" s="86"/>
      <c r="I89" s="86"/>
      <c r="J89" s="86"/>
      <c r="K89" s="86"/>
      <c r="L89" s="86"/>
    </row>
    <row r="90" spans="1:12" x14ac:dyDescent="0.25">
      <c r="A90" s="165"/>
      <c r="B90" s="70" t="s">
        <v>122</v>
      </c>
      <c r="C90" s="69"/>
      <c r="D90" s="69"/>
      <c r="E90" s="69"/>
      <c r="F90" s="69"/>
      <c r="G90" s="86"/>
      <c r="H90" s="86"/>
      <c r="I90" s="86"/>
      <c r="J90" s="86"/>
      <c r="K90" s="86"/>
      <c r="L90" s="86"/>
    </row>
    <row r="91" spans="1:12" x14ac:dyDescent="0.25">
      <c r="A91" s="165"/>
      <c r="B91" s="70" t="s">
        <v>123</v>
      </c>
      <c r="C91" s="69"/>
      <c r="D91" s="69"/>
      <c r="E91" s="69"/>
      <c r="F91" s="69"/>
      <c r="G91" s="86"/>
      <c r="H91" s="86"/>
      <c r="I91" s="86"/>
      <c r="J91" s="86"/>
      <c r="K91" s="86"/>
      <c r="L91" s="86"/>
    </row>
    <row r="92" spans="1:12" x14ac:dyDescent="0.25">
      <c r="A92" s="165"/>
      <c r="B92" s="70" t="s">
        <v>124</v>
      </c>
      <c r="C92" s="69"/>
      <c r="D92" s="69"/>
      <c r="E92" s="69"/>
      <c r="F92" s="69"/>
      <c r="G92" s="86"/>
      <c r="H92" s="86"/>
      <c r="I92" s="86"/>
      <c r="J92" s="86"/>
      <c r="K92" s="86"/>
      <c r="L92" s="86"/>
    </row>
    <row r="93" spans="1:12" x14ac:dyDescent="0.25">
      <c r="A93" s="165"/>
      <c r="B93" s="95" t="s">
        <v>18</v>
      </c>
      <c r="C93" s="96"/>
      <c r="D93" s="96"/>
      <c r="E93" s="96">
        <v>73539</v>
      </c>
      <c r="F93" s="96">
        <v>59445</v>
      </c>
      <c r="G93" s="97">
        <f>F93-G155</f>
        <v>40092.754017108164</v>
      </c>
      <c r="H93" s="97">
        <f t="shared" ref="H93:L93" si="60">G93-H155</f>
        <v>19579.373275242819</v>
      </c>
      <c r="I93" s="97">
        <f t="shared" si="60"/>
        <v>-4938.7802173968776</v>
      </c>
      <c r="J93" s="97">
        <f t="shared" si="60"/>
        <v>-31852.679555015766</v>
      </c>
      <c r="K93" s="97">
        <f t="shared" si="60"/>
        <v>-60381.412852891786</v>
      </c>
      <c r="L93" s="97">
        <f t="shared" si="60"/>
        <v>-89480.720816725327</v>
      </c>
    </row>
    <row r="94" spans="1:12" x14ac:dyDescent="0.25">
      <c r="A94" s="165"/>
      <c r="B94" s="48" t="s">
        <v>19</v>
      </c>
      <c r="C94" s="15">
        <v>401605</v>
      </c>
      <c r="D94" s="15">
        <v>393573</v>
      </c>
      <c r="E94" s="15">
        <v>383864</v>
      </c>
      <c r="F94" s="15">
        <v>289901</v>
      </c>
      <c r="G94" s="51">
        <f>F94+(-G198)-G158</f>
        <v>267366.39748091792</v>
      </c>
      <c r="H94" s="51">
        <f t="shared" ref="H94:L94" si="61">G94+(-H198)-H158</f>
        <v>242481.80335944094</v>
      </c>
      <c r="I94" s="51">
        <f t="shared" si="61"/>
        <v>212875.71526556567</v>
      </c>
      <c r="J94" s="51">
        <f t="shared" si="61"/>
        <v>180445.12244435464</v>
      </c>
      <c r="K94" s="51">
        <f t="shared" si="61"/>
        <v>146110.69405387098</v>
      </c>
      <c r="L94" s="51">
        <f t="shared" si="61"/>
        <v>111103.57709557764</v>
      </c>
    </row>
    <row r="95" spans="1:12" x14ac:dyDescent="0.25">
      <c r="A95" s="165"/>
      <c r="B95" s="16" t="s">
        <v>125</v>
      </c>
      <c r="C95" s="15"/>
      <c r="D95" s="15"/>
      <c r="E95" s="15">
        <v>122645</v>
      </c>
      <c r="F95" s="15">
        <v>82358</v>
      </c>
      <c r="G95" s="51"/>
      <c r="H95" s="51"/>
      <c r="I95" s="51"/>
      <c r="J95" s="51"/>
      <c r="K95" s="51"/>
      <c r="L95" s="51"/>
    </row>
    <row r="96" spans="1:12" x14ac:dyDescent="0.25">
      <c r="A96" s="165"/>
      <c r="B96" s="16" t="s">
        <v>126</v>
      </c>
      <c r="C96" s="15"/>
      <c r="D96" s="15"/>
      <c r="E96" s="15">
        <v>223664</v>
      </c>
      <c r="F96" s="15">
        <v>179821</v>
      </c>
      <c r="G96" s="51"/>
      <c r="H96" s="51"/>
      <c r="I96" s="51"/>
      <c r="J96" s="51"/>
      <c r="K96" s="51"/>
      <c r="L96" s="51"/>
    </row>
    <row r="97" spans="1:15" x14ac:dyDescent="0.25">
      <c r="A97" s="165"/>
      <c r="B97" s="16" t="s">
        <v>127</v>
      </c>
      <c r="C97" s="15"/>
      <c r="D97" s="15"/>
      <c r="E97" s="15">
        <v>11335</v>
      </c>
      <c r="F97" s="15">
        <v>8449</v>
      </c>
      <c r="G97" s="51"/>
      <c r="H97" s="51"/>
      <c r="I97" s="51"/>
      <c r="J97" s="51"/>
      <c r="K97" s="51"/>
      <c r="L97" s="51"/>
    </row>
    <row r="98" spans="1:15" x14ac:dyDescent="0.25">
      <c r="A98" s="165"/>
      <c r="B98" s="16" t="s">
        <v>128</v>
      </c>
      <c r="C98" s="15"/>
      <c r="D98" s="15"/>
      <c r="E98" s="15">
        <v>26220</v>
      </c>
      <c r="F98" s="15">
        <v>19273</v>
      </c>
      <c r="G98" s="51"/>
      <c r="H98" s="51"/>
      <c r="I98" s="51"/>
      <c r="J98" s="51"/>
      <c r="K98" s="51"/>
      <c r="L98" s="51"/>
    </row>
    <row r="99" spans="1:15" x14ac:dyDescent="0.25">
      <c r="A99" s="165"/>
      <c r="B99" s="16" t="s">
        <v>129</v>
      </c>
      <c r="C99" s="15"/>
      <c r="D99" s="15"/>
      <c r="E99" s="15">
        <v>0</v>
      </c>
      <c r="F99" s="15">
        <v>0</v>
      </c>
      <c r="G99" s="51"/>
      <c r="H99" s="51"/>
      <c r="I99" s="51"/>
      <c r="J99" s="51"/>
      <c r="K99" s="51"/>
      <c r="L99" s="51"/>
    </row>
    <row r="100" spans="1:15" x14ac:dyDescent="0.25">
      <c r="A100" s="166"/>
      <c r="B100" s="95" t="s">
        <v>20</v>
      </c>
      <c r="C100" s="96">
        <v>226571</v>
      </c>
      <c r="D100" s="96">
        <v>227362</v>
      </c>
      <c r="E100" s="96">
        <v>227865</v>
      </c>
      <c r="F100" s="96">
        <v>206636</v>
      </c>
      <c r="G100" s="97">
        <f>F100-G169</f>
        <v>206636</v>
      </c>
      <c r="H100" s="97">
        <f t="shared" ref="H100:L100" si="62">G100-H169</f>
        <v>206636</v>
      </c>
      <c r="I100" s="97">
        <f t="shared" si="62"/>
        <v>206636</v>
      </c>
      <c r="J100" s="97">
        <f t="shared" si="62"/>
        <v>206636</v>
      </c>
      <c r="K100" s="97">
        <f t="shared" si="62"/>
        <v>206636</v>
      </c>
      <c r="L100" s="97">
        <f t="shared" si="62"/>
        <v>206636</v>
      </c>
    </row>
    <row r="101" spans="1:15" x14ac:dyDescent="0.25">
      <c r="A101" s="167"/>
      <c r="B101" s="95" t="s">
        <v>21</v>
      </c>
      <c r="C101" s="96"/>
      <c r="D101" s="96"/>
      <c r="E101" s="96">
        <v>9917</v>
      </c>
      <c r="F101" s="96">
        <v>17689</v>
      </c>
      <c r="G101" s="97">
        <f>F101</f>
        <v>17689</v>
      </c>
      <c r="H101" s="97">
        <f t="shared" ref="H101:L101" si="63">G101</f>
        <v>17689</v>
      </c>
      <c r="I101" s="97">
        <f t="shared" si="63"/>
        <v>17689</v>
      </c>
      <c r="J101" s="97">
        <f t="shared" si="63"/>
        <v>17689</v>
      </c>
      <c r="K101" s="97">
        <f t="shared" si="63"/>
        <v>17689</v>
      </c>
      <c r="L101" s="97">
        <f t="shared" si="63"/>
        <v>17689</v>
      </c>
    </row>
    <row r="102" spans="1:15" x14ac:dyDescent="0.25">
      <c r="A102" s="165"/>
      <c r="B102" s="9" t="s">
        <v>22</v>
      </c>
      <c r="C102" s="10">
        <v>8830</v>
      </c>
      <c r="D102" s="10">
        <v>10275</v>
      </c>
      <c r="E102" s="10">
        <v>6732</v>
      </c>
      <c r="F102" s="10">
        <v>6004</v>
      </c>
      <c r="G102" s="11">
        <f t="shared" ref="G102:L102" si="64">G103*G4</f>
        <v>7927.8715120962452</v>
      </c>
      <c r="H102" s="11">
        <f t="shared" si="64"/>
        <v>8403.5438028220196</v>
      </c>
      <c r="I102" s="11">
        <f t="shared" si="64"/>
        <v>10044.145303616862</v>
      </c>
      <c r="J102" s="11">
        <f t="shared" si="64"/>
        <v>11025.590312709048</v>
      </c>
      <c r="K102" s="11">
        <f t="shared" si="64"/>
        <v>11687.125731471589</v>
      </c>
      <c r="L102" s="11">
        <f t="shared" si="64"/>
        <v>11920.868246101023</v>
      </c>
    </row>
    <row r="103" spans="1:15" x14ac:dyDescent="0.25">
      <c r="A103" s="165"/>
      <c r="B103" s="33" t="s">
        <v>101</v>
      </c>
      <c r="C103" s="23">
        <f>C102/C4</f>
        <v>3.2099566092388585E-3</v>
      </c>
      <c r="D103" s="23">
        <f>D102/D4</f>
        <v>3.5326698904786379E-3</v>
      </c>
      <c r="E103" s="23">
        <f>E102/E4</f>
        <v>2.3839362640545826E-3</v>
      </c>
      <c r="F103" s="23">
        <f>F102/F4</f>
        <v>3.030370327001387E-3</v>
      </c>
      <c r="G103" s="25">
        <f>F103</f>
        <v>3.030370327001387E-3</v>
      </c>
      <c r="H103" s="25">
        <f t="shared" ref="H103:L103" si="65">G103</f>
        <v>3.030370327001387E-3</v>
      </c>
      <c r="I103" s="25">
        <f t="shared" si="65"/>
        <v>3.030370327001387E-3</v>
      </c>
      <c r="J103" s="25">
        <f t="shared" si="65"/>
        <v>3.030370327001387E-3</v>
      </c>
      <c r="K103" s="25">
        <f t="shared" si="65"/>
        <v>3.030370327001387E-3</v>
      </c>
      <c r="L103" s="25">
        <f t="shared" si="65"/>
        <v>3.030370327001387E-3</v>
      </c>
    </row>
    <row r="104" spans="1:15" x14ac:dyDescent="0.25">
      <c r="A104" s="165"/>
      <c r="B104" s="105" t="s">
        <v>23</v>
      </c>
      <c r="C104" s="106">
        <f t="shared" ref="C104:D104" si="66">C86+C87+C93+C94+C100+C101+C102</f>
        <v>2980705</v>
      </c>
      <c r="D104" s="106">
        <f t="shared" si="66"/>
        <v>3004596</v>
      </c>
      <c r="E104" s="106">
        <f>E86+E87+E93+E94+E100+E101+E102</f>
        <v>3211070</v>
      </c>
      <c r="F104" s="106">
        <f>F86+F87+F93+F94+F100+F101+F102</f>
        <v>3020948</v>
      </c>
      <c r="G104" s="131">
        <f ca="1">G86+G87+G93+G94+G100+G101+G102</f>
        <v>3242539.9661939102</v>
      </c>
      <c r="H104" s="131">
        <f t="shared" ref="H104:L104" ca="1" si="67">H86+H87+H93+H94+H100+H101+H102</f>
        <v>2772249.3084126785</v>
      </c>
      <c r="I104" s="131">
        <f t="shared" ca="1" si="67"/>
        <v>2867078.9327168581</v>
      </c>
      <c r="J104" s="131">
        <f t="shared" ca="1" si="67"/>
        <v>2806581.4533634479</v>
      </c>
      <c r="K104" s="131">
        <f t="shared" ca="1" si="67"/>
        <v>2869884.2389364811</v>
      </c>
      <c r="L104" s="131">
        <f t="shared" ca="1" si="67"/>
        <v>2800244.3224340687</v>
      </c>
    </row>
    <row r="105" spans="1:15" x14ac:dyDescent="0.25">
      <c r="A105" s="178"/>
      <c r="B105" s="26" t="s">
        <v>24</v>
      </c>
      <c r="C105" s="27">
        <v>258476</v>
      </c>
      <c r="D105" s="27">
        <v>346985</v>
      </c>
      <c r="E105" s="27">
        <v>406631</v>
      </c>
      <c r="F105" s="27">
        <v>343722</v>
      </c>
      <c r="G105" s="92">
        <f t="shared" ref="G105:L105" si="68">G6/G108</f>
        <v>351760.92863858287</v>
      </c>
      <c r="H105" s="92">
        <f t="shared" si="68"/>
        <v>358990.77462552744</v>
      </c>
      <c r="I105" s="92">
        <f t="shared" si="68"/>
        <v>412490.8413859267</v>
      </c>
      <c r="J105" s="92">
        <f t="shared" si="68"/>
        <v>452796.61806845566</v>
      </c>
      <c r="K105" s="92">
        <f t="shared" si="68"/>
        <v>479964.41515256307</v>
      </c>
      <c r="L105" s="92">
        <f t="shared" si="68"/>
        <v>489563.70345561433</v>
      </c>
    </row>
    <row r="106" spans="1:15" x14ac:dyDescent="0.25">
      <c r="A106" s="171"/>
      <c r="B106" s="28" t="s">
        <v>42</v>
      </c>
      <c r="C106" s="27"/>
      <c r="D106" s="27"/>
      <c r="E106" s="27">
        <f>E105-E107</f>
        <v>395564</v>
      </c>
      <c r="F106" s="27">
        <f>F105-F107</f>
        <v>326069</v>
      </c>
      <c r="G106" s="92"/>
      <c r="H106" s="92"/>
      <c r="I106" s="92"/>
      <c r="J106" s="92"/>
      <c r="K106" s="92"/>
      <c r="L106" s="92"/>
      <c r="O106" s="130"/>
    </row>
    <row r="107" spans="1:15" x14ac:dyDescent="0.25">
      <c r="A107" s="168"/>
      <c r="B107" s="28" t="s">
        <v>137</v>
      </c>
      <c r="C107" s="27"/>
      <c r="D107" s="27"/>
      <c r="E107" s="27">
        <v>11067</v>
      </c>
      <c r="F107" s="27">
        <v>17653</v>
      </c>
      <c r="G107" s="92"/>
      <c r="H107" s="92"/>
      <c r="I107" s="92"/>
      <c r="J107" s="92"/>
      <c r="K107" s="92"/>
      <c r="L107" s="92"/>
    </row>
    <row r="108" spans="1:15" x14ac:dyDescent="0.25">
      <c r="A108" s="179"/>
      <c r="B108" s="93" t="s">
        <v>76</v>
      </c>
      <c r="C108" s="94"/>
      <c r="D108" s="94">
        <f>D13/((D105+C105)/2)</f>
        <v>6.9454911216411954</v>
      </c>
      <c r="E108" s="94">
        <f>E13/((E105+D105)/2)</f>
        <v>5.6247213434958914</v>
      </c>
      <c r="F108" s="94">
        <f>F13/((F105+E105)/2)</f>
        <v>3.9938988715977679</v>
      </c>
      <c r="G108" s="135">
        <f>E108</f>
        <v>5.6247213434958914</v>
      </c>
      <c r="H108" s="135">
        <f t="shared" ref="H108:L108" si="69">G108</f>
        <v>5.6247213434958914</v>
      </c>
      <c r="I108" s="135">
        <f t="shared" si="69"/>
        <v>5.6247213434958914</v>
      </c>
      <c r="J108" s="135">
        <f t="shared" si="69"/>
        <v>5.6247213434958914</v>
      </c>
      <c r="K108" s="135">
        <f t="shared" si="69"/>
        <v>5.6247213434958914</v>
      </c>
      <c r="L108" s="135">
        <f t="shared" si="69"/>
        <v>5.6247213434958914</v>
      </c>
    </row>
    <row r="109" spans="1:15" x14ac:dyDescent="0.25">
      <c r="A109" s="167"/>
      <c r="B109" s="136" t="s">
        <v>25</v>
      </c>
      <c r="C109" s="137"/>
      <c r="D109" s="137"/>
      <c r="E109" s="137">
        <v>1255</v>
      </c>
      <c r="F109" s="137"/>
      <c r="G109" s="137"/>
    </row>
    <row r="110" spans="1:15" x14ac:dyDescent="0.25">
      <c r="A110" s="165"/>
      <c r="B110" s="186" t="s">
        <v>26</v>
      </c>
      <c r="C110" s="187"/>
      <c r="D110" s="187"/>
      <c r="E110" s="187">
        <v>14518</v>
      </c>
      <c r="F110" s="187">
        <v>15884</v>
      </c>
      <c r="G110" s="11">
        <f>G115*G111</f>
        <v>12071.885221051654</v>
      </c>
      <c r="H110" s="11">
        <f t="shared" ref="H110:L110" si="70">H115*H111</f>
        <v>10418.128850477184</v>
      </c>
      <c r="I110" s="11">
        <f t="shared" si="70"/>
        <v>8826.2948235501754</v>
      </c>
      <c r="J110" s="11">
        <f t="shared" si="70"/>
        <v>7294.0645541045988</v>
      </c>
      <c r="K110" s="11">
        <f t="shared" si="70"/>
        <v>5790.0274209310182</v>
      </c>
      <c r="L110" s="11">
        <f t="shared" si="70"/>
        <v>4342.3066266547839</v>
      </c>
    </row>
    <row r="111" spans="1:15" x14ac:dyDescent="0.25">
      <c r="A111" s="165"/>
      <c r="B111" s="33" t="s">
        <v>90</v>
      </c>
      <c r="C111" s="34"/>
      <c r="D111" s="34"/>
      <c r="E111" s="34">
        <f>E110/E115</f>
        <v>0.17813496932515338</v>
      </c>
      <c r="F111" s="34">
        <f>F110/F115</f>
        <v>0.19261738455568492</v>
      </c>
      <c r="G111" s="24">
        <f>F111</f>
        <v>0.19261738455568492</v>
      </c>
      <c r="H111" s="24">
        <f t="shared" ref="H111:L111" si="71">G111</f>
        <v>0.19261738455568492</v>
      </c>
      <c r="I111" s="24">
        <f t="shared" si="71"/>
        <v>0.19261738455568492</v>
      </c>
      <c r="J111" s="24">
        <f t="shared" si="71"/>
        <v>0.19261738455568492</v>
      </c>
      <c r="K111" s="24">
        <f t="shared" si="71"/>
        <v>0.19261738455568492</v>
      </c>
      <c r="L111" s="24">
        <f t="shared" si="71"/>
        <v>0.19261738455568492</v>
      </c>
    </row>
    <row r="112" spans="1:15" x14ac:dyDescent="0.25">
      <c r="A112" s="165"/>
      <c r="B112" s="105" t="s">
        <v>27</v>
      </c>
      <c r="C112" s="106">
        <f t="shared" ref="C112:D112" si="72">C105+C109+C110</f>
        <v>258476</v>
      </c>
      <c r="D112" s="106">
        <f t="shared" si="72"/>
        <v>346985</v>
      </c>
      <c r="E112" s="106">
        <f>E105+E109+E110</f>
        <v>422404</v>
      </c>
      <c r="F112" s="106">
        <f>F105+F109+F110</f>
        <v>359606</v>
      </c>
      <c r="G112" s="131">
        <f>G105+G109+G110</f>
        <v>363832.81385963451</v>
      </c>
      <c r="H112" s="131">
        <f t="shared" ref="H112:L112" si="73">H105+H109+H110</f>
        <v>369408.90347600461</v>
      </c>
      <c r="I112" s="131">
        <f t="shared" si="73"/>
        <v>421317.13620947686</v>
      </c>
      <c r="J112" s="131">
        <f t="shared" si="73"/>
        <v>460090.68262256024</v>
      </c>
      <c r="K112" s="131">
        <f t="shared" si="73"/>
        <v>485754.4425734941</v>
      </c>
      <c r="L112" s="131">
        <f t="shared" si="73"/>
        <v>493906.01008226915</v>
      </c>
    </row>
    <row r="113" spans="1:15" x14ac:dyDescent="0.25">
      <c r="A113" s="180"/>
      <c r="B113" s="95" t="s">
        <v>28</v>
      </c>
      <c r="C113" s="96">
        <v>630000</v>
      </c>
      <c r="D113" s="96">
        <v>669000</v>
      </c>
      <c r="E113" s="96">
        <v>845000</v>
      </c>
      <c r="F113" s="96">
        <v>1000000</v>
      </c>
      <c r="G113" s="97">
        <f>F113+G212-G213</f>
        <v>1000000</v>
      </c>
      <c r="H113" s="97">
        <f>G113+H212-(-H213)</f>
        <v>600000</v>
      </c>
      <c r="I113" s="97">
        <f t="shared" ref="I113:L113" si="74">H113+I212-(-I213)</f>
        <v>600000</v>
      </c>
      <c r="J113" s="97">
        <f t="shared" si="74"/>
        <v>450000</v>
      </c>
      <c r="K113" s="97">
        <f t="shared" si="74"/>
        <v>450000</v>
      </c>
      <c r="L113" s="97">
        <f t="shared" si="74"/>
        <v>450000</v>
      </c>
      <c r="O113" s="130"/>
    </row>
    <row r="114" spans="1:15" x14ac:dyDescent="0.25">
      <c r="A114" s="165"/>
      <c r="B114" s="9" t="s">
        <v>29</v>
      </c>
      <c r="C114" s="10"/>
      <c r="D114" s="10"/>
      <c r="E114" s="10">
        <v>66982</v>
      </c>
      <c r="F114" s="10">
        <v>66580</v>
      </c>
      <c r="G114" s="11">
        <f>(1-G111)*G115</f>
        <v>50600.989550341168</v>
      </c>
      <c r="H114" s="11">
        <f t="shared" ref="H114:L114" si="75">(1-H111)*H115</f>
        <v>43669.039213344935</v>
      </c>
      <c r="I114" s="11">
        <f t="shared" si="75"/>
        <v>36996.645010826658</v>
      </c>
      <c r="J114" s="11">
        <f t="shared" si="75"/>
        <v>30574.088265694041</v>
      </c>
      <c r="K114" s="11">
        <f t="shared" si="75"/>
        <v>24269.706980961168</v>
      </c>
      <c r="L114" s="11">
        <f t="shared" si="75"/>
        <v>18201.38348040012</v>
      </c>
    </row>
    <row r="115" spans="1:15" x14ac:dyDescent="0.25">
      <c r="A115" s="165"/>
      <c r="B115" s="9" t="s">
        <v>78</v>
      </c>
      <c r="C115" s="10"/>
      <c r="D115" s="10"/>
      <c r="E115" s="10">
        <f>E110+E114</f>
        <v>81500</v>
      </c>
      <c r="F115" s="10">
        <f>F110+F114</f>
        <v>82464</v>
      </c>
      <c r="G115" s="11">
        <f>F115-(-G214)</f>
        <v>62672.874771392817</v>
      </c>
      <c r="H115" s="11">
        <f t="shared" ref="H115:L115" si="76">G115-(-H214)</f>
        <v>54087.168063822115</v>
      </c>
      <c r="I115" s="11">
        <f t="shared" si="76"/>
        <v>45822.939834376833</v>
      </c>
      <c r="J115" s="11">
        <f t="shared" si="76"/>
        <v>37868.152819798641</v>
      </c>
      <c r="K115" s="11">
        <f t="shared" si="76"/>
        <v>30059.734401892187</v>
      </c>
      <c r="L115" s="11">
        <f t="shared" si="76"/>
        <v>22543.690107054903</v>
      </c>
    </row>
    <row r="116" spans="1:15" x14ac:dyDescent="0.25">
      <c r="A116" s="165"/>
      <c r="B116" s="95" t="s">
        <v>21</v>
      </c>
      <c r="C116" s="96">
        <v>3713</v>
      </c>
      <c r="D116" s="96">
        <v>12623</v>
      </c>
      <c r="E116" s="96"/>
      <c r="F116" s="96"/>
      <c r="G116" s="97"/>
      <c r="H116" s="97"/>
      <c r="I116" s="97"/>
      <c r="J116" s="97"/>
      <c r="K116" s="97"/>
      <c r="L116" s="97"/>
    </row>
    <row r="117" spans="1:15" x14ac:dyDescent="0.25">
      <c r="A117" s="165"/>
      <c r="B117" s="98" t="s">
        <v>139</v>
      </c>
      <c r="C117" s="99"/>
      <c r="D117" s="99"/>
      <c r="E117" s="99"/>
      <c r="F117" s="99"/>
      <c r="G117" s="99">
        <f t="shared" ref="G117:L117" si="77">G26</f>
        <v>0</v>
      </c>
      <c r="H117" s="99">
        <f t="shared" si="77"/>
        <v>0</v>
      </c>
      <c r="I117" s="99">
        <f t="shared" si="77"/>
        <v>0</v>
      </c>
      <c r="J117" s="99">
        <f t="shared" si="77"/>
        <v>0</v>
      </c>
      <c r="K117" s="99">
        <f t="shared" si="77"/>
        <v>0</v>
      </c>
      <c r="L117" s="99">
        <f t="shared" si="77"/>
        <v>0</v>
      </c>
    </row>
    <row r="118" spans="1:15" x14ac:dyDescent="0.25">
      <c r="A118" s="165"/>
      <c r="B118" s="35" t="s">
        <v>30</v>
      </c>
      <c r="C118" s="21">
        <v>37141</v>
      </c>
      <c r="D118" s="21">
        <v>39916</v>
      </c>
      <c r="E118" s="21">
        <v>42190</v>
      </c>
      <c r="F118" s="21">
        <v>35865</v>
      </c>
      <c r="G118" s="36">
        <f>G119+G127+G129</f>
        <v>43709.718133333176</v>
      </c>
      <c r="H118" s="36">
        <f t="shared" ref="H118:L118" si="78">H119+H127+H129</f>
        <v>45862.107824330313</v>
      </c>
      <c r="I118" s="36">
        <f t="shared" si="78"/>
        <v>52604.645469882933</v>
      </c>
      <c r="J118" s="36">
        <f t="shared" si="78"/>
        <v>56759.919841624818</v>
      </c>
      <c r="K118" s="36">
        <f t="shared" si="78"/>
        <v>59662.970037874744</v>
      </c>
      <c r="L118" s="36">
        <f t="shared" si="78"/>
        <v>60889.436107148809</v>
      </c>
    </row>
    <row r="119" spans="1:15" x14ac:dyDescent="0.25">
      <c r="A119" s="165"/>
      <c r="B119" s="22" t="s">
        <v>97</v>
      </c>
      <c r="C119" s="21"/>
      <c r="D119" s="21"/>
      <c r="E119" s="21">
        <f>E120+E121+E122+E123+E124+E125</f>
        <v>27767</v>
      </c>
      <c r="F119" s="21">
        <f>F120+F121+F122+F123+F124+F125</f>
        <v>19889</v>
      </c>
      <c r="G119" s="36">
        <f t="shared" ref="G119:L119" si="79">G126*G4</f>
        <v>26262.064707542009</v>
      </c>
      <c r="H119" s="36">
        <f t="shared" si="79"/>
        <v>27837.788589994532</v>
      </c>
      <c r="I119" s="36">
        <f t="shared" si="79"/>
        <v>33272.485999939337</v>
      </c>
      <c r="J119" s="36">
        <f t="shared" si="79"/>
        <v>36523.645191450742</v>
      </c>
      <c r="K119" s="36">
        <f t="shared" si="79"/>
        <v>38715.063902937785</v>
      </c>
      <c r="L119" s="36">
        <f t="shared" si="79"/>
        <v>39489.365180996545</v>
      </c>
    </row>
    <row r="120" spans="1:15" x14ac:dyDescent="0.25">
      <c r="A120" s="165"/>
      <c r="B120" s="37" t="s">
        <v>91</v>
      </c>
      <c r="C120" s="21"/>
      <c r="D120" s="21"/>
      <c r="E120" s="21">
        <v>22075</v>
      </c>
      <c r="F120" s="21">
        <v>27767</v>
      </c>
      <c r="G120" s="36"/>
      <c r="H120" s="36"/>
      <c r="I120" s="36"/>
      <c r="J120" s="36"/>
      <c r="K120" s="36"/>
      <c r="L120" s="36"/>
    </row>
    <row r="121" spans="1:15" x14ac:dyDescent="0.25">
      <c r="A121" s="165"/>
      <c r="B121" s="37" t="s">
        <v>92</v>
      </c>
      <c r="C121" s="21"/>
      <c r="D121" s="21"/>
      <c r="E121" s="21">
        <v>14226</v>
      </c>
      <c r="F121" s="21">
        <v>16785</v>
      </c>
      <c r="G121" s="36"/>
      <c r="H121" s="36"/>
      <c r="I121" s="36"/>
      <c r="J121" s="36"/>
      <c r="K121" s="36"/>
      <c r="L121" s="36"/>
    </row>
    <row r="122" spans="1:15" x14ac:dyDescent="0.25">
      <c r="A122" s="165"/>
      <c r="B122" s="37" t="s">
        <v>93</v>
      </c>
      <c r="C122" s="21"/>
      <c r="D122" s="21"/>
      <c r="E122" s="21">
        <v>6798</v>
      </c>
      <c r="F122" s="21">
        <v>7305</v>
      </c>
      <c r="G122" s="36"/>
      <c r="H122" s="36"/>
      <c r="I122" s="36"/>
      <c r="J122" s="36"/>
      <c r="K122" s="36"/>
      <c r="L122" s="36"/>
    </row>
    <row r="123" spans="1:15" x14ac:dyDescent="0.25">
      <c r="A123" s="166"/>
      <c r="B123" s="37" t="s">
        <v>94</v>
      </c>
      <c r="C123" s="21"/>
      <c r="D123" s="21"/>
      <c r="E123" s="21">
        <v>1296</v>
      </c>
      <c r="F123" s="21">
        <v>-12142</v>
      </c>
      <c r="G123" s="36"/>
      <c r="H123" s="36"/>
      <c r="I123" s="36"/>
      <c r="J123" s="36"/>
      <c r="K123" s="36"/>
      <c r="L123" s="36"/>
    </row>
    <row r="124" spans="1:15" x14ac:dyDescent="0.25">
      <c r="A124" s="165"/>
      <c r="B124" s="37" t="s">
        <v>95</v>
      </c>
      <c r="C124" s="21"/>
      <c r="D124" s="21"/>
      <c r="E124" s="21">
        <v>-584</v>
      </c>
      <c r="F124" s="21">
        <v>-253</v>
      </c>
      <c r="G124" s="36"/>
      <c r="H124" s="36"/>
      <c r="I124" s="36"/>
      <c r="J124" s="36"/>
      <c r="K124" s="36"/>
      <c r="L124" s="36"/>
    </row>
    <row r="125" spans="1:15" x14ac:dyDescent="0.25">
      <c r="A125" s="166"/>
      <c r="B125" s="37" t="s">
        <v>96</v>
      </c>
      <c r="C125" s="21"/>
      <c r="D125" s="21"/>
      <c r="E125" s="21">
        <v>-16044</v>
      </c>
      <c r="F125" s="21">
        <v>-19573</v>
      </c>
      <c r="G125" s="36"/>
      <c r="H125" s="36"/>
      <c r="I125" s="36"/>
      <c r="J125" s="36"/>
      <c r="K125" s="36"/>
      <c r="L125" s="36"/>
    </row>
    <row r="126" spans="1:15" x14ac:dyDescent="0.25">
      <c r="A126" s="165"/>
      <c r="B126" s="43" t="s">
        <v>101</v>
      </c>
      <c r="C126" s="38"/>
      <c r="D126" s="38"/>
      <c r="E126" s="38">
        <f>E119/E4</f>
        <v>9.8328517890676759E-3</v>
      </c>
      <c r="F126" s="38">
        <f>F119/F4</f>
        <v>1.0038480252120351E-2</v>
      </c>
      <c r="G126" s="39">
        <f>F126</f>
        <v>1.0038480252120351E-2</v>
      </c>
      <c r="H126" s="39">
        <f t="shared" ref="H126:L126" si="80">G126</f>
        <v>1.0038480252120351E-2</v>
      </c>
      <c r="I126" s="39">
        <f t="shared" si="80"/>
        <v>1.0038480252120351E-2</v>
      </c>
      <c r="J126" s="39">
        <f t="shared" si="80"/>
        <v>1.0038480252120351E-2</v>
      </c>
      <c r="K126" s="39">
        <f t="shared" si="80"/>
        <v>1.0038480252120351E-2</v>
      </c>
      <c r="L126" s="39">
        <f t="shared" si="80"/>
        <v>1.0038480252120351E-2</v>
      </c>
    </row>
    <row r="127" spans="1:15" x14ac:dyDescent="0.25">
      <c r="A127" s="165"/>
      <c r="B127" s="22" t="s">
        <v>100</v>
      </c>
      <c r="C127" s="21"/>
      <c r="D127" s="21"/>
      <c r="E127" s="21">
        <v>3633</v>
      </c>
      <c r="F127" s="21">
        <v>3736</v>
      </c>
      <c r="G127" s="36">
        <f t="shared" ref="G127:L127" si="81">G128*G4</f>
        <v>4933.1325731498291</v>
      </c>
      <c r="H127" s="36">
        <f t="shared" si="81"/>
        <v>5229.1205275388184</v>
      </c>
      <c r="I127" s="36">
        <f t="shared" si="81"/>
        <v>6249.9878171739838</v>
      </c>
      <c r="J127" s="36">
        <f t="shared" si="81"/>
        <v>6860.6937721987006</v>
      </c>
      <c r="K127" s="36">
        <f t="shared" si="81"/>
        <v>7272.335398530623</v>
      </c>
      <c r="L127" s="36">
        <f t="shared" si="81"/>
        <v>7417.7821065012358</v>
      </c>
    </row>
    <row r="128" spans="1:15" x14ac:dyDescent="0.25">
      <c r="A128" s="165"/>
      <c r="B128" s="43" t="s">
        <v>101</v>
      </c>
      <c r="C128" s="38"/>
      <c r="D128" s="38"/>
      <c r="E128" s="38">
        <f>E127/E4</f>
        <v>1.2865181888458554E-3</v>
      </c>
      <c r="F128" s="38">
        <f>F127/F4</f>
        <v>1.8856534879542275E-3</v>
      </c>
      <c r="G128" s="39">
        <f>F128</f>
        <v>1.8856534879542275E-3</v>
      </c>
      <c r="H128" s="39">
        <f t="shared" ref="H128:L128" si="82">G128</f>
        <v>1.8856534879542275E-3</v>
      </c>
      <c r="I128" s="39">
        <f t="shared" si="82"/>
        <v>1.8856534879542275E-3</v>
      </c>
      <c r="J128" s="39">
        <f t="shared" si="82"/>
        <v>1.8856534879542275E-3</v>
      </c>
      <c r="K128" s="39">
        <f t="shared" si="82"/>
        <v>1.8856534879542275E-3</v>
      </c>
      <c r="L128" s="39">
        <f t="shared" si="82"/>
        <v>1.8856534879542275E-3</v>
      </c>
    </row>
    <row r="129" spans="1:12" x14ac:dyDescent="0.25">
      <c r="A129" s="165"/>
      <c r="B129" s="22" t="s">
        <v>104</v>
      </c>
      <c r="C129" s="21"/>
      <c r="D129" s="21"/>
      <c r="E129" s="21">
        <f>E130+E131+E132+E133+E134</f>
        <v>10790</v>
      </c>
      <c r="F129" s="21">
        <f>F130+F131+F132+F133+F134</f>
        <v>12240</v>
      </c>
      <c r="G129" s="21">
        <f>G130+G131+G132+G133+G134</f>
        <v>12514.520852641335</v>
      </c>
      <c r="H129" s="21">
        <f t="shared" ref="H129:L129" si="83">H130+H131+H132+H133+H134</f>
        <v>12795.19870679696</v>
      </c>
      <c r="I129" s="21">
        <f t="shared" si="83"/>
        <v>13082.171652769608</v>
      </c>
      <c r="J129" s="21">
        <f t="shared" si="83"/>
        <v>13375.580877975377</v>
      </c>
      <c r="K129" s="21">
        <f t="shared" si="83"/>
        <v>13675.570736406335</v>
      </c>
      <c r="L129" s="21">
        <f t="shared" si="83"/>
        <v>13982.288819651036</v>
      </c>
    </row>
    <row r="130" spans="1:12" x14ac:dyDescent="0.25">
      <c r="A130" s="171"/>
      <c r="B130" s="37" t="s">
        <v>98</v>
      </c>
      <c r="C130" s="21"/>
      <c r="D130" s="21"/>
      <c r="E130" s="21">
        <v>9724</v>
      </c>
      <c r="F130" s="21">
        <v>10790</v>
      </c>
      <c r="G130" s="36">
        <f>F129</f>
        <v>12240</v>
      </c>
      <c r="H130" s="36">
        <f t="shared" ref="H130:L130" si="84">G129</f>
        <v>12514.520852641335</v>
      </c>
      <c r="I130" s="36">
        <f t="shared" si="84"/>
        <v>12795.19870679696</v>
      </c>
      <c r="J130" s="36">
        <f t="shared" si="84"/>
        <v>13082.171652769608</v>
      </c>
      <c r="K130" s="36">
        <f t="shared" si="84"/>
        <v>13375.580877975377</v>
      </c>
      <c r="L130" s="36">
        <f t="shared" si="84"/>
        <v>13675.570736406335</v>
      </c>
    </row>
    <row r="131" spans="1:12" x14ac:dyDescent="0.25">
      <c r="A131" s="165"/>
      <c r="B131" s="37" t="s">
        <v>105</v>
      </c>
      <c r="C131" s="21"/>
      <c r="D131" s="21"/>
      <c r="E131" s="21">
        <v>4619</v>
      </c>
      <c r="F131" s="21"/>
      <c r="G131" s="36"/>
      <c r="H131" s="36"/>
      <c r="I131" s="36"/>
      <c r="J131" s="36"/>
      <c r="K131" s="36"/>
      <c r="L131" s="36"/>
    </row>
    <row r="132" spans="1:12" x14ac:dyDescent="0.25">
      <c r="A132" s="166"/>
      <c r="B132" s="37" t="s">
        <v>103</v>
      </c>
      <c r="C132" s="21"/>
      <c r="D132" s="21"/>
      <c r="E132" s="21">
        <v>-4619</v>
      </c>
      <c r="F132" s="21"/>
      <c r="G132" s="36"/>
      <c r="H132" s="36"/>
      <c r="I132" s="36"/>
      <c r="J132" s="36"/>
      <c r="K132" s="36"/>
      <c r="L132" s="36"/>
    </row>
    <row r="133" spans="1:12" x14ac:dyDescent="0.25">
      <c r="A133" s="167"/>
      <c r="B133" s="41" t="s">
        <v>99</v>
      </c>
      <c r="C133" s="42"/>
      <c r="D133" s="42"/>
      <c r="E133" s="42">
        <v>779</v>
      </c>
      <c r="F133" s="42">
        <v>1208</v>
      </c>
      <c r="G133" s="42"/>
      <c r="H133" s="42"/>
      <c r="I133" s="42"/>
      <c r="J133" s="42"/>
      <c r="K133" s="42"/>
      <c r="L133" s="42"/>
    </row>
    <row r="134" spans="1:12" x14ac:dyDescent="0.25">
      <c r="A134" s="165"/>
      <c r="B134" s="37" t="s">
        <v>102</v>
      </c>
      <c r="C134" s="21"/>
      <c r="D134" s="21"/>
      <c r="E134" s="21">
        <v>287</v>
      </c>
      <c r="F134" s="21">
        <v>242</v>
      </c>
      <c r="G134" s="36">
        <f>G135*G130</f>
        <v>274.52085264133456</v>
      </c>
      <c r="H134" s="36">
        <f t="shared" ref="H134:L134" si="85">H135*H130</f>
        <v>280.67785415562588</v>
      </c>
      <c r="I134" s="36">
        <f t="shared" si="85"/>
        <v>286.97294597264727</v>
      </c>
      <c r="J134" s="36">
        <f t="shared" si="85"/>
        <v>293.40922520576879</v>
      </c>
      <c r="K134" s="36">
        <f t="shared" si="85"/>
        <v>299.98985843095841</v>
      </c>
      <c r="L134" s="36">
        <f t="shared" si="85"/>
        <v>306.71808324470186</v>
      </c>
    </row>
    <row r="135" spans="1:12" x14ac:dyDescent="0.25">
      <c r="A135" s="165"/>
      <c r="B135" s="40" t="s">
        <v>106</v>
      </c>
      <c r="C135" s="38"/>
      <c r="D135" s="38"/>
      <c r="E135" s="38">
        <f>E134/E130</f>
        <v>2.951460304401481E-2</v>
      </c>
      <c r="F135" s="38">
        <f>F134/F130</f>
        <v>2.242817423540315E-2</v>
      </c>
      <c r="G135" s="39">
        <f>F135</f>
        <v>2.242817423540315E-2</v>
      </c>
      <c r="H135" s="39">
        <f t="shared" ref="H135:L135" si="86">G135</f>
        <v>2.242817423540315E-2</v>
      </c>
      <c r="I135" s="39">
        <f t="shared" si="86"/>
        <v>2.242817423540315E-2</v>
      </c>
      <c r="J135" s="39">
        <f t="shared" si="86"/>
        <v>2.242817423540315E-2</v>
      </c>
      <c r="K135" s="39">
        <f t="shared" si="86"/>
        <v>2.242817423540315E-2</v>
      </c>
      <c r="L135" s="39">
        <f t="shared" si="86"/>
        <v>2.242817423540315E-2</v>
      </c>
    </row>
    <row r="136" spans="1:12" x14ac:dyDescent="0.25">
      <c r="A136" s="165"/>
      <c r="B136" s="105" t="s">
        <v>31</v>
      </c>
      <c r="C136" s="106">
        <f>C112+C113+C114+C116+C118</f>
        <v>929330</v>
      </c>
      <c r="D136" s="106">
        <f>D112+D113+D114+D116+D118</f>
        <v>1068524</v>
      </c>
      <c r="E136" s="106">
        <f>E112+E113+E114+E118</f>
        <v>1376576</v>
      </c>
      <c r="F136" s="106">
        <f>F112+F113+F114+F118</f>
        <v>1462051</v>
      </c>
      <c r="G136" s="131">
        <f>G112+G113+G114+G117+G118</f>
        <v>1458143.5215433089</v>
      </c>
      <c r="H136" s="131">
        <f t="shared" ref="H136:L136" si="87">H112+H113+H114+H117+H118</f>
        <v>1058940.0505136799</v>
      </c>
      <c r="I136" s="131">
        <f t="shared" si="87"/>
        <v>1110918.4266901866</v>
      </c>
      <c r="J136" s="131">
        <f t="shared" si="87"/>
        <v>997424.69072987919</v>
      </c>
      <c r="K136" s="131">
        <f t="shared" si="87"/>
        <v>1019687.11959233</v>
      </c>
      <c r="L136" s="131">
        <f t="shared" si="87"/>
        <v>1022996.8296698179</v>
      </c>
    </row>
    <row r="137" spans="1:12" x14ac:dyDescent="0.25">
      <c r="A137" s="165"/>
      <c r="B137" s="95" t="s">
        <v>32</v>
      </c>
      <c r="C137" s="96">
        <v>159170</v>
      </c>
      <c r="D137" s="96">
        <v>159858</v>
      </c>
      <c r="E137" s="96">
        <v>174218</v>
      </c>
      <c r="F137" s="96">
        <v>183938</v>
      </c>
      <c r="G137" s="97">
        <f>F137-(-G225)-(-G221)-(-G228)</f>
        <v>183938</v>
      </c>
      <c r="H137" s="97">
        <f t="shared" ref="H137:L137" si="88">G137-(-H225)-(-H221)-(-H228)</f>
        <v>183938</v>
      </c>
      <c r="I137" s="97">
        <f t="shared" si="88"/>
        <v>183938</v>
      </c>
      <c r="J137" s="97">
        <f t="shared" si="88"/>
        <v>183938</v>
      </c>
      <c r="K137" s="97">
        <f t="shared" si="88"/>
        <v>183938</v>
      </c>
      <c r="L137" s="97">
        <f t="shared" si="88"/>
        <v>183938</v>
      </c>
    </row>
    <row r="138" spans="1:12" x14ac:dyDescent="0.25">
      <c r="A138" s="167"/>
      <c r="B138" s="95" t="s">
        <v>33</v>
      </c>
      <c r="C138" s="96">
        <v>25208</v>
      </c>
      <c r="D138" s="96">
        <v>32490</v>
      </c>
      <c r="E138" s="96">
        <v>32769</v>
      </c>
      <c r="F138" s="96">
        <v>24936</v>
      </c>
      <c r="G138" s="97">
        <f>F138+G176-(-G216)</f>
        <v>33853.265068480396</v>
      </c>
      <c r="H138" s="97">
        <f t="shared" ref="H138:L138" si="89">G138+H176-(-H216)</f>
        <v>49832.582778499265</v>
      </c>
      <c r="I138" s="97">
        <f t="shared" si="89"/>
        <v>68931.500175489607</v>
      </c>
      <c r="J138" s="97">
        <f t="shared" si="89"/>
        <v>89896.632824422806</v>
      </c>
      <c r="K138" s="97">
        <f t="shared" si="89"/>
        <v>112119.67343229199</v>
      </c>
      <c r="L138" s="97">
        <f t="shared" si="89"/>
        <v>134787.17485231857</v>
      </c>
    </row>
    <row r="139" spans="1:12" x14ac:dyDescent="0.25">
      <c r="A139" s="167"/>
      <c r="B139" s="95" t="s">
        <v>34</v>
      </c>
      <c r="C139" s="96">
        <v>1853457</v>
      </c>
      <c r="D139" s="96">
        <v>1740342</v>
      </c>
      <c r="E139" s="96">
        <v>1628042</v>
      </c>
      <c r="F139" s="96">
        <v>1359061</v>
      </c>
      <c r="G139" s="97">
        <f t="shared" ref="G139:L139" ca="1" si="90">F139+G48-(-G217)-(-G226)-(-G222)-(-G229)</f>
        <v>1575643.1795821206</v>
      </c>
      <c r="H139" s="97">
        <f t="shared" ca="1" si="90"/>
        <v>1568641.4870630333</v>
      </c>
      <c r="I139" s="97">
        <f t="shared" ca="1" si="90"/>
        <v>1738020.1279058552</v>
      </c>
      <c r="J139" s="97">
        <f t="shared" ca="1" si="90"/>
        <v>1963823.8609624179</v>
      </c>
      <c r="K139" s="97">
        <f t="shared" ca="1" si="90"/>
        <v>2232518.7745620478</v>
      </c>
      <c r="L139" s="97">
        <f t="shared" ca="1" si="90"/>
        <v>2375946.7363722259</v>
      </c>
    </row>
    <row r="140" spans="1:12" x14ac:dyDescent="0.25">
      <c r="A140" s="181"/>
      <c r="B140" s="95" t="s">
        <v>35</v>
      </c>
      <c r="C140" s="96">
        <v>13540</v>
      </c>
      <c r="D140" s="96">
        <v>3382</v>
      </c>
      <c r="E140" s="96">
        <v>-535</v>
      </c>
      <c r="F140" s="96">
        <v>-9038</v>
      </c>
      <c r="G140" s="97">
        <f>F140+G231</f>
        <v>-9038</v>
      </c>
      <c r="H140" s="97">
        <f t="shared" ref="H140:L140" si="91">G140+H231</f>
        <v>-9038</v>
      </c>
      <c r="I140" s="97">
        <f t="shared" si="91"/>
        <v>-9038</v>
      </c>
      <c r="J140" s="97">
        <f t="shared" si="91"/>
        <v>-9038</v>
      </c>
      <c r="K140" s="97">
        <f t="shared" si="91"/>
        <v>-9038</v>
      </c>
      <c r="L140" s="97">
        <f t="shared" si="91"/>
        <v>-9038</v>
      </c>
    </row>
    <row r="141" spans="1:12" x14ac:dyDescent="0.25">
      <c r="A141" s="175"/>
      <c r="B141" s="105" t="s">
        <v>36</v>
      </c>
      <c r="C141" s="106">
        <f t="shared" ref="C141:D141" si="92">C137+C138+C139+C140</f>
        <v>2051375</v>
      </c>
      <c r="D141" s="106">
        <f t="shared" si="92"/>
        <v>1936072</v>
      </c>
      <c r="E141" s="106">
        <f>E137+E138+E139+E140</f>
        <v>1834494</v>
      </c>
      <c r="F141" s="106">
        <f>F137+F138+F139+F140</f>
        <v>1558897</v>
      </c>
      <c r="G141" s="106">
        <f ca="1">G137+G138+G139+G140</f>
        <v>1784396.4446506011</v>
      </c>
      <c r="H141" s="106">
        <f t="shared" ref="H141:L141" ca="1" si="93">H137+H138+H139+H140</f>
        <v>1793374.0698415325</v>
      </c>
      <c r="I141" s="106">
        <f t="shared" ca="1" si="93"/>
        <v>1981851.6280813448</v>
      </c>
      <c r="J141" s="106">
        <f t="shared" ca="1" si="93"/>
        <v>2228620.4937868407</v>
      </c>
      <c r="K141" s="106">
        <f t="shared" ca="1" si="93"/>
        <v>2519538.4479943397</v>
      </c>
      <c r="L141" s="106">
        <f t="shared" ca="1" si="93"/>
        <v>2685633.9112245445</v>
      </c>
    </row>
    <row r="142" spans="1:12" x14ac:dyDescent="0.25">
      <c r="A142" s="165"/>
      <c r="B142" s="105" t="s">
        <v>38</v>
      </c>
      <c r="C142" s="106">
        <f t="shared" ref="C142:D142" si="94">C136+C141</f>
        <v>2980705</v>
      </c>
      <c r="D142" s="106">
        <f t="shared" si="94"/>
        <v>3004596</v>
      </c>
      <c r="E142" s="106">
        <f>E136+E141</f>
        <v>3211070</v>
      </c>
      <c r="F142" s="106">
        <f>F136+F141</f>
        <v>3020948</v>
      </c>
      <c r="G142" s="106">
        <f ca="1">G136+G141</f>
        <v>3242539.9661939098</v>
      </c>
      <c r="H142" s="106">
        <f t="shared" ref="H142:L142" ca="1" si="95">H136+H141</f>
        <v>2852314.1203552121</v>
      </c>
      <c r="I142" s="106">
        <f t="shared" ca="1" si="95"/>
        <v>3092770.0547715314</v>
      </c>
      <c r="J142" s="106">
        <f t="shared" ca="1" si="95"/>
        <v>3226045.18451672</v>
      </c>
      <c r="K142" s="106">
        <f t="shared" ca="1" si="95"/>
        <v>3539225.5675866697</v>
      </c>
      <c r="L142" s="106">
        <f t="shared" ca="1" si="95"/>
        <v>3708630.7408943623</v>
      </c>
    </row>
    <row r="143" spans="1:12" x14ac:dyDescent="0.25">
      <c r="A143" s="165"/>
      <c r="B143" s="136" t="s">
        <v>37</v>
      </c>
      <c r="C143" s="137">
        <f t="shared" ref="C143:D143" si="96">C104-C142</f>
        <v>0</v>
      </c>
      <c r="D143" s="137">
        <f t="shared" si="96"/>
        <v>0</v>
      </c>
      <c r="E143" s="137">
        <f>E104-E142</f>
        <v>0</v>
      </c>
      <c r="F143" s="137">
        <f>F104-F142</f>
        <v>0</v>
      </c>
      <c r="G143" s="137">
        <f ca="1">G104-G142</f>
        <v>0</v>
      </c>
      <c r="H143" s="137">
        <f t="shared" ref="H143:L143" ca="1" si="97">H104-H142</f>
        <v>-80064.81194253359</v>
      </c>
      <c r="I143" s="137">
        <f t="shared" ca="1" si="97"/>
        <v>-225691.12205467327</v>
      </c>
      <c r="J143" s="137">
        <f t="shared" ca="1" si="97"/>
        <v>-419463.73115327209</v>
      </c>
      <c r="K143" s="137">
        <f t="shared" ca="1" si="97"/>
        <v>-669341.32865018863</v>
      </c>
      <c r="L143" s="137">
        <f t="shared" ca="1" si="97"/>
        <v>-908386.41846029367</v>
      </c>
    </row>
    <row r="144" spans="1:12" x14ac:dyDescent="0.25">
      <c r="A144" s="165"/>
      <c r="B144" s="5" t="s">
        <v>71</v>
      </c>
      <c r="C144" s="190"/>
      <c r="D144" s="190"/>
      <c r="E144" s="190"/>
      <c r="F144" s="190"/>
      <c r="G144" s="190"/>
      <c r="H144" s="190"/>
      <c r="I144" s="190"/>
      <c r="J144" s="190"/>
      <c r="K144" s="190"/>
      <c r="L144" s="190"/>
    </row>
    <row r="145" spans="1:12" x14ac:dyDescent="0.25">
      <c r="A145" s="165"/>
      <c r="B145" s="194" t="str">
        <f t="shared" ref="B145:L145" si="98">B3</f>
        <v>(in thousands of USD, except per share data)</v>
      </c>
      <c r="C145" s="5">
        <f t="shared" si="98"/>
        <v>2017</v>
      </c>
      <c r="D145" s="5">
        <f t="shared" si="98"/>
        <v>2018</v>
      </c>
      <c r="E145" s="5">
        <f t="shared" si="98"/>
        <v>2019</v>
      </c>
      <c r="F145" s="5">
        <f t="shared" si="98"/>
        <v>2020</v>
      </c>
      <c r="G145" s="7" t="str">
        <f t="shared" si="98"/>
        <v>2021E</v>
      </c>
      <c r="H145" s="7" t="str">
        <f t="shared" si="98"/>
        <v>2022E</v>
      </c>
      <c r="I145" s="7" t="str">
        <f t="shared" si="98"/>
        <v>2023E</v>
      </c>
      <c r="J145" s="7" t="str">
        <f t="shared" si="98"/>
        <v>2024E</v>
      </c>
      <c r="K145" s="7" t="str">
        <f t="shared" si="98"/>
        <v>2025E</v>
      </c>
      <c r="L145" s="7" t="str">
        <f t="shared" si="98"/>
        <v>Terminal</v>
      </c>
    </row>
    <row r="146" spans="1:12" x14ac:dyDescent="0.25">
      <c r="A146" s="165"/>
      <c r="B146" s="95" t="s">
        <v>10</v>
      </c>
      <c r="C146" s="96">
        <f t="shared" ref="C146:L146" si="99">C48</f>
        <v>362334</v>
      </c>
      <c r="D146" s="96">
        <f t="shared" si="99"/>
        <v>350774</v>
      </c>
      <c r="E146" s="96">
        <f t="shared" si="99"/>
        <v>259809</v>
      </c>
      <c r="F146" s="96">
        <f t="shared" si="99"/>
        <v>-225282</v>
      </c>
      <c r="G146" s="96">
        <f t="shared" ca="1" si="99"/>
        <v>216582.17958212062</v>
      </c>
      <c r="H146" s="96">
        <f t="shared" ca="1" si="99"/>
        <v>342012.72748091258</v>
      </c>
      <c r="I146" s="96">
        <f t="shared" ca="1" si="99"/>
        <v>518393.0608428219</v>
      </c>
      <c r="J146" s="96">
        <f t="shared" ca="1" si="99"/>
        <v>574818.15305656288</v>
      </c>
      <c r="K146" s="96">
        <f t="shared" ca="1" si="99"/>
        <v>617709.33359962981</v>
      </c>
      <c r="L146" s="96">
        <f t="shared" ca="1" si="99"/>
        <v>492442.38181017805</v>
      </c>
    </row>
    <row r="147" spans="1:12" x14ac:dyDescent="0.25">
      <c r="A147" s="165"/>
      <c r="B147" s="95" t="s">
        <v>39</v>
      </c>
      <c r="C147" s="96"/>
      <c r="D147" s="96"/>
      <c r="E147" s="96"/>
      <c r="F147" s="96"/>
      <c r="G147" s="96"/>
    </row>
    <row r="148" spans="1:12" x14ac:dyDescent="0.25">
      <c r="A148" s="165"/>
      <c r="B148" s="68" t="s">
        <v>62</v>
      </c>
      <c r="C148" s="69">
        <v>136233</v>
      </c>
      <c r="D148" s="69">
        <v>125797</v>
      </c>
      <c r="E148" s="69">
        <v>117945</v>
      </c>
      <c r="F148" s="69">
        <v>108452</v>
      </c>
      <c r="G148" s="69">
        <f t="shared" ref="G148:L148" si="100">G154*G4</f>
        <v>143203.45123748534</v>
      </c>
      <c r="H148" s="69">
        <f t="shared" si="100"/>
        <v>151795.65831173447</v>
      </c>
      <c r="I148" s="69">
        <f t="shared" si="100"/>
        <v>181430.3208640666</v>
      </c>
      <c r="J148" s="69">
        <f t="shared" si="100"/>
        <v>199158.44780045329</v>
      </c>
      <c r="K148" s="69">
        <f t="shared" si="100"/>
        <v>211107.9546684805</v>
      </c>
      <c r="L148" s="69">
        <f t="shared" si="100"/>
        <v>215330.11376185011</v>
      </c>
    </row>
    <row r="149" spans="1:12" x14ac:dyDescent="0.25">
      <c r="A149" s="165"/>
      <c r="B149" s="70" t="s">
        <v>120</v>
      </c>
      <c r="C149" s="69"/>
      <c r="D149" s="69"/>
      <c r="E149" s="69">
        <v>0</v>
      </c>
      <c r="F149" s="69">
        <v>0</v>
      </c>
      <c r="G149" s="69"/>
      <c r="H149" s="69"/>
      <c r="I149" s="69"/>
      <c r="J149" s="69"/>
      <c r="K149" s="69"/>
      <c r="L149" s="69"/>
    </row>
    <row r="150" spans="1:12" x14ac:dyDescent="0.25">
      <c r="A150" s="165"/>
      <c r="B150" s="70" t="s">
        <v>121</v>
      </c>
      <c r="C150" s="69"/>
      <c r="D150" s="69"/>
      <c r="E150" s="69">
        <v>25037</v>
      </c>
      <c r="F150" s="69">
        <v>24537</v>
      </c>
      <c r="G150" s="69"/>
      <c r="H150" s="69"/>
      <c r="I150" s="69"/>
      <c r="J150" s="69"/>
      <c r="K150" s="69"/>
      <c r="L150" s="69"/>
    </row>
    <row r="151" spans="1:12" x14ac:dyDescent="0.25">
      <c r="A151" s="166"/>
      <c r="B151" s="70" t="s">
        <v>122</v>
      </c>
      <c r="C151" s="69"/>
      <c r="D151" s="69"/>
      <c r="E151" s="69">
        <v>79335</v>
      </c>
      <c r="F151" s="69">
        <v>70497</v>
      </c>
      <c r="G151" s="69"/>
      <c r="H151" s="69"/>
      <c r="I151" s="69"/>
      <c r="J151" s="69"/>
      <c r="K151" s="69"/>
      <c r="L151" s="69"/>
    </row>
    <row r="152" spans="1:12" x14ac:dyDescent="0.25">
      <c r="A152" s="165"/>
      <c r="B152" s="70" t="s">
        <v>123</v>
      </c>
      <c r="C152" s="69"/>
      <c r="D152" s="69"/>
      <c r="E152" s="69">
        <v>13573</v>
      </c>
      <c r="F152" s="69">
        <v>13418</v>
      </c>
      <c r="G152" s="69"/>
      <c r="H152" s="69"/>
      <c r="I152" s="69"/>
      <c r="J152" s="69"/>
      <c r="K152" s="69"/>
      <c r="L152" s="69"/>
    </row>
    <row r="153" spans="1:12" x14ac:dyDescent="0.25">
      <c r="A153" s="182"/>
      <c r="B153" s="70" t="s">
        <v>124</v>
      </c>
      <c r="C153" s="69"/>
      <c r="D153" s="69"/>
      <c r="E153" s="69">
        <v>0</v>
      </c>
      <c r="F153" s="69">
        <v>0</v>
      </c>
      <c r="G153" s="69"/>
      <c r="H153" s="69"/>
      <c r="I153" s="69"/>
      <c r="J153" s="69"/>
      <c r="K153" s="69"/>
      <c r="L153" s="69"/>
    </row>
    <row r="154" spans="1:12" x14ac:dyDescent="0.25">
      <c r="A154" s="183"/>
      <c r="B154" s="72" t="s">
        <v>101</v>
      </c>
      <c r="C154" s="74"/>
      <c r="D154" s="74"/>
      <c r="E154" s="74">
        <f>E148/E4</f>
        <v>4.1766690829458962E-2</v>
      </c>
      <c r="F154" s="74">
        <f>F148/F4</f>
        <v>5.473846147634151E-2</v>
      </c>
      <c r="G154" s="75">
        <f>F154</f>
        <v>5.473846147634151E-2</v>
      </c>
      <c r="H154" s="75">
        <f t="shared" ref="H154:L154" si="101">G154</f>
        <v>5.473846147634151E-2</v>
      </c>
      <c r="I154" s="75">
        <f t="shared" si="101"/>
        <v>5.473846147634151E-2</v>
      </c>
      <c r="J154" s="75">
        <f t="shared" si="101"/>
        <v>5.473846147634151E-2</v>
      </c>
      <c r="K154" s="75">
        <f t="shared" si="101"/>
        <v>5.473846147634151E-2</v>
      </c>
      <c r="L154" s="75">
        <f t="shared" si="101"/>
        <v>5.473846147634151E-2</v>
      </c>
    </row>
    <row r="155" spans="1:12" x14ac:dyDescent="0.25">
      <c r="A155" s="169"/>
      <c r="B155" s="67" t="s">
        <v>63</v>
      </c>
      <c r="C155" s="12"/>
      <c r="D155" s="12"/>
      <c r="E155" s="12">
        <v>13295</v>
      </c>
      <c r="F155" s="12">
        <v>14656</v>
      </c>
      <c r="G155" s="12">
        <f t="shared" ref="G155:L155" si="102">G156*G4</f>
        <v>19352.245982891833</v>
      </c>
      <c r="H155" s="12">
        <f t="shared" si="102"/>
        <v>20513.380741865345</v>
      </c>
      <c r="I155" s="12">
        <f t="shared" si="102"/>
        <v>24518.153492639696</v>
      </c>
      <c r="J155" s="12">
        <f t="shared" si="102"/>
        <v>26913.899337618888</v>
      </c>
      <c r="K155" s="12">
        <f t="shared" si="102"/>
        <v>28528.733297876021</v>
      </c>
      <c r="L155" s="12">
        <f t="shared" si="102"/>
        <v>29099.307963833544</v>
      </c>
    </row>
    <row r="156" spans="1:12" x14ac:dyDescent="0.25">
      <c r="A156" s="169"/>
      <c r="B156" s="121" t="s">
        <v>101</v>
      </c>
      <c r="C156" s="122"/>
      <c r="D156" s="122"/>
      <c r="E156" s="122">
        <f>E155/E4</f>
        <v>4.7080262374637073E-3</v>
      </c>
      <c r="F156" s="122">
        <f>F155/F4</f>
        <v>7.3972530833664773E-3</v>
      </c>
      <c r="G156" s="123">
        <f>F156</f>
        <v>7.3972530833664773E-3</v>
      </c>
      <c r="H156" s="123">
        <f t="shared" ref="H156:L156" si="103">G156</f>
        <v>7.3972530833664773E-3</v>
      </c>
      <c r="I156" s="123">
        <f t="shared" si="103"/>
        <v>7.3972530833664773E-3</v>
      </c>
      <c r="J156" s="123">
        <f t="shared" si="103"/>
        <v>7.3972530833664773E-3</v>
      </c>
      <c r="K156" s="123">
        <f t="shared" si="103"/>
        <v>7.3972530833664773E-3</v>
      </c>
      <c r="L156" s="123">
        <f t="shared" si="103"/>
        <v>7.3972530833664773E-3</v>
      </c>
    </row>
    <row r="157" spans="1:12" x14ac:dyDescent="0.25">
      <c r="A157" s="170"/>
      <c r="B157" s="138" t="s">
        <v>64</v>
      </c>
      <c r="C157" s="139">
        <v>323</v>
      </c>
      <c r="D157" s="139">
        <v>4940</v>
      </c>
      <c r="E157" s="139">
        <v>3059</v>
      </c>
      <c r="F157" s="139">
        <v>3676</v>
      </c>
      <c r="G157" s="96"/>
    </row>
    <row r="158" spans="1:12" x14ac:dyDescent="0.25">
      <c r="A158" s="169"/>
      <c r="B158" s="76" t="s">
        <v>130</v>
      </c>
      <c r="C158" s="51">
        <f t="shared" ref="C158:D158" si="104">C159+C161+C162+C164+C166</f>
        <v>25526</v>
      </c>
      <c r="D158" s="51">
        <f t="shared" si="104"/>
        <v>27339</v>
      </c>
      <c r="E158" s="51">
        <f>E159+E161+E162+E164+E166</f>
        <v>22495</v>
      </c>
      <c r="F158" s="51">
        <f>F159+F161+F162+F164+F166</f>
        <v>20406</v>
      </c>
      <c r="G158" s="51">
        <f>G159+G161+G162+G164+G166</f>
        <v>26720.425719082046</v>
      </c>
      <c r="H158" s="51">
        <f t="shared" ref="H158:L158" si="105">H159+H161+H162+H164+H166</f>
        <v>28281.651262226969</v>
      </c>
      <c r="I158" s="51">
        <f t="shared" si="105"/>
        <v>33666.343663070264</v>
      </c>
      <c r="J158" s="51">
        <f t="shared" si="105"/>
        <v>36887.588724557703</v>
      </c>
      <c r="K158" s="51">
        <f t="shared" si="105"/>
        <v>39058.844048031169</v>
      </c>
      <c r="L158" s="51">
        <f t="shared" si="105"/>
        <v>39826.020928991791</v>
      </c>
    </row>
    <row r="159" spans="1:12" x14ac:dyDescent="0.25">
      <c r="A159" s="169"/>
      <c r="B159" s="77" t="s">
        <v>125</v>
      </c>
      <c r="C159" s="51">
        <v>13287</v>
      </c>
      <c r="D159" s="51">
        <v>13592</v>
      </c>
      <c r="E159" s="51">
        <v>12780</v>
      </c>
      <c r="F159" s="51">
        <v>10670</v>
      </c>
      <c r="G159" s="51">
        <f t="shared" ref="G159:L159" si="106">G160*G4</f>
        <v>14089.005502009815</v>
      </c>
      <c r="H159" s="51">
        <f t="shared" si="106"/>
        <v>14934.345832130404</v>
      </c>
      <c r="I159" s="51">
        <f t="shared" si="106"/>
        <v>17849.938439305781</v>
      </c>
      <c r="J159" s="51">
        <f t="shared" si="106"/>
        <v>19594.112031413311</v>
      </c>
      <c r="K159" s="51">
        <f t="shared" si="106"/>
        <v>20769.758753298112</v>
      </c>
      <c r="L159" s="51">
        <f t="shared" si="106"/>
        <v>21185.153928364074</v>
      </c>
    </row>
    <row r="160" spans="1:12" x14ac:dyDescent="0.25">
      <c r="A160" s="170"/>
      <c r="B160" s="78" t="s">
        <v>101</v>
      </c>
      <c r="C160" s="58">
        <f>C159/C4</f>
        <v>4.8302031106406242E-3</v>
      </c>
      <c r="D160" s="58">
        <f>D159/D4</f>
        <v>4.6730948079207442E-3</v>
      </c>
      <c r="E160" s="58">
        <f>E159/E4</f>
        <v>4.5256544050234059E-3</v>
      </c>
      <c r="F160" s="58">
        <f>F159/F4</f>
        <v>5.3854182859934705E-3</v>
      </c>
      <c r="G160" s="65">
        <f>F160</f>
        <v>5.3854182859934705E-3</v>
      </c>
      <c r="H160" s="65">
        <f t="shared" ref="H160:L160" si="107">G160</f>
        <v>5.3854182859934705E-3</v>
      </c>
      <c r="I160" s="65">
        <f t="shared" si="107"/>
        <v>5.3854182859934705E-3</v>
      </c>
      <c r="J160" s="65">
        <f t="shared" si="107"/>
        <v>5.3854182859934705E-3</v>
      </c>
      <c r="K160" s="65">
        <f t="shared" si="107"/>
        <v>5.3854182859934705E-3</v>
      </c>
      <c r="L160" s="65">
        <f t="shared" si="107"/>
        <v>5.3854182859934705E-3</v>
      </c>
    </row>
    <row r="161" spans="1:14" x14ac:dyDescent="0.25">
      <c r="A161" s="169"/>
      <c r="B161" s="77" t="s">
        <v>126</v>
      </c>
      <c r="C161" s="51">
        <v>983</v>
      </c>
      <c r="D161" s="51">
        <v>700</v>
      </c>
      <c r="E161" s="51">
        <v>700</v>
      </c>
      <c r="F161" s="51">
        <v>700</v>
      </c>
      <c r="G161" s="79">
        <f>F161</f>
        <v>700</v>
      </c>
      <c r="H161" s="79">
        <f t="shared" ref="H161:L161" si="108">G161</f>
        <v>700</v>
      </c>
      <c r="I161" s="79">
        <f t="shared" si="108"/>
        <v>700</v>
      </c>
      <c r="J161" s="79">
        <f t="shared" si="108"/>
        <v>700</v>
      </c>
      <c r="K161" s="79">
        <f t="shared" si="108"/>
        <v>700</v>
      </c>
      <c r="L161" s="79">
        <f t="shared" si="108"/>
        <v>700</v>
      </c>
    </row>
    <row r="162" spans="1:14" x14ac:dyDescent="0.25">
      <c r="A162" s="170"/>
      <c r="B162" s="77" t="s">
        <v>127</v>
      </c>
      <c r="C162" s="51">
        <v>6448</v>
      </c>
      <c r="D162" s="51">
        <v>8572</v>
      </c>
      <c r="E162" s="51">
        <v>3809</v>
      </c>
      <c r="F162" s="51">
        <v>2932</v>
      </c>
      <c r="G162" s="51">
        <f t="shared" ref="G162:L162" si="109">G163*G4</f>
        <v>3871.5055418831093</v>
      </c>
      <c r="H162" s="51">
        <f t="shared" si="109"/>
        <v>4103.7958743960962</v>
      </c>
      <c r="I162" s="51">
        <f t="shared" si="109"/>
        <v>4904.9690256836502</v>
      </c>
      <c r="J162" s="51">
        <f t="shared" si="109"/>
        <v>5384.2489668325989</v>
      </c>
      <c r="K162" s="51">
        <f t="shared" si="109"/>
        <v>5707.3039048425553</v>
      </c>
      <c r="L162" s="51">
        <f t="shared" si="109"/>
        <v>5821.4499829394063</v>
      </c>
    </row>
    <row r="163" spans="1:14" x14ac:dyDescent="0.25">
      <c r="A163" s="169"/>
      <c r="B163" s="78" t="s">
        <v>101</v>
      </c>
      <c r="C163" s="58"/>
      <c r="D163" s="58"/>
      <c r="E163" s="58">
        <f>E162/E4</f>
        <v>1.3488433199322497E-3</v>
      </c>
      <c r="F163" s="58">
        <f>F162/F4</f>
        <v>1.4798543968634354E-3</v>
      </c>
      <c r="G163" s="65">
        <f>F163</f>
        <v>1.4798543968634354E-3</v>
      </c>
      <c r="H163" s="65">
        <f t="shared" ref="H163:L163" si="110">G163</f>
        <v>1.4798543968634354E-3</v>
      </c>
      <c r="I163" s="65">
        <f t="shared" si="110"/>
        <v>1.4798543968634354E-3</v>
      </c>
      <c r="J163" s="65">
        <f t="shared" si="110"/>
        <v>1.4798543968634354E-3</v>
      </c>
      <c r="K163" s="65">
        <f t="shared" si="110"/>
        <v>1.4798543968634354E-3</v>
      </c>
      <c r="L163" s="65">
        <f t="shared" si="110"/>
        <v>1.4798543968634354E-3</v>
      </c>
    </row>
    <row r="164" spans="1:14" x14ac:dyDescent="0.25">
      <c r="A164" s="165"/>
      <c r="B164" s="77" t="s">
        <v>128</v>
      </c>
      <c r="C164" s="51">
        <v>4808</v>
      </c>
      <c r="D164" s="51">
        <v>4475</v>
      </c>
      <c r="E164" s="51">
        <v>5206</v>
      </c>
      <c r="F164" s="51">
        <v>6104</v>
      </c>
      <c r="G164" s="51">
        <f t="shared" ref="G164:L164" si="111">G165*G4</f>
        <v>8059.9146751891203</v>
      </c>
      <c r="H164" s="51">
        <f t="shared" si="111"/>
        <v>8543.5095557004679</v>
      </c>
      <c r="I164" s="51">
        <f t="shared" si="111"/>
        <v>10211.436198080833</v>
      </c>
      <c r="J164" s="51">
        <f t="shared" si="111"/>
        <v>11209.227726311796</v>
      </c>
      <c r="K164" s="51">
        <f t="shared" si="111"/>
        <v>11881.781389890504</v>
      </c>
      <c r="L164" s="51">
        <f t="shared" si="111"/>
        <v>12119.417017688314</v>
      </c>
      <c r="N164" s="96"/>
    </row>
    <row r="165" spans="1:14" x14ac:dyDescent="0.25">
      <c r="A165" s="165"/>
      <c r="B165" s="78" t="s">
        <v>101</v>
      </c>
      <c r="C165" s="58">
        <f>C164/C4</f>
        <v>1.7478450030827216E-3</v>
      </c>
      <c r="D165" s="58">
        <f>D164/D4</f>
        <v>1.5385593926902099E-3</v>
      </c>
      <c r="E165" s="58">
        <f>E164/E4</f>
        <v>1.8435490479305047E-3</v>
      </c>
      <c r="F165" s="58">
        <f>F164/F4</f>
        <v>3.0808428507688983E-3</v>
      </c>
      <c r="G165" s="65">
        <f>F165</f>
        <v>3.0808428507688983E-3</v>
      </c>
      <c r="H165" s="65">
        <f t="shared" ref="H165:L165" si="112">G165</f>
        <v>3.0808428507688983E-3</v>
      </c>
      <c r="I165" s="65">
        <f t="shared" si="112"/>
        <v>3.0808428507688983E-3</v>
      </c>
      <c r="J165" s="65">
        <f t="shared" si="112"/>
        <v>3.0808428507688983E-3</v>
      </c>
      <c r="K165" s="65">
        <f t="shared" si="112"/>
        <v>3.0808428507688983E-3</v>
      </c>
      <c r="L165" s="65">
        <f t="shared" si="112"/>
        <v>3.0808428507688983E-3</v>
      </c>
    </row>
    <row r="166" spans="1:14" x14ac:dyDescent="0.25">
      <c r="A166" s="165"/>
      <c r="B166" s="77" t="s">
        <v>129</v>
      </c>
      <c r="C166" s="51"/>
      <c r="D166" s="51"/>
      <c r="E166" s="51">
        <v>0</v>
      </c>
      <c r="F166" s="51">
        <v>0</v>
      </c>
      <c r="G166" s="79">
        <v>0</v>
      </c>
      <c r="H166" s="79">
        <v>0</v>
      </c>
      <c r="I166" s="79">
        <v>0</v>
      </c>
      <c r="J166" s="79">
        <v>0</v>
      </c>
      <c r="K166" s="79">
        <v>0</v>
      </c>
      <c r="L166" s="79">
        <v>0</v>
      </c>
    </row>
    <row r="167" spans="1:14" x14ac:dyDescent="0.25">
      <c r="A167" s="165"/>
      <c r="B167" s="95" t="s">
        <v>69</v>
      </c>
      <c r="C167" s="96">
        <v>930</v>
      </c>
      <c r="D167" s="96">
        <v>12394</v>
      </c>
      <c r="E167" s="96">
        <v>13061</v>
      </c>
      <c r="F167" s="96">
        <v>23933</v>
      </c>
      <c r="G167" s="96">
        <f t="shared" ref="G167:L167" si="113">G26</f>
        <v>0</v>
      </c>
      <c r="H167" s="96">
        <f t="shared" si="113"/>
        <v>0</v>
      </c>
      <c r="I167" s="96">
        <f t="shared" si="113"/>
        <v>0</v>
      </c>
      <c r="J167" s="96">
        <f t="shared" si="113"/>
        <v>0</v>
      </c>
      <c r="K167" s="96">
        <f t="shared" si="113"/>
        <v>0</v>
      </c>
      <c r="L167" s="96">
        <f t="shared" si="113"/>
        <v>0</v>
      </c>
    </row>
    <row r="168" spans="1:14" x14ac:dyDescent="0.25">
      <c r="A168" s="165"/>
      <c r="B168" s="48" t="s">
        <v>6</v>
      </c>
      <c r="C168" s="15"/>
      <c r="D168" s="15"/>
      <c r="E168" s="15">
        <v>0</v>
      </c>
      <c r="F168" s="15">
        <v>93989</v>
      </c>
      <c r="G168" s="79">
        <f>G169+G170+G171+G172+G173+G174</f>
        <v>0</v>
      </c>
      <c r="H168" s="79">
        <f t="shared" ref="H168:L168" si="114">H169+H170+H171+H172+H173+H174</f>
        <v>0</v>
      </c>
      <c r="I168" s="79">
        <f t="shared" si="114"/>
        <v>0</v>
      </c>
      <c r="J168" s="79">
        <f t="shared" si="114"/>
        <v>0</v>
      </c>
      <c r="K168" s="79">
        <f t="shared" si="114"/>
        <v>0</v>
      </c>
      <c r="L168" s="79">
        <f t="shared" si="114"/>
        <v>0</v>
      </c>
    </row>
    <row r="169" spans="1:14" x14ac:dyDescent="0.25">
      <c r="A169" s="165"/>
      <c r="B169" s="16" t="s">
        <v>20</v>
      </c>
      <c r="C169" s="15"/>
      <c r="D169" s="15"/>
      <c r="E169" s="15">
        <v>0</v>
      </c>
      <c r="F169" s="15">
        <v>21229</v>
      </c>
      <c r="G169" s="79">
        <v>0</v>
      </c>
      <c r="H169" s="79">
        <v>0</v>
      </c>
      <c r="I169" s="79">
        <v>0</v>
      </c>
      <c r="J169" s="79">
        <v>0</v>
      </c>
      <c r="K169" s="79">
        <v>0</v>
      </c>
      <c r="L169" s="79">
        <v>0</v>
      </c>
    </row>
    <row r="170" spans="1:14" x14ac:dyDescent="0.25">
      <c r="A170" s="165"/>
      <c r="B170" s="16" t="s">
        <v>125</v>
      </c>
      <c r="C170" s="15"/>
      <c r="D170" s="15"/>
      <c r="E170" s="15">
        <v>0</v>
      </c>
      <c r="F170" s="15">
        <v>29617</v>
      </c>
      <c r="G170" s="79">
        <v>0</v>
      </c>
      <c r="H170" s="79">
        <v>0</v>
      </c>
      <c r="I170" s="79">
        <v>0</v>
      </c>
      <c r="J170" s="79">
        <v>0</v>
      </c>
      <c r="K170" s="79">
        <v>0</v>
      </c>
      <c r="L170" s="79">
        <v>0</v>
      </c>
    </row>
    <row r="171" spans="1:14" x14ac:dyDescent="0.25">
      <c r="A171" s="165"/>
      <c r="B171" s="16" t="s">
        <v>126</v>
      </c>
      <c r="C171" s="15"/>
      <c r="D171" s="15"/>
      <c r="E171" s="15">
        <v>0</v>
      </c>
      <c r="F171" s="15">
        <v>43143</v>
      </c>
      <c r="G171" s="79">
        <v>0</v>
      </c>
      <c r="H171" s="79">
        <v>0</v>
      </c>
      <c r="I171" s="79">
        <v>0</v>
      </c>
      <c r="J171" s="79">
        <v>0</v>
      </c>
      <c r="K171" s="79">
        <v>0</v>
      </c>
      <c r="L171" s="79">
        <v>0</v>
      </c>
    </row>
    <row r="172" spans="1:14" x14ac:dyDescent="0.25">
      <c r="A172" s="171"/>
      <c r="B172" s="16" t="s">
        <v>127</v>
      </c>
      <c r="C172" s="15"/>
      <c r="D172" s="15"/>
      <c r="E172" s="15">
        <v>0</v>
      </c>
      <c r="F172" s="15">
        <v>0</v>
      </c>
      <c r="G172" s="79">
        <v>0</v>
      </c>
      <c r="H172" s="79">
        <v>0</v>
      </c>
      <c r="I172" s="79">
        <v>0</v>
      </c>
      <c r="J172" s="79">
        <v>0</v>
      </c>
      <c r="K172" s="79">
        <v>0</v>
      </c>
      <c r="L172" s="79">
        <v>0</v>
      </c>
    </row>
    <row r="173" spans="1:14" x14ac:dyDescent="0.25">
      <c r="A173" s="165"/>
      <c r="B173" s="16" t="s">
        <v>128</v>
      </c>
      <c r="C173" s="15"/>
      <c r="D173" s="15"/>
      <c r="E173" s="15">
        <v>1250</v>
      </c>
      <c r="F173" s="15">
        <v>0</v>
      </c>
      <c r="G173" s="79">
        <v>0</v>
      </c>
      <c r="H173" s="79">
        <v>0</v>
      </c>
      <c r="I173" s="79">
        <v>0</v>
      </c>
      <c r="J173" s="79">
        <v>0</v>
      </c>
      <c r="K173" s="79">
        <v>0</v>
      </c>
      <c r="L173" s="79">
        <v>0</v>
      </c>
    </row>
    <row r="174" spans="1:14" x14ac:dyDescent="0.25">
      <c r="A174" s="184"/>
      <c r="B174" s="16" t="s">
        <v>129</v>
      </c>
      <c r="C174" s="15"/>
      <c r="D174" s="15"/>
      <c r="E174" s="15">
        <v>0</v>
      </c>
      <c r="F174" s="15">
        <v>0</v>
      </c>
      <c r="G174" s="79">
        <v>0</v>
      </c>
      <c r="H174" s="79">
        <v>0</v>
      </c>
      <c r="I174" s="79">
        <v>0</v>
      </c>
      <c r="J174" s="79">
        <v>0</v>
      </c>
      <c r="K174" s="79">
        <v>0</v>
      </c>
      <c r="L174" s="79">
        <v>0</v>
      </c>
    </row>
    <row r="175" spans="1:14" x14ac:dyDescent="0.25">
      <c r="A175" s="165"/>
      <c r="B175" s="136" t="s">
        <v>65</v>
      </c>
      <c r="C175" s="137">
        <v>368</v>
      </c>
      <c r="D175" s="137">
        <v>1124</v>
      </c>
      <c r="E175" s="137">
        <v>1399</v>
      </c>
      <c r="F175" s="137">
        <v>25909</v>
      </c>
      <c r="G175" s="137"/>
    </row>
    <row r="176" spans="1:14" x14ac:dyDescent="0.25">
      <c r="A176" s="171"/>
      <c r="B176" s="26" t="s">
        <v>66</v>
      </c>
      <c r="C176" s="27">
        <v>15867</v>
      </c>
      <c r="D176" s="27">
        <v>19513</v>
      </c>
      <c r="E176" s="27">
        <v>16272</v>
      </c>
      <c r="F176" s="27">
        <v>2090</v>
      </c>
      <c r="G176" s="92">
        <f t="shared" ref="G176:L176" si="115">G177*G4</f>
        <v>8917.2650684803939</v>
      </c>
      <c r="H176" s="92">
        <f t="shared" si="115"/>
        <v>15979.317710018871</v>
      </c>
      <c r="I176" s="92">
        <f t="shared" si="115"/>
        <v>19098.917396990335</v>
      </c>
      <c r="J176" s="92">
        <f t="shared" si="115"/>
        <v>20965.132648933199</v>
      </c>
      <c r="K176" s="92">
        <f t="shared" si="115"/>
        <v>22223.040607869192</v>
      </c>
      <c r="L176" s="92">
        <f t="shared" si="115"/>
        <v>22667.501420026576</v>
      </c>
    </row>
    <row r="177" spans="1:12" x14ac:dyDescent="0.25">
      <c r="A177" s="171"/>
      <c r="B177" s="26" t="s">
        <v>101</v>
      </c>
      <c r="C177" s="143">
        <f>C176/C4</f>
        <v>5.7681066272698717E-3</v>
      </c>
      <c r="D177" s="143">
        <f>D176/D4</f>
        <v>6.7088065764388969E-3</v>
      </c>
      <c r="E177" s="143">
        <f>E176/E4</f>
        <v>5.7622416649875472E-3</v>
      </c>
      <c r="F177" s="143">
        <f>F176/F4</f>
        <v>1.0548757467409892E-3</v>
      </c>
      <c r="G177" s="142">
        <f>(H177+F177)/2</f>
        <v>3.408558705864268E-3</v>
      </c>
      <c r="H177" s="142">
        <f>E177</f>
        <v>5.7622416649875472E-3</v>
      </c>
      <c r="I177" s="142">
        <f t="shared" ref="I177:L177" si="116">H177</f>
        <v>5.7622416649875472E-3</v>
      </c>
      <c r="J177" s="142">
        <f t="shared" si="116"/>
        <v>5.7622416649875472E-3</v>
      </c>
      <c r="K177" s="142">
        <f t="shared" si="116"/>
        <v>5.7622416649875472E-3</v>
      </c>
      <c r="L177" s="142">
        <f t="shared" si="116"/>
        <v>5.7622416649875472E-3</v>
      </c>
    </row>
    <row r="178" spans="1:12" x14ac:dyDescent="0.25">
      <c r="A178" s="165"/>
      <c r="B178" s="95" t="s">
        <v>21</v>
      </c>
      <c r="C178" s="96">
        <v>4895</v>
      </c>
      <c r="D178" s="96">
        <v>8872</v>
      </c>
      <c r="E178" s="96">
        <v>-23623</v>
      </c>
      <c r="F178" s="96">
        <v>-7724</v>
      </c>
      <c r="G178" s="96">
        <f>-(G101-F101)</f>
        <v>0</v>
      </c>
      <c r="H178" s="96">
        <f t="shared" ref="H178:L178" si="117">-(H101-G101)</f>
        <v>0</v>
      </c>
      <c r="I178" s="96">
        <f t="shared" si="117"/>
        <v>0</v>
      </c>
      <c r="J178" s="96">
        <f t="shared" si="117"/>
        <v>0</v>
      </c>
      <c r="K178" s="96">
        <f t="shared" si="117"/>
        <v>0</v>
      </c>
      <c r="L178" s="96">
        <f t="shared" si="117"/>
        <v>0</v>
      </c>
    </row>
    <row r="179" spans="1:12" x14ac:dyDescent="0.25">
      <c r="A179" s="165"/>
      <c r="B179" s="136" t="s">
        <v>67</v>
      </c>
      <c r="C179" s="137">
        <v>-863</v>
      </c>
      <c r="D179" s="137">
        <v>882</v>
      </c>
      <c r="E179" s="137">
        <v>-330</v>
      </c>
      <c r="F179" s="137">
        <v>8439</v>
      </c>
      <c r="G179" s="137"/>
    </row>
    <row r="180" spans="1:12" x14ac:dyDescent="0.25">
      <c r="A180" s="165"/>
      <c r="B180" s="136" t="s">
        <v>68</v>
      </c>
      <c r="C180" s="137">
        <v>-10070</v>
      </c>
      <c r="D180" s="137">
        <v>0</v>
      </c>
      <c r="E180" s="137">
        <v>907</v>
      </c>
      <c r="F180" s="137">
        <v>-1708</v>
      </c>
      <c r="G180" s="137"/>
    </row>
    <row r="181" spans="1:12" x14ac:dyDescent="0.25">
      <c r="A181" s="165"/>
      <c r="B181" s="95" t="s">
        <v>22</v>
      </c>
      <c r="C181" s="96">
        <v>-523</v>
      </c>
      <c r="D181" s="96">
        <v>-1445</v>
      </c>
      <c r="E181" s="96">
        <v>5971</v>
      </c>
      <c r="F181" s="96">
        <v>1530</v>
      </c>
      <c r="G181" s="96">
        <f>-(G102-F102)</f>
        <v>-1923.8715120962452</v>
      </c>
      <c r="H181" s="96">
        <f t="shared" ref="H181:L181" si="118">-(H102-G102)</f>
        <v>-475.67229072577447</v>
      </c>
      <c r="I181" s="96">
        <f t="shared" si="118"/>
        <v>-1640.6015007948427</v>
      </c>
      <c r="J181" s="96">
        <f t="shared" si="118"/>
        <v>-981.4450090921855</v>
      </c>
      <c r="K181" s="96">
        <f t="shared" si="118"/>
        <v>-661.53541876254167</v>
      </c>
      <c r="L181" s="96">
        <f t="shared" si="118"/>
        <v>-233.74251462943357</v>
      </c>
    </row>
    <row r="182" spans="1:12" x14ac:dyDescent="0.25">
      <c r="A182" s="165"/>
      <c r="B182" s="95" t="s">
        <v>30</v>
      </c>
      <c r="C182" s="96">
        <v>2445</v>
      </c>
      <c r="D182" s="96">
        <v>2839</v>
      </c>
      <c r="E182" s="96">
        <v>5097</v>
      </c>
      <c r="F182" s="96">
        <v>4154</v>
      </c>
      <c r="G182" s="96">
        <f>(G118-F118)</f>
        <v>7844.7181333331755</v>
      </c>
      <c r="H182" s="96">
        <f t="shared" ref="H182:L182" si="119">(H118-G118)</f>
        <v>2152.3896909971372</v>
      </c>
      <c r="I182" s="96">
        <f t="shared" si="119"/>
        <v>6742.5376455526202</v>
      </c>
      <c r="J182" s="96">
        <f t="shared" si="119"/>
        <v>4155.2743717418853</v>
      </c>
      <c r="K182" s="96">
        <f t="shared" si="119"/>
        <v>2903.0501962499256</v>
      </c>
      <c r="L182" s="96">
        <f t="shared" si="119"/>
        <v>1226.4660692740654</v>
      </c>
    </row>
    <row r="183" spans="1:12" x14ac:dyDescent="0.25">
      <c r="A183" s="165"/>
      <c r="B183" s="95" t="s">
        <v>40</v>
      </c>
      <c r="C183" s="96"/>
      <c r="D183" s="96"/>
      <c r="E183" s="96"/>
      <c r="F183" s="96"/>
      <c r="G183" s="96"/>
      <c r="H183" s="96"/>
      <c r="I183" s="96"/>
      <c r="J183" s="96"/>
      <c r="K183" s="96"/>
      <c r="L183" s="96"/>
    </row>
    <row r="184" spans="1:12" x14ac:dyDescent="0.25">
      <c r="A184" s="165"/>
      <c r="B184" s="140" t="s">
        <v>12</v>
      </c>
      <c r="C184" s="96">
        <v>38924</v>
      </c>
      <c r="D184" s="96">
        <v>-79707</v>
      </c>
      <c r="E184" s="96">
        <v>-3515</v>
      </c>
      <c r="F184" s="96">
        <v>125150</v>
      </c>
      <c r="G184" s="96">
        <f>-(G67-F67)</f>
        <v>-48596.451928841125</v>
      </c>
      <c r="H184" s="96">
        <f t="shared" ref="H184:L184" si="120">-(H67-G67)</f>
        <v>-28818.403482451395</v>
      </c>
      <c r="I184" s="96">
        <f t="shared" si="120"/>
        <v>-66340.427232632763</v>
      </c>
      <c r="J184" s="96">
        <f t="shared" si="120"/>
        <v>-32561.091222234652</v>
      </c>
      <c r="K184" s="96">
        <f t="shared" si="120"/>
        <v>-22051.43456879619</v>
      </c>
      <c r="L184" s="96">
        <f t="shared" si="120"/>
        <v>-7528.6397918315488</v>
      </c>
    </row>
    <row r="185" spans="1:12" x14ac:dyDescent="0.25">
      <c r="A185" s="165"/>
      <c r="B185" s="140" t="s">
        <v>41</v>
      </c>
      <c r="C185" s="96">
        <v>-5424</v>
      </c>
      <c r="D185" s="96">
        <v>2115</v>
      </c>
      <c r="E185" s="96">
        <v>2969</v>
      </c>
      <c r="F185" s="96">
        <v>-5747</v>
      </c>
      <c r="G185" s="96">
        <f>-(G76-F76)+(G109-F109)</f>
        <v>4632</v>
      </c>
      <c r="H185" s="96">
        <f t="shared" ref="H185:L185" si="121">-(H76-G76)+(H109-G109)</f>
        <v>0</v>
      </c>
      <c r="I185" s="96">
        <f t="shared" si="121"/>
        <v>0</v>
      </c>
      <c r="J185" s="96">
        <f t="shared" si="121"/>
        <v>0</v>
      </c>
      <c r="K185" s="96">
        <f t="shared" si="121"/>
        <v>0</v>
      </c>
      <c r="L185" s="96">
        <f t="shared" si="121"/>
        <v>0</v>
      </c>
    </row>
    <row r="186" spans="1:12" x14ac:dyDescent="0.25">
      <c r="A186" s="167"/>
      <c r="B186" s="140" t="s">
        <v>14</v>
      </c>
      <c r="C186" s="96">
        <v>27102</v>
      </c>
      <c r="D186" s="96">
        <v>2182</v>
      </c>
      <c r="E186" s="96">
        <v>-115082</v>
      </c>
      <c r="F186" s="96">
        <v>320384</v>
      </c>
      <c r="G186" s="96">
        <f>-(G77-F77)</f>
        <v>-214178.09672446293</v>
      </c>
      <c r="H186" s="96">
        <f t="shared" ref="H186:L186" si="122">-(H77-G77)</f>
        <v>-19364.699539502384</v>
      </c>
      <c r="I186" s="96">
        <f t="shared" si="122"/>
        <v>-143296.65113603487</v>
      </c>
      <c r="J186" s="96">
        <f t="shared" si="122"/>
        <v>-107956.55351066636</v>
      </c>
      <c r="K186" s="96">
        <f t="shared" si="122"/>
        <v>-72767.280054640258</v>
      </c>
      <c r="L186" s="96">
        <f t="shared" si="122"/>
        <v>-25711.105619305978</v>
      </c>
    </row>
    <row r="187" spans="1:12" x14ac:dyDescent="0.25">
      <c r="A187" s="165"/>
      <c r="B187" s="140" t="s">
        <v>15</v>
      </c>
      <c r="C187" s="96">
        <v>-55227</v>
      </c>
      <c r="D187" s="96">
        <v>-13807</v>
      </c>
      <c r="E187" s="96">
        <v>-8320</v>
      </c>
      <c r="F187" s="96">
        <v>-34801</v>
      </c>
      <c r="G187" s="96">
        <f>-(G82-F82)</f>
        <v>45265.204763243484</v>
      </c>
      <c r="H187" s="96">
        <f t="shared" ref="H187:L187" si="123">-(H82-G82)</f>
        <v>-3890.3877142053971</v>
      </c>
      <c r="I187" s="96">
        <f t="shared" si="123"/>
        <v>-13418.010775571398</v>
      </c>
      <c r="J187" s="96">
        <f t="shared" si="123"/>
        <v>-8026.9582230965607</v>
      </c>
      <c r="K187" s="96">
        <f t="shared" si="123"/>
        <v>-5410.5091169778025</v>
      </c>
      <c r="L187" s="96">
        <f t="shared" si="123"/>
        <v>-1911.7132213321602</v>
      </c>
    </row>
    <row r="188" spans="1:12" x14ac:dyDescent="0.25">
      <c r="A188" s="177"/>
      <c r="B188" s="140" t="s">
        <v>42</v>
      </c>
      <c r="C188" s="96">
        <v>20452</v>
      </c>
      <c r="D188" s="96">
        <v>74732</v>
      </c>
      <c r="E188" s="96">
        <v>49621</v>
      </c>
      <c r="F188" s="96">
        <v>-62476</v>
      </c>
      <c r="G188" s="96">
        <f>(G105-F105)</f>
        <v>8038.9286385828746</v>
      </c>
      <c r="H188" s="96">
        <f t="shared" ref="H188:L188" si="124">(H105-G105)</f>
        <v>7229.8459869445651</v>
      </c>
      <c r="I188" s="96">
        <f t="shared" si="124"/>
        <v>53500.066760399262</v>
      </c>
      <c r="J188" s="96">
        <f t="shared" si="124"/>
        <v>40305.776682528958</v>
      </c>
      <c r="K188" s="96">
        <f t="shared" si="124"/>
        <v>27167.797084107413</v>
      </c>
      <c r="L188" s="96">
        <f t="shared" si="124"/>
        <v>9599.2883030512603</v>
      </c>
    </row>
    <row r="189" spans="1:12" x14ac:dyDescent="0.25">
      <c r="A189" s="177"/>
      <c r="B189" s="141" t="s">
        <v>43</v>
      </c>
      <c r="C189" s="106">
        <f t="shared" ref="C189:D189" si="125">C146+C148+C155+C157+C158+C167+C168+C175+C176+C178+C179+C180+C181+C182+C184+C185+C186+C187+C188</f>
        <v>563292</v>
      </c>
      <c r="D189" s="106">
        <f t="shared" si="125"/>
        <v>538544</v>
      </c>
      <c r="E189" s="106">
        <f>E146+E148+E155+E157+E158+E167+E168+E175+E176+E178+E179+E180+E181+E182+E184+E185+E186+E187+E188</f>
        <v>361030</v>
      </c>
      <c r="F189" s="106">
        <f>F146+F148+F155+F157+F158+F167+F168+F175+F176+F178+F179+F180+F181+F182+F184+F185+F186+F187+F188</f>
        <v>415030</v>
      </c>
      <c r="G189" s="106">
        <f ca="1">G146+G148+G155+G157+G158+G167+G168+G175+G176+G178+G179+G180+G181+G182+G184+G185+G186+G187+G188</f>
        <v>215857.9989598195</v>
      </c>
      <c r="H189" s="106">
        <f t="shared" ref="H189:L189" ca="1" si="126">H146+H148+H155+H157+H158+H167+H168+H175+H176+H178+H179+H180+H181+H182+H184+H185+H186+H187+H188</f>
        <v>515415.80815781496</v>
      </c>
      <c r="I189" s="106">
        <f t="shared" ca="1" si="126"/>
        <v>612653.71002050687</v>
      </c>
      <c r="J189" s="106">
        <f t="shared" ca="1" si="126"/>
        <v>753678.22465730691</v>
      </c>
      <c r="K189" s="106">
        <f t="shared" ca="1" si="126"/>
        <v>847807.99434306705</v>
      </c>
      <c r="L189" s="106">
        <f t="shared" ca="1" si="126"/>
        <v>774805.8791101065</v>
      </c>
    </row>
    <row r="190" spans="1:12" x14ac:dyDescent="0.25">
      <c r="A190" s="177"/>
      <c r="B190" s="71" t="s">
        <v>44</v>
      </c>
      <c r="C190" s="69">
        <v>-91951</v>
      </c>
      <c r="D190" s="69">
        <v>-107654</v>
      </c>
      <c r="E190" s="69">
        <v>-128676</v>
      </c>
      <c r="F190" s="69">
        <v>-50670</v>
      </c>
      <c r="G190" s="69">
        <f>G197*G206</f>
        <v>-96020.755680362825</v>
      </c>
      <c r="H190" s="69">
        <f t="shared" ref="H190:L190" si="127">H197*H206</f>
        <v>-89059.250893536533</v>
      </c>
      <c r="I190" s="69">
        <f t="shared" si="127"/>
        <v>-106446.05152240153</v>
      </c>
      <c r="J190" s="69">
        <f t="shared" si="127"/>
        <v>-116847.22980549655</v>
      </c>
      <c r="K190" s="69">
        <f t="shared" si="127"/>
        <v>-123858.06359382634</v>
      </c>
      <c r="L190" s="69">
        <f t="shared" si="127"/>
        <v>-126335.22486570285</v>
      </c>
    </row>
    <row r="191" spans="1:12" x14ac:dyDescent="0.25">
      <c r="A191" s="177"/>
      <c r="B191" s="87" t="s">
        <v>133</v>
      </c>
      <c r="C191" s="88"/>
      <c r="D191" s="88"/>
      <c r="E191" s="88"/>
      <c r="F191" s="88"/>
      <c r="G191" s="88"/>
      <c r="H191" s="88"/>
      <c r="I191" s="88"/>
      <c r="J191" s="88"/>
      <c r="K191" s="88"/>
      <c r="L191" s="88"/>
    </row>
    <row r="192" spans="1:12" x14ac:dyDescent="0.25">
      <c r="A192" s="177"/>
      <c r="B192" s="89" t="s">
        <v>120</v>
      </c>
      <c r="C192" s="88"/>
      <c r="D192" s="88"/>
      <c r="E192" s="88">
        <v>49791</v>
      </c>
      <c r="F192" s="88">
        <v>3812</v>
      </c>
      <c r="G192" s="88"/>
      <c r="H192" s="88"/>
      <c r="I192" s="88"/>
      <c r="J192" s="88"/>
      <c r="K192" s="88"/>
      <c r="L192" s="88"/>
    </row>
    <row r="193" spans="1:12" x14ac:dyDescent="0.25">
      <c r="A193" s="177"/>
      <c r="B193" s="89" t="s">
        <v>121</v>
      </c>
      <c r="C193" s="88"/>
      <c r="D193" s="88"/>
      <c r="E193" s="88">
        <v>10585</v>
      </c>
      <c r="F193" s="88">
        <v>8549</v>
      </c>
      <c r="G193" s="88"/>
      <c r="H193" s="88"/>
      <c r="I193" s="88"/>
      <c r="J193" s="88"/>
      <c r="K193" s="88"/>
      <c r="L193" s="88"/>
    </row>
    <row r="194" spans="1:12" x14ac:dyDescent="0.25">
      <c r="A194" s="179"/>
      <c r="B194" s="89" t="s">
        <v>122</v>
      </c>
      <c r="C194" s="88"/>
      <c r="D194" s="88"/>
      <c r="E194" s="88">
        <v>37461</v>
      </c>
      <c r="F194" s="88">
        <v>10826</v>
      </c>
      <c r="G194" s="88"/>
      <c r="H194" s="88"/>
      <c r="I194" s="88"/>
      <c r="J194" s="88"/>
      <c r="K194" s="88"/>
      <c r="L194" s="88"/>
    </row>
    <row r="195" spans="1:12" x14ac:dyDescent="0.25">
      <c r="A195" s="165"/>
      <c r="B195" s="89" t="s">
        <v>123</v>
      </c>
      <c r="C195" s="88"/>
      <c r="D195" s="88"/>
      <c r="E195" s="88">
        <v>7663</v>
      </c>
      <c r="F195" s="88">
        <v>5667</v>
      </c>
      <c r="G195" s="88"/>
      <c r="H195" s="88"/>
      <c r="I195" s="88"/>
      <c r="J195" s="88"/>
      <c r="K195" s="88"/>
      <c r="L195" s="88"/>
    </row>
    <row r="196" spans="1:12" x14ac:dyDescent="0.25">
      <c r="A196" s="177"/>
      <c r="B196" s="89" t="s">
        <v>124</v>
      </c>
      <c r="C196" s="88"/>
      <c r="D196" s="88"/>
      <c r="E196" s="88">
        <v>37433</v>
      </c>
      <c r="F196" s="88">
        <v>13794</v>
      </c>
      <c r="G196" s="88"/>
      <c r="H196" s="88"/>
      <c r="I196" s="88"/>
      <c r="J196" s="88"/>
      <c r="K196" s="88"/>
      <c r="L196" s="88"/>
    </row>
    <row r="197" spans="1:12" x14ac:dyDescent="0.25">
      <c r="A197" s="177"/>
      <c r="B197" s="72" t="s">
        <v>132</v>
      </c>
      <c r="C197" s="73"/>
      <c r="D197" s="73"/>
      <c r="E197" s="73">
        <f>E190/E206</f>
        <v>0.91758061525735557</v>
      </c>
      <c r="F197" s="73">
        <f t="shared" ref="F197" si="128">F190/F206</f>
        <v>0.86852931093589303</v>
      </c>
      <c r="G197" s="75">
        <f>E197</f>
        <v>0.91758061525735557</v>
      </c>
      <c r="H197" s="75">
        <f>G197</f>
        <v>0.91758061525735557</v>
      </c>
      <c r="I197" s="75">
        <f t="shared" ref="I197:L197" si="129">H197</f>
        <v>0.91758061525735557</v>
      </c>
      <c r="J197" s="75">
        <f t="shared" si="129"/>
        <v>0.91758061525735557</v>
      </c>
      <c r="K197" s="75">
        <f t="shared" si="129"/>
        <v>0.91758061525735557</v>
      </c>
      <c r="L197" s="75">
        <f t="shared" si="129"/>
        <v>0.91758061525735557</v>
      </c>
    </row>
    <row r="198" spans="1:12" x14ac:dyDescent="0.25">
      <c r="A198" s="177"/>
      <c r="B198" s="14" t="s">
        <v>45</v>
      </c>
      <c r="C198" s="15">
        <v>-2845</v>
      </c>
      <c r="D198" s="15">
        <v>-17566</v>
      </c>
      <c r="E198" s="15">
        <v>-11558</v>
      </c>
      <c r="F198" s="15">
        <v>-7670</v>
      </c>
      <c r="G198" s="15">
        <f>-G207*G206</f>
        <v>-4185.8231999999998</v>
      </c>
      <c r="H198" s="15">
        <f t="shared" ref="H198:L198" si="130">-H207*H206</f>
        <v>-3397.0571407500011</v>
      </c>
      <c r="I198" s="15">
        <f t="shared" si="130"/>
        <v>-4060.255569195001</v>
      </c>
      <c r="J198" s="15">
        <f t="shared" si="130"/>
        <v>-4456.9959033467012</v>
      </c>
      <c r="K198" s="15">
        <f t="shared" si="130"/>
        <v>-4724.4156575475035</v>
      </c>
      <c r="L198" s="15">
        <f t="shared" si="130"/>
        <v>-4818.9039706984531</v>
      </c>
    </row>
    <row r="199" spans="1:12" x14ac:dyDescent="0.25">
      <c r="A199" s="177"/>
      <c r="B199" s="82" t="s">
        <v>133</v>
      </c>
      <c r="C199" s="83"/>
      <c r="D199" s="83"/>
      <c r="E199" s="83"/>
      <c r="F199" s="83"/>
      <c r="G199" s="83"/>
      <c r="H199" s="83"/>
      <c r="I199" s="83"/>
      <c r="J199" s="83"/>
      <c r="K199" s="83"/>
      <c r="L199" s="83"/>
    </row>
    <row r="200" spans="1:12" x14ac:dyDescent="0.25">
      <c r="A200" s="177"/>
      <c r="B200" s="84" t="s">
        <v>125</v>
      </c>
      <c r="C200" s="83"/>
      <c r="D200" s="83"/>
      <c r="E200" s="83">
        <v>0</v>
      </c>
      <c r="F200" s="83">
        <v>0</v>
      </c>
      <c r="G200" s="83"/>
      <c r="H200" s="83"/>
      <c r="I200" s="83"/>
      <c r="J200" s="83"/>
      <c r="K200" s="83"/>
      <c r="L200" s="83"/>
    </row>
    <row r="201" spans="1:12" x14ac:dyDescent="0.25">
      <c r="A201" s="177"/>
      <c r="B201" s="84" t="s">
        <v>126</v>
      </c>
      <c r="C201" s="83"/>
      <c r="D201" s="83"/>
      <c r="E201" s="83">
        <v>0</v>
      </c>
      <c r="F201" s="83">
        <v>0</v>
      </c>
      <c r="G201" s="83"/>
      <c r="H201" s="83"/>
      <c r="I201" s="83"/>
      <c r="J201" s="83"/>
      <c r="K201" s="83"/>
      <c r="L201" s="83"/>
    </row>
    <row r="202" spans="1:12" x14ac:dyDescent="0.25">
      <c r="A202" s="166"/>
      <c r="B202" s="84" t="s">
        <v>127</v>
      </c>
      <c r="C202" s="83"/>
      <c r="D202" s="83"/>
      <c r="E202" s="83">
        <v>3150</v>
      </c>
      <c r="F202" s="83">
        <v>46</v>
      </c>
      <c r="G202" s="83"/>
      <c r="H202" s="83"/>
      <c r="I202" s="83"/>
      <c r="J202" s="83"/>
      <c r="K202" s="83"/>
      <c r="L202" s="83"/>
    </row>
    <row r="203" spans="1:12" x14ac:dyDescent="0.25">
      <c r="A203" s="165"/>
      <c r="B203" s="84" t="s">
        <v>128</v>
      </c>
      <c r="C203" s="83"/>
      <c r="D203" s="83"/>
      <c r="E203" s="83">
        <v>11074</v>
      </c>
      <c r="F203" s="83">
        <v>3113</v>
      </c>
      <c r="G203" s="83"/>
      <c r="H203" s="83"/>
      <c r="I203" s="83"/>
      <c r="J203" s="83"/>
      <c r="K203" s="83"/>
      <c r="L203" s="83"/>
    </row>
    <row r="204" spans="1:12" x14ac:dyDescent="0.25">
      <c r="A204" s="166"/>
      <c r="B204" s="84" t="s">
        <v>129</v>
      </c>
      <c r="C204" s="83"/>
      <c r="D204" s="83"/>
      <c r="E204" s="83">
        <v>0</v>
      </c>
      <c r="F204" s="83">
        <v>0</v>
      </c>
      <c r="G204" s="83"/>
      <c r="H204" s="83"/>
      <c r="I204" s="83"/>
      <c r="J204" s="83"/>
      <c r="K204" s="83"/>
      <c r="L204" s="83"/>
    </row>
    <row r="205" spans="1:12" x14ac:dyDescent="0.25">
      <c r="A205" s="171"/>
      <c r="B205" s="85" t="s">
        <v>132</v>
      </c>
      <c r="C205" s="50"/>
      <c r="D205" s="50"/>
      <c r="E205" s="50">
        <f>(1-E197)</f>
        <v>8.241938474264443E-2</v>
      </c>
      <c r="F205" s="50">
        <f>(1-F197)</f>
        <v>0.13147068906410697</v>
      </c>
      <c r="G205" s="65">
        <f>(1-G197)</f>
        <v>8.241938474264443E-2</v>
      </c>
      <c r="H205" s="65">
        <f t="shared" ref="H205:L205" si="131">(1-H197)</f>
        <v>8.241938474264443E-2</v>
      </c>
      <c r="I205" s="65">
        <f t="shared" si="131"/>
        <v>8.241938474264443E-2</v>
      </c>
      <c r="J205" s="65">
        <f t="shared" si="131"/>
        <v>8.241938474264443E-2</v>
      </c>
      <c r="K205" s="65">
        <f t="shared" si="131"/>
        <v>8.241938474264443E-2</v>
      </c>
      <c r="L205" s="65">
        <f t="shared" si="131"/>
        <v>8.241938474264443E-2</v>
      </c>
    </row>
    <row r="206" spans="1:12" x14ac:dyDescent="0.25">
      <c r="A206" s="171"/>
      <c r="B206" s="80" t="s">
        <v>131</v>
      </c>
      <c r="C206" s="10">
        <f t="shared" ref="C206:D206" si="132">C198+C190</f>
        <v>-94796</v>
      </c>
      <c r="D206" s="10">
        <f t="shared" si="132"/>
        <v>-125220</v>
      </c>
      <c r="E206" s="10">
        <f>E198+E190</f>
        <v>-140234</v>
      </c>
      <c r="F206" s="10">
        <f>F198+F190</f>
        <v>-58340</v>
      </c>
      <c r="G206" s="10">
        <f t="shared" ref="G206:L206" si="133">G207*G4</f>
        <v>-104645.58</v>
      </c>
      <c r="H206" s="10">
        <f t="shared" si="133"/>
        <v>-97058.775450000016</v>
      </c>
      <c r="I206" s="10">
        <f t="shared" si="133"/>
        <v>-116007.30197700002</v>
      </c>
      <c r="J206" s="10">
        <f t="shared" si="133"/>
        <v>-127342.74009562003</v>
      </c>
      <c r="K206" s="10">
        <f t="shared" si="133"/>
        <v>-134983.30450135723</v>
      </c>
      <c r="L206" s="10">
        <f t="shared" si="133"/>
        <v>-137682.97059138436</v>
      </c>
    </row>
    <row r="207" spans="1:12" x14ac:dyDescent="0.25">
      <c r="A207" s="167"/>
      <c r="B207" s="81" t="s">
        <v>101</v>
      </c>
      <c r="C207" s="23">
        <f>C206/C4</f>
        <v>-3.4461047194723309E-2</v>
      </c>
      <c r="D207" s="23">
        <f>D206/D4</f>
        <v>-4.3052158022942585E-2</v>
      </c>
      <c r="E207" s="23">
        <f>E206/E4</f>
        <v>-4.965967291346262E-2</v>
      </c>
      <c r="F207" s="23">
        <f>F206/F4</f>
        <v>-2.9445670365966174E-2</v>
      </c>
      <c r="G207" s="25">
        <f>CHOOSE($U$4,growth!E27,growth!E28)</f>
        <v>-0.04</v>
      </c>
      <c r="H207" s="25">
        <f>CHOOSE($U$4,growth!F27,growth!F28)</f>
        <v>-3.5000000000000003E-2</v>
      </c>
      <c r="I207" s="25">
        <f>CHOOSE($U$4,growth!G27,growth!G28)</f>
        <v>-3.5000000000000003E-2</v>
      </c>
      <c r="J207" s="25">
        <f>CHOOSE($U$4,growth!H27,growth!H28)</f>
        <v>-3.5000000000000003E-2</v>
      </c>
      <c r="K207" s="25">
        <f>CHOOSE($U$4,growth!I27,growth!I28)</f>
        <v>-3.5000000000000003E-2</v>
      </c>
      <c r="L207" s="25">
        <f>CHOOSE($U$4,growth!J27,growth!J28)</f>
        <v>-3.5000000000000003E-2</v>
      </c>
    </row>
    <row r="208" spans="1:12" x14ac:dyDescent="0.25">
      <c r="A208" s="169"/>
      <c r="B208" s="144" t="s">
        <v>46</v>
      </c>
      <c r="C208" s="137">
        <v>-115776</v>
      </c>
      <c r="D208" s="137">
        <v>-1303</v>
      </c>
      <c r="E208" s="137">
        <v>-1300</v>
      </c>
      <c r="F208" s="137">
        <v>0</v>
      </c>
      <c r="G208" s="137"/>
      <c r="K208" s="96"/>
    </row>
    <row r="209" spans="1:15" x14ac:dyDescent="0.25">
      <c r="A209" s="165"/>
      <c r="B209" s="144" t="s">
        <v>47</v>
      </c>
      <c r="C209" s="137">
        <v>542</v>
      </c>
      <c r="D209" s="137">
        <v>15649</v>
      </c>
      <c r="E209" s="137">
        <v>5783</v>
      </c>
      <c r="F209" s="137">
        <v>830</v>
      </c>
      <c r="G209" s="137"/>
      <c r="J209" s="96"/>
      <c r="K209" s="96"/>
    </row>
    <row r="210" spans="1:15" x14ac:dyDescent="0.25">
      <c r="A210" s="165"/>
      <c r="B210" s="141" t="s">
        <v>48</v>
      </c>
      <c r="C210" s="106">
        <f t="shared" ref="C210:D210" si="134">C190+C198+C208+C209</f>
        <v>-210030</v>
      </c>
      <c r="D210" s="106">
        <f t="shared" si="134"/>
        <v>-110874</v>
      </c>
      <c r="E210" s="106">
        <f>E190+E198+E208+E209</f>
        <v>-135751</v>
      </c>
      <c r="F210" s="106">
        <f>F190+F198+F208+F209</f>
        <v>-57510</v>
      </c>
      <c r="G210" s="106">
        <f>G190+G198+G208+G209</f>
        <v>-100206.57888036282</v>
      </c>
      <c r="H210" s="106">
        <f t="shared" ref="H210:L210" si="135">H190+H198+H208+H209</f>
        <v>-92456.308034286529</v>
      </c>
      <c r="I210" s="106">
        <f t="shared" si="135"/>
        <v>-110506.30709159652</v>
      </c>
      <c r="J210" s="106">
        <f t="shared" si="135"/>
        <v>-121304.22570884325</v>
      </c>
      <c r="K210" s="106">
        <f t="shared" si="135"/>
        <v>-128582.47925137385</v>
      </c>
      <c r="L210" s="106">
        <f t="shared" si="135"/>
        <v>-131154.1288364013</v>
      </c>
    </row>
    <row r="211" spans="1:15" x14ac:dyDescent="0.25">
      <c r="A211" s="165"/>
      <c r="B211" s="145" t="s">
        <v>56</v>
      </c>
      <c r="C211" s="97">
        <v>3000</v>
      </c>
      <c r="D211" s="97">
        <v>39000</v>
      </c>
      <c r="E211" s="97">
        <v>176000</v>
      </c>
      <c r="F211" s="97">
        <v>-245000</v>
      </c>
      <c r="G211" s="134">
        <v>0</v>
      </c>
      <c r="H211" s="134">
        <v>0</v>
      </c>
      <c r="I211" s="134">
        <v>0</v>
      </c>
      <c r="J211" s="134">
        <v>0</v>
      </c>
      <c r="K211" s="134">
        <v>0</v>
      </c>
      <c r="L211" s="134">
        <v>0</v>
      </c>
    </row>
    <row r="212" spans="1:15" x14ac:dyDescent="0.25">
      <c r="A212" s="165"/>
      <c r="B212" s="32" t="s">
        <v>49</v>
      </c>
      <c r="C212" s="27"/>
      <c r="D212" s="27"/>
      <c r="E212" s="27">
        <v>0</v>
      </c>
      <c r="F212" s="27">
        <v>400000</v>
      </c>
      <c r="G212" s="27">
        <v>0</v>
      </c>
      <c r="H212" s="27">
        <v>0</v>
      </c>
      <c r="I212" s="27">
        <v>0</v>
      </c>
      <c r="J212" s="27">
        <v>0</v>
      </c>
      <c r="K212" s="27">
        <v>0</v>
      </c>
      <c r="L212" s="27">
        <v>0</v>
      </c>
    </row>
    <row r="213" spans="1:15" x14ac:dyDescent="0.25">
      <c r="A213" s="165"/>
      <c r="B213" s="32" t="s">
        <v>77</v>
      </c>
      <c r="C213" s="27"/>
      <c r="D213" s="27"/>
      <c r="E213" s="27">
        <v>0</v>
      </c>
      <c r="F213" s="27">
        <v>0</v>
      </c>
      <c r="G213" s="193">
        <f>-debt!T14</f>
        <v>0</v>
      </c>
      <c r="H213" s="193">
        <f>-debt!U14</f>
        <v>-400000</v>
      </c>
      <c r="I213" s="193">
        <f>-debt!V14</f>
        <v>0</v>
      </c>
      <c r="J213" s="193">
        <f>-debt!W14</f>
        <v>-150000</v>
      </c>
      <c r="K213" s="193">
        <f>-debt!X14</f>
        <v>0</v>
      </c>
      <c r="L213" s="193">
        <f>-debt!Y14</f>
        <v>0</v>
      </c>
      <c r="O213" s="130"/>
    </row>
    <row r="214" spans="1:15" x14ac:dyDescent="0.25">
      <c r="A214" s="165"/>
      <c r="B214" s="152" t="s">
        <v>50</v>
      </c>
      <c r="C214" s="96"/>
      <c r="D214" s="96"/>
      <c r="E214" s="96">
        <v>-13534</v>
      </c>
      <c r="F214" s="96">
        <v>-15418</v>
      </c>
      <c r="G214" s="134">
        <f>-lease!D5</f>
        <v>-19791.125228607183</v>
      </c>
      <c r="H214" s="134">
        <f>-lease!D6</f>
        <v>-8585.7067075707037</v>
      </c>
      <c r="I214" s="134">
        <f>-lease!D7</f>
        <v>-8264.2282294452816</v>
      </c>
      <c r="J214" s="134">
        <f>-lease!D8</f>
        <v>-7954.7870145781926</v>
      </c>
      <c r="K214" s="134">
        <f>-lease!D9</f>
        <v>-7808.4184179064532</v>
      </c>
      <c r="L214" s="134">
        <f>-lease!D10</f>
        <v>-7516.0442948372838</v>
      </c>
    </row>
    <row r="215" spans="1:15" x14ac:dyDescent="0.25">
      <c r="A215" s="166"/>
      <c r="B215" s="20" t="s">
        <v>51</v>
      </c>
      <c r="C215" s="21">
        <v>-84822</v>
      </c>
      <c r="D215" s="21">
        <v>-94566</v>
      </c>
      <c r="E215" s="21">
        <v>-110346</v>
      </c>
      <c r="F215" s="21">
        <v>-30553</v>
      </c>
      <c r="G215" s="21">
        <f t="shared" ref="G215" si="136">-(G216+G217)</f>
        <v>0</v>
      </c>
      <c r="H215" s="21">
        <f ca="1">-H218*H48</f>
        <v>-80064.81194253359</v>
      </c>
      <c r="I215" s="21">
        <f t="shared" ref="I215:L215" ca="1" si="137">-I218*I48</f>
        <v>-145626.31011213906</v>
      </c>
      <c r="J215" s="21">
        <f t="shared" ca="1" si="137"/>
        <v>-193772.60909859918</v>
      </c>
      <c r="K215" s="21">
        <f t="shared" ca="1" si="137"/>
        <v>-249877.59749691639</v>
      </c>
      <c r="L215" s="21">
        <f t="shared" ca="1" si="137"/>
        <v>-239045.08981010527</v>
      </c>
    </row>
    <row r="216" spans="1:15" x14ac:dyDescent="0.25">
      <c r="A216" s="171"/>
      <c r="B216" s="223" t="s">
        <v>83</v>
      </c>
      <c r="C216" s="42"/>
      <c r="D216" s="42"/>
      <c r="E216" s="42">
        <v>954</v>
      </c>
      <c r="F216" s="42">
        <v>336</v>
      </c>
      <c r="G216" s="42"/>
      <c r="H216" s="42"/>
      <c r="I216" s="42"/>
      <c r="J216" s="42"/>
      <c r="K216" s="42"/>
      <c r="L216" s="42"/>
    </row>
    <row r="217" spans="1:15" x14ac:dyDescent="0.25">
      <c r="A217" s="165"/>
      <c r="B217" s="223" t="s">
        <v>82</v>
      </c>
      <c r="C217" s="42"/>
      <c r="D217" s="42"/>
      <c r="E217" s="42">
        <v>-111300</v>
      </c>
      <c r="F217" s="42">
        <v>-30889</v>
      </c>
      <c r="G217" s="42"/>
      <c r="H217" s="42"/>
      <c r="I217" s="42"/>
      <c r="J217" s="42"/>
      <c r="K217" s="42"/>
      <c r="L217" s="42"/>
    </row>
    <row r="218" spans="1:15" x14ac:dyDescent="0.25">
      <c r="A218" s="165"/>
      <c r="B218" s="151" t="s">
        <v>185</v>
      </c>
      <c r="C218" s="38">
        <f>-C215/C48</f>
        <v>0.2340989253009654</v>
      </c>
      <c r="D218" s="38">
        <f>-D215/D48</f>
        <v>0.26959238712105232</v>
      </c>
      <c r="E218" s="38">
        <f>-E215/E48</f>
        <v>0.42471969793194231</v>
      </c>
      <c r="F218" s="38">
        <f>F215/F48</f>
        <v>0.13562113262488792</v>
      </c>
      <c r="G218" s="39">
        <v>0</v>
      </c>
      <c r="H218" s="39">
        <f>C218</f>
        <v>0.2340989253009654</v>
      </c>
      <c r="I218" s="39">
        <f>H218*(1.2)</f>
        <v>0.28091871036115845</v>
      </c>
      <c r="J218" s="39">
        <f>I218*(1.2)</f>
        <v>0.33710245243339015</v>
      </c>
      <c r="K218" s="39">
        <f t="shared" ref="K218:L218" si="138">J218*(1.2)</f>
        <v>0.40452294292006818</v>
      </c>
      <c r="L218" s="39">
        <f t="shared" si="138"/>
        <v>0.4854275315040818</v>
      </c>
    </row>
    <row r="219" spans="1:15" x14ac:dyDescent="0.25">
      <c r="A219" s="165"/>
      <c r="B219" s="144" t="s">
        <v>52</v>
      </c>
      <c r="C219" s="137">
        <v>4900</v>
      </c>
      <c r="D219" s="137">
        <v>3243</v>
      </c>
      <c r="E219" s="137">
        <v>10318</v>
      </c>
      <c r="F219" s="137">
        <v>2854</v>
      </c>
      <c r="G219" s="137"/>
    </row>
    <row r="220" spans="1:15" x14ac:dyDescent="0.25">
      <c r="A220" s="166"/>
      <c r="B220" s="17" t="s">
        <v>53</v>
      </c>
      <c r="C220" s="18">
        <v>-328616</v>
      </c>
      <c r="D220" s="18">
        <v>-367529</v>
      </c>
      <c r="E220" s="18">
        <v>-257233</v>
      </c>
      <c r="F220" s="18">
        <v>-23216</v>
      </c>
      <c r="G220" s="18">
        <f>G222</f>
        <v>0</v>
      </c>
      <c r="H220" s="18">
        <f t="shared" ref="H220:L220" si="139">H222</f>
        <v>-349014.42</v>
      </c>
      <c r="I220" s="18">
        <f t="shared" si="139"/>
        <v>-349014.42</v>
      </c>
      <c r="J220" s="18">
        <f t="shared" si="139"/>
        <v>-349014.42</v>
      </c>
      <c r="K220" s="18">
        <f t="shared" si="139"/>
        <v>-349014.42</v>
      </c>
      <c r="L220" s="18">
        <f t="shared" si="139"/>
        <v>-349014.42</v>
      </c>
    </row>
    <row r="221" spans="1:15" x14ac:dyDescent="0.25">
      <c r="A221" s="171"/>
      <c r="B221" s="224" t="s">
        <v>81</v>
      </c>
      <c r="C221" s="225"/>
      <c r="D221" s="225"/>
      <c r="E221" s="225">
        <v>-6738</v>
      </c>
      <c r="F221" s="225">
        <f>-744</f>
        <v>-744</v>
      </c>
      <c r="G221" s="225">
        <v>0</v>
      </c>
      <c r="H221" s="225">
        <v>0</v>
      </c>
      <c r="I221" s="225">
        <v>0</v>
      </c>
      <c r="J221" s="225">
        <v>0</v>
      </c>
      <c r="K221" s="225">
        <v>0</v>
      </c>
      <c r="L221" s="225">
        <v>0</v>
      </c>
    </row>
    <row r="222" spans="1:15" x14ac:dyDescent="0.25">
      <c r="A222" s="171"/>
      <c r="B222" s="19" t="s">
        <v>82</v>
      </c>
      <c r="C222" s="18"/>
      <c r="D222" s="18"/>
      <c r="E222" s="18">
        <v>-250495</v>
      </c>
      <c r="F222" s="18">
        <v>-22472</v>
      </c>
      <c r="G222" s="18">
        <v>0</v>
      </c>
      <c r="H222" s="18">
        <f>-CHOOSE($U$4,growth!F30,growth!F31)</f>
        <v>-349014.42</v>
      </c>
      <c r="I222" s="18">
        <f>-CHOOSE($U$4,growth!G30,growth!G31)</f>
        <v>-349014.42</v>
      </c>
      <c r="J222" s="18">
        <f>-CHOOSE($U$4,growth!H30,growth!H31)</f>
        <v>-349014.42</v>
      </c>
      <c r="K222" s="18">
        <f>-CHOOSE($U$4,growth!I30,growth!I31)</f>
        <v>-349014.42</v>
      </c>
      <c r="L222" s="18">
        <f>-CHOOSE($U$4,growth!J30,growth!J31)</f>
        <v>-349014.42</v>
      </c>
    </row>
    <row r="223" spans="1:15" x14ac:dyDescent="0.25">
      <c r="A223" s="171"/>
      <c r="B223" s="90" t="s">
        <v>101</v>
      </c>
      <c r="C223" s="91">
        <f t="shared" ref="C223:L223" si="140">C220/C4</f>
        <v>-0.11946127985296</v>
      </c>
      <c r="D223" s="91">
        <f t="shared" si="140"/>
        <v>-0.12636093743822124</v>
      </c>
      <c r="E223" s="91">
        <f t="shared" si="140"/>
        <v>-9.1091366163332216E-2</v>
      </c>
      <c r="F223" s="209">
        <f t="shared" si="140"/>
        <v>-1.1717701117865456E-2</v>
      </c>
      <c r="G223" s="209">
        <f t="shared" si="140"/>
        <v>0</v>
      </c>
      <c r="H223" s="209">
        <f t="shared" si="140"/>
        <v>-0.12585677743578</v>
      </c>
      <c r="I223" s="209">
        <f t="shared" si="140"/>
        <v>-0.10529944660226548</v>
      </c>
      <c r="J223" s="209">
        <f t="shared" si="140"/>
        <v>-9.5926196427275998E-2</v>
      </c>
      <c r="K223" s="209">
        <f t="shared" si="140"/>
        <v>-9.0496411723845274E-2</v>
      </c>
      <c r="L223" s="209">
        <f t="shared" si="140"/>
        <v>-8.8721972278279673E-2</v>
      </c>
    </row>
    <row r="224" spans="1:15" x14ac:dyDescent="0.25">
      <c r="A224" s="171"/>
      <c r="B224" s="153" t="s">
        <v>54</v>
      </c>
      <c r="C224" s="154">
        <v>-6280</v>
      </c>
      <c r="D224" s="154">
        <v>-7229</v>
      </c>
      <c r="E224" s="154">
        <v>-7008</v>
      </c>
      <c r="F224" s="154">
        <v>-2558</v>
      </c>
      <c r="G224" s="154">
        <f>G225+G226</f>
        <v>0</v>
      </c>
      <c r="H224" s="154">
        <f t="shared" ref="H224:L224" si="141">H225+H226</f>
        <v>0</v>
      </c>
      <c r="I224" s="154">
        <f t="shared" si="141"/>
        <v>0</v>
      </c>
      <c r="J224" s="154">
        <f t="shared" si="141"/>
        <v>0</v>
      </c>
      <c r="K224" s="154">
        <f t="shared" si="141"/>
        <v>0</v>
      </c>
      <c r="L224" s="154">
        <f t="shared" si="141"/>
        <v>0</v>
      </c>
    </row>
    <row r="225" spans="1:12" x14ac:dyDescent="0.25">
      <c r="A225" s="171"/>
      <c r="B225" s="155" t="s">
        <v>81</v>
      </c>
      <c r="C225" s="154"/>
      <c r="D225" s="154"/>
      <c r="E225" s="154">
        <v>-166</v>
      </c>
      <c r="F225" s="154">
        <v>-78</v>
      </c>
      <c r="G225" s="154"/>
      <c r="H225" s="154"/>
      <c r="I225" s="154"/>
      <c r="J225" s="154"/>
      <c r="K225" s="154"/>
      <c r="L225" s="154"/>
    </row>
    <row r="226" spans="1:12" x14ac:dyDescent="0.25">
      <c r="A226" s="171"/>
      <c r="B226" s="155" t="s">
        <v>82</v>
      </c>
      <c r="C226" s="154"/>
      <c r="D226" s="154"/>
      <c r="E226" s="154">
        <v>-6842</v>
      </c>
      <c r="F226" s="154">
        <v>-2480</v>
      </c>
      <c r="G226" s="154"/>
      <c r="H226" s="154"/>
      <c r="I226" s="154"/>
      <c r="J226" s="154"/>
      <c r="K226" s="154"/>
      <c r="L226" s="154"/>
    </row>
    <row r="227" spans="1:12" x14ac:dyDescent="0.25">
      <c r="A227" s="167"/>
      <c r="B227" s="144" t="s">
        <v>55</v>
      </c>
      <c r="C227" s="137">
        <v>-4520</v>
      </c>
      <c r="D227" s="137">
        <v>-6142</v>
      </c>
      <c r="E227" s="137">
        <v>-6001</v>
      </c>
      <c r="F227" s="137">
        <v>-2571</v>
      </c>
      <c r="G227" s="137">
        <f>G228+G229</f>
        <v>0</v>
      </c>
      <c r="H227" s="137">
        <f t="shared" ref="H227:L227" si="142">H228+H229</f>
        <v>0</v>
      </c>
      <c r="I227" s="137">
        <f t="shared" si="142"/>
        <v>0</v>
      </c>
      <c r="J227" s="137">
        <f t="shared" si="142"/>
        <v>0</v>
      </c>
      <c r="K227" s="137">
        <f t="shared" si="142"/>
        <v>0</v>
      </c>
      <c r="L227" s="137">
        <f t="shared" si="142"/>
        <v>0</v>
      </c>
    </row>
    <row r="228" spans="1:12" x14ac:dyDescent="0.25">
      <c r="A228" s="183"/>
      <c r="B228" s="146" t="s">
        <v>81</v>
      </c>
      <c r="C228" s="137"/>
      <c r="D228" s="137"/>
      <c r="E228" s="137">
        <v>7415</v>
      </c>
      <c r="F228" s="137">
        <v>6657</v>
      </c>
      <c r="G228" s="137"/>
    </row>
    <row r="229" spans="1:12" x14ac:dyDescent="0.25">
      <c r="A229" s="168"/>
      <c r="B229" s="146" t="s">
        <v>82</v>
      </c>
      <c r="C229" s="137"/>
      <c r="D229" s="137"/>
      <c r="E229" s="137">
        <v>-13416</v>
      </c>
      <c r="F229" s="137">
        <v>-9228</v>
      </c>
      <c r="G229" s="137"/>
    </row>
    <row r="230" spans="1:12" x14ac:dyDescent="0.25">
      <c r="A230" s="167"/>
      <c r="B230" s="141" t="s">
        <v>57</v>
      </c>
      <c r="C230" s="106">
        <f t="shared" ref="C230:D230" si="143">C211+C212+C214+C215+C219+C220+C224+C227</f>
        <v>-416338</v>
      </c>
      <c r="D230" s="106">
        <f t="shared" si="143"/>
        <v>-433223</v>
      </c>
      <c r="E230" s="106">
        <f>E211+E212+E214+E215+E219+E220+E224+E227</f>
        <v>-207804</v>
      </c>
      <c r="F230" s="106">
        <f>F211+F212+F214+F215+F219+F220+F224+F227</f>
        <v>83538</v>
      </c>
      <c r="G230" s="106">
        <f>G211+G212+G213+G214+G215+G219+G220+G224+G227</f>
        <v>-19791.125228607183</v>
      </c>
      <c r="H230" s="106">
        <f t="shared" ref="H230:L230" ca="1" si="144">H211+H212+H213+H214+H215+H219+H220+H224+H227</f>
        <v>-837664.93865010422</v>
      </c>
      <c r="I230" s="106">
        <f t="shared" ca="1" si="144"/>
        <v>-502904.95834158431</v>
      </c>
      <c r="J230" s="106">
        <f t="shared" ca="1" si="144"/>
        <v>-700741.81611317734</v>
      </c>
      <c r="K230" s="106">
        <f t="shared" ca="1" si="144"/>
        <v>-606700.43591482285</v>
      </c>
      <c r="L230" s="106">
        <f t="shared" ca="1" si="144"/>
        <v>-595575.5541049426</v>
      </c>
    </row>
    <row r="231" spans="1:12" x14ac:dyDescent="0.25">
      <c r="A231" s="167"/>
      <c r="B231" s="147" t="s">
        <v>58</v>
      </c>
      <c r="C231" s="139">
        <v>606</v>
      </c>
      <c r="D231" s="139">
        <v>-585</v>
      </c>
      <c r="E231" s="139">
        <v>-6</v>
      </c>
      <c r="F231" s="139">
        <v>80</v>
      </c>
      <c r="G231" s="139"/>
    </row>
    <row r="232" spans="1:12" x14ac:dyDescent="0.25">
      <c r="B232" s="148" t="s">
        <v>59</v>
      </c>
      <c r="C232" s="149">
        <f t="shared" ref="C232:D232" si="145">C189+C210+C230+C231</f>
        <v>-62470</v>
      </c>
      <c r="D232" s="149">
        <f t="shared" si="145"/>
        <v>-6138</v>
      </c>
      <c r="E232" s="149">
        <f>E189+E210+E230+E231</f>
        <v>17469</v>
      </c>
      <c r="F232" s="149">
        <f>F189+F210+F230+F231</f>
        <v>441138</v>
      </c>
      <c r="G232" s="149">
        <f ca="1">G189+G210+G230+G231</f>
        <v>95860.294850849488</v>
      </c>
      <c r="H232" s="149">
        <f t="shared" ref="H232:L232" ca="1" si="146">H189+H210+H230+H231</f>
        <v>-414705.4385265758</v>
      </c>
      <c r="I232" s="149">
        <f t="shared" ca="1" si="146"/>
        <v>-757.55541267397348</v>
      </c>
      <c r="J232" s="149">
        <f t="shared" ca="1" si="146"/>
        <v>-68367.817164713633</v>
      </c>
      <c r="K232" s="149">
        <f t="shared" ca="1" si="146"/>
        <v>112525.07917687041</v>
      </c>
      <c r="L232" s="149">
        <f t="shared" ca="1" si="146"/>
        <v>48076.196168762632</v>
      </c>
    </row>
    <row r="233" spans="1:12" x14ac:dyDescent="0.25">
      <c r="B233" s="150" t="s">
        <v>60</v>
      </c>
      <c r="C233" s="106">
        <v>46657</v>
      </c>
      <c r="D233" s="106">
        <v>46657</v>
      </c>
      <c r="E233" s="106">
        <v>46657</v>
      </c>
      <c r="F233" s="106">
        <f>E234</f>
        <v>64126</v>
      </c>
      <c r="G233" s="106">
        <f>F234</f>
        <v>505264</v>
      </c>
      <c r="H233" s="106">
        <f t="shared" ref="H233:L233" ca="1" si="147">G234</f>
        <v>601124.29485084955</v>
      </c>
      <c r="I233" s="106">
        <f t="shared" ca="1" si="147"/>
        <v>186418.85632427374</v>
      </c>
      <c r="J233" s="106">
        <f t="shared" ca="1" si="147"/>
        <v>185661.30091159977</v>
      </c>
      <c r="K233" s="106">
        <f t="shared" ca="1" si="147"/>
        <v>117293.48374688614</v>
      </c>
      <c r="L233" s="106">
        <f t="shared" ca="1" si="147"/>
        <v>229818.56292375654</v>
      </c>
    </row>
    <row r="234" spans="1:12" x14ac:dyDescent="0.25">
      <c r="B234" s="150" t="s">
        <v>61</v>
      </c>
      <c r="C234" s="106">
        <f>C233+C232</f>
        <v>-15813</v>
      </c>
      <c r="D234" s="106">
        <f>D233+D232</f>
        <v>40519</v>
      </c>
      <c r="E234" s="106">
        <f>E233+E232</f>
        <v>64126</v>
      </c>
      <c r="F234" s="106">
        <f>F232+F233</f>
        <v>505264</v>
      </c>
      <c r="G234" s="106">
        <f ca="1">G232+G233</f>
        <v>601124.29485084955</v>
      </c>
      <c r="H234" s="106">
        <f t="shared" ref="H234:L234" ca="1" si="148">H232+H233</f>
        <v>186418.85632427374</v>
      </c>
      <c r="I234" s="106">
        <f t="shared" ca="1" si="148"/>
        <v>185661.30091159977</v>
      </c>
      <c r="J234" s="106">
        <f t="shared" ca="1" si="148"/>
        <v>117293.48374688614</v>
      </c>
      <c r="K234" s="106">
        <f t="shared" ca="1" si="148"/>
        <v>229818.56292375654</v>
      </c>
      <c r="L234" s="106">
        <f t="shared" ca="1" si="148"/>
        <v>277894.75909251918</v>
      </c>
    </row>
    <row r="235" spans="1:12" x14ac:dyDescent="0.25">
      <c r="B235" s="5" t="s">
        <v>268</v>
      </c>
      <c r="C235" s="5"/>
      <c r="D235" s="5"/>
      <c r="E235" s="5"/>
      <c r="F235" s="5"/>
      <c r="G235" s="5"/>
      <c r="H235" s="5"/>
      <c r="I235" s="5"/>
      <c r="J235" s="5"/>
      <c r="K235" s="5"/>
      <c r="L235" s="5"/>
    </row>
    <row r="236" spans="1:12" x14ac:dyDescent="0.25">
      <c r="B236" s="194" t="s">
        <v>225</v>
      </c>
      <c r="C236" s="7"/>
      <c r="D236" s="7"/>
      <c r="E236" s="7"/>
      <c r="F236" s="7"/>
      <c r="G236" s="7" t="s">
        <v>73</v>
      </c>
      <c r="H236" s="7" t="str">
        <f>'proforma + dcf'!H3</f>
        <v>2022E</v>
      </c>
      <c r="I236" s="7" t="str">
        <f>'proforma + dcf'!I3</f>
        <v>2023E</v>
      </c>
      <c r="J236" s="7" t="str">
        <f>'proforma + dcf'!J3</f>
        <v>2024E</v>
      </c>
      <c r="K236" s="7" t="str">
        <f>'proforma + dcf'!K3</f>
        <v>2025E</v>
      </c>
      <c r="L236" s="7" t="str">
        <f>'proforma + dcf'!L3</f>
        <v>Terminal</v>
      </c>
    </row>
    <row r="237" spans="1:12" x14ac:dyDescent="0.25">
      <c r="B237" s="95" t="s">
        <v>190</v>
      </c>
      <c r="C237" s="195"/>
      <c r="D237" s="195"/>
      <c r="E237" s="195"/>
      <c r="F237" s="195"/>
      <c r="G237" s="195">
        <f ca="1">YEARFRAC(TODAY(),DATE(LEFT(G236,4),12,31))</f>
        <v>0.67500000000000004</v>
      </c>
      <c r="H237" s="195">
        <f ca="1">YEARFRAC(TODAY(),DATE(LEFT(H236,4),12,31))</f>
        <v>1.675</v>
      </c>
      <c r="I237" s="195">
        <f ca="1">YEARFRAC(TODAY(),DATE(LEFT(I236,4),12,31))</f>
        <v>2.6749999999999998</v>
      </c>
      <c r="J237" s="195">
        <f ca="1">YEARFRAC(TODAY(),DATE(LEFT(J236,4),12,31))</f>
        <v>3.6749999999999998</v>
      </c>
      <c r="K237" s="195">
        <f ca="1">YEARFRAC(TODAY(),DATE(LEFT(K236,4),12,31))</f>
        <v>4.6749999999999998</v>
      </c>
      <c r="L237" s="195"/>
    </row>
    <row r="238" spans="1:12" x14ac:dyDescent="0.25">
      <c r="B238" s="95" t="s">
        <v>165</v>
      </c>
      <c r="C238" s="96"/>
      <c r="D238" s="96"/>
      <c r="E238" s="96"/>
      <c r="F238" s="96"/>
      <c r="G238" s="96">
        <f>'proforma + dcf'!G57</f>
        <v>259431.87922142138</v>
      </c>
      <c r="H238" s="96">
        <f>'proforma + dcf'!H57</f>
        <v>382003.21800676279</v>
      </c>
      <c r="I238" s="96">
        <f>'proforma + dcf'!I57</f>
        <v>569133.21197219554</v>
      </c>
      <c r="J238" s="96">
        <f>'proforma + dcf'!J57</f>
        <v>624745.00705420983</v>
      </c>
      <c r="K238" s="96">
        <f>'proforma + dcf'!K57</f>
        <v>662229.70747746225</v>
      </c>
      <c r="L238" s="96">
        <f>'proforma + dcf'!L57</f>
        <v>675474.30162701162</v>
      </c>
    </row>
    <row r="239" spans="1:12" x14ac:dyDescent="0.25">
      <c r="B239" s="95" t="s">
        <v>186</v>
      </c>
      <c r="C239" s="196"/>
      <c r="D239" s="196"/>
      <c r="E239" s="196"/>
      <c r="F239" s="196"/>
      <c r="G239" s="196">
        <f>'proforma + dcf'!G47</f>
        <v>5.9029760840784817E-2</v>
      </c>
      <c r="H239" s="196">
        <f>'proforma + dcf'!H47</f>
        <v>5.9029760840784817E-2</v>
      </c>
      <c r="I239" s="196">
        <f>'proforma + dcf'!I47</f>
        <v>5.9029760840784817E-2</v>
      </c>
      <c r="J239" s="196">
        <f>'proforma + dcf'!J47</f>
        <v>5.9029760840784817E-2</v>
      </c>
      <c r="K239" s="196">
        <f>'proforma + dcf'!K47</f>
        <v>5.9029760840784817E-2</v>
      </c>
      <c r="L239" s="196">
        <f>'proforma + dcf'!L47</f>
        <v>0.26500067575521097</v>
      </c>
    </row>
    <row r="240" spans="1:12" x14ac:dyDescent="0.25">
      <c r="B240" s="95" t="s">
        <v>226</v>
      </c>
      <c r="C240" s="96"/>
      <c r="D240" s="96"/>
      <c r="E240" s="96"/>
      <c r="F240" s="96"/>
      <c r="G240" s="96">
        <f t="shared" ref="G240:L240" si="149">G238*(1-G239)</f>
        <v>244117.6774365055</v>
      </c>
      <c r="H240" s="96">
        <f t="shared" si="149"/>
        <v>359453.65940741339</v>
      </c>
      <c r="I240" s="96">
        <f t="shared" si="149"/>
        <v>535537.41458292911</v>
      </c>
      <c r="J240" s="96">
        <f t="shared" si="149"/>
        <v>587866.45870132535</v>
      </c>
      <c r="K240" s="96">
        <f t="shared" si="149"/>
        <v>623138.44622340472</v>
      </c>
      <c r="L240" s="96">
        <f t="shared" si="149"/>
        <v>496473.15524057433</v>
      </c>
    </row>
    <row r="241" spans="2:12" x14ac:dyDescent="0.25">
      <c r="B241" s="197" t="s">
        <v>187</v>
      </c>
      <c r="C241" s="96"/>
      <c r="D241" s="96"/>
      <c r="E241" s="96"/>
      <c r="F241" s="96"/>
      <c r="G241" s="96">
        <f>'proforma + dcf'!G148+'proforma + dcf'!G155+'proforma + dcf'!G158</f>
        <v>189276.12293945919</v>
      </c>
      <c r="H241" s="96">
        <f>'proforma + dcf'!H148+'proforma + dcf'!H155+'proforma + dcf'!H158</f>
        <v>200590.6903158268</v>
      </c>
      <c r="I241" s="96">
        <f>'proforma + dcf'!I148+'proforma + dcf'!I155+'proforma + dcf'!I158</f>
        <v>239614.81801977655</v>
      </c>
      <c r="J241" s="96">
        <f>'proforma + dcf'!J148+'proforma + dcf'!J155+'proforma + dcf'!J158</f>
        <v>262959.93586262991</v>
      </c>
      <c r="K241" s="96">
        <f>'proforma + dcf'!K148+'proforma + dcf'!K155+'proforma + dcf'!K158</f>
        <v>278695.53201438766</v>
      </c>
      <c r="L241" s="96">
        <f>'proforma + dcf'!L148+'proforma + dcf'!L155+'proforma + dcf'!L158</f>
        <v>284255.44265467545</v>
      </c>
    </row>
    <row r="242" spans="2:12" x14ac:dyDescent="0.25">
      <c r="B242" s="197" t="s">
        <v>188</v>
      </c>
      <c r="C242" s="96"/>
      <c r="D242" s="96"/>
      <c r="E242" s="96"/>
      <c r="F242" s="96"/>
      <c r="G242" s="96">
        <f>-'proforma + dcf'!G206</f>
        <v>104645.58</v>
      </c>
      <c r="H242" s="96">
        <f>-'proforma + dcf'!H206</f>
        <v>97058.775450000016</v>
      </c>
      <c r="I242" s="96">
        <f>-'proforma + dcf'!I206</f>
        <v>116007.30197700002</v>
      </c>
      <c r="J242" s="96">
        <f>-'proforma + dcf'!J206</f>
        <v>127342.74009562003</v>
      </c>
      <c r="K242" s="96">
        <f>-'proforma + dcf'!K206</f>
        <v>134983.30450135723</v>
      </c>
      <c r="L242" s="96">
        <f>-'proforma + dcf'!L206</f>
        <v>137682.97059138436</v>
      </c>
    </row>
    <row r="243" spans="2:12" x14ac:dyDescent="0.25">
      <c r="B243" s="197" t="s">
        <v>189</v>
      </c>
      <c r="C243" s="96"/>
      <c r="D243" s="96"/>
      <c r="E243" s="96"/>
      <c r="F243" s="96"/>
      <c r="G243" s="96">
        <f>-'proforma + dcf'!G214</f>
        <v>19791.125228607183</v>
      </c>
      <c r="H243" s="96">
        <f>-'proforma + dcf'!H214</f>
        <v>8585.7067075707037</v>
      </c>
      <c r="I243" s="96">
        <f>-'proforma + dcf'!I214</f>
        <v>8264.2282294452816</v>
      </c>
      <c r="J243" s="96">
        <f>-'proforma + dcf'!J214</f>
        <v>7954.7870145781926</v>
      </c>
      <c r="K243" s="96">
        <f>-'proforma + dcf'!K214</f>
        <v>7808.4184179064532</v>
      </c>
      <c r="L243" s="96">
        <f>-'proforma + dcf'!L214</f>
        <v>7516.0442948372838</v>
      </c>
    </row>
    <row r="244" spans="2:12" x14ac:dyDescent="0.25">
      <c r="B244" s="197" t="s">
        <v>192</v>
      </c>
      <c r="C244" s="96"/>
      <c r="D244" s="96"/>
      <c r="E244" s="96"/>
      <c r="F244" s="96"/>
      <c r="G244" s="96">
        <f ca="1">(('proforma + dcf'!G86-'proforma + dcf'!G66)-('proforma + dcf'!G112-'proforma + dcf'!G110))-(('proforma + dcf'!F86-'proforma + dcf'!F66)-('proforma + dcf'!F112-'proforma + dcf'!F110))</f>
        <v>204838.41525147785</v>
      </c>
      <c r="H244" s="96">
        <f ca="1">(('proforma + dcf'!H86-'proforma + dcf'!H66)-('proforma + dcf'!H112-'proforma + dcf'!H110))-(('proforma + dcf'!G86-'proforma + dcf'!G66)-('proforma + dcf'!G112-'proforma + dcf'!G110))</f>
        <v>44843.644749214407</v>
      </c>
      <c r="I244" s="96">
        <f ca="1">(('proforma + dcf'!I86-'proforma + dcf'!I66)-('proforma + dcf'!I112-'proforma + dcf'!I110))-(('proforma + dcf'!H86-'proforma + dcf'!H66)-('proforma + dcf'!H112-'proforma + dcf'!H110))</f>
        <v>169555.02238383959</v>
      </c>
      <c r="J244" s="96">
        <f ca="1">(('proforma + dcf'!J86-'proforma + dcf'!J66)-('proforma + dcf'!J112-'proforma + dcf'!J110))-(('proforma + dcf'!I86-'proforma + dcf'!I66)-('proforma + dcf'!I112-'proforma + dcf'!I110))</f>
        <v>108238.82627346879</v>
      </c>
      <c r="K244" s="96">
        <f ca="1">(('proforma + dcf'!K86-'proforma + dcf'!K66)-('proforma + dcf'!K112-'proforma + dcf'!K110))-(('proforma + dcf'!J86-'proforma + dcf'!J66)-('proforma + dcf'!J112-'proforma + dcf'!J110))</f>
        <v>73061.426656306954</v>
      </c>
      <c r="L244" s="96">
        <f ca="1">(('proforma + dcf'!L86-'proforma + dcf'!L66)-('proforma + dcf'!L112-'proforma + dcf'!L110))-(('proforma + dcf'!K86-'proforma + dcf'!K66)-('proforma + dcf'!K112-'proforma + dcf'!K110))</f>
        <v>25552.170329418266</v>
      </c>
    </row>
    <row r="245" spans="2:12" x14ac:dyDescent="0.25">
      <c r="B245" s="198" t="s">
        <v>193</v>
      </c>
      <c r="C245" s="199"/>
      <c r="D245" s="199"/>
      <c r="E245" s="199"/>
      <c r="F245" s="199"/>
      <c r="G245" s="199">
        <f t="shared" ref="G245:L245" ca="1" si="150">G240+G241-G242-G243-G244</f>
        <v>104118.6798958797</v>
      </c>
      <c r="H245" s="199">
        <f t="shared" ca="1" si="150"/>
        <v>409556.222816455</v>
      </c>
      <c r="I245" s="199">
        <f t="shared" ca="1" si="150"/>
        <v>481325.68001242087</v>
      </c>
      <c r="J245" s="199">
        <f t="shared" ca="1" si="150"/>
        <v>607290.04118028819</v>
      </c>
      <c r="K245" s="199">
        <f t="shared" ca="1" si="150"/>
        <v>685980.82866222167</v>
      </c>
      <c r="L245" s="199">
        <f t="shared" ca="1" si="150"/>
        <v>609977.41267960984</v>
      </c>
    </row>
    <row r="247" spans="2:12" x14ac:dyDescent="0.25">
      <c r="B247" s="95" t="s">
        <v>194</v>
      </c>
      <c r="C247" s="196"/>
      <c r="D247" s="196"/>
      <c r="E247" s="196"/>
      <c r="F247" s="196"/>
      <c r="G247" s="196">
        <f ca="1">wacc!C39</f>
        <v>8.2893155095737997E-2</v>
      </c>
      <c r="H247" s="196">
        <f ca="1">($L$247-$G$247)/COUNT($G$245:$L$245)+G247</f>
        <v>8.5359565967847731E-2</v>
      </c>
      <c r="I247" s="196">
        <f ca="1">($L$247-$G$247)/COUNT($G$245:$L$245)+H247</f>
        <v>8.7825976839957465E-2</v>
      </c>
      <c r="J247" s="196">
        <f ca="1">($L$247-$G$247)/COUNT($G$245:$L$245)+I247</f>
        <v>9.0292387712067199E-2</v>
      </c>
      <c r="K247" s="196">
        <f ca="1">($L$247-$G$247)/COUNT($G$245:$L$245)+J247</f>
        <v>9.2758798584176932E-2</v>
      </c>
      <c r="L247" s="196">
        <f ca="1">wacc!C40</f>
        <v>9.7691620328396372E-2</v>
      </c>
    </row>
    <row r="248" spans="2:12" x14ac:dyDescent="0.25">
      <c r="B248" s="95" t="s">
        <v>195</v>
      </c>
      <c r="C248" s="195"/>
      <c r="D248" s="195"/>
      <c r="E248" s="195"/>
      <c r="F248" s="195"/>
      <c r="G248" s="195">
        <f ca="1">1/POWER(1+G247,G237)</f>
        <v>0.94766472296265614</v>
      </c>
      <c r="H248" s="195">
        <f ca="1">1/POWER(1+H247,H237)</f>
        <v>0.87179456225502439</v>
      </c>
      <c r="I248" s="195">
        <f ca="1">1/POWER(1+I247,I237)</f>
        <v>0.79836876432632786</v>
      </c>
      <c r="J248" s="195">
        <f ca="1">1/POWER(1+J247,J237)</f>
        <v>0.72782932343872542</v>
      </c>
      <c r="K248" s="195">
        <f ca="1">1/POWER(1+K247,K237)</f>
        <v>0.66053957311693434</v>
      </c>
    </row>
    <row r="249" spans="2:12" x14ac:dyDescent="0.25">
      <c r="B249" s="95" t="s">
        <v>141</v>
      </c>
      <c r="C249" s="165"/>
      <c r="D249" s="165"/>
      <c r="E249" s="165"/>
      <c r="F249" s="165"/>
      <c r="G249" s="165">
        <f ca="1">G245*G248</f>
        <v>98669.599938766318</v>
      </c>
      <c r="H249" s="165">
        <f ca="1">H245*H248</f>
        <v>357048.88798909262</v>
      </c>
      <c r="I249" s="165">
        <f ca="1">I245*I248</f>
        <v>384275.3883900459</v>
      </c>
      <c r="J249" s="165">
        <f ca="1">J245*J248</f>
        <v>442003.49980332487</v>
      </c>
      <c r="K249" s="165">
        <f ca="1">K245*K248</f>
        <v>453117.4837309448</v>
      </c>
      <c r="L249" s="165">
        <f ca="1">L245/(L247-'proforma + dcf'!L5)*'proforma + dcf'!K248</f>
        <v>5186070.4935651347</v>
      </c>
    </row>
    <row r="251" spans="2:12" x14ac:dyDescent="0.25">
      <c r="B251" s="95" t="s">
        <v>196</v>
      </c>
      <c r="C251" s="96">
        <f ca="1">SUM(G249:L249)</f>
        <v>6921185.353417309</v>
      </c>
      <c r="D251" s="96"/>
      <c r="E251" s="96"/>
      <c r="F251" s="96"/>
    </row>
    <row r="252" spans="2:12" x14ac:dyDescent="0.25">
      <c r="B252" s="197" t="s">
        <v>197</v>
      </c>
      <c r="C252" s="96">
        <f>'proforma + dcf'!F113+'proforma + dcf'!F114+'proforma + dcf'!F110</f>
        <v>1082464</v>
      </c>
      <c r="D252" s="96"/>
      <c r="E252" s="96"/>
      <c r="F252" s="96"/>
    </row>
    <row r="253" spans="2:12" x14ac:dyDescent="0.25">
      <c r="B253" s="197" t="s">
        <v>198</v>
      </c>
      <c r="C253" s="95">
        <v>0</v>
      </c>
    </row>
    <row r="254" spans="2:12" x14ac:dyDescent="0.25">
      <c r="B254" s="197" t="s">
        <v>199</v>
      </c>
      <c r="C254" s="95">
        <v>0</v>
      </c>
    </row>
    <row r="255" spans="2:12" x14ac:dyDescent="0.25">
      <c r="B255" s="197" t="s">
        <v>200</v>
      </c>
      <c r="C255" s="96">
        <f>'proforma + dcf'!F66</f>
        <v>505264</v>
      </c>
      <c r="D255" s="96"/>
      <c r="E255" s="96"/>
      <c r="F255" s="96"/>
    </row>
    <row r="256" spans="2:12" x14ac:dyDescent="0.25">
      <c r="B256" s="95" t="s">
        <v>201</v>
      </c>
      <c r="C256" s="96">
        <f ca="1">C251-C252-C253-C254+C255</f>
        <v>6343985.353417309</v>
      </c>
      <c r="D256" s="96"/>
      <c r="E256" s="96"/>
      <c r="F256" s="96"/>
    </row>
    <row r="257" spans="2:6" x14ac:dyDescent="0.25">
      <c r="B257" s="95" t="s">
        <v>202</v>
      </c>
      <c r="C257" s="96">
        <f>'proforma + dcf'!F53</f>
        <v>198361</v>
      </c>
      <c r="D257" s="96"/>
      <c r="E257" s="96"/>
      <c r="F257" s="96"/>
    </row>
    <row r="258" spans="2:6" x14ac:dyDescent="0.25">
      <c r="C258" s="96"/>
      <c r="D258" s="96"/>
      <c r="E258" s="96"/>
      <c r="F258" s="96"/>
    </row>
    <row r="259" spans="2:6" x14ac:dyDescent="0.25">
      <c r="B259" s="95" t="s">
        <v>203</v>
      </c>
      <c r="C259" s="163">
        <f ca="1">C256/C257</f>
        <v>31.982019416202323</v>
      </c>
      <c r="D259" s="163"/>
      <c r="E259" s="163"/>
      <c r="F259" s="163"/>
    </row>
    <row r="260" spans="2:6" x14ac:dyDescent="0.25">
      <c r="B260" s="95" t="s">
        <v>205</v>
      </c>
      <c r="C260" s="163">
        <f>capstack!C3</f>
        <v>35.19</v>
      </c>
      <c r="D260" s="163"/>
      <c r="E260" s="163"/>
      <c r="F260" s="163"/>
    </row>
    <row r="261" spans="2:6" x14ac:dyDescent="0.25">
      <c r="B261" s="105" t="s">
        <v>204</v>
      </c>
      <c r="C261" s="226">
        <f ca="1">-(C260/C259-1)</f>
        <v>-0.10030575436935951</v>
      </c>
      <c r="D261" s="200"/>
      <c r="E261" s="200"/>
      <c r="F261" s="200"/>
    </row>
  </sheetData>
  <sheetProtection algorithmName="SHA-512" hashValue="gpMxi97Nl/o4Suu7wwG1jJaoJJVWks/B2S/ds7WOjNsvsUoH2bK6NPcNhpazjQk/koaM+wev8xTCH0GCbwjhvQ==" saltValue="fZXGupJxn54zIRJshbKbvA==" spinCount="100000" sheet="1" objects="1" scenarios="1" selectLockedCells="1"/>
  <mergeCells count="11">
    <mergeCell ref="Z4:AD4"/>
    <mergeCell ref="X2:AD2"/>
    <mergeCell ref="Z12:AD12"/>
    <mergeCell ref="X14:X18"/>
    <mergeCell ref="X20:Y21"/>
    <mergeCell ref="Z20:AD21"/>
    <mergeCell ref="U3:V3"/>
    <mergeCell ref="U4:V5"/>
    <mergeCell ref="U2:V2"/>
    <mergeCell ref="U7:V7"/>
    <mergeCell ref="X6:X10"/>
  </mergeCells>
  <dataValidations count="1">
    <dataValidation type="list" allowBlank="1" showInputMessage="1" showErrorMessage="1" sqref="U4:V5" xr:uid="{41952A2A-AB1E-48A0-8E92-9FC3A76EF396}">
      <formula1>"1,2"</formula1>
    </dataValidation>
  </dataValidations>
  <pageMargins left="0.7" right="0.7" top="0.75" bottom="0.75" header="0.3" footer="0.3"/>
  <pageSetup orientation="portrait" horizontalDpi="300" verticalDpi="300" r:id="rId1"/>
  <ignoredErrors>
    <ignoredError sqref="G86 G104 G112 G185 G127 G162 G164 G155 G102 G17 H102:L102 H127:L127 H155:L155 H162:L162 H164:L164 H177 H197" formula="1"/>
  </ignoredErrors>
  <legacyDrawing r:id="rId2"/>
  <extLst>
    <ext xmlns:x14="http://schemas.microsoft.com/office/spreadsheetml/2009/9/main" uri="{05C60535-1F16-4fd2-B633-F4F36F0B64E0}">
      <x14:sparklineGroups xmlns:xm="http://schemas.microsoft.com/office/excel/2006/main">
        <x14:sparklineGroup type="column" displayEmptyCellsAs="gap" xr2:uid="{BD24C93D-1E01-4032-AA67-B0FFB47DD356}">
          <x14:colorSeries rgb="FF376092"/>
          <x14:colorNegative rgb="FFD00000"/>
          <x14:colorAxis rgb="FF000000"/>
          <x14:colorMarkers rgb="FFD00000"/>
          <x14:colorFirst rgb="FFD00000"/>
          <x14:colorLast rgb="FFD00000"/>
          <x14:colorHigh rgb="FFD00000"/>
          <x14:colorLow rgb="FFD00000"/>
          <x14:sparklines>
            <x14:sparkline>
              <xm:f>'proforma + dcf'!G48:L48</xm:f>
              <xm:sqref>N48</xm:sqref>
            </x14:sparkline>
          </x14:sparklines>
        </x14:sparklineGroup>
        <x14:sparklineGroup type="column" displayEmptyCellsAs="gap" xr2:uid="{6D9C9A14-6753-4145-95AC-082340969CFE}">
          <x14:colorSeries rgb="FF376092"/>
          <x14:colorNegative rgb="FFD00000"/>
          <x14:colorAxis rgb="FF000000"/>
          <x14:colorMarkers rgb="FFD00000"/>
          <x14:colorFirst rgb="FFD00000"/>
          <x14:colorLast rgb="FFD00000"/>
          <x14:colorHigh rgb="FFD00000"/>
          <x14:colorLow rgb="FFD00000"/>
          <x14:sparklines>
            <x14:sparkline>
              <xm:f>'proforma + dcf'!G37:L37</xm:f>
              <xm:sqref>N37</xm:sqref>
            </x14:sparkline>
          </x14:sparklines>
        </x14:sparklineGroup>
        <x14:sparklineGroup type="column" displayEmptyCellsAs="gap" xr2:uid="{D9DBD1EA-E07B-4FE1-938D-BCF7C98944AE}">
          <x14:colorSeries rgb="FF376092"/>
          <x14:colorNegative rgb="FFD00000"/>
          <x14:colorAxis rgb="FF000000"/>
          <x14:colorMarkers rgb="FFD00000"/>
          <x14:colorFirst rgb="FFD00000"/>
          <x14:colorLast rgb="FFD00000"/>
          <x14:colorHigh rgb="FFD00000"/>
          <x14:colorLow rgb="FFD00000"/>
          <x14:sparklines>
            <x14:sparkline>
              <xm:f>'proforma + dcf'!G29:L29</xm:f>
              <xm:sqref>N29</xm:sqref>
            </x14:sparkline>
          </x14:sparklines>
        </x14:sparklineGroup>
        <x14:sparklineGroup type="column" displayEmptyCellsAs="gap" xr2:uid="{1B4A3976-4021-4A7F-85C5-B3323F7CDC5B}">
          <x14:colorSeries rgb="FF376092"/>
          <x14:colorNegative rgb="FFD00000"/>
          <x14:colorAxis rgb="FF000000"/>
          <x14:colorMarkers rgb="FFD00000"/>
          <x14:colorFirst rgb="FFD00000"/>
          <x14:colorLast rgb="FFD00000"/>
          <x14:colorHigh rgb="FFD00000"/>
          <x14:colorLow rgb="FFD00000"/>
          <x14:sparklines>
            <x14:sparkline>
              <xm:f>'proforma + dcf'!G14:L14</xm:f>
              <xm:sqref>N14</xm:sqref>
            </x14:sparkline>
          </x14:sparklines>
        </x14:sparklineGroup>
        <x14:sparklineGroup type="column" displayEmptyCellsAs="gap" xr2:uid="{007AC09E-D41E-4129-9EBD-8BF561A3BC97}">
          <x14:colorSeries rgb="FF376092"/>
          <x14:colorNegative rgb="FFD00000"/>
          <x14:colorAxis rgb="FF000000"/>
          <x14:colorMarkers rgb="FFD00000"/>
          <x14:colorFirst rgb="FFD00000"/>
          <x14:colorLast rgb="FFD00000"/>
          <x14:colorHigh rgb="FFD00000"/>
          <x14:colorLow rgb="FFD00000"/>
          <x14:sparklines>
            <x14:sparkline>
              <xm:f>'proforma + dcf'!G4:L4</xm:f>
              <xm:sqref>N4</xm:sqref>
            </x14:sparkline>
          </x14:sparklines>
        </x14:sparklineGroup>
        <x14:sparklineGroup type="column" displayEmptyCellsAs="gap" xr2:uid="{E08B50F2-5123-40FE-936A-69EC603A4556}">
          <x14:colorSeries rgb="FF376092"/>
          <x14:colorNegative rgb="FFD00000"/>
          <x14:colorAxis rgb="FF000000"/>
          <x14:colorMarkers rgb="FFD00000"/>
          <x14:colorFirst rgb="FFD00000"/>
          <x14:colorLast rgb="FFD00000"/>
          <x14:colorHigh rgb="FFD00000"/>
          <x14:colorLow rgb="FFD00000"/>
          <x14:sparklines>
            <x14:sparkline>
              <xm:f>'proforma + dcf'!G16:L16</xm:f>
              <xm:sqref>N16</xm:sqref>
            </x14:sparkline>
          </x14:sparklines>
        </x14:sparklineGroup>
        <x14:sparklineGroup type="column" displayEmptyCellsAs="gap" xr2:uid="{8BEEE204-4ED5-46B9-BD1F-638B974075D0}">
          <x14:colorSeries rgb="FF376092"/>
          <x14:colorNegative rgb="FFD00000"/>
          <x14:colorAxis rgb="FF000000"/>
          <x14:colorMarkers rgb="FFD00000"/>
          <x14:colorFirst rgb="FFD00000"/>
          <x14:colorLast rgb="FFD00000"/>
          <x14:colorHigh rgb="FFD00000"/>
          <x14:colorLow rgb="FFD00000"/>
          <x14:sparklines>
            <x14:sparkline>
              <xm:f>'proforma + dcf'!G18:L18</xm:f>
              <xm:sqref>N18</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65C7F-2B7E-4FB2-B195-94C3E82C78F2}">
  <dimension ref="B2:I34"/>
  <sheetViews>
    <sheetView topLeftCell="A7" workbookViewId="0">
      <selection activeCell="K16" sqref="K16"/>
    </sheetView>
  </sheetViews>
  <sheetFormatPr defaultRowHeight="15" x14ac:dyDescent="0.25"/>
  <cols>
    <col min="1" max="1" width="3.7109375" customWidth="1"/>
    <col min="2" max="2" width="23" customWidth="1"/>
    <col min="3" max="3" width="18" bestFit="1" customWidth="1"/>
    <col min="5" max="5" width="13.28515625" bestFit="1" customWidth="1"/>
    <col min="6" max="6" width="11.85546875" style="6" bestFit="1" customWidth="1"/>
    <col min="7" max="7" width="12.140625" bestFit="1" customWidth="1"/>
    <col min="8" max="8" width="17" bestFit="1" customWidth="1"/>
    <col min="9" max="9" width="12.7109375" customWidth="1"/>
  </cols>
  <sheetData>
    <row r="2" spans="2:8" x14ac:dyDescent="0.25">
      <c r="B2" t="s">
        <v>233</v>
      </c>
      <c r="C2" s="100">
        <v>43.64</v>
      </c>
      <c r="E2" t="s">
        <v>227</v>
      </c>
    </row>
    <row r="3" spans="2:8" x14ac:dyDescent="0.25">
      <c r="B3" t="s">
        <v>234</v>
      </c>
      <c r="C3" s="100">
        <v>35.19</v>
      </c>
    </row>
    <row r="4" spans="2:8" x14ac:dyDescent="0.25">
      <c r="B4" t="s">
        <v>292</v>
      </c>
      <c r="C4">
        <v>1.2585999999999999</v>
      </c>
      <c r="E4" t="s">
        <v>229</v>
      </c>
    </row>
    <row r="5" spans="2:8" x14ac:dyDescent="0.25">
      <c r="B5" t="s">
        <v>223</v>
      </c>
      <c r="C5" s="1">
        <v>198422935</v>
      </c>
      <c r="E5" t="s">
        <v>228</v>
      </c>
      <c r="F5" s="6" t="s">
        <v>231</v>
      </c>
      <c r="G5" s="6" t="s">
        <v>232</v>
      </c>
      <c r="H5" s="6" t="s">
        <v>235</v>
      </c>
    </row>
    <row r="6" spans="2:8" x14ac:dyDescent="0.25">
      <c r="B6" s="156" t="s">
        <v>239</v>
      </c>
      <c r="C6" s="1">
        <f>(H11+H18)*100+H22</f>
        <v>70743</v>
      </c>
      <c r="E6" s="202">
        <v>30.46</v>
      </c>
      <c r="F6" s="6">
        <v>126</v>
      </c>
      <c r="G6" s="6">
        <f>IF(E6&lt;$C$2,F6,0)</f>
        <v>126</v>
      </c>
      <c r="H6" s="124">
        <f>($C$2-E6)*G6</f>
        <v>1660.68</v>
      </c>
    </row>
    <row r="7" spans="2:8" x14ac:dyDescent="0.25">
      <c r="B7" t="s">
        <v>241</v>
      </c>
      <c r="C7" s="1">
        <f>C5+C6</f>
        <v>198493678</v>
      </c>
      <c r="E7" s="202">
        <v>33.01</v>
      </c>
      <c r="F7" s="6">
        <v>543</v>
      </c>
      <c r="G7" s="6">
        <f t="shared" ref="G7:G9" si="0">IF(E7&lt;$C$2,F7,0)</f>
        <v>543</v>
      </c>
      <c r="H7" s="124">
        <f t="shared" ref="H7:H8" si="1">($C$2-E7)*G7</f>
        <v>5772.0900000000011</v>
      </c>
    </row>
    <row r="8" spans="2:8" x14ac:dyDescent="0.25">
      <c r="E8" s="202">
        <v>38.01</v>
      </c>
      <c r="F8" s="6">
        <v>511</v>
      </c>
      <c r="G8" s="6">
        <f t="shared" si="0"/>
        <v>511</v>
      </c>
      <c r="H8" s="124">
        <f t="shared" si="1"/>
        <v>2876.9300000000012</v>
      </c>
    </row>
    <row r="9" spans="2:8" x14ac:dyDescent="0.25">
      <c r="B9" t="s">
        <v>242</v>
      </c>
      <c r="C9" s="1">
        <f>C7*C2/10^3</f>
        <v>8662264.1079200003</v>
      </c>
      <c r="E9" s="202">
        <v>42.27</v>
      </c>
      <c r="F9" s="6">
        <v>283</v>
      </c>
      <c r="G9" s="6">
        <f t="shared" si="0"/>
        <v>283</v>
      </c>
      <c r="H9" s="124">
        <f>($C$2-E9)*G9</f>
        <v>387.7099999999993</v>
      </c>
    </row>
    <row r="10" spans="2:8" x14ac:dyDescent="0.25">
      <c r="B10" s="156" t="s">
        <v>243</v>
      </c>
      <c r="C10" s="1">
        <f ca="1">I27</f>
        <v>1069104.9904706902</v>
      </c>
      <c r="E10" s="267" t="s">
        <v>236</v>
      </c>
      <c r="F10" s="267"/>
      <c r="G10" s="267"/>
      <c r="H10" s="124">
        <f>SUM(H6:H9)</f>
        <v>10697.410000000002</v>
      </c>
    </row>
    <row r="11" spans="2:8" x14ac:dyDescent="0.25">
      <c r="B11" s="156" t="s">
        <v>246</v>
      </c>
      <c r="C11" s="1">
        <f ca="1">I26</f>
        <v>569969.69902432349</v>
      </c>
      <c r="E11" s="268" t="s">
        <v>237</v>
      </c>
      <c r="F11" s="268"/>
      <c r="G11" s="268"/>
      <c r="H11" s="124">
        <f>ROUNDDOWN(H10/C2,0)</f>
        <v>245</v>
      </c>
    </row>
    <row r="12" spans="2:8" x14ac:dyDescent="0.25">
      <c r="B12" t="s">
        <v>247</v>
      </c>
      <c r="C12" s="1">
        <f ca="1">C9+C10-C11</f>
        <v>9161399.3993663676</v>
      </c>
      <c r="E12" s="6"/>
      <c r="G12" s="6"/>
      <c r="H12" s="124"/>
    </row>
    <row r="13" spans="2:8" x14ac:dyDescent="0.25">
      <c r="E13" t="s">
        <v>230</v>
      </c>
      <c r="F13" s="6" t="s">
        <v>231</v>
      </c>
      <c r="G13" s="6" t="s">
        <v>232</v>
      </c>
      <c r="H13" s="6" t="s">
        <v>235</v>
      </c>
    </row>
    <row r="14" spans="2:8" x14ac:dyDescent="0.25">
      <c r="B14" t="s">
        <v>252</v>
      </c>
      <c r="C14" s="157">
        <f ca="1">C12/I28</f>
        <v>3.8017120535701276</v>
      </c>
      <c r="E14" s="201">
        <v>20.77</v>
      </c>
      <c r="F14" s="6">
        <v>537</v>
      </c>
      <c r="G14" s="6">
        <f>IF(E14&lt;$C$3,F14,0)</f>
        <v>537</v>
      </c>
      <c r="H14" s="124">
        <f>($C$3-E14)*G14</f>
        <v>7743.5399999999991</v>
      </c>
    </row>
    <row r="15" spans="2:8" x14ac:dyDescent="0.25">
      <c r="B15" t="s">
        <v>279</v>
      </c>
      <c r="C15" s="214">
        <f ca="1">C12/I29</f>
        <v>31.381030935802865</v>
      </c>
      <c r="E15" s="201">
        <v>29.01</v>
      </c>
      <c r="F15" s="6">
        <v>669</v>
      </c>
      <c r="G15" s="6">
        <f t="shared" ref="G15:G16" si="2">IF(E15&lt;$C$3,F15,0)</f>
        <v>669</v>
      </c>
      <c r="H15" s="124">
        <f t="shared" ref="H15:H16" si="3">($C$3-E15)*G15</f>
        <v>4134.4199999999973</v>
      </c>
    </row>
    <row r="16" spans="2:8" x14ac:dyDescent="0.25">
      <c r="E16" s="201">
        <v>30</v>
      </c>
      <c r="F16" s="6">
        <v>850</v>
      </c>
      <c r="G16" s="6">
        <f t="shared" si="2"/>
        <v>850</v>
      </c>
      <c r="H16" s="124">
        <f t="shared" si="3"/>
        <v>4411.4999999999982</v>
      </c>
    </row>
    <row r="17" spans="2:9" x14ac:dyDescent="0.25">
      <c r="B17" t="s">
        <v>281</v>
      </c>
      <c r="C17" s="6" t="s">
        <v>282</v>
      </c>
      <c r="E17" s="267" t="s">
        <v>236</v>
      </c>
      <c r="F17" s="267"/>
      <c r="G17" s="267"/>
      <c r="H17" s="124">
        <f>SUM(H14:H16)</f>
        <v>16289.459999999994</v>
      </c>
    </row>
    <row r="18" spans="2:9" x14ac:dyDescent="0.25">
      <c r="B18" t="s">
        <v>283</v>
      </c>
      <c r="C18" s="203">
        <f>C2</f>
        <v>43.64</v>
      </c>
      <c r="E18" s="268" t="s">
        <v>237</v>
      </c>
      <c r="F18" s="268"/>
      <c r="G18" s="268"/>
      <c r="H18" s="124">
        <f>ROUNDDOWN(H17/C3,0)</f>
        <v>462</v>
      </c>
    </row>
    <row r="19" spans="2:9" x14ac:dyDescent="0.25">
      <c r="B19" t="s">
        <v>284</v>
      </c>
      <c r="C19" s="6" t="s">
        <v>285</v>
      </c>
    </row>
    <row r="20" spans="2:9" x14ac:dyDescent="0.25">
      <c r="B20" t="s">
        <v>286</v>
      </c>
      <c r="C20" s="164">
        <v>0.18410000000000001</v>
      </c>
      <c r="E20" t="s">
        <v>238</v>
      </c>
      <c r="H20" s="1">
        <f>H18+H11</f>
        <v>707</v>
      </c>
    </row>
    <row r="22" spans="2:9" x14ac:dyDescent="0.25">
      <c r="B22" t="s">
        <v>287</v>
      </c>
      <c r="C22" s="1">
        <f>C5/1000</f>
        <v>198422.935</v>
      </c>
      <c r="E22" t="s">
        <v>240</v>
      </c>
      <c r="H22">
        <v>43</v>
      </c>
    </row>
    <row r="23" spans="2:9" x14ac:dyDescent="0.25">
      <c r="B23" t="s">
        <v>288</v>
      </c>
      <c r="C23" s="1">
        <f>C6/1000</f>
        <v>70.742999999999995</v>
      </c>
    </row>
    <row r="24" spans="2:9" x14ac:dyDescent="0.25">
      <c r="B24" s="216" t="s">
        <v>241</v>
      </c>
      <c r="C24" s="217">
        <f>C22+C23</f>
        <v>198493.67799999999</v>
      </c>
      <c r="E24" t="s">
        <v>254</v>
      </c>
    </row>
    <row r="25" spans="2:9" x14ac:dyDescent="0.25">
      <c r="B25" s="215"/>
      <c r="C25" s="215"/>
      <c r="F25" s="6">
        <v>2020</v>
      </c>
      <c r="G25" s="6" t="s">
        <v>73</v>
      </c>
      <c r="H25" s="6" t="s">
        <v>249</v>
      </c>
      <c r="I25" s="6" t="s">
        <v>250</v>
      </c>
    </row>
    <row r="26" spans="2:9" x14ac:dyDescent="0.25">
      <c r="B26" s="219" t="s">
        <v>289</v>
      </c>
      <c r="C26" s="220">
        <f>C24*C18</f>
        <v>8662264.1079200003</v>
      </c>
      <c r="E26" t="s">
        <v>244</v>
      </c>
      <c r="F26" s="124">
        <f>'proforma + dcf'!F66</f>
        <v>505264</v>
      </c>
      <c r="G26" s="124">
        <f ca="1">'proforma + dcf'!G66</f>
        <v>601124.29485084955</v>
      </c>
      <c r="H26" s="124">
        <f ca="1">G26-F26</f>
        <v>95860.294850849546</v>
      </c>
      <c r="I26" s="124">
        <f ca="1">H26*$F$30+F26</f>
        <v>569969.69902432349</v>
      </c>
    </row>
    <row r="27" spans="2:9" x14ac:dyDescent="0.25">
      <c r="B27" s="218" t="s">
        <v>290</v>
      </c>
      <c r="C27" s="1">
        <f ca="1">C10*C4</f>
        <v>1345575.5410064105</v>
      </c>
      <c r="E27" t="s">
        <v>245</v>
      </c>
      <c r="F27" s="124">
        <f>'proforma + dcf'!F113+'proforma + dcf'!F115</f>
        <v>1082464</v>
      </c>
      <c r="G27" s="124">
        <f>'proforma + dcf'!G113+'proforma + dcf'!G115</f>
        <v>1062672.8747713929</v>
      </c>
      <c r="H27" s="124">
        <f>G27-F27</f>
        <v>-19791.125228607096</v>
      </c>
      <c r="I27" s="124">
        <f ca="1">H27*$F$30+F27</f>
        <v>1069104.9904706902</v>
      </c>
    </row>
    <row r="28" spans="2:9" x14ac:dyDescent="0.25">
      <c r="B28" s="218" t="s">
        <v>291</v>
      </c>
      <c r="C28" s="1">
        <f ca="1">C11*C4</f>
        <v>717363.86319201346</v>
      </c>
      <c r="E28" t="s">
        <v>253</v>
      </c>
      <c r="F28" s="124">
        <f>'proforma + dcf'!F4</f>
        <v>1981276</v>
      </c>
      <c r="G28" s="124">
        <f>'proforma + dcf'!G4</f>
        <v>2616139.5</v>
      </c>
      <c r="H28" s="124">
        <f>G28-F28</f>
        <v>634863.5</v>
      </c>
      <c r="I28" s="124">
        <f ca="1">H28*$F$30+F28</f>
        <v>2409808.8624999998</v>
      </c>
    </row>
    <row r="29" spans="2:9" x14ac:dyDescent="0.25">
      <c r="B29" s="216" t="s">
        <v>293</v>
      </c>
      <c r="C29" s="221">
        <f ca="1">C26+C27-C28</f>
        <v>9290475.7857343964</v>
      </c>
      <c r="E29" t="s">
        <v>280</v>
      </c>
      <c r="F29" s="124">
        <f>'proforma + dcf'!F58</f>
        <v>-33653</v>
      </c>
      <c r="G29" s="124">
        <f>'proforma + dcf'!G58</f>
        <v>448708.0021608806</v>
      </c>
      <c r="H29" s="124">
        <f t="shared" ref="H29" si="4">G29-F29</f>
        <v>482361.0021608806</v>
      </c>
      <c r="I29" s="124">
        <f ca="1">H29*$F$30+F29</f>
        <v>291940.67645859445</v>
      </c>
    </row>
    <row r="30" spans="2:9" x14ac:dyDescent="0.25">
      <c r="E30" t="s">
        <v>248</v>
      </c>
      <c r="F30" s="189">
        <f ca="1">YEARFRAC(TODAY(),DATE(LEFT(G25,4),12,31))</f>
        <v>0.67500000000000004</v>
      </c>
      <c r="G30" t="s">
        <v>251</v>
      </c>
      <c r="H30" s="124"/>
    </row>
    <row r="31" spans="2:9" x14ac:dyDescent="0.25">
      <c r="B31" t="s">
        <v>294</v>
      </c>
      <c r="C31" s="222">
        <v>3.08</v>
      </c>
    </row>
    <row r="32" spans="2:9" x14ac:dyDescent="0.25">
      <c r="B32" t="s">
        <v>295</v>
      </c>
      <c r="C32" s="222">
        <f ca="1">C29/I28</f>
        <v>3.8552749681965275</v>
      </c>
    </row>
    <row r="34" spans="2:3" x14ac:dyDescent="0.25">
      <c r="B34" t="s">
        <v>296</v>
      </c>
      <c r="C34" s="1">
        <v>520790</v>
      </c>
    </row>
  </sheetData>
  <sheetProtection algorithmName="SHA-512" hashValue="SYkOgBwHZ92V5IiNcy21Ss70UknyvTFrbErjZrI9pHGkg1wXnkB+5D4Vq4nO7WJfP2uyUmmEb1ARrIFZNL/O1g==" saltValue="DMYwPtBPvwI3rTqqxxcmjw==" spinCount="100000" sheet="1" objects="1" scenarios="1" selectLockedCells="1" selectUnlockedCells="1"/>
  <mergeCells count="4">
    <mergeCell ref="E10:G10"/>
    <mergeCell ref="E17:G17"/>
    <mergeCell ref="E18:G18"/>
    <mergeCell ref="E11:G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C08C-4573-4474-B471-5796CE7FD9A9}">
  <dimension ref="B2:K43"/>
  <sheetViews>
    <sheetView workbookViewId="0">
      <selection activeCell="T6" sqref="T6"/>
    </sheetView>
  </sheetViews>
  <sheetFormatPr defaultRowHeight="15" x14ac:dyDescent="0.25"/>
  <cols>
    <col min="1" max="1" width="5.140625" customWidth="1"/>
    <col min="2" max="2" width="28.42578125" bestFit="1" customWidth="1"/>
    <col min="3" max="3" width="10" style="6" customWidth="1"/>
    <col min="4" max="4" width="12.5703125" style="6" bestFit="1" customWidth="1"/>
    <col min="5" max="9" width="11.5703125" style="6" bestFit="1" customWidth="1"/>
  </cols>
  <sheetData>
    <row r="2" spans="2:10" x14ac:dyDescent="0.25">
      <c r="B2" s="5" t="s">
        <v>269</v>
      </c>
      <c r="C2" s="5"/>
      <c r="D2" s="7">
        <v>2020</v>
      </c>
      <c r="E2" s="7" t="str">
        <f>'proforma + dcf'!G3</f>
        <v>2021E</v>
      </c>
      <c r="F2" s="7" t="str">
        <f>'proforma + dcf'!H3</f>
        <v>2022E</v>
      </c>
      <c r="G2" s="7" t="str">
        <f>'proforma + dcf'!I3</f>
        <v>2023E</v>
      </c>
      <c r="H2" s="7" t="str">
        <f>'proforma + dcf'!J3</f>
        <v>2024E</v>
      </c>
      <c r="I2" s="7" t="str">
        <f>'proforma + dcf'!K3</f>
        <v>2025E</v>
      </c>
      <c r="J2" s="7" t="str">
        <f>'proforma + dcf'!L3</f>
        <v>Terminal</v>
      </c>
    </row>
    <row r="3" spans="2:10" x14ac:dyDescent="0.25">
      <c r="B3" t="s">
        <v>181</v>
      </c>
      <c r="C3"/>
      <c r="E3" s="124"/>
      <c r="F3" s="124"/>
      <c r="G3" s="124">
        <f>500000*0.75</f>
        <v>375000</v>
      </c>
      <c r="H3" s="124">
        <f>500000-G3</f>
        <v>125000</v>
      </c>
      <c r="I3" s="124"/>
      <c r="J3" s="124"/>
    </row>
    <row r="4" spans="2:10" x14ac:dyDescent="0.25">
      <c r="B4" t="s">
        <v>179</v>
      </c>
      <c r="C4"/>
      <c r="E4" s="125">
        <f>E5/D5-1</f>
        <v>0.32043163092875493</v>
      </c>
      <c r="F4" s="125">
        <v>0.06</v>
      </c>
      <c r="G4" s="125">
        <v>0.06</v>
      </c>
      <c r="H4" s="125">
        <v>0.06</v>
      </c>
      <c r="I4" s="125">
        <v>0.06</v>
      </c>
      <c r="J4" s="125">
        <v>0.02</v>
      </c>
    </row>
    <row r="5" spans="2:10" x14ac:dyDescent="0.25">
      <c r="B5" t="s">
        <v>180</v>
      </c>
      <c r="C5"/>
      <c r="D5" s="124">
        <f>'proforma + dcf'!F4</f>
        <v>1981276</v>
      </c>
      <c r="E5" s="124">
        <f>AVERAGE('proforma + dcf'!C4:F4)</f>
        <v>2616139.5</v>
      </c>
      <c r="F5" s="124">
        <f>E5*(1+F4)</f>
        <v>2773107.87</v>
      </c>
      <c r="G5" s="124">
        <f>F5*(1+G4)+G3</f>
        <v>3314494.3422000003</v>
      </c>
      <c r="H5" s="124">
        <f t="shared" ref="H5:J5" si="0">G5*(1+H4)+H3</f>
        <v>3638364.0027320003</v>
      </c>
      <c r="I5" s="124">
        <f t="shared" si="0"/>
        <v>3856665.8428959204</v>
      </c>
      <c r="J5" s="124">
        <f t="shared" si="0"/>
        <v>3933799.159753839</v>
      </c>
    </row>
    <row r="6" spans="2:10" x14ac:dyDescent="0.25">
      <c r="D6" s="204"/>
      <c r="E6" s="125"/>
      <c r="F6" s="125"/>
      <c r="G6" s="125"/>
      <c r="H6" s="125"/>
      <c r="I6" s="125"/>
      <c r="J6" s="125"/>
    </row>
    <row r="7" spans="2:10" x14ac:dyDescent="0.25">
      <c r="J7" s="6"/>
    </row>
    <row r="8" spans="2:10" x14ac:dyDescent="0.25">
      <c r="B8" s="5" t="s">
        <v>270</v>
      </c>
      <c r="C8" s="5"/>
      <c r="D8" s="7">
        <f t="shared" ref="D8:J8" si="1">D2</f>
        <v>2020</v>
      </c>
      <c r="E8" s="7" t="str">
        <f t="shared" si="1"/>
        <v>2021E</v>
      </c>
      <c r="F8" s="7" t="str">
        <f t="shared" si="1"/>
        <v>2022E</v>
      </c>
      <c r="G8" s="7" t="str">
        <f t="shared" si="1"/>
        <v>2023E</v>
      </c>
      <c r="H8" s="7" t="str">
        <f t="shared" si="1"/>
        <v>2024E</v>
      </c>
      <c r="I8" s="7" t="str">
        <f t="shared" si="1"/>
        <v>2025E</v>
      </c>
      <c r="J8" s="7" t="str">
        <f t="shared" si="1"/>
        <v>Terminal</v>
      </c>
    </row>
    <row r="9" spans="2:10" x14ac:dyDescent="0.25">
      <c r="B9" t="s">
        <v>271</v>
      </c>
      <c r="C9"/>
      <c r="D9" s="124">
        <f>'proforma + dcf'!F52</f>
        <v>198361</v>
      </c>
      <c r="E9" s="124">
        <f>D9-E11</f>
        <v>198361</v>
      </c>
      <c r="F9" s="124">
        <f t="shared" ref="F9:J9" si="2">E9-F11</f>
        <v>188443</v>
      </c>
      <c r="G9" s="124">
        <f t="shared" si="2"/>
        <v>179021</v>
      </c>
      <c r="H9" s="124">
        <f t="shared" si="2"/>
        <v>170070</v>
      </c>
      <c r="I9" s="124">
        <f t="shared" si="2"/>
        <v>161566</v>
      </c>
      <c r="J9" s="124">
        <f t="shared" si="2"/>
        <v>153488</v>
      </c>
    </row>
    <row r="10" spans="2:10" x14ac:dyDescent="0.25">
      <c r="B10" t="s">
        <v>272</v>
      </c>
      <c r="C10"/>
      <c r="E10" s="125"/>
      <c r="F10" s="125">
        <f t="shared" ref="F10:J10" si="3">0.05</f>
        <v>0.05</v>
      </c>
      <c r="G10" s="125">
        <f t="shared" si="3"/>
        <v>0.05</v>
      </c>
      <c r="H10" s="125">
        <f t="shared" si="3"/>
        <v>0.05</v>
      </c>
      <c r="I10" s="125">
        <f t="shared" si="3"/>
        <v>0.05</v>
      </c>
      <c r="J10" s="125">
        <f t="shared" si="3"/>
        <v>0.05</v>
      </c>
    </row>
    <row r="11" spans="2:10" x14ac:dyDescent="0.25">
      <c r="B11" t="s">
        <v>273</v>
      </c>
      <c r="C11"/>
      <c r="F11" s="6">
        <f t="shared" ref="F11:J11" si="4">ROUND(F10*E9,0)</f>
        <v>9918</v>
      </c>
      <c r="G11" s="6">
        <f t="shared" si="4"/>
        <v>9422</v>
      </c>
      <c r="H11" s="6">
        <f t="shared" si="4"/>
        <v>8951</v>
      </c>
      <c r="I11" s="6">
        <f t="shared" si="4"/>
        <v>8504</v>
      </c>
      <c r="J11" s="6">
        <f t="shared" si="4"/>
        <v>8078</v>
      </c>
    </row>
    <row r="12" spans="2:10" x14ac:dyDescent="0.25">
      <c r="B12" t="s">
        <v>278</v>
      </c>
      <c r="C12"/>
      <c r="E12" s="124"/>
      <c r="F12" s="124">
        <f>F11*$D$13</f>
        <v>349014.42</v>
      </c>
      <c r="G12" s="124">
        <f>G11*$D$13</f>
        <v>331560.18</v>
      </c>
      <c r="H12" s="124">
        <f>H11*$D$13</f>
        <v>314985.69</v>
      </c>
      <c r="I12" s="124">
        <f>I11*$D$13</f>
        <v>299255.76</v>
      </c>
      <c r="J12" s="124">
        <f>J11*$D$13</f>
        <v>284264.82</v>
      </c>
    </row>
    <row r="13" spans="2:10" x14ac:dyDescent="0.25">
      <c r="B13" t="s">
        <v>274</v>
      </c>
      <c r="C13"/>
      <c r="D13" s="208">
        <f>capstack!C3</f>
        <v>35.19</v>
      </c>
      <c r="J13" s="6"/>
    </row>
    <row r="14" spans="2:10" x14ac:dyDescent="0.25">
      <c r="J14" s="6"/>
    </row>
    <row r="15" spans="2:10" x14ac:dyDescent="0.25">
      <c r="J15" s="6"/>
    </row>
    <row r="16" spans="2:10" x14ac:dyDescent="0.25">
      <c r="B16" s="5" t="s">
        <v>299</v>
      </c>
      <c r="C16" s="5"/>
      <c r="D16" s="7">
        <f t="shared" ref="D16:J16" si="5">D2</f>
        <v>2020</v>
      </c>
      <c r="E16" s="7" t="str">
        <f t="shared" si="5"/>
        <v>2021E</v>
      </c>
      <c r="F16" s="7" t="str">
        <f t="shared" si="5"/>
        <v>2022E</v>
      </c>
      <c r="G16" s="7" t="str">
        <f t="shared" si="5"/>
        <v>2023E</v>
      </c>
      <c r="H16" s="7" t="str">
        <f t="shared" si="5"/>
        <v>2024E</v>
      </c>
      <c r="I16" s="7" t="str">
        <f t="shared" si="5"/>
        <v>2025E</v>
      </c>
      <c r="J16" s="7" t="str">
        <f t="shared" si="5"/>
        <v>Terminal</v>
      </c>
    </row>
    <row r="17" spans="2:11" x14ac:dyDescent="0.25">
      <c r="B17" t="s">
        <v>181</v>
      </c>
      <c r="C17"/>
      <c r="D17" s="6">
        <f t="shared" ref="D17:G18" si="6">D3</f>
        <v>0</v>
      </c>
      <c r="E17" s="124">
        <f t="shared" si="6"/>
        <v>0</v>
      </c>
      <c r="F17" s="124">
        <f t="shared" si="6"/>
        <v>0</v>
      </c>
      <c r="G17" s="124">
        <f t="shared" si="6"/>
        <v>375000</v>
      </c>
      <c r="H17" s="124">
        <f>H3+500000</f>
        <v>625000</v>
      </c>
      <c r="I17" s="124"/>
      <c r="J17" s="124"/>
    </row>
    <row r="18" spans="2:11" x14ac:dyDescent="0.25">
      <c r="B18" t="s">
        <v>179</v>
      </c>
      <c r="C18"/>
      <c r="D18" s="6">
        <f t="shared" si="6"/>
        <v>0</v>
      </c>
      <c r="E18" s="125">
        <f t="shared" si="6"/>
        <v>0.32043163092875493</v>
      </c>
      <c r="F18" s="125">
        <f t="shared" si="6"/>
        <v>0.06</v>
      </c>
      <c r="G18" s="125">
        <f t="shared" si="6"/>
        <v>0.06</v>
      </c>
      <c r="H18" s="125">
        <f>H4</f>
        <v>0.06</v>
      </c>
      <c r="I18" s="125">
        <f>I4</f>
        <v>0.06</v>
      </c>
      <c r="J18" s="125">
        <f>J4</f>
        <v>0.02</v>
      </c>
    </row>
    <row r="19" spans="2:11" x14ac:dyDescent="0.25">
      <c r="B19" t="s">
        <v>180</v>
      </c>
      <c r="C19"/>
      <c r="D19" s="124">
        <f>D5</f>
        <v>1981276</v>
      </c>
      <c r="E19" s="124">
        <f>E5</f>
        <v>2616139.5</v>
      </c>
      <c r="F19" s="124">
        <f>E19*(1+F18)</f>
        <v>2773107.87</v>
      </c>
      <c r="G19" s="124">
        <f>F19*(1+G18)+G17</f>
        <v>3314494.3422000003</v>
      </c>
      <c r="H19" s="124">
        <f t="shared" ref="H19" si="7">G19*(1+H18)+H17</f>
        <v>4138364.0027320003</v>
      </c>
      <c r="I19" s="124">
        <f t="shared" ref="I19" si="8">H19*(1+I18)+I17</f>
        <v>4386665.8428959204</v>
      </c>
      <c r="J19" s="124">
        <f t="shared" ref="J19" si="9">I19*(1+J18)+J17</f>
        <v>4474399.1597538386</v>
      </c>
    </row>
    <row r="20" spans="2:11" x14ac:dyDescent="0.25">
      <c r="C20"/>
    </row>
    <row r="21" spans="2:11" x14ac:dyDescent="0.25">
      <c r="C21"/>
    </row>
    <row r="22" spans="2:11" x14ac:dyDescent="0.25">
      <c r="B22" s="5" t="s">
        <v>300</v>
      </c>
      <c r="C22" s="7"/>
      <c r="D22" s="7"/>
      <c r="E22" s="7"/>
      <c r="F22" s="7"/>
      <c r="G22" s="7"/>
      <c r="H22" s="7"/>
      <c r="I22" s="7"/>
      <c r="J22" s="7"/>
    </row>
    <row r="23" spans="2:11" x14ac:dyDescent="0.25">
      <c r="B23" s="5" t="s">
        <v>269</v>
      </c>
      <c r="C23" s="7"/>
      <c r="D23" s="7" t="s">
        <v>308</v>
      </c>
      <c r="E23" s="7" t="str">
        <f t="shared" ref="E23:J23" si="10">E2</f>
        <v>2021E</v>
      </c>
      <c r="F23" s="7" t="str">
        <f t="shared" si="10"/>
        <v>2022E</v>
      </c>
      <c r="G23" s="7" t="str">
        <f t="shared" si="10"/>
        <v>2023E</v>
      </c>
      <c r="H23" s="7" t="str">
        <f t="shared" si="10"/>
        <v>2024E</v>
      </c>
      <c r="I23" s="7" t="str">
        <f t="shared" si="10"/>
        <v>2025E</v>
      </c>
      <c r="J23" s="7" t="str">
        <f t="shared" si="10"/>
        <v>Terminal</v>
      </c>
    </row>
    <row r="24" spans="2:11" x14ac:dyDescent="0.25">
      <c r="B24" s="140" t="s">
        <v>305</v>
      </c>
      <c r="C24" s="239">
        <v>1</v>
      </c>
      <c r="D24" s="95"/>
      <c r="E24" s="240">
        <f>E5</f>
        <v>2616139.5</v>
      </c>
      <c r="F24" s="240">
        <f>F5</f>
        <v>2773107.87</v>
      </c>
      <c r="G24" s="240">
        <f>G5</f>
        <v>3314494.3422000003</v>
      </c>
      <c r="H24" s="240">
        <f>H5</f>
        <v>3638364.0027320003</v>
      </c>
      <c r="I24" s="240">
        <f>I5</f>
        <v>3856665.8428959204</v>
      </c>
      <c r="J24" s="240">
        <f>'proforma + dcf'!L4</f>
        <v>3933799.159753839</v>
      </c>
    </row>
    <row r="25" spans="2:11" x14ac:dyDescent="0.25">
      <c r="B25" s="140" t="s">
        <v>304</v>
      </c>
      <c r="C25" s="239">
        <v>2</v>
      </c>
      <c r="D25" s="95"/>
      <c r="E25" s="240">
        <f>E19</f>
        <v>2616139.5</v>
      </c>
      <c r="F25" s="240">
        <f>F19</f>
        <v>2773107.87</v>
      </c>
      <c r="G25" s="240">
        <f>G19</f>
        <v>3314494.3422000003</v>
      </c>
      <c r="H25" s="240">
        <f>H19</f>
        <v>4138364.0027320003</v>
      </c>
      <c r="I25" s="240">
        <f>I19</f>
        <v>4386665.8428959204</v>
      </c>
      <c r="J25" s="240">
        <f>J24</f>
        <v>3933799.159753839</v>
      </c>
    </row>
    <row r="26" spans="2:11" x14ac:dyDescent="0.25">
      <c r="B26" s="5" t="s">
        <v>301</v>
      </c>
      <c r="C26" s="227"/>
      <c r="D26" s="7"/>
      <c r="E26" s="7"/>
      <c r="F26" s="7"/>
      <c r="G26" s="7"/>
      <c r="H26" s="7"/>
      <c r="I26" s="7"/>
      <c r="J26" s="7"/>
    </row>
    <row r="27" spans="2:11" x14ac:dyDescent="0.25">
      <c r="B27" s="140" t="s">
        <v>305</v>
      </c>
      <c r="C27" s="239">
        <v>1</v>
      </c>
      <c r="D27" s="241"/>
      <c r="E27" s="242">
        <v>-0.04</v>
      </c>
      <c r="F27" s="242">
        <v>-3.5000000000000003E-2</v>
      </c>
      <c r="G27" s="242">
        <v>-3.5000000000000003E-2</v>
      </c>
      <c r="H27" s="242">
        <v>-3.5000000000000003E-2</v>
      </c>
      <c r="I27" s="242">
        <v>-3.5000000000000003E-2</v>
      </c>
      <c r="J27" s="242">
        <v>-3.5000000000000003E-2</v>
      </c>
    </row>
    <row r="28" spans="2:11" x14ac:dyDescent="0.25">
      <c r="B28" s="140" t="s">
        <v>304</v>
      </c>
      <c r="C28" s="239">
        <v>2</v>
      </c>
      <c r="D28" s="241"/>
      <c r="E28" s="242">
        <v>-0.04</v>
      </c>
      <c r="F28" s="242">
        <v>-3.5000000000000003E-2</v>
      </c>
      <c r="G28" s="242">
        <v>-0.04</v>
      </c>
      <c r="H28" s="242">
        <v>-3.5000000000000003E-2</v>
      </c>
      <c r="I28" s="242">
        <v>-3.5000000000000003E-2</v>
      </c>
      <c r="J28" s="242">
        <v>-3.5000000000000003E-2</v>
      </c>
    </row>
    <row r="29" spans="2:11" x14ac:dyDescent="0.25">
      <c r="B29" s="5" t="s">
        <v>306</v>
      </c>
      <c r="C29" s="227"/>
      <c r="D29" s="7"/>
      <c r="E29" s="7"/>
      <c r="F29" s="7"/>
      <c r="G29" s="7"/>
      <c r="H29" s="7"/>
      <c r="I29" s="7"/>
      <c r="J29" s="7"/>
    </row>
    <row r="30" spans="2:11" x14ac:dyDescent="0.25">
      <c r="B30" s="140" t="s">
        <v>305</v>
      </c>
      <c r="C30" s="239">
        <v>1</v>
      </c>
      <c r="D30" s="241"/>
      <c r="E30" s="240">
        <f>E12</f>
        <v>0</v>
      </c>
      <c r="F30" s="240">
        <f>F12</f>
        <v>349014.42</v>
      </c>
      <c r="G30" s="240">
        <f>F30</f>
        <v>349014.42</v>
      </c>
      <c r="H30" s="240">
        <f t="shared" ref="H30:J30" si="11">G30</f>
        <v>349014.42</v>
      </c>
      <c r="I30" s="240">
        <f t="shared" si="11"/>
        <v>349014.42</v>
      </c>
      <c r="J30" s="240">
        <f t="shared" si="11"/>
        <v>349014.42</v>
      </c>
    </row>
    <row r="31" spans="2:11" x14ac:dyDescent="0.25">
      <c r="B31" s="140" t="s">
        <v>304</v>
      </c>
      <c r="C31" s="239">
        <v>2</v>
      </c>
      <c r="D31" s="241"/>
      <c r="E31" s="240">
        <f>E30</f>
        <v>0</v>
      </c>
      <c r="F31" s="240">
        <f t="shared" ref="F31:J31" si="12">F30</f>
        <v>349014.42</v>
      </c>
      <c r="G31" s="240">
        <f t="shared" si="12"/>
        <v>349014.42</v>
      </c>
      <c r="H31" s="240">
        <f t="shared" si="12"/>
        <v>349014.42</v>
      </c>
      <c r="I31" s="240">
        <f t="shared" si="12"/>
        <v>349014.42</v>
      </c>
      <c r="J31" s="240">
        <f t="shared" si="12"/>
        <v>349014.42</v>
      </c>
      <c r="K31" s="124"/>
    </row>
    <row r="32" spans="2:11" x14ac:dyDescent="0.25">
      <c r="B32" s="5" t="s">
        <v>307</v>
      </c>
      <c r="C32" s="227"/>
      <c r="D32" s="7"/>
      <c r="E32" s="7"/>
      <c r="F32" s="7"/>
      <c r="G32" s="7"/>
      <c r="H32" s="7"/>
      <c r="I32" s="7"/>
      <c r="J32" s="7"/>
    </row>
    <row r="33" spans="2:10" x14ac:dyDescent="0.25">
      <c r="B33" s="140" t="s">
        <v>305</v>
      </c>
      <c r="C33" s="239">
        <v>1</v>
      </c>
      <c r="D33" s="243">
        <v>0.1374397105703597</v>
      </c>
      <c r="E33" s="243">
        <f>($G$33-$D$33)/3+D33</f>
        <v>0.13162647371357314</v>
      </c>
      <c r="F33" s="243">
        <f>($G$33-$D$33)/3+E33</f>
        <v>0.12581323685678658</v>
      </c>
      <c r="G33" s="243">
        <v>0.12</v>
      </c>
      <c r="H33" s="243">
        <v>0.12</v>
      </c>
      <c r="I33" s="243">
        <v>0.12</v>
      </c>
      <c r="J33" s="243">
        <v>0.12</v>
      </c>
    </row>
    <row r="34" spans="2:10" x14ac:dyDescent="0.25">
      <c r="B34" s="140" t="s">
        <v>304</v>
      </c>
      <c r="C34" s="239">
        <v>2</v>
      </c>
      <c r="D34" s="243">
        <f>D33</f>
        <v>0.1374397105703597</v>
      </c>
      <c r="E34" s="243">
        <f>(F34+D34)/2</f>
        <v>0.12871985528517985</v>
      </c>
      <c r="F34" s="243">
        <v>0.12</v>
      </c>
      <c r="G34" s="243">
        <v>0.12</v>
      </c>
      <c r="H34" s="243">
        <v>0.12</v>
      </c>
      <c r="I34" s="243">
        <v>0.12</v>
      </c>
      <c r="J34" s="243">
        <v>0.12</v>
      </c>
    </row>
    <row r="35" spans="2:10" x14ac:dyDescent="0.25">
      <c r="B35" s="5" t="s">
        <v>311</v>
      </c>
      <c r="C35" s="245"/>
      <c r="D35" s="7"/>
      <c r="E35" s="7"/>
      <c r="F35" s="7"/>
      <c r="G35" s="7"/>
      <c r="H35" s="7"/>
      <c r="I35" s="7"/>
      <c r="J35" s="7"/>
    </row>
    <row r="36" spans="2:10" x14ac:dyDescent="0.25">
      <c r="B36" s="140" t="s">
        <v>305</v>
      </c>
      <c r="C36" s="244">
        <v>1</v>
      </c>
      <c r="D36" s="243"/>
      <c r="E36" s="243">
        <v>0.24371112353856808</v>
      </c>
      <c r="F36" s="243">
        <f>(G36+E36)/2</f>
        <v>0.27185556176928405</v>
      </c>
      <c r="G36" s="243">
        <v>0.3</v>
      </c>
      <c r="H36" s="243">
        <v>0.3</v>
      </c>
      <c r="I36" s="243">
        <v>0.3</v>
      </c>
      <c r="J36" s="243">
        <v>0.3</v>
      </c>
    </row>
    <row r="37" spans="2:10" x14ac:dyDescent="0.25">
      <c r="B37" s="140" t="s">
        <v>304</v>
      </c>
      <c r="C37" s="244">
        <v>2</v>
      </c>
      <c r="D37" s="243"/>
      <c r="E37" s="243">
        <f>E36</f>
        <v>0.24371112353856808</v>
      </c>
      <c r="F37" s="243">
        <f>(G37+E37)/2</f>
        <v>0.27185556176928405</v>
      </c>
      <c r="G37" s="243">
        <v>0.3</v>
      </c>
      <c r="H37" s="243">
        <v>0.32</v>
      </c>
      <c r="I37" s="243">
        <f t="shared" ref="I37:J37" si="13">H37</f>
        <v>0.32</v>
      </c>
      <c r="J37" s="243">
        <f t="shared" si="13"/>
        <v>0.32</v>
      </c>
    </row>
    <row r="38" spans="2:10" x14ac:dyDescent="0.25">
      <c r="B38" s="5" t="s">
        <v>74</v>
      </c>
      <c r="C38" s="245"/>
      <c r="D38" s="7"/>
      <c r="E38" s="7"/>
      <c r="F38" s="7"/>
      <c r="G38" s="7"/>
      <c r="H38" s="7"/>
      <c r="I38" s="7"/>
      <c r="J38" s="7"/>
    </row>
    <row r="39" spans="2:10" x14ac:dyDescent="0.25">
      <c r="B39" s="140" t="s">
        <v>305</v>
      </c>
      <c r="C39" s="244">
        <v>1</v>
      </c>
      <c r="D39" s="243"/>
      <c r="E39" s="248">
        <v>8.6513791682559233</v>
      </c>
      <c r="F39" s="248">
        <v>8.6513791682559233</v>
      </c>
      <c r="G39" s="248">
        <v>8.6513791682559233</v>
      </c>
      <c r="H39" s="248">
        <v>8.6513791682559233</v>
      </c>
      <c r="I39" s="248">
        <v>8.6513791682559233</v>
      </c>
      <c r="J39" s="248">
        <v>8.6513791682559233</v>
      </c>
    </row>
    <row r="40" spans="2:10" x14ac:dyDescent="0.25">
      <c r="B40" s="140" t="s">
        <v>304</v>
      </c>
      <c r="C40" s="244">
        <v>2</v>
      </c>
      <c r="D40" s="243"/>
      <c r="E40" s="248">
        <v>8.6513791682559233</v>
      </c>
      <c r="F40" s="248">
        <v>8.6513791682559233</v>
      </c>
      <c r="G40" s="248">
        <v>8.6513791682559233</v>
      </c>
      <c r="H40" s="248">
        <v>8.6513791682559233</v>
      </c>
      <c r="I40" s="248">
        <v>8.6513791682559233</v>
      </c>
      <c r="J40" s="248">
        <v>8.6513791682559233</v>
      </c>
    </row>
    <row r="41" spans="2:10" x14ac:dyDescent="0.25">
      <c r="B41" s="5" t="s">
        <v>312</v>
      </c>
      <c r="C41" s="245"/>
      <c r="D41" s="7"/>
      <c r="E41" s="7"/>
      <c r="F41" s="7"/>
      <c r="G41" s="7"/>
      <c r="H41" s="7"/>
      <c r="I41" s="7"/>
      <c r="J41" s="7"/>
    </row>
    <row r="42" spans="2:10" x14ac:dyDescent="0.25">
      <c r="B42" s="140" t="s">
        <v>305</v>
      </c>
      <c r="C42" s="244">
        <v>1</v>
      </c>
      <c r="D42" s="243"/>
      <c r="E42" s="248">
        <v>2.1</v>
      </c>
      <c r="F42" s="248">
        <v>2.1</v>
      </c>
      <c r="G42" s="248">
        <v>2.1</v>
      </c>
      <c r="H42" s="248">
        <v>2.1</v>
      </c>
      <c r="I42" s="248">
        <v>2.1</v>
      </c>
      <c r="J42" s="248">
        <v>2.1</v>
      </c>
    </row>
    <row r="43" spans="2:10" x14ac:dyDescent="0.25">
      <c r="B43" s="140" t="s">
        <v>304</v>
      </c>
      <c r="C43" s="244">
        <v>2</v>
      </c>
      <c r="D43" s="243"/>
      <c r="E43" s="248">
        <v>2.2000000000000002</v>
      </c>
      <c r="F43" s="248">
        <v>2.2000000000000002</v>
      </c>
      <c r="G43" s="248">
        <v>2.2000000000000002</v>
      </c>
      <c r="H43" s="248">
        <v>2.2000000000000002</v>
      </c>
      <c r="I43" s="248">
        <v>2.2000000000000002</v>
      </c>
      <c r="J43" s="248">
        <v>2.2000000000000002</v>
      </c>
    </row>
  </sheetData>
  <sheetProtection algorithmName="SHA-512" hashValue="zS89stRbra7NTUUyZ67nsAFeSjv+AzoQkg2s5Pig4369J9tqOdmV5LHY02cFwf2YZ2sFLJ0waRuauxrdpAI4pA==" saltValue="6SpJwpvhgleJtdlpxeu8xQ==" spinCount="100000" sheet="1" objects="1" scenarios="1" selectLockedCells="1" selectUnlockedCells="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9251-193E-4063-8F51-4FAC03809A5E}">
  <dimension ref="B2:J20"/>
  <sheetViews>
    <sheetView workbookViewId="0">
      <selection activeCell="G15" sqref="G15"/>
    </sheetView>
  </sheetViews>
  <sheetFormatPr defaultRowHeight="15" x14ac:dyDescent="0.25"/>
  <cols>
    <col min="3" max="3" width="12.85546875" customWidth="1"/>
    <col min="4" max="4" width="10.85546875" bestFit="1" customWidth="1"/>
    <col min="8" max="8" width="10.5703125" bestFit="1" customWidth="1"/>
    <col min="9" max="9" width="13.5703125" bestFit="1" customWidth="1"/>
  </cols>
  <sheetData>
    <row r="2" spans="2:10" x14ac:dyDescent="0.25">
      <c r="B2" t="s">
        <v>142</v>
      </c>
      <c r="D2" s="4">
        <v>3.8899999999999997E-2</v>
      </c>
    </row>
    <row r="4" spans="2:10" x14ac:dyDescent="0.25">
      <c r="B4" t="s">
        <v>80</v>
      </c>
      <c r="C4" t="s">
        <v>140</v>
      </c>
      <c r="D4" s="6" t="s">
        <v>141</v>
      </c>
      <c r="F4" t="s">
        <v>80</v>
      </c>
      <c r="G4" s="6" t="s">
        <v>79</v>
      </c>
      <c r="H4" s="6" t="s">
        <v>144</v>
      </c>
    </row>
    <row r="5" spans="2:10" x14ac:dyDescent="0.25">
      <c r="B5" s="2">
        <v>0</v>
      </c>
      <c r="C5" s="1">
        <v>20561</v>
      </c>
      <c r="D5" s="1">
        <f>PV($D$2,(1+B5),,-C5)</f>
        <v>19791.125228607183</v>
      </c>
      <c r="F5" s="2">
        <v>2021</v>
      </c>
      <c r="G5" s="1">
        <f>SUM(D6:$D$11)</f>
        <v>61397.370841599099</v>
      </c>
      <c r="H5" s="1">
        <f>G5*$D$2</f>
        <v>2388.3577257382049</v>
      </c>
      <c r="I5" s="1"/>
      <c r="J5" s="1"/>
    </row>
    <row r="6" spans="2:10" x14ac:dyDescent="0.25">
      <c r="B6" s="2">
        <v>1</v>
      </c>
      <c r="C6" s="1">
        <f>27800/3</f>
        <v>9266.6666666666661</v>
      </c>
      <c r="D6" s="1">
        <f t="shared" ref="D6:D10" si="0">PV($D$2,(1+B6),,-C6)</f>
        <v>8585.7067075707037</v>
      </c>
      <c r="F6" s="2">
        <v>2022</v>
      </c>
      <c r="G6" s="1">
        <f>SUM(D7:$D$11)</f>
        <v>52811.664134028397</v>
      </c>
      <c r="H6" s="1">
        <f t="shared" ref="H6:H11" si="1">G6*$D$2</f>
        <v>2054.3737348137047</v>
      </c>
      <c r="J6" s="1"/>
    </row>
    <row r="7" spans="2:10" x14ac:dyDescent="0.25">
      <c r="B7" s="2">
        <v>2</v>
      </c>
      <c r="C7" s="1">
        <f>C6</f>
        <v>9266.6666666666661</v>
      </c>
      <c r="D7" s="1">
        <f t="shared" si="0"/>
        <v>8264.2282294452816</v>
      </c>
      <c r="F7" s="2">
        <v>2023</v>
      </c>
      <c r="G7" s="1">
        <f>SUM(D8:$D$11)</f>
        <v>44547.435904583122</v>
      </c>
      <c r="H7" s="1">
        <f t="shared" si="1"/>
        <v>1732.8952566882833</v>
      </c>
      <c r="J7" s="1"/>
    </row>
    <row r="8" spans="2:10" x14ac:dyDescent="0.25">
      <c r="B8" s="2">
        <v>3</v>
      </c>
      <c r="C8" s="1">
        <f>C7</f>
        <v>9266.6666666666661</v>
      </c>
      <c r="D8" s="1">
        <f t="shared" si="0"/>
        <v>7954.7870145781926</v>
      </c>
      <c r="F8" s="2">
        <v>2024</v>
      </c>
      <c r="G8" s="1">
        <f>SUM(D9:$D$11)</f>
        <v>36592.64889000493</v>
      </c>
      <c r="H8" s="1">
        <f t="shared" si="1"/>
        <v>1423.4540418211916</v>
      </c>
      <c r="J8" s="1"/>
    </row>
    <row r="9" spans="2:10" x14ac:dyDescent="0.25">
      <c r="B9" s="2">
        <v>4</v>
      </c>
      <c r="C9" s="1">
        <f>18900/2</f>
        <v>9450</v>
      </c>
      <c r="D9" s="1">
        <f t="shared" si="0"/>
        <v>7808.4184179064532</v>
      </c>
      <c r="F9" s="2">
        <v>2025</v>
      </c>
      <c r="G9" s="1">
        <f>SUM(D10:$D$11)</f>
        <v>28784.230472098472</v>
      </c>
      <c r="H9" s="1">
        <f t="shared" si="1"/>
        <v>1119.7065653646305</v>
      </c>
      <c r="J9" s="1"/>
    </row>
    <row r="10" spans="2:10" x14ac:dyDescent="0.25">
      <c r="B10" s="2">
        <v>5</v>
      </c>
      <c r="C10" s="1">
        <f>C9</f>
        <v>9450</v>
      </c>
      <c r="D10" s="1">
        <f t="shared" si="0"/>
        <v>7516.0442948372838</v>
      </c>
      <c r="F10" s="2">
        <v>2026</v>
      </c>
      <c r="G10" s="1">
        <f>SUM(D11:$D$11)</f>
        <v>21268.186177261188</v>
      </c>
      <c r="H10" s="1">
        <f t="shared" si="1"/>
        <v>827.33244229546017</v>
      </c>
      <c r="J10" s="1"/>
    </row>
    <row r="11" spans="2:10" x14ac:dyDescent="0.25">
      <c r="B11" s="2">
        <v>6</v>
      </c>
      <c r="C11" s="1">
        <f>31000/E13</f>
        <v>3444.4444444444443</v>
      </c>
      <c r="D11" s="1">
        <f>PV(D2,B10,,PV(D2,E13,C11))</f>
        <v>21268.186177261188</v>
      </c>
      <c r="F11" s="2">
        <v>2027</v>
      </c>
      <c r="G11" s="1">
        <f>SUM(D$11:$D12)</f>
        <v>21268.186177261188</v>
      </c>
      <c r="H11" s="1">
        <f t="shared" si="1"/>
        <v>827.33244229546017</v>
      </c>
      <c r="J11" s="1"/>
    </row>
    <row r="12" spans="2:10" x14ac:dyDescent="0.25">
      <c r="D12" s="1"/>
    </row>
    <row r="13" spans="2:10" x14ac:dyDescent="0.25">
      <c r="B13" t="s">
        <v>143</v>
      </c>
      <c r="E13">
        <v>9</v>
      </c>
    </row>
    <row r="20" spans="4:4" x14ac:dyDescent="0.25">
      <c r="D20" s="1"/>
    </row>
  </sheetData>
  <sheetProtection algorithmName="SHA-512" hashValue="iAXzbYT29wweYb7nsb0AM884h7mLBZi7gJDg4QxcFjH3msl20VBNYv0/KMbtydDDtW4MQ+dZGXm0GJ/8IqlbkA==" saltValue="HZmfGgBE8LFPaDzqTSZOKA==" spinCount="100000" sheet="1" objects="1" scenarios="1" selectLockedCells="1" selectUnlockedCells="1"/>
  <pageMargins left="0.7" right="0.7" top="0.75" bottom="0.75" header="0.3" footer="0.3"/>
  <ignoredErrors>
    <ignoredError sqref="C9" formula="1"/>
  </ignoredErrors>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D8082-7BFE-471B-AFB3-54C02AE89275}">
  <dimension ref="N1:AE22"/>
  <sheetViews>
    <sheetView workbookViewId="0">
      <selection activeCell="P14" sqref="P14"/>
    </sheetView>
  </sheetViews>
  <sheetFormatPr defaultRowHeight="15" x14ac:dyDescent="0.25"/>
  <cols>
    <col min="14" max="14" width="13.85546875" bestFit="1" customWidth="1"/>
    <col min="15" max="15" width="13.42578125" bestFit="1" customWidth="1"/>
    <col min="16" max="16" width="8.7109375" bestFit="1" customWidth="1"/>
    <col min="17" max="17" width="9.28515625" bestFit="1" customWidth="1"/>
    <col min="18" max="18" width="10.28515625" bestFit="1" customWidth="1"/>
    <col min="19" max="19" width="16.42578125" bestFit="1" customWidth="1"/>
    <col min="20" max="23" width="12.140625" bestFit="1" customWidth="1"/>
    <col min="24" max="24" width="11.140625" bestFit="1" customWidth="1"/>
  </cols>
  <sheetData>
    <row r="1" spans="14:27" x14ac:dyDescent="0.25">
      <c r="T1">
        <v>0</v>
      </c>
      <c r="U1">
        <v>1</v>
      </c>
      <c r="V1">
        <v>2</v>
      </c>
      <c r="W1">
        <v>3</v>
      </c>
      <c r="X1">
        <v>4</v>
      </c>
      <c r="Y1">
        <v>5</v>
      </c>
    </row>
    <row r="2" spans="14:27" x14ac:dyDescent="0.25">
      <c r="T2" s="269" t="s">
        <v>219</v>
      </c>
      <c r="U2" s="269"/>
      <c r="V2" s="269"/>
      <c r="W2" s="269"/>
      <c r="X2" s="269"/>
    </row>
    <row r="3" spans="14:27" x14ac:dyDescent="0.25">
      <c r="N3" t="s">
        <v>210</v>
      </c>
      <c r="O3" t="s">
        <v>214</v>
      </c>
      <c r="P3" t="s">
        <v>215</v>
      </c>
      <c r="Q3" t="s">
        <v>216</v>
      </c>
      <c r="R3" t="s">
        <v>218</v>
      </c>
      <c r="S3" s="6" t="s">
        <v>217</v>
      </c>
      <c r="T3" s="6" t="s">
        <v>73</v>
      </c>
      <c r="U3" s="6" t="s">
        <v>174</v>
      </c>
      <c r="V3" s="6" t="s">
        <v>175</v>
      </c>
      <c r="W3" s="6" t="s">
        <v>176</v>
      </c>
      <c r="X3" s="6" t="s">
        <v>177</v>
      </c>
      <c r="Y3" s="6" t="s">
        <v>222</v>
      </c>
      <c r="AA3" s="2"/>
    </row>
    <row r="4" spans="14:27" x14ac:dyDescent="0.25">
      <c r="N4" t="s">
        <v>212</v>
      </c>
      <c r="O4" s="4">
        <v>2.5999999999999999E-2</v>
      </c>
      <c r="P4" s="1">
        <v>300000</v>
      </c>
      <c r="Q4" s="188">
        <v>45748</v>
      </c>
      <c r="R4">
        <v>12</v>
      </c>
      <c r="S4" s="191">
        <f ca="1">YEARFRAC(TODAY(),Q4)</f>
        <v>3.9249999999999998</v>
      </c>
      <c r="T4" s="1">
        <f ca="1">IF($S4-T$1&gt;0,$O4*$P4,0)</f>
        <v>7800</v>
      </c>
      <c r="U4" s="1">
        <f t="shared" ref="U4:Y11" ca="1" si="0">IF($S4-U$1&gt;0,$O4*$P4,0)</f>
        <v>7800</v>
      </c>
      <c r="V4" s="1">
        <f t="shared" ca="1" si="0"/>
        <v>7800</v>
      </c>
      <c r="W4" s="1">
        <f t="shared" ca="1" si="0"/>
        <v>7800</v>
      </c>
      <c r="X4" s="1">
        <f t="shared" ca="1" si="0"/>
        <v>0</v>
      </c>
      <c r="Y4" s="1">
        <f t="shared" ca="1" si="0"/>
        <v>0</v>
      </c>
      <c r="AA4" s="205"/>
    </row>
    <row r="5" spans="14:27" x14ac:dyDescent="0.25">
      <c r="N5" t="s">
        <v>212</v>
      </c>
      <c r="O5" s="4">
        <v>2.5999999999999999E-2</v>
      </c>
      <c r="P5" s="1">
        <v>400000</v>
      </c>
      <c r="Q5" s="188">
        <v>44652</v>
      </c>
      <c r="R5">
        <v>12</v>
      </c>
      <c r="S5" s="191">
        <f ca="1">YEARFRAC(TODAY(),Q5)</f>
        <v>0.92500000000000004</v>
      </c>
      <c r="T5" s="1">
        <f t="shared" ref="T5:T11" ca="1" si="1">IF($S5-T$1&gt;0,$O5*$P5,0)</f>
        <v>10400</v>
      </c>
      <c r="U5" s="1">
        <f t="shared" ca="1" si="0"/>
        <v>0</v>
      </c>
      <c r="V5" s="1">
        <f t="shared" ca="1" si="0"/>
        <v>0</v>
      </c>
      <c r="W5" s="1">
        <f t="shared" ca="1" si="0"/>
        <v>0</v>
      </c>
      <c r="X5" s="1">
        <f t="shared" ca="1" si="0"/>
        <v>0</v>
      </c>
      <c r="Y5" s="1">
        <f t="shared" ca="1" si="0"/>
        <v>0</v>
      </c>
      <c r="AA5" s="205"/>
    </row>
    <row r="6" spans="14:27" x14ac:dyDescent="0.25">
      <c r="N6" t="s">
        <v>213</v>
      </c>
      <c r="O6" s="4">
        <v>2.7E-2</v>
      </c>
      <c r="P6" s="1">
        <v>50000</v>
      </c>
      <c r="Q6" s="188">
        <v>45139</v>
      </c>
      <c r="R6">
        <v>4</v>
      </c>
      <c r="S6" s="191">
        <f ca="1">YEARFRAC(TODAY(),Q6)</f>
        <v>2.2583333333333333</v>
      </c>
      <c r="T6" s="1">
        <f t="shared" ca="1" si="1"/>
        <v>1350</v>
      </c>
      <c r="U6" s="1">
        <f t="shared" ca="1" si="0"/>
        <v>1350</v>
      </c>
      <c r="V6" s="1">
        <f t="shared" ca="1" si="0"/>
        <v>1350</v>
      </c>
      <c r="W6" s="1">
        <f t="shared" ca="1" si="0"/>
        <v>0</v>
      </c>
      <c r="X6" s="1">
        <f t="shared" ca="1" si="0"/>
        <v>0</v>
      </c>
      <c r="Y6" s="1">
        <f t="shared" ca="1" si="0"/>
        <v>0</v>
      </c>
      <c r="AA6" s="205"/>
    </row>
    <row r="7" spans="14:27" x14ac:dyDescent="0.25">
      <c r="N7" t="s">
        <v>213</v>
      </c>
      <c r="O7" s="4">
        <v>2.9000000000000001E-2</v>
      </c>
      <c r="P7" s="1">
        <v>50000</v>
      </c>
      <c r="Q7" s="188">
        <v>46235</v>
      </c>
      <c r="R7">
        <v>4</v>
      </c>
      <c r="S7" s="191">
        <f ca="1">YEARFRAC(TODAY(),Q7)</f>
        <v>5.2583333333333337</v>
      </c>
      <c r="T7" s="1">
        <f t="shared" ca="1" si="1"/>
        <v>1450</v>
      </c>
      <c r="U7" s="1">
        <f t="shared" ca="1" si="0"/>
        <v>1450</v>
      </c>
      <c r="V7" s="1">
        <f t="shared" ca="1" si="0"/>
        <v>1450</v>
      </c>
      <c r="W7" s="1">
        <f t="shared" ca="1" si="0"/>
        <v>1450</v>
      </c>
      <c r="X7" s="1">
        <f t="shared" ca="1" si="0"/>
        <v>1450</v>
      </c>
      <c r="Y7" s="1">
        <f t="shared" ca="1" si="0"/>
        <v>1450</v>
      </c>
      <c r="AA7" s="205"/>
    </row>
    <row r="8" spans="14:27" x14ac:dyDescent="0.25">
      <c r="O8" s="4"/>
      <c r="P8" s="1"/>
      <c r="S8" s="191"/>
      <c r="T8" s="1"/>
      <c r="U8" s="1"/>
      <c r="V8" s="1"/>
      <c r="W8" s="1"/>
      <c r="X8" s="1"/>
      <c r="AA8" s="205"/>
    </row>
    <row r="9" spans="14:27" x14ac:dyDescent="0.25">
      <c r="N9" t="s">
        <v>211</v>
      </c>
      <c r="O9" s="4"/>
      <c r="P9" s="1"/>
      <c r="S9" s="191"/>
      <c r="T9" s="1"/>
      <c r="U9" s="1"/>
      <c r="V9" s="1"/>
      <c r="W9" s="1"/>
      <c r="X9" s="1"/>
      <c r="AA9" s="205"/>
    </row>
    <row r="10" spans="14:27" x14ac:dyDescent="0.25">
      <c r="N10" t="s">
        <v>213</v>
      </c>
      <c r="O10" s="4">
        <v>2.7E-2</v>
      </c>
      <c r="P10" s="1">
        <v>100000</v>
      </c>
      <c r="Q10" s="188">
        <v>45139</v>
      </c>
      <c r="R10">
        <v>6</v>
      </c>
      <c r="S10" s="191">
        <f ca="1">YEARFRAC(TODAY(),Q10)</f>
        <v>2.2583333333333333</v>
      </c>
      <c r="T10" s="1">
        <f t="shared" ca="1" si="1"/>
        <v>2700</v>
      </c>
      <c r="U10" s="1">
        <f t="shared" ca="1" si="0"/>
        <v>2700</v>
      </c>
      <c r="V10" s="1">
        <f t="shared" ca="1" si="0"/>
        <v>2700</v>
      </c>
      <c r="W10" s="1">
        <f t="shared" ca="1" si="0"/>
        <v>0</v>
      </c>
      <c r="X10" s="1">
        <f t="shared" ca="1" si="0"/>
        <v>0</v>
      </c>
      <c r="Y10" s="1">
        <f t="shared" ca="1" si="0"/>
        <v>0</v>
      </c>
      <c r="AA10" s="205"/>
    </row>
    <row r="11" spans="14:27" x14ac:dyDescent="0.25">
      <c r="N11" t="s">
        <v>213</v>
      </c>
      <c r="O11" s="4">
        <v>2.9000000000000001E-2</v>
      </c>
      <c r="P11" s="1">
        <v>100000</v>
      </c>
      <c r="Q11" s="188">
        <v>46235</v>
      </c>
      <c r="R11">
        <v>6</v>
      </c>
      <c r="S11" s="191">
        <f ca="1">YEARFRAC(TODAY(),Q11)</f>
        <v>5.2583333333333337</v>
      </c>
      <c r="T11" s="1">
        <f t="shared" ca="1" si="1"/>
        <v>2900</v>
      </c>
      <c r="U11" s="1">
        <f t="shared" ca="1" si="0"/>
        <v>2900</v>
      </c>
      <c r="V11" s="1">
        <f t="shared" ca="1" si="0"/>
        <v>2900</v>
      </c>
      <c r="W11" s="1">
        <f t="shared" ca="1" si="0"/>
        <v>2900</v>
      </c>
      <c r="X11" s="1">
        <f t="shared" ca="1" si="0"/>
        <v>2900</v>
      </c>
      <c r="Y11" s="1">
        <f t="shared" ca="1" si="0"/>
        <v>2900</v>
      </c>
      <c r="AA11" s="205"/>
    </row>
    <row r="12" spans="14:27" x14ac:dyDescent="0.25">
      <c r="AA12" s="205"/>
    </row>
    <row r="13" spans="14:27" x14ac:dyDescent="0.25">
      <c r="S13" t="s">
        <v>220</v>
      </c>
      <c r="T13" s="192">
        <f ca="1">SUM(T4:T11)</f>
        <v>26600</v>
      </c>
      <c r="U13" s="192">
        <f t="shared" ref="U13:Y13" ca="1" si="2">SUM(U4:U11)</f>
        <v>16200</v>
      </c>
      <c r="V13" s="192">
        <f t="shared" ca="1" si="2"/>
        <v>16200</v>
      </c>
      <c r="W13" s="192">
        <f t="shared" ca="1" si="2"/>
        <v>12150</v>
      </c>
      <c r="X13" s="192">
        <f t="shared" ca="1" si="2"/>
        <v>4350</v>
      </c>
      <c r="Y13" s="192">
        <f t="shared" ca="1" si="2"/>
        <v>4350</v>
      </c>
      <c r="AA13" s="205"/>
    </row>
    <row r="14" spans="14:27" x14ac:dyDescent="0.25">
      <c r="S14" t="s">
        <v>221</v>
      </c>
      <c r="U14" s="1">
        <f>P5</f>
        <v>400000</v>
      </c>
      <c r="W14" s="1">
        <f>P6+P10</f>
        <v>150000</v>
      </c>
      <c r="AA14" s="205"/>
    </row>
    <row r="15" spans="14:27" x14ac:dyDescent="0.25">
      <c r="AA15" s="205"/>
    </row>
    <row r="16" spans="14:27" x14ac:dyDescent="0.25">
      <c r="N16" t="s">
        <v>258</v>
      </c>
      <c r="O16" s="164">
        <f>lease!D2</f>
        <v>3.8899999999999997E-2</v>
      </c>
      <c r="P16" s="1">
        <f>'proforma + dcf'!F115</f>
        <v>82464</v>
      </c>
      <c r="S16">
        <f>lease!E13+lease!B10</f>
        <v>14</v>
      </c>
      <c r="AA16" s="205"/>
    </row>
    <row r="18" spans="31:31" x14ac:dyDescent="0.25">
      <c r="AE18" s="1"/>
    </row>
    <row r="19" spans="31:31" x14ac:dyDescent="0.25">
      <c r="AE19" s="157"/>
    </row>
    <row r="20" spans="31:31" x14ac:dyDescent="0.25">
      <c r="AE20" s="1"/>
    </row>
    <row r="21" spans="31:31" x14ac:dyDescent="0.25">
      <c r="AE21" s="164"/>
    </row>
    <row r="22" spans="31:31" x14ac:dyDescent="0.25">
      <c r="AE22" s="1"/>
    </row>
  </sheetData>
  <sheetProtection algorithmName="SHA-512" hashValue="9AT6/OAnuR1fkbu1ODP98xMsAB05oGIurNNMz8H080JSYjdOaH3Uh+LNepO8/e4bdd4ae2Q84O+/mXg2tF46bg==" saltValue="QQeNwBb37rk/auzVNBBpNA==" spinCount="100000" sheet="1" objects="1" scenarios="1" selectLockedCells="1" selectUnlockedCells="1"/>
  <mergeCells count="1">
    <mergeCell ref="T2:X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6D3E7-0FBA-407B-ABF5-EC25A4083926}">
  <dimension ref="B3:W40"/>
  <sheetViews>
    <sheetView workbookViewId="0">
      <selection activeCell="K50" sqref="K50"/>
    </sheetView>
  </sheetViews>
  <sheetFormatPr defaultRowHeight="15" x14ac:dyDescent="0.25"/>
  <cols>
    <col min="1" max="1" width="3.5703125" customWidth="1"/>
    <col min="2" max="2" width="27.85546875" bestFit="1" customWidth="1"/>
    <col min="3" max="3" width="11.140625" bestFit="1" customWidth="1"/>
  </cols>
  <sheetData>
    <row r="3" spans="2:23" x14ac:dyDescent="0.25">
      <c r="B3" t="s">
        <v>207</v>
      </c>
      <c r="C3">
        <v>1.7230000000000001</v>
      </c>
    </row>
    <row r="4" spans="2:23" x14ac:dyDescent="0.25">
      <c r="B4" t="s">
        <v>209</v>
      </c>
      <c r="C4">
        <f>C3*2/3+1/3</f>
        <v>1.482</v>
      </c>
    </row>
    <row r="6" spans="2:23" x14ac:dyDescent="0.25">
      <c r="B6" t="s">
        <v>262</v>
      </c>
    </row>
    <row r="7" spans="2:23" x14ac:dyDescent="0.25">
      <c r="B7" s="206" t="s">
        <v>260</v>
      </c>
      <c r="C7" s="4">
        <v>1.5900000000000001E-2</v>
      </c>
    </row>
    <row r="8" spans="2:23" x14ac:dyDescent="0.25">
      <c r="B8" s="206" t="s">
        <v>261</v>
      </c>
      <c r="C8" s="4">
        <v>0.04</v>
      </c>
    </row>
    <row r="9" spans="2:23" x14ac:dyDescent="0.25">
      <c r="B9" s="206"/>
    </row>
    <row r="10" spans="2:23" x14ac:dyDescent="0.25">
      <c r="B10" t="s">
        <v>263</v>
      </c>
    </row>
    <row r="11" spans="2:23" x14ac:dyDescent="0.25">
      <c r="B11" s="206" t="s">
        <v>260</v>
      </c>
      <c r="C11" s="4">
        <v>4.2599999999999999E-2</v>
      </c>
    </row>
    <row r="12" spans="2:23" x14ac:dyDescent="0.25">
      <c r="B12" s="206" t="s">
        <v>261</v>
      </c>
      <c r="C12" s="4">
        <v>4.4999999999999998E-2</v>
      </c>
      <c r="T12" s="4"/>
      <c r="W12" s="164"/>
    </row>
    <row r="13" spans="2:23" x14ac:dyDescent="0.25">
      <c r="B13" s="206"/>
      <c r="C13" s="4"/>
      <c r="T13" s="4"/>
      <c r="W13" s="164"/>
    </row>
    <row r="14" spans="2:23" x14ac:dyDescent="0.25">
      <c r="B14" t="s">
        <v>208</v>
      </c>
      <c r="C14" s="3">
        <v>0</v>
      </c>
      <c r="T14" s="4"/>
    </row>
    <row r="15" spans="2:23" x14ac:dyDescent="0.25">
      <c r="T15" s="4"/>
      <c r="W15" s="4"/>
    </row>
    <row r="16" spans="2:23" x14ac:dyDescent="0.25">
      <c r="B16" t="s">
        <v>206</v>
      </c>
    </row>
    <row r="17" spans="2:21" x14ac:dyDescent="0.25">
      <c r="B17" s="206" t="s">
        <v>260</v>
      </c>
      <c r="C17" s="164">
        <f>C7+C3*C11+C14</f>
        <v>8.9299799999999999E-2</v>
      </c>
    </row>
    <row r="18" spans="2:21" x14ac:dyDescent="0.25">
      <c r="B18" s="206" t="s">
        <v>261</v>
      </c>
      <c r="C18" s="164">
        <f>C8+C4*C11+C14</f>
        <v>0.10313320000000001</v>
      </c>
    </row>
    <row r="19" spans="2:21" x14ac:dyDescent="0.25">
      <c r="B19" s="206"/>
      <c r="C19" s="164"/>
    </row>
    <row r="20" spans="2:21" x14ac:dyDescent="0.25">
      <c r="B20" t="s">
        <v>259</v>
      </c>
      <c r="U20" s="4"/>
    </row>
    <row r="21" spans="2:21" x14ac:dyDescent="0.25">
      <c r="B21" s="206" t="s">
        <v>260</v>
      </c>
      <c r="C21" s="164">
        <f>0.03+0.002928</f>
        <v>3.2927999999999999E-2</v>
      </c>
    </row>
    <row r="22" spans="2:21" x14ac:dyDescent="0.25">
      <c r="B22" s="206" t="s">
        <v>261</v>
      </c>
      <c r="C22" s="164">
        <f>C21+C8</f>
        <v>7.2927999999999993E-2</v>
      </c>
    </row>
    <row r="24" spans="2:21" x14ac:dyDescent="0.25">
      <c r="B24" s="2" t="s">
        <v>186</v>
      </c>
    </row>
    <row r="25" spans="2:21" x14ac:dyDescent="0.25">
      <c r="B25" s="206" t="s">
        <v>265</v>
      </c>
      <c r="C25" s="4">
        <f>'proforma + dcf'!G47</f>
        <v>5.9029760840784817E-2</v>
      </c>
    </row>
    <row r="26" spans="2:21" x14ac:dyDescent="0.25">
      <c r="B26" s="206" t="s">
        <v>261</v>
      </c>
      <c r="C26" s="4">
        <f>'proforma + dcf'!L47</f>
        <v>0.26500067575521097</v>
      </c>
    </row>
    <row r="28" spans="2:21" x14ac:dyDescent="0.25">
      <c r="B28" s="2" t="s">
        <v>264</v>
      </c>
    </row>
    <row r="29" spans="2:21" x14ac:dyDescent="0.25">
      <c r="B29" s="206" t="s">
        <v>260</v>
      </c>
      <c r="C29" s="164">
        <f>(1-C25)*C21</f>
        <v>3.0984268035034637E-2</v>
      </c>
    </row>
    <row r="30" spans="2:21" x14ac:dyDescent="0.25">
      <c r="B30" s="206" t="s">
        <v>261</v>
      </c>
      <c r="C30" s="164">
        <f>(1-C26)*C22</f>
        <v>5.3602030718523964E-2</v>
      </c>
    </row>
    <row r="32" spans="2:21" x14ac:dyDescent="0.25">
      <c r="B32" t="s">
        <v>255</v>
      </c>
      <c r="C32" s="1">
        <f>capstack!C9</f>
        <v>8662264.1079200003</v>
      </c>
    </row>
    <row r="33" spans="2:3" x14ac:dyDescent="0.25">
      <c r="B33" t="s">
        <v>256</v>
      </c>
      <c r="C33" s="1">
        <f ca="1">capstack!C10</f>
        <v>1069104.9904706902</v>
      </c>
    </row>
    <row r="35" spans="2:3" x14ac:dyDescent="0.25">
      <c r="B35" t="s">
        <v>266</v>
      </c>
      <c r="C35" s="8">
        <f ca="1">C33/SUM(C32:C33)</f>
        <v>0.109861724456376</v>
      </c>
    </row>
    <row r="36" spans="2:3" x14ac:dyDescent="0.25">
      <c r="B36" t="s">
        <v>267</v>
      </c>
      <c r="C36" s="8">
        <f ca="1">1-C35</f>
        <v>0.89013827554362401</v>
      </c>
    </row>
    <row r="38" spans="2:3" x14ac:dyDescent="0.25">
      <c r="B38" t="s">
        <v>194</v>
      </c>
    </row>
    <row r="39" spans="2:3" x14ac:dyDescent="0.25">
      <c r="B39" s="206" t="s">
        <v>260</v>
      </c>
      <c r="C39" s="207">
        <f ca="1">C35*C29+C17*C36</f>
        <v>8.2893155095737997E-2</v>
      </c>
    </row>
    <row r="40" spans="2:3" x14ac:dyDescent="0.25">
      <c r="B40" s="206" t="s">
        <v>261</v>
      </c>
      <c r="C40" s="207">
        <f ca="1">C35*C30+C36*C18</f>
        <v>9.7691620328396372E-2</v>
      </c>
    </row>
  </sheetData>
  <sheetProtection algorithmName="SHA-512" hashValue="GPC91m06yWil12ZGTk0lSJV7oy+l/IMPuIKYa+gAIS4Vp7KgCWwme4xT3QhBJJlg6Os0C46l6KD2eeXuizsncw==" saltValue="ofGLzwx8PJESikuUSROzSw==" spinCount="100000" sheet="1" objects="1" scenarios="1" selectLockedCells="1" selectUnlockedCells="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proforma + dcf</vt:lpstr>
      <vt:lpstr>capstack</vt:lpstr>
      <vt:lpstr>growth</vt:lpstr>
      <vt:lpstr>lease</vt:lpstr>
      <vt:lpstr>debt</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Andre</cp:lastModifiedBy>
  <dcterms:created xsi:type="dcterms:W3CDTF">2021-04-19T01:27:47Z</dcterms:created>
  <dcterms:modified xsi:type="dcterms:W3CDTF">2021-04-28T05:58:58Z</dcterms:modified>
</cp:coreProperties>
</file>