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66925"/>
  <mc:AlternateContent xmlns:mc="http://schemas.openxmlformats.org/markup-compatibility/2006">
    <mc:Choice Requires="x15">
      <x15ac:absPath xmlns:x15ac="http://schemas.microsoft.com/office/spreadsheetml/2010/11/ac" url="C:\Users\Andre\Desktop\SVT LN Equity\"/>
    </mc:Choice>
  </mc:AlternateContent>
  <xr:revisionPtr revIDLastSave="0" documentId="13_ncr:1_{513ECE9A-9FB7-49FF-B27C-1F382942761E}" xr6:coauthVersionLast="46" xr6:coauthVersionMax="46" xr10:uidLastSave="{00000000-0000-0000-0000-000000000000}"/>
  <bookViews>
    <workbookView xWindow="-120" yWindow="-120" windowWidth="38640" windowHeight="21240" xr2:uid="{56836699-8929-4347-9712-56FB534FD4C1}"/>
  </bookViews>
  <sheets>
    <sheet name="model" sheetId="10" r:id="rId1"/>
    <sheet name="capstack" sheetId="14" r:id="rId2"/>
    <sheet name="comps" sheetId="16" r:id="rId3"/>
    <sheet name="inflation" sheetId="18" r:id="rId4"/>
    <sheet name="evebitda" sheetId="17" r:id="rId5"/>
    <sheet name="px_hist" sheetId="13" r:id="rId6"/>
    <sheet name="water" sheetId="19" r:id="rId7"/>
    <sheet name="subsidiaries" sheetId="20" r:id="rId8"/>
    <sheet name="greeneco" sheetId="21" r:id="rId9"/>
    <sheet name="employees" sheetId="11" r:id="rId10"/>
    <sheet name="pension" sheetId="12" r:id="rId11"/>
    <sheet name="lease" sheetId="7" r:id="rId12"/>
    <sheet name="debt" sheetId="8" r:id="rId13"/>
    <sheet name="receivables" sheetId="5" r:id="rId14"/>
    <sheet name="revenue" sheetId="2" r:id="rId15"/>
    <sheet name="totex" sheetId="6" r:id="rId16"/>
    <sheet name="amp7" sheetId="3" r:id="rId17"/>
    <sheet name="PR14_2020" sheetId="4" r:id="rId18"/>
  </sheets>
  <calcPr calcId="191029" iterate="1" iterateCount="20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16" l="1"/>
  <c r="C25" i="16"/>
  <c r="AD4" i="17"/>
  <c r="C19" i="16"/>
  <c r="T35" i="13"/>
  <c r="S35" i="13"/>
  <c r="S36" i="13"/>
  <c r="T36" i="13"/>
  <c r="T37" i="13"/>
  <c r="S37" i="13"/>
  <c r="C16" i="16"/>
  <c r="D221" i="10"/>
  <c r="D222" i="10"/>
  <c r="D223" i="10"/>
  <c r="D216" i="10"/>
  <c r="D215" i="10" s="1"/>
  <c r="D230" i="10"/>
  <c r="D224" i="10"/>
  <c r="D35" i="10"/>
  <c r="D231" i="10" s="1"/>
  <c r="D279" i="10"/>
  <c r="D268" i="10"/>
  <c r="D84" i="10"/>
  <c r="E84" i="10"/>
  <c r="F84" i="10"/>
  <c r="G84" i="10"/>
  <c r="C84" i="10"/>
  <c r="D128" i="10"/>
  <c r="E128" i="10"/>
  <c r="F128" i="10"/>
  <c r="G128" i="10"/>
  <c r="C128" i="10"/>
  <c r="D213" i="10"/>
  <c r="E213" i="10"/>
  <c r="F213" i="10"/>
  <c r="G213" i="10"/>
  <c r="C213" i="10"/>
  <c r="D209" i="10"/>
  <c r="D185" i="10"/>
  <c r="D204" i="10" s="1"/>
  <c r="D168" i="10"/>
  <c r="D147" i="10"/>
  <c r="D70" i="10"/>
  <c r="D220" i="10" s="1"/>
  <c r="D75" i="10"/>
  <c r="D58" i="10"/>
  <c r="D74" i="10" s="1"/>
  <c r="D57" i="10"/>
  <c r="G86" i="10"/>
  <c r="AD5" i="17" s="1"/>
  <c r="AF10" i="17"/>
  <c r="AF19" i="17" s="1"/>
  <c r="AD7" i="17"/>
  <c r="AH10" i="17"/>
  <c r="AH19" i="17" s="1"/>
  <c r="AD10" i="17"/>
  <c r="D6" i="21"/>
  <c r="D8" i="21"/>
  <c r="C9" i="21"/>
  <c r="D7" i="21" s="1"/>
  <c r="V15" i="13"/>
  <c r="E249" i="17"/>
  <c r="E248" i="17" s="1"/>
  <c r="H249" i="17"/>
  <c r="H248" i="17" s="1"/>
  <c r="I249" i="17"/>
  <c r="I248" i="17" s="1"/>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5" i="18"/>
  <c r="G6" i="18"/>
  <c r="H6" i="18"/>
  <c r="I6" i="18"/>
  <c r="G7" i="18"/>
  <c r="H7" i="18"/>
  <c r="I7" i="18"/>
  <c r="G8" i="18"/>
  <c r="H8" i="18"/>
  <c r="I8" i="18"/>
  <c r="G9" i="18"/>
  <c r="H9" i="18"/>
  <c r="I9" i="18"/>
  <c r="G10" i="18"/>
  <c r="H10" i="18"/>
  <c r="I10" i="18"/>
  <c r="G11" i="18"/>
  <c r="H11" i="18"/>
  <c r="I11" i="18"/>
  <c r="G12" i="18"/>
  <c r="H12" i="18"/>
  <c r="I12" i="18"/>
  <c r="G13" i="18"/>
  <c r="H13" i="18"/>
  <c r="I13" i="18"/>
  <c r="G14" i="18"/>
  <c r="H14" i="18"/>
  <c r="I14" i="18"/>
  <c r="G15" i="18"/>
  <c r="H15" i="18"/>
  <c r="I15" i="18"/>
  <c r="G16" i="18"/>
  <c r="H16" i="18"/>
  <c r="I16" i="18"/>
  <c r="G17" i="18"/>
  <c r="H17" i="18"/>
  <c r="I17" i="18"/>
  <c r="G18" i="18"/>
  <c r="H18" i="18"/>
  <c r="I18" i="18"/>
  <c r="G19" i="18"/>
  <c r="H19" i="18"/>
  <c r="I19" i="18"/>
  <c r="G20" i="18"/>
  <c r="H20" i="18"/>
  <c r="I20" i="18"/>
  <c r="G21" i="18"/>
  <c r="H21" i="18"/>
  <c r="I21" i="18"/>
  <c r="G22" i="18"/>
  <c r="H22" i="18"/>
  <c r="I22" i="18"/>
  <c r="G23" i="18"/>
  <c r="H23" i="18"/>
  <c r="I23" i="18"/>
  <c r="G24" i="18"/>
  <c r="H24" i="18"/>
  <c r="I24" i="18"/>
  <c r="G25" i="18"/>
  <c r="H25" i="18"/>
  <c r="I25" i="18"/>
  <c r="G26" i="18"/>
  <c r="H26" i="18"/>
  <c r="I26" i="18"/>
  <c r="G27" i="18"/>
  <c r="H27" i="18"/>
  <c r="I27" i="18"/>
  <c r="G28" i="18"/>
  <c r="H28" i="18"/>
  <c r="I28" i="18"/>
  <c r="G29" i="18"/>
  <c r="H29" i="18"/>
  <c r="I29" i="18"/>
  <c r="G30" i="18"/>
  <c r="H30" i="18"/>
  <c r="I30" i="18"/>
  <c r="G31" i="18"/>
  <c r="H31" i="18"/>
  <c r="I31" i="18"/>
  <c r="G32" i="18"/>
  <c r="H32" i="18"/>
  <c r="I32" i="18"/>
  <c r="G33" i="18"/>
  <c r="H33" i="18"/>
  <c r="I33" i="18"/>
  <c r="G34" i="18"/>
  <c r="H34" i="18"/>
  <c r="I34" i="18"/>
  <c r="G35" i="18"/>
  <c r="H35" i="18"/>
  <c r="I35" i="18"/>
  <c r="G36" i="18"/>
  <c r="H36" i="18"/>
  <c r="I36" i="18"/>
  <c r="G37" i="18"/>
  <c r="H37" i="18"/>
  <c r="I37" i="18"/>
  <c r="G38" i="18"/>
  <c r="H38" i="18"/>
  <c r="I38" i="18"/>
  <c r="G39" i="18"/>
  <c r="H39" i="18"/>
  <c r="I39" i="18"/>
  <c r="G40" i="18"/>
  <c r="H40" i="18"/>
  <c r="I40" i="18"/>
  <c r="G41" i="18"/>
  <c r="H41" i="18"/>
  <c r="I41" i="18"/>
  <c r="G42" i="18"/>
  <c r="H42" i="18"/>
  <c r="I42" i="18"/>
  <c r="G43" i="18"/>
  <c r="H43" i="18"/>
  <c r="I43" i="18"/>
  <c r="G44" i="18"/>
  <c r="H44" i="18"/>
  <c r="I44" i="18"/>
  <c r="G45" i="18"/>
  <c r="H45" i="18"/>
  <c r="I45" i="18"/>
  <c r="G46" i="18"/>
  <c r="H46" i="18"/>
  <c r="I46" i="18"/>
  <c r="G47" i="18"/>
  <c r="H47" i="18"/>
  <c r="I47" i="18"/>
  <c r="G48" i="18"/>
  <c r="H48" i="18"/>
  <c r="I48" i="18"/>
  <c r="G49" i="18"/>
  <c r="H49" i="18"/>
  <c r="I49" i="18"/>
  <c r="G50" i="18"/>
  <c r="H50" i="18"/>
  <c r="I50" i="18"/>
  <c r="G51" i="18"/>
  <c r="H51" i="18"/>
  <c r="I51" i="18"/>
  <c r="G52" i="18"/>
  <c r="H52" i="18"/>
  <c r="I52" i="18"/>
  <c r="G53" i="18"/>
  <c r="H53" i="18"/>
  <c r="I53" i="18"/>
  <c r="G54" i="18"/>
  <c r="H54" i="18"/>
  <c r="I54" i="18"/>
  <c r="G55" i="18"/>
  <c r="H55" i="18"/>
  <c r="I55" i="18"/>
  <c r="G56" i="18"/>
  <c r="H56" i="18"/>
  <c r="I56" i="18"/>
  <c r="G57" i="18"/>
  <c r="H57" i="18"/>
  <c r="I57" i="18"/>
  <c r="G58" i="18"/>
  <c r="H58" i="18"/>
  <c r="I58" i="18"/>
  <c r="G59" i="18"/>
  <c r="H59" i="18"/>
  <c r="I59" i="18"/>
  <c r="G60" i="18"/>
  <c r="H60" i="18"/>
  <c r="I60" i="18"/>
  <c r="G61" i="18"/>
  <c r="H61" i="18"/>
  <c r="I61" i="18"/>
  <c r="G62" i="18"/>
  <c r="H62" i="18"/>
  <c r="I62" i="18"/>
  <c r="G63" i="18"/>
  <c r="H63" i="18"/>
  <c r="I63" i="18"/>
  <c r="G64" i="18"/>
  <c r="H64" i="18"/>
  <c r="I64" i="18"/>
  <c r="G65" i="18"/>
  <c r="H65" i="18"/>
  <c r="I65" i="18"/>
  <c r="G66" i="18"/>
  <c r="H66" i="18"/>
  <c r="I66" i="18"/>
  <c r="G67" i="18"/>
  <c r="H67" i="18"/>
  <c r="I67" i="18"/>
  <c r="G68" i="18"/>
  <c r="H68" i="18"/>
  <c r="I68" i="18"/>
  <c r="G69" i="18"/>
  <c r="H69" i="18"/>
  <c r="I69" i="18"/>
  <c r="G70" i="18"/>
  <c r="H70" i="18"/>
  <c r="I70" i="18"/>
  <c r="G71" i="18"/>
  <c r="H71" i="18"/>
  <c r="I71" i="18"/>
  <c r="G72" i="18"/>
  <c r="H72" i="18"/>
  <c r="I72" i="18"/>
  <c r="G73" i="18"/>
  <c r="H73" i="18"/>
  <c r="I73" i="18"/>
  <c r="G74" i="18"/>
  <c r="H74" i="18"/>
  <c r="I74" i="18"/>
  <c r="G75" i="18"/>
  <c r="H75" i="18"/>
  <c r="I75" i="18"/>
  <c r="G76" i="18"/>
  <c r="H76" i="18"/>
  <c r="I76" i="18"/>
  <c r="G77" i="18"/>
  <c r="H77" i="18"/>
  <c r="I77" i="18"/>
  <c r="G78" i="18"/>
  <c r="H78" i="18"/>
  <c r="I78" i="18"/>
  <c r="G79" i="18"/>
  <c r="H79" i="18"/>
  <c r="I79" i="18"/>
  <c r="G80" i="18"/>
  <c r="H80" i="18"/>
  <c r="I80" i="18"/>
  <c r="G81" i="18"/>
  <c r="H81" i="18"/>
  <c r="I81" i="18"/>
  <c r="G82" i="18"/>
  <c r="H82" i="18"/>
  <c r="I82" i="18"/>
  <c r="G83" i="18"/>
  <c r="H83" i="18"/>
  <c r="I83" i="18"/>
  <c r="G84" i="18"/>
  <c r="H84" i="18"/>
  <c r="I84" i="18"/>
  <c r="G85" i="18"/>
  <c r="H85" i="18"/>
  <c r="I85" i="18"/>
  <c r="G86" i="18"/>
  <c r="H86" i="18"/>
  <c r="I86" i="18"/>
  <c r="G87" i="18"/>
  <c r="H87" i="18"/>
  <c r="I87" i="18"/>
  <c r="G88" i="18"/>
  <c r="H88" i="18"/>
  <c r="I88" i="18"/>
  <c r="G89" i="18"/>
  <c r="H89" i="18"/>
  <c r="I89" i="18"/>
  <c r="G90" i="18"/>
  <c r="H90" i="18"/>
  <c r="I90" i="18"/>
  <c r="G91" i="18"/>
  <c r="H91" i="18"/>
  <c r="I91" i="18"/>
  <c r="G92" i="18"/>
  <c r="H92" i="18"/>
  <c r="I92" i="18"/>
  <c r="G93" i="18"/>
  <c r="H93" i="18"/>
  <c r="I93" i="18"/>
  <c r="G94" i="18"/>
  <c r="H94" i="18"/>
  <c r="I94" i="18"/>
  <c r="G95" i="18"/>
  <c r="H95" i="18"/>
  <c r="I95" i="18"/>
  <c r="G96" i="18"/>
  <c r="H96" i="18"/>
  <c r="I96" i="18"/>
  <c r="G97" i="18"/>
  <c r="H97" i="18"/>
  <c r="I97" i="18"/>
  <c r="G98" i="18"/>
  <c r="H98" i="18"/>
  <c r="I98" i="18"/>
  <c r="G99" i="18"/>
  <c r="H99" i="18"/>
  <c r="I99" i="18"/>
  <c r="G100" i="18"/>
  <c r="H100" i="18"/>
  <c r="I100" i="18"/>
  <c r="G101" i="18"/>
  <c r="H101" i="18"/>
  <c r="I101" i="18"/>
  <c r="G102" i="18"/>
  <c r="H102" i="18"/>
  <c r="I102" i="18"/>
  <c r="G103" i="18"/>
  <c r="H103" i="18"/>
  <c r="I103" i="18"/>
  <c r="G104" i="18"/>
  <c r="H104" i="18"/>
  <c r="I104" i="18"/>
  <c r="G105" i="18"/>
  <c r="H105" i="18"/>
  <c r="I105" i="18"/>
  <c r="G106" i="18"/>
  <c r="H106" i="18"/>
  <c r="I106" i="18"/>
  <c r="G107" i="18"/>
  <c r="H107" i="18"/>
  <c r="I107" i="18"/>
  <c r="G108" i="18"/>
  <c r="H108" i="18"/>
  <c r="I108" i="18"/>
  <c r="G109" i="18"/>
  <c r="H109" i="18"/>
  <c r="I109" i="18"/>
  <c r="G110" i="18"/>
  <c r="H110" i="18"/>
  <c r="I110" i="18"/>
  <c r="G111" i="18"/>
  <c r="H111" i="18"/>
  <c r="I111" i="18"/>
  <c r="G112" i="18"/>
  <c r="H112" i="18"/>
  <c r="I112" i="18"/>
  <c r="G113" i="18"/>
  <c r="H113" i="18"/>
  <c r="I113" i="18"/>
  <c r="G114" i="18"/>
  <c r="H114" i="18"/>
  <c r="I114" i="18"/>
  <c r="G115" i="18"/>
  <c r="H115" i="18"/>
  <c r="I115" i="18"/>
  <c r="G116" i="18"/>
  <c r="H116" i="18"/>
  <c r="I116" i="18"/>
  <c r="G117" i="18"/>
  <c r="H117" i="18"/>
  <c r="I117" i="18"/>
  <c r="G118" i="18"/>
  <c r="H118" i="18"/>
  <c r="I118" i="18"/>
  <c r="G119" i="18"/>
  <c r="H119" i="18"/>
  <c r="I119" i="18"/>
  <c r="G120" i="18"/>
  <c r="H120" i="18"/>
  <c r="I120" i="18"/>
  <c r="G121" i="18"/>
  <c r="H121" i="18"/>
  <c r="I121" i="18"/>
  <c r="G122" i="18"/>
  <c r="H122" i="18"/>
  <c r="I122" i="18"/>
  <c r="G123" i="18"/>
  <c r="H123" i="18"/>
  <c r="I123" i="18"/>
  <c r="G124" i="18"/>
  <c r="H124" i="18"/>
  <c r="I124" i="18"/>
  <c r="G125" i="18"/>
  <c r="H125" i="18"/>
  <c r="I125" i="18"/>
  <c r="G126" i="18"/>
  <c r="H126" i="18"/>
  <c r="I126" i="18"/>
  <c r="G127" i="18"/>
  <c r="H127" i="18"/>
  <c r="I127" i="18"/>
  <c r="G128" i="18"/>
  <c r="H128" i="18"/>
  <c r="I128" i="18"/>
  <c r="G129" i="18"/>
  <c r="H129" i="18"/>
  <c r="I129" i="18"/>
  <c r="G130" i="18"/>
  <c r="H130" i="18"/>
  <c r="I130" i="18"/>
  <c r="G131" i="18"/>
  <c r="H131" i="18"/>
  <c r="I131" i="18"/>
  <c r="G132" i="18"/>
  <c r="H132" i="18"/>
  <c r="I132" i="18"/>
  <c r="G133" i="18"/>
  <c r="H133" i="18"/>
  <c r="I133" i="18"/>
  <c r="G134" i="18"/>
  <c r="H134" i="18"/>
  <c r="I134" i="18"/>
  <c r="G135" i="18"/>
  <c r="H135" i="18"/>
  <c r="I135" i="18"/>
  <c r="G136" i="18"/>
  <c r="H136" i="18"/>
  <c r="I136" i="18"/>
  <c r="G137" i="18"/>
  <c r="H137" i="18"/>
  <c r="I137" i="18"/>
  <c r="G138" i="18"/>
  <c r="H138" i="18"/>
  <c r="I138" i="18"/>
  <c r="G139" i="18"/>
  <c r="H139" i="18"/>
  <c r="I139" i="18"/>
  <c r="G140" i="18"/>
  <c r="H140" i="18"/>
  <c r="I140" i="18"/>
  <c r="G141" i="18"/>
  <c r="H141" i="18"/>
  <c r="I141" i="18"/>
  <c r="G142" i="18"/>
  <c r="H142" i="18"/>
  <c r="I142" i="18"/>
  <c r="G143" i="18"/>
  <c r="H143" i="18"/>
  <c r="I143" i="18"/>
  <c r="G144" i="18"/>
  <c r="H144" i="18"/>
  <c r="I144" i="18"/>
  <c r="G145" i="18"/>
  <c r="H145" i="18"/>
  <c r="I145" i="18"/>
  <c r="G146" i="18"/>
  <c r="H146" i="18"/>
  <c r="I146" i="18"/>
  <c r="G147" i="18"/>
  <c r="H147" i="18"/>
  <c r="I147" i="18"/>
  <c r="G148" i="18"/>
  <c r="H148" i="18"/>
  <c r="I148" i="18"/>
  <c r="G149" i="18"/>
  <c r="H149" i="18"/>
  <c r="I149" i="18"/>
  <c r="G150" i="18"/>
  <c r="H150" i="18"/>
  <c r="I150" i="18"/>
  <c r="G151" i="18"/>
  <c r="H151" i="18"/>
  <c r="I151" i="18"/>
  <c r="G152" i="18"/>
  <c r="H152" i="18"/>
  <c r="I152" i="18"/>
  <c r="G153" i="18"/>
  <c r="H153" i="18"/>
  <c r="I153" i="18"/>
  <c r="G154" i="18"/>
  <c r="H154" i="18"/>
  <c r="I154" i="18"/>
  <c r="G155" i="18"/>
  <c r="H155" i="18"/>
  <c r="I155" i="18"/>
  <c r="G156" i="18"/>
  <c r="H156" i="18"/>
  <c r="I156" i="18"/>
  <c r="G157" i="18"/>
  <c r="H157" i="18"/>
  <c r="I157" i="18"/>
  <c r="G158" i="18"/>
  <c r="H158" i="18"/>
  <c r="I158" i="18"/>
  <c r="G159" i="18"/>
  <c r="H159" i="18"/>
  <c r="I159" i="18"/>
  <c r="G160" i="18"/>
  <c r="H160" i="18"/>
  <c r="I160" i="18"/>
  <c r="G161" i="18"/>
  <c r="H161" i="18"/>
  <c r="I161" i="18"/>
  <c r="G162" i="18"/>
  <c r="H162" i="18"/>
  <c r="I162" i="18"/>
  <c r="G163" i="18"/>
  <c r="H163" i="18"/>
  <c r="I163" i="18"/>
  <c r="G164" i="18"/>
  <c r="H164" i="18"/>
  <c r="I164" i="18"/>
  <c r="G165" i="18"/>
  <c r="H165" i="18"/>
  <c r="I165" i="18"/>
  <c r="G166" i="18"/>
  <c r="H166" i="18"/>
  <c r="I166" i="18"/>
  <c r="G167" i="18"/>
  <c r="H167" i="18"/>
  <c r="I167" i="18"/>
  <c r="G168" i="18"/>
  <c r="H168" i="18"/>
  <c r="I168" i="18"/>
  <c r="G169" i="18"/>
  <c r="H169" i="18"/>
  <c r="I169" i="18"/>
  <c r="G170" i="18"/>
  <c r="H170" i="18"/>
  <c r="I170" i="18"/>
  <c r="G171" i="18"/>
  <c r="H171" i="18"/>
  <c r="I171" i="18"/>
  <c r="G172" i="18"/>
  <c r="H172" i="18"/>
  <c r="I172" i="18"/>
  <c r="G173" i="18"/>
  <c r="H173" i="18"/>
  <c r="I173" i="18"/>
  <c r="G174" i="18"/>
  <c r="H174" i="18"/>
  <c r="I174" i="18"/>
  <c r="G175" i="18"/>
  <c r="H175" i="18"/>
  <c r="I175" i="18"/>
  <c r="G176" i="18"/>
  <c r="H176" i="18"/>
  <c r="I176" i="18"/>
  <c r="G177" i="18"/>
  <c r="H177" i="18"/>
  <c r="I177" i="18"/>
  <c r="G178" i="18"/>
  <c r="H178" i="18"/>
  <c r="I178" i="18"/>
  <c r="G179" i="18"/>
  <c r="H179" i="18"/>
  <c r="I179" i="18"/>
  <c r="G180" i="18"/>
  <c r="H180" i="18"/>
  <c r="I180" i="18"/>
  <c r="G181" i="18"/>
  <c r="H181" i="18"/>
  <c r="I181" i="18"/>
  <c r="G182" i="18"/>
  <c r="H182" i="18"/>
  <c r="I182" i="18"/>
  <c r="G183" i="18"/>
  <c r="H183" i="18"/>
  <c r="I183" i="18"/>
  <c r="G184" i="18"/>
  <c r="H184" i="18"/>
  <c r="I184" i="18"/>
  <c r="G185" i="18"/>
  <c r="H185" i="18"/>
  <c r="I185" i="18"/>
  <c r="G186" i="18"/>
  <c r="H186" i="18"/>
  <c r="I186" i="18"/>
  <c r="G187" i="18"/>
  <c r="H187" i="18"/>
  <c r="I187" i="18"/>
  <c r="G188" i="18"/>
  <c r="H188" i="18"/>
  <c r="I188" i="18"/>
  <c r="G189" i="18"/>
  <c r="H189" i="18"/>
  <c r="I189" i="18"/>
  <c r="G190" i="18"/>
  <c r="H190" i="18"/>
  <c r="I190" i="18"/>
  <c r="G191" i="18"/>
  <c r="H191" i="18"/>
  <c r="I191" i="18"/>
  <c r="G192" i="18"/>
  <c r="H192" i="18"/>
  <c r="I192" i="18"/>
  <c r="G193" i="18"/>
  <c r="H193" i="18"/>
  <c r="I193" i="18"/>
  <c r="G194" i="18"/>
  <c r="H194" i="18"/>
  <c r="I194" i="18"/>
  <c r="G195" i="18"/>
  <c r="H195" i="18"/>
  <c r="I195" i="18"/>
  <c r="G196" i="18"/>
  <c r="H196" i="18"/>
  <c r="I196" i="18"/>
  <c r="G197" i="18"/>
  <c r="H197" i="18"/>
  <c r="I197" i="18"/>
  <c r="G198" i="18"/>
  <c r="H198" i="18"/>
  <c r="I198" i="18"/>
  <c r="G199" i="18"/>
  <c r="H199" i="18"/>
  <c r="I199" i="18"/>
  <c r="G200" i="18"/>
  <c r="H200" i="18"/>
  <c r="I200" i="18"/>
  <c r="G201" i="18"/>
  <c r="H201" i="18"/>
  <c r="I201" i="18"/>
  <c r="G202" i="18"/>
  <c r="H202" i="18"/>
  <c r="I202" i="18"/>
  <c r="G203" i="18"/>
  <c r="H203" i="18"/>
  <c r="I203" i="18"/>
  <c r="G204" i="18"/>
  <c r="H204" i="18"/>
  <c r="I204" i="18"/>
  <c r="G205" i="18"/>
  <c r="H205" i="18"/>
  <c r="I205" i="18"/>
  <c r="G206" i="18"/>
  <c r="H206" i="18"/>
  <c r="I206" i="18"/>
  <c r="G207" i="18"/>
  <c r="H207" i="18"/>
  <c r="I207" i="18"/>
  <c r="G208" i="18"/>
  <c r="H208" i="18"/>
  <c r="I208" i="18"/>
  <c r="G209" i="18"/>
  <c r="H209" i="18"/>
  <c r="I209" i="18"/>
  <c r="G210" i="18"/>
  <c r="H210" i="18"/>
  <c r="I210" i="18"/>
  <c r="G211" i="18"/>
  <c r="H211" i="18"/>
  <c r="I211" i="18"/>
  <c r="G212" i="18"/>
  <c r="H212" i="18"/>
  <c r="I212" i="18"/>
  <c r="G213" i="18"/>
  <c r="H213" i="18"/>
  <c r="I213" i="18"/>
  <c r="G214" i="18"/>
  <c r="H214" i="18"/>
  <c r="I214" i="18"/>
  <c r="G215" i="18"/>
  <c r="H215" i="18"/>
  <c r="I215" i="18"/>
  <c r="G216" i="18"/>
  <c r="H216" i="18"/>
  <c r="I216" i="18"/>
  <c r="G217" i="18"/>
  <c r="H217" i="18"/>
  <c r="I217" i="18"/>
  <c r="G218" i="18"/>
  <c r="H218" i="18"/>
  <c r="I218" i="18"/>
  <c r="G219" i="18"/>
  <c r="H219" i="18"/>
  <c r="I219" i="18"/>
  <c r="G220" i="18"/>
  <c r="H220" i="18"/>
  <c r="I220" i="18"/>
  <c r="G221" i="18"/>
  <c r="H221" i="18"/>
  <c r="I221" i="18"/>
  <c r="G222" i="18"/>
  <c r="H222" i="18"/>
  <c r="I222" i="18"/>
  <c r="G223" i="18"/>
  <c r="H223" i="18"/>
  <c r="I223" i="18"/>
  <c r="G224" i="18"/>
  <c r="H224" i="18"/>
  <c r="I224" i="18"/>
  <c r="G225" i="18"/>
  <c r="H225" i="18"/>
  <c r="I225" i="18"/>
  <c r="G226" i="18"/>
  <c r="H226" i="18"/>
  <c r="I226" i="18"/>
  <c r="G227" i="18"/>
  <c r="H227" i="18"/>
  <c r="I227" i="18"/>
  <c r="G228" i="18"/>
  <c r="H228" i="18"/>
  <c r="I228" i="18"/>
  <c r="G229" i="18"/>
  <c r="H229" i="18"/>
  <c r="I229" i="18"/>
  <c r="G230" i="18"/>
  <c r="H230" i="18"/>
  <c r="I230" i="18"/>
  <c r="G231" i="18"/>
  <c r="H231" i="18"/>
  <c r="I231" i="18"/>
  <c r="G232" i="18"/>
  <c r="H232" i="18"/>
  <c r="I232" i="18"/>
  <c r="G233" i="18"/>
  <c r="H233" i="18"/>
  <c r="I233" i="18"/>
  <c r="G234" i="18"/>
  <c r="H234" i="18"/>
  <c r="I234" i="18"/>
  <c r="G235" i="18"/>
  <c r="H235" i="18"/>
  <c r="I235" i="18"/>
  <c r="G236" i="18"/>
  <c r="H236" i="18"/>
  <c r="I236" i="18"/>
  <c r="G237" i="18"/>
  <c r="H237" i="18"/>
  <c r="I237" i="18"/>
  <c r="G238" i="18"/>
  <c r="H238" i="18"/>
  <c r="I238" i="18"/>
  <c r="G239" i="18"/>
  <c r="H239" i="18"/>
  <c r="I239" i="18"/>
  <c r="G240" i="18"/>
  <c r="H240" i="18"/>
  <c r="I240" i="18"/>
  <c r="G241" i="18"/>
  <c r="H241" i="18"/>
  <c r="I241" i="18"/>
  <c r="G242" i="18"/>
  <c r="H242" i="18"/>
  <c r="I242" i="18"/>
  <c r="G243" i="18"/>
  <c r="H243" i="18"/>
  <c r="I243" i="18"/>
  <c r="G244" i="18"/>
  <c r="H244" i="18"/>
  <c r="I244" i="18"/>
  <c r="H5" i="18"/>
  <c r="I5" i="18"/>
  <c r="G5" i="18"/>
  <c r="E191" i="10"/>
  <c r="F191" i="10"/>
  <c r="C17" i="16" s="1"/>
  <c r="C191" i="10"/>
  <c r="C7" i="14"/>
  <c r="C9" i="14" s="1"/>
  <c r="N15" i="2"/>
  <c r="F98" i="10"/>
  <c r="F107" i="10" s="1"/>
  <c r="G249" i="10"/>
  <c r="E119" i="10"/>
  <c r="G134" i="10"/>
  <c r="G158" i="10"/>
  <c r="G195" i="10"/>
  <c r="G179" i="10"/>
  <c r="G169" i="10"/>
  <c r="E268" i="10"/>
  <c r="F268" i="10"/>
  <c r="C268" i="10"/>
  <c r="F230" i="10"/>
  <c r="F35" i="10"/>
  <c r="F231" i="10" s="1"/>
  <c r="F224" i="10"/>
  <c r="F279" i="10"/>
  <c r="F221" i="10"/>
  <c r="F222" i="10"/>
  <c r="F223" i="10"/>
  <c r="F57" i="10"/>
  <c r="F58" i="10" s="1"/>
  <c r="F70" i="10"/>
  <c r="F220" i="10" s="1"/>
  <c r="F209" i="10"/>
  <c r="F192" i="10"/>
  <c r="F185" i="10"/>
  <c r="F204" i="10" s="1"/>
  <c r="F147" i="10"/>
  <c r="F168" i="10" s="1"/>
  <c r="F75" i="10"/>
  <c r="F216" i="10" s="1"/>
  <c r="F215" i="10" s="1"/>
  <c r="D5" i="21" l="1"/>
  <c r="AG10" i="17"/>
  <c r="Q15" i="16"/>
  <c r="Q16" i="16" s="1"/>
  <c r="F25" i="16" s="1"/>
  <c r="D210" i="10"/>
  <c r="D211" i="10" s="1"/>
  <c r="C18" i="16"/>
  <c r="D4" i="21"/>
  <c r="D82" i="10"/>
  <c r="D214" i="10" s="1"/>
  <c r="D246" i="10" s="1"/>
  <c r="D280" i="10" s="1"/>
  <c r="F74" i="10"/>
  <c r="F82" i="10" s="1"/>
  <c r="F214" i="10" s="1"/>
  <c r="F246" i="10" s="1"/>
  <c r="AG19" i="17"/>
  <c r="AD19" i="17"/>
  <c r="AE10" i="17"/>
  <c r="AE19" i="17" s="1"/>
  <c r="F105" i="10"/>
  <c r="G222" i="10"/>
  <c r="F210" i="10"/>
  <c r="F211" i="10" s="1"/>
  <c r="F280" i="10" l="1"/>
  <c r="G35" i="2" l="1"/>
  <c r="H35" i="2"/>
  <c r="C33" i="2"/>
  <c r="G261" i="10" l="1"/>
  <c r="G110" i="10" l="1"/>
  <c r="E104" i="10"/>
  <c r="C104" i="10"/>
  <c r="C101" i="10"/>
  <c r="C103" i="10"/>
  <c r="E103" i="10"/>
  <c r="E101" i="10"/>
  <c r="C36" i="10"/>
  <c r="E36" i="10"/>
  <c r="E48" i="10"/>
  <c r="G119" i="10"/>
  <c r="G272" i="10" s="1"/>
  <c r="C120" i="10"/>
  <c r="E120" i="10"/>
  <c r="C119" i="10"/>
  <c r="C121" i="10" s="1"/>
  <c r="E121" i="10"/>
  <c r="E126" i="10" l="1"/>
  <c r="G126" i="10"/>
  <c r="C126" i="10"/>
  <c r="C122" i="10"/>
  <c r="E122" i="10"/>
  <c r="C7" i="7"/>
  <c r="D7" i="7"/>
  <c r="D6" i="7"/>
  <c r="D10" i="7"/>
  <c r="B84" i="10"/>
  <c r="D48" i="8"/>
  <c r="C48" i="8"/>
  <c r="D3" i="8"/>
  <c r="D43" i="8" s="1"/>
  <c r="E3" i="8"/>
  <c r="E43" i="8" s="1"/>
  <c r="C3" i="8"/>
  <c r="C43" i="8" s="1"/>
  <c r="C36" i="8"/>
  <c r="C45" i="8" s="1"/>
  <c r="C38" i="8"/>
  <c r="C47" i="8" s="1"/>
  <c r="D38" i="8"/>
  <c r="D47" i="8" s="1"/>
  <c r="E47" i="8" s="1"/>
  <c r="D36" i="8"/>
  <c r="D45" i="8" s="1"/>
  <c r="E194" i="10"/>
  <c r="E100" i="10" s="1"/>
  <c r="C194" i="10"/>
  <c r="C100" i="10" s="1"/>
  <c r="C193" i="10"/>
  <c r="E193" i="10"/>
  <c r="G183" i="10"/>
  <c r="G184" i="10"/>
  <c r="E14" i="8"/>
  <c r="G273" i="10" s="1"/>
  <c r="C192" i="10"/>
  <c r="E192" i="10"/>
  <c r="E18" i="10"/>
  <c r="G18" i="10" s="1"/>
  <c r="E14" i="10"/>
  <c r="G14" i="10" s="1"/>
  <c r="E225" i="10"/>
  <c r="E226" i="10"/>
  <c r="E227" i="10"/>
  <c r="E228" i="10"/>
  <c r="E229" i="10"/>
  <c r="G229" i="10"/>
  <c r="C229" i="10"/>
  <c r="C228" i="10"/>
  <c r="C227" i="10"/>
  <c r="C226" i="10"/>
  <c r="C225" i="10"/>
  <c r="E33" i="10"/>
  <c r="G33" i="10" s="1"/>
  <c r="C33" i="10"/>
  <c r="E31" i="10"/>
  <c r="G31" i="10" s="1"/>
  <c r="C31" i="10"/>
  <c r="E29" i="10"/>
  <c r="G29" i="10" s="1"/>
  <c r="C29" i="10"/>
  <c r="E27" i="10"/>
  <c r="G27" i="10" s="1"/>
  <c r="C27" i="10"/>
  <c r="E25" i="10"/>
  <c r="G25" i="10" s="1"/>
  <c r="C25" i="10"/>
  <c r="C23" i="10"/>
  <c r="C224" i="10" s="1"/>
  <c r="E23" i="10"/>
  <c r="E224" i="10" s="1"/>
  <c r="E250" i="10"/>
  <c r="E260" i="10" s="1"/>
  <c r="G260" i="10" s="1"/>
  <c r="C250" i="10"/>
  <c r="C256" i="10" s="1"/>
  <c r="E56" i="10"/>
  <c r="G56" i="10" s="1"/>
  <c r="G235" i="10"/>
  <c r="G233" i="10"/>
  <c r="E200" i="10"/>
  <c r="G200" i="10" s="1"/>
  <c r="G199" i="10" s="1"/>
  <c r="G198" i="10"/>
  <c r="G197" i="10"/>
  <c r="E178" i="10"/>
  <c r="G178" i="10" s="1"/>
  <c r="G176" i="10"/>
  <c r="G174" i="10"/>
  <c r="E173" i="10"/>
  <c r="G173" i="10" s="1"/>
  <c r="G172" i="10" s="1"/>
  <c r="G175" i="10" s="1"/>
  <c r="E165" i="10"/>
  <c r="G165" i="10" s="1"/>
  <c r="G164" i="10" s="1"/>
  <c r="E163" i="10"/>
  <c r="G163" i="10" s="1"/>
  <c r="G162" i="10" s="1"/>
  <c r="E161" i="10"/>
  <c r="G161" i="10" s="1"/>
  <c r="G160" i="10" s="1"/>
  <c r="E140" i="10"/>
  <c r="G140" i="10" s="1"/>
  <c r="E138" i="10"/>
  <c r="G138" i="10" s="1"/>
  <c r="E144" i="10"/>
  <c r="G144" i="10" s="1"/>
  <c r="G142" i="10"/>
  <c r="G141" i="10"/>
  <c r="C136" i="10"/>
  <c r="E136" i="10"/>
  <c r="E62" i="10"/>
  <c r="G62" i="10" s="1"/>
  <c r="C62" i="10"/>
  <c r="G166" i="10"/>
  <c r="G103" i="10" s="1"/>
  <c r="C159" i="10"/>
  <c r="E159" i="10"/>
  <c r="C51" i="10"/>
  <c r="E51" i="10"/>
  <c r="G51" i="10" s="1"/>
  <c r="E53" i="10"/>
  <c r="G53" i="10" s="1"/>
  <c r="C53" i="10"/>
  <c r="G10" i="10"/>
  <c r="E22" i="10"/>
  <c r="G22" i="10" s="1"/>
  <c r="C22" i="10"/>
  <c r="D10" i="12"/>
  <c r="D14" i="12" s="1"/>
  <c r="E6" i="12" s="1"/>
  <c r="E10" i="12"/>
  <c r="C10" i="12"/>
  <c r="B48" i="12"/>
  <c r="D49" i="12"/>
  <c r="C49" i="12"/>
  <c r="E22" i="12"/>
  <c r="D8" i="12"/>
  <c r="E8" i="12" s="1"/>
  <c r="C8" i="12"/>
  <c r="C21" i="12"/>
  <c r="D21" i="12"/>
  <c r="E21" i="12" s="1"/>
  <c r="E24" i="12"/>
  <c r="E25" i="12"/>
  <c r="E26" i="12"/>
  <c r="E13" i="12" s="1"/>
  <c r="E23" i="12"/>
  <c r="E32" i="12"/>
  <c r="E12" i="12" s="1"/>
  <c r="E30" i="12"/>
  <c r="E18" i="12" s="1"/>
  <c r="D33" i="12"/>
  <c r="D40" i="12" s="1"/>
  <c r="C33" i="12"/>
  <c r="C40" i="12" s="1"/>
  <c r="C27" i="12"/>
  <c r="C44" i="12" s="1"/>
  <c r="D27" i="12"/>
  <c r="E17" i="12" s="1"/>
  <c r="C14" i="12"/>
  <c r="C43" i="12" s="1"/>
  <c r="C45" i="12" s="1"/>
  <c r="C48" i="12" s="1"/>
  <c r="C3" i="12"/>
  <c r="D3" i="12"/>
  <c r="E3" i="12"/>
  <c r="B3" i="12"/>
  <c r="C64" i="10"/>
  <c r="E64" i="10"/>
  <c r="C59" i="10"/>
  <c r="E59" i="10"/>
  <c r="E9" i="10"/>
  <c r="G9" i="10" s="1"/>
  <c r="C5" i="8"/>
  <c r="D5" i="8"/>
  <c r="D11" i="7"/>
  <c r="C11" i="7"/>
  <c r="G181" i="10"/>
  <c r="C12" i="10"/>
  <c r="E12" i="10"/>
  <c r="G12" i="10" s="1"/>
  <c r="E7" i="11"/>
  <c r="E6" i="11"/>
  <c r="D5" i="11"/>
  <c r="D8" i="11" s="1"/>
  <c r="D9" i="11" s="1"/>
  <c r="E9" i="11" s="1"/>
  <c r="C5" i="11"/>
  <c r="C8" i="11" s="1"/>
  <c r="D3" i="11"/>
  <c r="E3" i="11"/>
  <c r="C3" i="11"/>
  <c r="E263" i="10"/>
  <c r="G263" i="10" s="1"/>
  <c r="C263" i="10"/>
  <c r="E261" i="10"/>
  <c r="C261" i="10"/>
  <c r="G48" i="10"/>
  <c r="E44" i="10"/>
  <c r="G44" i="10" s="1"/>
  <c r="C44" i="10"/>
  <c r="G217" i="10"/>
  <c r="C77" i="10"/>
  <c r="C75" i="10" s="1"/>
  <c r="C216" i="10" s="1"/>
  <c r="C215" i="10" s="1"/>
  <c r="E77" i="10"/>
  <c r="E75" i="10" s="1"/>
  <c r="E216" i="10" s="1"/>
  <c r="E215" i="10" s="1"/>
  <c r="G49" i="10"/>
  <c r="B213" i="10"/>
  <c r="B128" i="10"/>
  <c r="E16" i="10"/>
  <c r="G16" i="10" s="1"/>
  <c r="C16" i="10"/>
  <c r="E146" i="10"/>
  <c r="G146" i="10" s="1"/>
  <c r="E38" i="10"/>
  <c r="G38" i="10" s="1"/>
  <c r="C38" i="10"/>
  <c r="C39" i="10"/>
  <c r="C42" i="10" s="1"/>
  <c r="E39" i="10"/>
  <c r="E42" i="10" s="1"/>
  <c r="G42" i="10" s="1"/>
  <c r="E236" i="10"/>
  <c r="C236" i="10"/>
  <c r="E237" i="10"/>
  <c r="G237" i="10"/>
  <c r="C237" i="10"/>
  <c r="E231" i="10"/>
  <c r="C231" i="10"/>
  <c r="E230" i="10"/>
  <c r="G238" i="10"/>
  <c r="C238" i="10"/>
  <c r="E238" i="10"/>
  <c r="C6" i="10"/>
  <c r="E6" i="10"/>
  <c r="C221" i="10"/>
  <c r="C222" i="10"/>
  <c r="C223" i="10"/>
  <c r="E222" i="10"/>
  <c r="E223" i="10"/>
  <c r="E221" i="10"/>
  <c r="G206" i="10"/>
  <c r="G205" i="10"/>
  <c r="G203" i="10"/>
  <c r="G242" i="10" s="1"/>
  <c r="G148" i="10"/>
  <c r="G234" i="10" l="1"/>
  <c r="E33" i="12"/>
  <c r="C50" i="12"/>
  <c r="E49" i="12"/>
  <c r="G167" i="10" s="1"/>
  <c r="F20" i="10"/>
  <c r="C188" i="10"/>
  <c r="C99" i="10"/>
  <c r="C98" i="10" s="1"/>
  <c r="E188" i="10"/>
  <c r="G188" i="10" s="1"/>
  <c r="E99" i="10"/>
  <c r="E98" i="10" s="1"/>
  <c r="E45" i="8"/>
  <c r="C19" i="8"/>
  <c r="E19" i="8"/>
  <c r="D19" i="8"/>
  <c r="D40" i="8"/>
  <c r="C40" i="8"/>
  <c r="C37" i="8" s="1"/>
  <c r="C260" i="10"/>
  <c r="C258" i="10"/>
  <c r="E258" i="10"/>
  <c r="G258" i="10" s="1"/>
  <c r="C252" i="10"/>
  <c r="E252" i="10"/>
  <c r="G252" i="10" s="1"/>
  <c r="C254" i="10"/>
  <c r="E254" i="10"/>
  <c r="G254" i="10" s="1"/>
  <c r="E256" i="10"/>
  <c r="G256" i="10" s="1"/>
  <c r="G159" i="10"/>
  <c r="G61" i="10"/>
  <c r="G196" i="10"/>
  <c r="E20" i="10"/>
  <c r="E70" i="10"/>
  <c r="E220" i="10" s="1"/>
  <c r="C70" i="10"/>
  <c r="C220" i="10" s="1"/>
  <c r="E7" i="12"/>
  <c r="E14" i="12" s="1"/>
  <c r="E43" i="12" s="1"/>
  <c r="D43" i="12"/>
  <c r="D44" i="12"/>
  <c r="E20" i="12"/>
  <c r="E57" i="10"/>
  <c r="G36" i="10"/>
  <c r="C57" i="10"/>
  <c r="E35" i="12" l="1"/>
  <c r="G69" i="10"/>
  <c r="E27" i="12"/>
  <c r="E44" i="12" s="1"/>
  <c r="E38" i="12"/>
  <c r="G63" i="10"/>
  <c r="G59" i="10"/>
  <c r="E111" i="10"/>
  <c r="C111" i="10"/>
  <c r="E13" i="8"/>
  <c r="D37" i="8"/>
  <c r="E37" i="8" s="1"/>
  <c r="D39" i="8"/>
  <c r="E39" i="8" s="1"/>
  <c r="C39" i="8"/>
  <c r="G267" i="10"/>
  <c r="G20" i="10"/>
  <c r="G19" i="10" s="1"/>
  <c r="E40" i="12"/>
  <c r="D45" i="12"/>
  <c r="D48" i="12" s="1"/>
  <c r="D50" i="12" s="1"/>
  <c r="E58" i="10"/>
  <c r="D4" i="8"/>
  <c r="C58" i="10"/>
  <c r="C4" i="8"/>
  <c r="E45" i="12" l="1"/>
  <c r="E48" i="12" s="1"/>
  <c r="E50" i="12" s="1"/>
  <c r="C93" i="10"/>
  <c r="C114" i="10"/>
  <c r="E93" i="10"/>
  <c r="E114" i="10"/>
  <c r="E94" i="10"/>
  <c r="E95" i="10"/>
  <c r="E96" i="10" s="1"/>
  <c r="C94" i="10"/>
  <c r="C95" i="10"/>
  <c r="C96" i="10" s="1"/>
  <c r="C279" i="10"/>
  <c r="E279" i="10"/>
  <c r="E185" i="10"/>
  <c r="E204" i="10" s="1"/>
  <c r="E209" i="10"/>
  <c r="C209" i="10"/>
  <c r="C185" i="10"/>
  <c r="C204" i="10" s="1"/>
  <c r="E147" i="10"/>
  <c r="E168" i="10" s="1"/>
  <c r="C147" i="10"/>
  <c r="C168" i="10" s="1"/>
  <c r="E52" i="12" l="1"/>
  <c r="G207" i="10" s="1"/>
  <c r="G202" i="10"/>
  <c r="C105" i="10"/>
  <c r="C107" i="10"/>
  <c r="E105" i="10"/>
  <c r="E107" i="10"/>
  <c r="C74" i="10"/>
  <c r="C210" i="10"/>
  <c r="C211" i="10" s="1"/>
  <c r="E210" i="10"/>
  <c r="E211" i="10" s="1"/>
  <c r="C81" i="10" l="1"/>
  <c r="C219" i="10"/>
  <c r="C82" i="10"/>
  <c r="E74" i="10"/>
  <c r="C214" i="10" l="1"/>
  <c r="C246" i="10" s="1"/>
  <c r="C91" i="10"/>
  <c r="C90" i="10"/>
  <c r="E81" i="10"/>
  <c r="G81" i="10" s="1"/>
  <c r="E219" i="10"/>
  <c r="G219" i="10" s="1"/>
  <c r="E82" i="10"/>
  <c r="C280" i="10" l="1"/>
  <c r="C282" i="10" s="1"/>
  <c r="C124" i="10"/>
  <c r="E214" i="10"/>
  <c r="E91" i="10"/>
  <c r="E90" i="10"/>
  <c r="E281" i="10" l="1"/>
  <c r="D281" i="10"/>
  <c r="D282" i="10" s="1"/>
  <c r="E246" i="10"/>
  <c r="E280" i="10" s="1"/>
  <c r="E282" i="10" s="1"/>
  <c r="G281" i="10" s="1"/>
  <c r="C34" i="8"/>
  <c r="D34" i="8"/>
  <c r="E124" i="10" l="1"/>
  <c r="D8" i="7"/>
  <c r="C2" i="7"/>
  <c r="E7" i="7" s="1"/>
  <c r="G67" i="10" s="1"/>
  <c r="G270" i="10" l="1"/>
  <c r="C11" i="3" l="1"/>
  <c r="D11" i="3"/>
  <c r="E4" i="11" s="1"/>
  <c r="I5" i="6"/>
  <c r="I6" i="6"/>
  <c r="I7" i="6"/>
  <c r="I4" i="6"/>
  <c r="E8" i="6"/>
  <c r="F8" i="6"/>
  <c r="G8" i="6"/>
  <c r="H8" i="6"/>
  <c r="I8" i="6"/>
  <c r="D8" i="6"/>
  <c r="B18" i="6"/>
  <c r="B17" i="6"/>
  <c r="B16" i="6"/>
  <c r="B15" i="6"/>
  <c r="B14" i="6"/>
  <c r="I5" i="5"/>
  <c r="J5" i="5"/>
  <c r="I6" i="5"/>
  <c r="J6" i="5"/>
  <c r="I7" i="5"/>
  <c r="J7" i="5"/>
  <c r="I8" i="5"/>
  <c r="J8" i="5"/>
  <c r="I9" i="5"/>
  <c r="J9" i="5"/>
  <c r="I10" i="5"/>
  <c r="J10" i="5"/>
  <c r="I11" i="5"/>
  <c r="J11" i="5"/>
  <c r="I12" i="5"/>
  <c r="J12" i="5"/>
  <c r="I13" i="5"/>
  <c r="J13" i="5"/>
  <c r="I14" i="5"/>
  <c r="J14" i="5"/>
  <c r="J4" i="5"/>
  <c r="I4" i="5"/>
  <c r="C5" i="5"/>
  <c r="C6" i="5"/>
  <c r="C7" i="5"/>
  <c r="C8" i="5"/>
  <c r="C9" i="5"/>
  <c r="C10" i="5"/>
  <c r="C11" i="5"/>
  <c r="C12" i="5"/>
  <c r="C13" i="5"/>
  <c r="C14" i="5"/>
  <c r="C4" i="5"/>
  <c r="D5" i="5"/>
  <c r="D6" i="5"/>
  <c r="D7" i="5"/>
  <c r="D8" i="5"/>
  <c r="D9" i="5"/>
  <c r="D10" i="5"/>
  <c r="D11" i="5"/>
  <c r="D12" i="5"/>
  <c r="D13" i="5"/>
  <c r="D14" i="5"/>
  <c r="D4" i="5"/>
  <c r="W27" i="2"/>
  <c r="W29" i="2" s="1"/>
  <c r="N20" i="2"/>
  <c r="T15" i="2"/>
  <c r="C4" i="4"/>
  <c r="C12" i="4" s="1"/>
  <c r="D4" i="4"/>
  <c r="D12" i="4" s="1"/>
  <c r="F4" i="4"/>
  <c r="F12" i="4" s="1"/>
  <c r="G4" i="4"/>
  <c r="G11" i="4" s="1"/>
  <c r="E4" i="4"/>
  <c r="E12" i="4" s="1"/>
  <c r="E11" i="4" l="1"/>
  <c r="C11" i="4"/>
  <c r="D11" i="4"/>
  <c r="F11" i="4"/>
  <c r="E8" i="11"/>
  <c r="E5" i="11" s="1"/>
  <c r="G7" i="10" s="1"/>
  <c r="G8" i="10"/>
  <c r="G12" i="4"/>
  <c r="H30" i="2"/>
  <c r="G30" i="2"/>
  <c r="F30" i="2"/>
  <c r="C34" i="2"/>
  <c r="D34" i="2" s="1"/>
  <c r="E30" i="2"/>
  <c r="D30" i="2"/>
  <c r="D36" i="2"/>
  <c r="E36" i="2" s="1"/>
  <c r="D37" i="2"/>
  <c r="T14" i="2"/>
  <c r="D35" i="2" l="1"/>
  <c r="D32" i="2" s="1"/>
  <c r="E34" i="2"/>
  <c r="H33" i="2"/>
  <c r="D33" i="2"/>
  <c r="G33" i="2"/>
  <c r="K33" i="2"/>
  <c r="M33" i="2"/>
  <c r="J33" i="2"/>
  <c r="F33" i="2"/>
  <c r="I33" i="2"/>
  <c r="L33" i="2"/>
  <c r="E33" i="2"/>
  <c r="E37" i="2"/>
  <c r="F37" i="2" s="1"/>
  <c r="G37" i="2" s="1"/>
  <c r="H37" i="2" s="1"/>
  <c r="F36" i="2"/>
  <c r="C39" i="2"/>
  <c r="C46" i="2" l="1"/>
  <c r="C45" i="2"/>
  <c r="C43" i="2"/>
  <c r="C47" i="2"/>
  <c r="C44" i="2"/>
  <c r="C51" i="2" s="1"/>
  <c r="C42" i="2"/>
  <c r="C50" i="2" s="1"/>
  <c r="E35" i="2"/>
  <c r="E32" i="2" s="1"/>
  <c r="F35" i="2"/>
  <c r="G36" i="2"/>
  <c r="F32" i="2" l="1"/>
  <c r="G32" i="2" s="1"/>
  <c r="H32" i="2" s="1"/>
  <c r="C53" i="2"/>
  <c r="H36" i="2"/>
  <c r="G259" i="10" l="1"/>
  <c r="G155" i="10" s="1"/>
  <c r="G251" i="10"/>
  <c r="G257" i="10"/>
  <c r="G253" i="10"/>
  <c r="G255" i="10"/>
  <c r="C15" i="3" l="1"/>
  <c r="D15" i="3" s="1"/>
  <c r="D14" i="3"/>
  <c r="B20" i="2"/>
  <c r="B16" i="2"/>
  <c r="B17" i="2"/>
  <c r="B18" i="2"/>
  <c r="B19" i="2"/>
  <c r="B15" i="2"/>
  <c r="N5" i="2"/>
  <c r="N6" i="2"/>
  <c r="N7" i="2"/>
  <c r="Q7" i="2" s="1"/>
  <c r="N8" i="2"/>
  <c r="N4" i="2"/>
  <c r="I5" i="2"/>
  <c r="I6" i="2"/>
  <c r="I7" i="2"/>
  <c r="I8" i="2"/>
  <c r="I4" i="2"/>
  <c r="E9" i="2"/>
  <c r="F9" i="2"/>
  <c r="G9" i="2"/>
  <c r="H9" i="2"/>
  <c r="D9" i="2"/>
  <c r="Q8" i="2" l="1"/>
  <c r="C11" i="2" s="1"/>
  <c r="I9" i="2"/>
  <c r="F17" i="2" l="1"/>
  <c r="C10" i="6"/>
  <c r="D6" i="8"/>
  <c r="C6" i="8"/>
  <c r="F15" i="2"/>
  <c r="E15" i="2"/>
  <c r="E18" i="2"/>
  <c r="G16" i="2"/>
  <c r="H18" i="2"/>
  <c r="D18" i="2"/>
  <c r="D28" i="2" s="1"/>
  <c r="H16" i="2"/>
  <c r="G15" i="2"/>
  <c r="F16" i="2"/>
  <c r="H19" i="2"/>
  <c r="F19" i="2"/>
  <c r="H17" i="2"/>
  <c r="I17" i="2" s="1"/>
  <c r="D17" i="2"/>
  <c r="G18" i="2"/>
  <c r="E19" i="2"/>
  <c r="G17" i="2"/>
  <c r="D16" i="2"/>
  <c r="E17" i="2"/>
  <c r="D19" i="2"/>
  <c r="D15" i="2"/>
  <c r="E16" i="2"/>
  <c r="H15" i="2"/>
  <c r="F18" i="2"/>
  <c r="G19" i="2"/>
  <c r="G28" i="2" l="1"/>
  <c r="F20" i="2"/>
  <c r="F31" i="2"/>
  <c r="F29" i="2" s="1"/>
  <c r="H20" i="2"/>
  <c r="H28" i="2"/>
  <c r="H31" i="2"/>
  <c r="H29" i="2" s="1"/>
  <c r="H39" i="2" s="1"/>
  <c r="E20" i="2"/>
  <c r="E28" i="2"/>
  <c r="G20" i="2"/>
  <c r="I19" i="2"/>
  <c r="I16" i="2"/>
  <c r="G17" i="6"/>
  <c r="E17" i="6"/>
  <c r="D15" i="6"/>
  <c r="F15" i="6"/>
  <c r="F17" i="6"/>
  <c r="G15" i="6"/>
  <c r="E15" i="6"/>
  <c r="H15" i="6"/>
  <c r="H17" i="6"/>
  <c r="D16" i="6"/>
  <c r="E16" i="6"/>
  <c r="D14" i="6"/>
  <c r="F14" i="6"/>
  <c r="H16" i="6"/>
  <c r="D17" i="6"/>
  <c r="H14" i="6"/>
  <c r="E14" i="6"/>
  <c r="G16" i="6"/>
  <c r="G14" i="6"/>
  <c r="F16" i="6"/>
  <c r="I18" i="2"/>
  <c r="D31" i="2"/>
  <c r="D29" i="2" s="1"/>
  <c r="D39" i="2" s="1"/>
  <c r="G4" i="10" s="1"/>
  <c r="E31" i="2"/>
  <c r="E29" i="2" s="1"/>
  <c r="F28" i="2"/>
  <c r="G31" i="2"/>
  <c r="G29" i="2" s="1"/>
  <c r="G39" i="2" s="1"/>
  <c r="D20" i="2"/>
  <c r="E6" i="8"/>
  <c r="I15" i="2"/>
  <c r="H18" i="6" l="1"/>
  <c r="I20" i="2"/>
  <c r="I15" i="6"/>
  <c r="G18" i="6"/>
  <c r="I17" i="6"/>
  <c r="I14" i="6"/>
  <c r="D18" i="6"/>
  <c r="E39" i="2"/>
  <c r="I16" i="6"/>
  <c r="E18" i="6"/>
  <c r="F39" i="2"/>
  <c r="F18" i="6"/>
  <c r="G43" i="10"/>
  <c r="G262" i="10"/>
  <c r="G268" i="10" s="1"/>
  <c r="G28" i="10"/>
  <c r="G227" i="10" s="1"/>
  <c r="G153" i="10" s="1"/>
  <c r="G21" i="10"/>
  <c r="G137" i="10"/>
  <c r="G37" i="10"/>
  <c r="G35" i="10"/>
  <c r="G231" i="10" s="1"/>
  <c r="G15" i="10"/>
  <c r="G145" i="10" s="1"/>
  <c r="G243" i="10" s="1"/>
  <c r="G139" i="10"/>
  <c r="G26" i="10"/>
  <c r="G226" i="10" s="1"/>
  <c r="G152" i="10" s="1"/>
  <c r="G30" i="10"/>
  <c r="G228" i="10" s="1"/>
  <c r="G154" i="10" s="1"/>
  <c r="G177" i="10"/>
  <c r="G171" i="10" s="1"/>
  <c r="G245" i="10" s="1"/>
  <c r="G50" i="10"/>
  <c r="G39" i="10"/>
  <c r="G11" i="10"/>
  <c r="G143" i="10"/>
  <c r="G24" i="10"/>
  <c r="G136" i="10" l="1"/>
  <c r="G244" i="10" s="1"/>
  <c r="G55" i="10"/>
  <c r="G225" i="10"/>
  <c r="G151" i="10" s="1"/>
  <c r="G23" i="10"/>
  <c r="G224" i="10" s="1"/>
  <c r="G149" i="10"/>
  <c r="G236" i="10"/>
  <c r="G6" i="10"/>
  <c r="I18" i="6"/>
  <c r="E8" i="7"/>
  <c r="G271" i="10" s="1"/>
  <c r="G17" i="10" l="1"/>
  <c r="G150" i="10"/>
  <c r="G47" i="10" s="1"/>
  <c r="G13" i="10"/>
  <c r="G34" i="10"/>
  <c r="G230" i="10" s="1"/>
  <c r="G156" i="10" s="1"/>
  <c r="E11" i="7"/>
  <c r="E10" i="7"/>
  <c r="G190" i="10" l="1"/>
  <c r="G101" i="10" s="1"/>
  <c r="F7" i="7"/>
  <c r="F8" i="7" s="1"/>
  <c r="F11" i="7" s="1"/>
  <c r="G7" i="7" s="1"/>
  <c r="G8" i="7" s="1"/>
  <c r="G11" i="7" s="1"/>
  <c r="H7" i="7" s="1"/>
  <c r="H8" i="7" s="1"/>
  <c r="H11" i="7" s="1"/>
  <c r="F10" i="7" l="1"/>
  <c r="G10" i="7" s="1"/>
  <c r="H10" i="7" s="1"/>
  <c r="I7" i="7"/>
  <c r="I8" i="7" s="1"/>
  <c r="I10" i="7" l="1"/>
  <c r="I11" i="7"/>
  <c r="G52" i="10"/>
  <c r="G57" i="10"/>
  <c r="G58" i="10" s="1"/>
  <c r="G114" i="10" l="1"/>
  <c r="G93" i="10"/>
  <c r="E4" i="8"/>
  <c r="E8" i="8" s="1"/>
  <c r="G95" i="10" l="1"/>
  <c r="C15" i="16" s="1"/>
  <c r="G94" i="10"/>
  <c r="G122" i="10"/>
  <c r="C18" i="14" s="1"/>
  <c r="O15" i="16" l="1"/>
  <c r="O16" i="16" s="1"/>
  <c r="F24" i="16" s="1"/>
  <c r="AD3" i="17"/>
  <c r="AB14" i="17" s="1"/>
  <c r="AB23" i="17" s="1"/>
  <c r="G96" i="10"/>
  <c r="G3" i="14"/>
  <c r="AB15" i="17" l="1"/>
  <c r="AB13" i="17"/>
  <c r="AB12" i="17" l="1"/>
  <c r="AB22" i="17"/>
  <c r="AB16" i="17"/>
  <c r="AB24" i="17"/>
  <c r="AB25" i="17" l="1"/>
  <c r="AB21" i="17"/>
  <c r="C10" i="14"/>
  <c r="C11" i="14"/>
  <c r="C12" i="14"/>
  <c r="C14" i="14"/>
  <c r="C15" i="14"/>
  <c r="E10" i="8"/>
  <c r="E11" i="8"/>
  <c r="E15" i="8"/>
  <c r="E16" i="8"/>
  <c r="E36" i="8"/>
  <c r="E38" i="8"/>
  <c r="E40" i="8"/>
  <c r="E44" i="8"/>
  <c r="E46" i="8"/>
  <c r="E48" i="8"/>
  <c r="AD6" i="17"/>
  <c r="AD12" i="17"/>
  <c r="AE12" i="17"/>
  <c r="AF12" i="17"/>
  <c r="AG12" i="17"/>
  <c r="AH12" i="17"/>
  <c r="AD13" i="17"/>
  <c r="AE13" i="17"/>
  <c r="AF13" i="17"/>
  <c r="AG13" i="17"/>
  <c r="AH13" i="17"/>
  <c r="AD14" i="17"/>
  <c r="AE14" i="17"/>
  <c r="AF14" i="17"/>
  <c r="AG14" i="17"/>
  <c r="AH14" i="17"/>
  <c r="AD15" i="17"/>
  <c r="AE15" i="17"/>
  <c r="AF15" i="17"/>
  <c r="AG15" i="17"/>
  <c r="AH15" i="17"/>
  <c r="AD16" i="17"/>
  <c r="AE16" i="17"/>
  <c r="AF16" i="17"/>
  <c r="AG16" i="17"/>
  <c r="AH16" i="17"/>
  <c r="AD21" i="17"/>
  <c r="AE21" i="17"/>
  <c r="AF21" i="17"/>
  <c r="AG21" i="17"/>
  <c r="AH21" i="17"/>
  <c r="AD22" i="17"/>
  <c r="AE22" i="17"/>
  <c r="AF22" i="17"/>
  <c r="AG22" i="17"/>
  <c r="AH22" i="17"/>
  <c r="AD23" i="17"/>
  <c r="AE23" i="17"/>
  <c r="AF23" i="17"/>
  <c r="AG23" i="17"/>
  <c r="AH23" i="17"/>
  <c r="AD24" i="17"/>
  <c r="AE24" i="17"/>
  <c r="AF24" i="17"/>
  <c r="AG24" i="17"/>
  <c r="AH24" i="17"/>
  <c r="AD25" i="17"/>
  <c r="AE25" i="17"/>
  <c r="AF25" i="17"/>
  <c r="AG25" i="17"/>
  <c r="AH25" i="17"/>
  <c r="G64" i="10"/>
  <c r="G65" i="10"/>
  <c r="G66" i="10"/>
  <c r="G70" i="10"/>
  <c r="G74" i="10"/>
  <c r="G75" i="10"/>
  <c r="G82" i="10"/>
  <c r="G90" i="10"/>
  <c r="G98" i="10"/>
  <c r="G99" i="10"/>
  <c r="G100" i="10"/>
  <c r="G104" i="10"/>
  <c r="G105" i="10"/>
  <c r="G107" i="10"/>
  <c r="G111" i="10"/>
  <c r="G124" i="10"/>
  <c r="G129" i="10"/>
  <c r="G147" i="10"/>
  <c r="G168" i="10"/>
  <c r="G180" i="10"/>
  <c r="G182" i="10"/>
  <c r="G185" i="10"/>
  <c r="G186" i="10"/>
  <c r="G187" i="10"/>
  <c r="G189" i="10"/>
  <c r="G191" i="10"/>
  <c r="G192" i="10"/>
  <c r="G193" i="10"/>
  <c r="G194" i="10"/>
  <c r="G201" i="10"/>
  <c r="G204" i="10"/>
  <c r="G208" i="10"/>
  <c r="G209" i="10"/>
  <c r="G210" i="10"/>
  <c r="G211" i="10"/>
  <c r="G214" i="10"/>
  <c r="G215" i="10"/>
  <c r="G216" i="10"/>
  <c r="G218" i="10"/>
  <c r="G220" i="10"/>
  <c r="G246" i="10"/>
  <c r="G269" i="10"/>
  <c r="G274" i="10"/>
  <c r="G279" i="10"/>
  <c r="G280" i="10"/>
  <c r="G28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G81" authorId="0" shapeId="0" xr:uid="{4F6405F2-AEF9-4A27-95B0-E0070FC177C0}">
      <text>
        <r>
          <rPr>
            <sz val="9"/>
            <color indexed="81"/>
            <rFont val="Tahoma"/>
            <family val="2"/>
          </rPr>
          <t>Inline with guidance</t>
        </r>
      </text>
    </comment>
    <comment ref="B117" authorId="0" shapeId="0" xr:uid="{CFC22515-8EEF-40D7-8F3F-AA8CA8FADBF5}">
      <text>
        <r>
          <rPr>
            <sz val="9"/>
            <color indexed="81"/>
            <rFont val="Tahoma"/>
            <family val="2"/>
          </rPr>
          <t>Measured as:
Base return + Totex Outperformance of Ofwat targets + 
ODI performance + Financing performance
All of these performance figures are all relative to targets setforth by Ofwat.</t>
        </r>
      </text>
    </comment>
    <comment ref="G121" authorId="0" shapeId="0" xr:uid="{A7A69A62-A589-41FF-8E57-BBD378F65DFE}">
      <text>
        <r>
          <rPr>
            <sz val="9"/>
            <color indexed="81"/>
            <rFont val="Tahoma"/>
            <family val="2"/>
          </rPr>
          <t>Guidance</t>
        </r>
      </text>
    </comment>
    <comment ref="G175" authorId="0" shapeId="0" xr:uid="{84D9FEAD-7647-4758-B794-8F219DA2BFBC}">
      <text>
        <r>
          <rPr>
            <sz val="9"/>
            <color indexed="81"/>
            <rFont val="Tahoma"/>
            <family val="2"/>
          </rPr>
          <t>10k pg 181</t>
        </r>
      </text>
    </comment>
    <comment ref="G249" authorId="0" shapeId="0" xr:uid="{509B4FA1-393D-433F-898A-DC764149988D}">
      <text>
        <r>
          <rPr>
            <sz val="9"/>
            <color indexed="81"/>
            <rFont val="Tahoma"/>
            <family val="2"/>
          </rPr>
          <t>Average of FH guidance 2021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F3" authorId="0" shapeId="0" xr:uid="{3AE88C85-FECB-46FD-8759-D5CB2C55F2FB}">
      <text>
        <r>
          <rPr>
            <sz val="9"/>
            <color indexed="81"/>
            <rFont val="Tahoma"/>
            <family val="2"/>
          </rPr>
          <t>EBITDA</t>
        </r>
      </text>
    </comment>
    <comment ref="C7" authorId="0" shapeId="0" xr:uid="{475D2655-0322-4B57-80B3-62D1EB3E3FAD}">
      <text>
        <r>
          <rPr>
            <sz val="9"/>
            <color indexed="81"/>
            <rFont val="Tahoma"/>
            <family val="2"/>
          </rPr>
          <t>ttps://www.londonstockexchange.com/news-article/SVT/severn-trent-plc-total-voting-rights/14962387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D22" authorId="0" shapeId="0" xr:uid="{754CD95F-2790-4B4B-8702-06A80C80621E}">
      <text>
        <r>
          <rPr>
            <sz val="9"/>
            <color indexed="81"/>
            <rFont val="Tahoma"/>
            <family val="2"/>
          </rPr>
          <t>Management guidance 2020/21 from Semi Annual Report for FY21.</t>
        </r>
      </text>
    </comment>
    <comment ref="D28" authorId="0" shapeId="0" xr:uid="{4D951A21-BCF7-4CCB-BCC5-5F348CC26665}">
      <text>
        <r>
          <rPr>
            <sz val="9"/>
            <color indexed="81"/>
            <rFont val="Tahoma"/>
            <family val="2"/>
          </rPr>
          <t>Average guidance</t>
        </r>
      </text>
    </comment>
  </commentList>
</comments>
</file>

<file path=xl/sharedStrings.xml><?xml version="1.0" encoding="utf-8"?>
<sst xmlns="http://schemas.openxmlformats.org/spreadsheetml/2006/main" count="1010" uniqueCount="837">
  <si>
    <t>Other operating income</t>
  </si>
  <si>
    <t>Social security costs</t>
  </si>
  <si>
    <t>Pension costs</t>
  </si>
  <si>
    <t>Share based payments</t>
  </si>
  <si>
    <t>Power</t>
  </si>
  <si>
    <t>Raw materials and consumables</t>
  </si>
  <si>
    <t>Rates</t>
  </si>
  <si>
    <t>Charge for bad and doubtful debts</t>
  </si>
  <si>
    <t>Hired and contracted services</t>
  </si>
  <si>
    <t>Rental charges</t>
  </si>
  <si>
    <t>Hire of plant and machinery</t>
  </si>
  <si>
    <t>Other operating costs</t>
  </si>
  <si>
    <t>Release from deferred credits</t>
  </si>
  <si>
    <t>Income Statement</t>
  </si>
  <si>
    <t>Other income</t>
  </si>
  <si>
    <t>Operating Profit</t>
  </si>
  <si>
    <t>Finance income</t>
  </si>
  <si>
    <t>Finance costs</t>
  </si>
  <si>
    <t>Impairment of loans receivable</t>
  </si>
  <si>
    <t>Net (losses) / gains on financial instruments</t>
  </si>
  <si>
    <t>Current tax</t>
  </si>
  <si>
    <t>Deferred tax</t>
  </si>
  <si>
    <t>Net Income</t>
  </si>
  <si>
    <t>Basic</t>
  </si>
  <si>
    <t>Diluted</t>
  </si>
  <si>
    <t>Balance Sheet</t>
  </si>
  <si>
    <t>Trade and other receivables</t>
  </si>
  <si>
    <t>Derivative financial instruments</t>
  </si>
  <si>
    <t>Cash and cash equivalents</t>
  </si>
  <si>
    <t>Inventory</t>
  </si>
  <si>
    <t>Goodwill</t>
  </si>
  <si>
    <t>Other intangible assets</t>
  </si>
  <si>
    <t>Property, plant and equipment</t>
  </si>
  <si>
    <t>Investments in joint ventures</t>
  </si>
  <si>
    <t>Total assets</t>
  </si>
  <si>
    <t>Retirement benefit surplus</t>
  </si>
  <si>
    <t>Borrowings</t>
  </si>
  <si>
    <t>Trade and other payables</t>
  </si>
  <si>
    <t>Current tax payable</t>
  </si>
  <si>
    <t>Provisions for liabilities</t>
  </si>
  <si>
    <t>Retirement benefit obligations</t>
  </si>
  <si>
    <t>Total liabilities</t>
  </si>
  <si>
    <t>Called up share capital</t>
  </si>
  <si>
    <t>Retained earnings</t>
  </si>
  <si>
    <t>Other reserves</t>
  </si>
  <si>
    <t>Check</t>
  </si>
  <si>
    <t>Cash Flows</t>
  </si>
  <si>
    <t>Net income</t>
  </si>
  <si>
    <t>Depreciation of property, plant and equipment</t>
  </si>
  <si>
    <t>Pension service cost</t>
  </si>
  <si>
    <t>Defined benefit pension scheme administration costs</t>
  </si>
  <si>
    <t>Defined benefit pension scheme contributions</t>
  </si>
  <si>
    <t>Contributions and grants received</t>
  </si>
  <si>
    <t>Provisions charged to the income statement</t>
  </si>
  <si>
    <t>Interest paid</t>
  </si>
  <si>
    <t>Dividends paid to shareholders of the parent</t>
  </si>
  <si>
    <t>Principal elements of lease payments</t>
  </si>
  <si>
    <t>New loans raised</t>
  </si>
  <si>
    <t>Issues of shares</t>
  </si>
  <si>
    <t>Proceeds from swap terminations</t>
  </si>
  <si>
    <t>Purchase of own shares</t>
  </si>
  <si>
    <t>Purchases of intangible assets and goodwill</t>
  </si>
  <si>
    <t>Interest received</t>
  </si>
  <si>
    <t>Regulated Water and Waste Water</t>
  </si>
  <si>
    <t>Corporate and other</t>
  </si>
  <si>
    <t>Consolidation adjustments</t>
  </si>
  <si>
    <t>Business Services</t>
  </si>
  <si>
    <t>FY21</t>
  </si>
  <si>
    <t>FY22</t>
  </si>
  <si>
    <t>FY23</t>
  </si>
  <si>
    <t>FY24</t>
  </si>
  <si>
    <t>FY25</t>
  </si>
  <si>
    <t>Total</t>
  </si>
  <si>
    <t>Water network plus</t>
  </si>
  <si>
    <t>Wastewater network plus</t>
  </si>
  <si>
    <t>Bioresources</t>
  </si>
  <si>
    <t>Residential retail</t>
  </si>
  <si>
    <t>2018 CPIH Base</t>
  </si>
  <si>
    <t>Ofwat allowed revenue PR19 Final Determinations - Severn Trent</t>
  </si>
  <si>
    <t>CPIH, 2015 = 100</t>
  </si>
  <si>
    <t>CPIH, 2018 = 100</t>
  </si>
  <si>
    <t>Rate</t>
  </si>
  <si>
    <t>CPIH Adjustment Factor</t>
  </si>
  <si>
    <t>2020 Dollars</t>
  </si>
  <si>
    <t>Creating bathing rivers</t>
  </si>
  <si>
    <t>Job Creation</t>
  </si>
  <si>
    <t>Indicated cost (MM)</t>
  </si>
  <si>
    <t>Decarbonising water resources</t>
  </si>
  <si>
    <t>Supply pipe upgrade/replacement</t>
  </si>
  <si>
    <t>Flood reduction measures</t>
  </si>
  <si>
    <t>Smart metering</t>
  </si>
  <si>
    <t>Bills</t>
  </si>
  <si>
    <t>Long term debt</t>
  </si>
  <si>
    <t>Alloc</t>
  </si>
  <si>
    <t>Amount</t>
  </si>
  <si>
    <t>Funding for costs</t>
  </si>
  <si>
    <t>Source: AMP7 Spending + benefits (life beyond the pandemic)</t>
  </si>
  <si>
    <t>Year before cost recovery</t>
  </si>
  <si>
    <t>source: https://www.ons.gov.uk/economy/inflationandpriceindices/timeseries/l522/mm23</t>
  </si>
  <si>
    <t>Office for national statistics</t>
  </si>
  <si>
    <t>Wholesale water RCV (£ million)</t>
  </si>
  <si>
    <t>Source: Ofwat</t>
  </si>
  <si>
    <t>Indexation</t>
  </si>
  <si>
    <t>RCV, in year published (1 year prior)</t>
  </si>
  <si>
    <t>RCV @ 31 March in estimated year prices</t>
  </si>
  <si>
    <t>Market Cap, March 31</t>
  </si>
  <si>
    <t>EV, March 31</t>
  </si>
  <si>
    <t>Cap premium to RCV</t>
  </si>
  <si>
    <t>EV premium to RCV</t>
  </si>
  <si>
    <t>Revenue estimations</t>
  </si>
  <si>
    <t>FY21E</t>
  </si>
  <si>
    <t>FY22E</t>
  </si>
  <si>
    <t>FY23E</t>
  </si>
  <si>
    <t>FY24E</t>
  </si>
  <si>
    <t>FY25E</t>
  </si>
  <si>
    <t>million tonnes</t>
  </si>
  <si>
    <t>Food Waste, UK</t>
  </si>
  <si>
    <t>slope</t>
  </si>
  <si>
    <t>intercept</t>
  </si>
  <si>
    <t>Estimated food waste</t>
  </si>
  <si>
    <t>FY26E</t>
  </si>
  <si>
    <t>FY27E</t>
  </si>
  <si>
    <t>FY28E</t>
  </si>
  <si>
    <t>FY29E</t>
  </si>
  <si>
    <t>FY30E</t>
  </si>
  <si>
    <t>Treated through AD</t>
  </si>
  <si>
    <t>of total food waste</t>
  </si>
  <si>
    <t>Food waste must be collected separately by 2023 in UK</t>
  </si>
  <si>
    <t>https://deframedia.blog.gov.uk/2020/02/10/household-food-waste-to-be-collected-separately-by-2023-and-50000-city-trees-to-be-planted-in-urban-tree-challenge-fund/</t>
  </si>
  <si>
    <t>Estimated collected, percent</t>
  </si>
  <si>
    <t>growth of collection rate</t>
  </si>
  <si>
    <t>Operating services</t>
  </si>
  <si>
    <t>Green power</t>
  </si>
  <si>
    <t>Other</t>
  </si>
  <si>
    <t>The 25-year contract known as Project Aquatrine is valued at $1.9 billion.</t>
  </si>
  <si>
    <t>https://www.wwdmag.com/data-acquisition-systems/severn-trent-joint-venture-wins-19-billion-contract-uk-ministry-defense</t>
  </si>
  <si>
    <t>Total Revenue</t>
  </si>
  <si>
    <t>Accelerating environmental improvements</t>
  </si>
  <si>
    <t>PV</t>
  </si>
  <si>
    <t>Years</t>
  </si>
  <si>
    <t>PMT</t>
  </si>
  <si>
    <t>Interest element of lease payments</t>
  </si>
  <si>
    <t>Beginning cash and cash equivalents</t>
  </si>
  <si>
    <t>Ending cash and cash equivalents</t>
  </si>
  <si>
    <t>% of sales</t>
  </si>
  <si>
    <t>% of fixed assets</t>
  </si>
  <si>
    <t>Infrastructure assets</t>
  </si>
  <si>
    <t>Fixed plant and equipment</t>
  </si>
  <si>
    <t>Moveable plant</t>
  </si>
  <si>
    <t>Assets under construction</t>
  </si>
  <si>
    <t>Not past due</t>
  </si>
  <si>
    <t>1-2 years</t>
  </si>
  <si>
    <t>2-3 years</t>
  </si>
  <si>
    <t>3-4 years</t>
  </si>
  <si>
    <t>5-6 years</t>
  </si>
  <si>
    <t>6-7 years</t>
  </si>
  <si>
    <t>7-8 years</t>
  </si>
  <si>
    <t>8-9 years</t>
  </si>
  <si>
    <t>&gt; 9 years</t>
  </si>
  <si>
    <t>&lt;= 1 year</t>
  </si>
  <si>
    <t>Expected Loss Rate</t>
  </si>
  <si>
    <t>4-5 years</t>
  </si>
  <si>
    <t>Gross Amount</t>
  </si>
  <si>
    <t>Loss Allowance</t>
  </si>
  <si>
    <t>Net Carrying Amount</t>
  </si>
  <si>
    <t>% sales</t>
  </si>
  <si>
    <t>Interest income earned on bank deposits</t>
  </si>
  <si>
    <t>Other financial income</t>
  </si>
  <si>
    <t>Interest income on defined benefit scheme assets</t>
  </si>
  <si>
    <t>Bank loans and overdrafts</t>
  </si>
  <si>
    <t>Other loans</t>
  </si>
  <si>
    <t>Lease liabilities</t>
  </si>
  <si>
    <t>Other financial expenses</t>
  </si>
  <si>
    <t>Interest cost on defined benefit scheme liabilities</t>
  </si>
  <si>
    <t>Net trade recievables</t>
  </si>
  <si>
    <t>Contract assets</t>
  </si>
  <si>
    <t>Prepayments</t>
  </si>
  <si>
    <t>Loans receivable from joint venture</t>
  </si>
  <si>
    <t>AR Turnover</t>
  </si>
  <si>
    <t>change as % of sales</t>
  </si>
  <si>
    <t>Bank overdraft</t>
  </si>
  <si>
    <t>Bank loans</t>
  </si>
  <si>
    <t>Water resources</t>
  </si>
  <si>
    <t>Accurals</t>
  </si>
  <si>
    <t>Deferred income</t>
  </si>
  <si>
    <t>PP&amp;E</t>
  </si>
  <si>
    <t>Infrastructure</t>
  </si>
  <si>
    <t>Operating Leases</t>
  </si>
  <si>
    <t>- Interest Expense</t>
  </si>
  <si>
    <t>Lease Principal Repayment (Dep'n)</t>
  </si>
  <si>
    <t>Lease Payment</t>
  </si>
  <si>
    <t>ROU Assets</t>
  </si>
  <si>
    <t>Lease Liabilities</t>
  </si>
  <si>
    <t>Interest Rate</t>
  </si>
  <si>
    <t>Debt Schedule</t>
  </si>
  <si>
    <t>Cash + Equivalents</t>
  </si>
  <si>
    <t>Totex</t>
  </si>
  <si>
    <t>% of Totex</t>
  </si>
  <si>
    <t>Cash before additional borrowing</t>
  </si>
  <si>
    <t>Minimum cash balance</t>
  </si>
  <si>
    <t>Turnover</t>
  </si>
  <si>
    <t>Net finance costs</t>
  </si>
  <si>
    <t>Current tax receivable</t>
  </si>
  <si>
    <t>Right-of-use assets</t>
  </si>
  <si>
    <t>Share premium account</t>
  </si>
  <si>
    <t>Total equity</t>
  </si>
  <si>
    <t>Cash from operating activities</t>
  </si>
  <si>
    <t>Cash from investing activities</t>
  </si>
  <si>
    <t>Cash from financing activities</t>
  </si>
  <si>
    <t>Net change in cash</t>
  </si>
  <si>
    <t>AP Turnover</t>
  </si>
  <si>
    <t>Depreciation of right-of-use assets</t>
  </si>
  <si>
    <t>Amortisation of intangible assets</t>
  </si>
  <si>
    <t>Impairment of property, plant and equipment</t>
  </si>
  <si>
    <t>Share based payment charge</t>
  </si>
  <si>
    <t>Service charges</t>
  </si>
  <si>
    <t>Loss on disposal of tangible fixed assets</t>
  </si>
  <si>
    <t>Inventory Turnover</t>
  </si>
  <si>
    <t>Scheme administration costs</t>
  </si>
  <si>
    <t>Interest income on scheme assets</t>
  </si>
  <si>
    <t>Contributions from the sponsoring companies</t>
  </si>
  <si>
    <t>Contributions from scheme members</t>
  </si>
  <si>
    <t>Benefits paid</t>
  </si>
  <si>
    <t>Exception past service cost</t>
  </si>
  <si>
    <t>Interest cost</t>
  </si>
  <si>
    <t>Actuarial (losses)/gains arising from changes in demographic assumptions</t>
  </si>
  <si>
    <t>Actuarial gains/(losses) arising from changes in financial assumptions</t>
  </si>
  <si>
    <t>Actuarial gains arising from experience adjustments</t>
  </si>
  <si>
    <t>Current service cost</t>
  </si>
  <si>
    <t>Retirement benefit obligation - deficit total</t>
  </si>
  <si>
    <t>Service cost</t>
  </si>
  <si>
    <t>Pension - Defined Benefit</t>
  </si>
  <si>
    <t>Additional borrowing required</t>
  </si>
  <si>
    <t>Beginning book value of debt</t>
  </si>
  <si>
    <t>+ Issue new debt</t>
  </si>
  <si>
    <t>Ending book value of debt</t>
  </si>
  <si>
    <t>Bank loans and overdraft interest</t>
  </si>
  <si>
    <t>Other loan interest</t>
  </si>
  <si>
    <t>Finance leases</t>
  </si>
  <si>
    <t>Floating</t>
  </si>
  <si>
    <t>Fixed</t>
  </si>
  <si>
    <t>Index-Linked</t>
  </si>
  <si>
    <t>Exceptional past service cost</t>
  </si>
  <si>
    <t>Current assets</t>
  </si>
  <si>
    <t>FY19</t>
  </si>
  <si>
    <t>FY20</t>
  </si>
  <si>
    <t>Share of net loss in joint venture</t>
  </si>
  <si>
    <t>Income before tax</t>
  </si>
  <si>
    <t>Current liabilities</t>
  </si>
  <si>
    <t>Investments in associates &amp; joint ventures</t>
  </si>
  <si>
    <t>Proceeds on disposal of property, plant and eqipment</t>
  </si>
  <si>
    <t>Repayments of borrowing</t>
  </si>
  <si>
    <t>Purchase of subsidiaries, net of cash</t>
  </si>
  <si>
    <t>Depreciation of plant property and equipment</t>
  </si>
  <si>
    <t>Changes in inventory</t>
  </si>
  <si>
    <t>Changes in amounts receivable</t>
  </si>
  <si>
    <t>Changes in amounts payables</t>
  </si>
  <si>
    <t>Wages</t>
  </si>
  <si>
    <t>Income tax expense</t>
  </si>
  <si>
    <t>Income taxes received</t>
  </si>
  <si>
    <t>Income taxes paid</t>
  </si>
  <si>
    <t>Adjustment for income taxes</t>
  </si>
  <si>
    <t>Adjustment for financing costs</t>
  </si>
  <si>
    <t>Utilisation of provisions for liabilities</t>
  </si>
  <si>
    <t>Employee Costs</t>
  </si>
  <si>
    <t>Wages and Salaries</t>
  </si>
  <si>
    <t>Land and buildings</t>
  </si>
  <si>
    <t>Exchange (gains)/losses</t>
  </si>
  <si>
    <t>Infrastructure maintenance expenditure</t>
  </si>
  <si>
    <t>Ofwat licence fees</t>
  </si>
  <si>
    <t>Own work capitalised</t>
  </si>
  <si>
    <t>Total operating expenses</t>
  </si>
  <si>
    <t>(in millions of GBP, except unit data)</t>
  </si>
  <si>
    <t>Current year</t>
  </si>
  <si>
    <t>Prior years</t>
  </si>
  <si>
    <t>Exceptional charge on rate change</t>
  </si>
  <si>
    <t>effective tax rate (ex. exceptional charges)</t>
  </si>
  <si>
    <t>% of profit before tax</t>
  </si>
  <si>
    <t>No. Employees</t>
  </si>
  <si>
    <t>Wages &amp; Salaries</t>
  </si>
  <si>
    <t>- CEO</t>
  </si>
  <si>
    <t>- CFO</t>
  </si>
  <si>
    <t>Wages (ex CEO &amp; CFO)</t>
  </si>
  <si>
    <t>wage / employee</t>
  </si>
  <si>
    <t>% of land and buildings</t>
  </si>
  <si>
    <t>Debt breakdown</t>
  </si>
  <si>
    <t>cost / employee</t>
  </si>
  <si>
    <t>Fair Value of Assets</t>
  </si>
  <si>
    <t>Starting Fair Value</t>
  </si>
  <si>
    <t>Return on plan assets (ex. amounts included in finance income)</t>
  </si>
  <si>
    <t>Ending Fair Value</t>
  </si>
  <si>
    <t>Starting obligation</t>
  </si>
  <si>
    <t>PBO</t>
  </si>
  <si>
    <t>Ending obligation</t>
  </si>
  <si>
    <t>Operating costs:</t>
  </si>
  <si>
    <t>Finance income:</t>
  </si>
  <si>
    <t>Finance costs:</t>
  </si>
  <si>
    <t>Total charged to I/S</t>
  </si>
  <si>
    <t>% PBO</t>
  </si>
  <si>
    <t>% FVA start</t>
  </si>
  <si>
    <t>Fair value of assets</t>
  </si>
  <si>
    <t>PV of PBO</t>
  </si>
  <si>
    <t>Net obligation (benefit)</t>
  </si>
  <si>
    <t>Balance sheet item reconciliation:</t>
  </si>
  <si>
    <t>Less: retirement benefit surplus</t>
  </si>
  <si>
    <t>Adjustment to OCI</t>
  </si>
  <si>
    <t>Other receivables</t>
  </si>
  <si>
    <t>Other amounts recievable</t>
  </si>
  <si>
    <t>% of joint venture loan value</t>
  </si>
  <si>
    <t>Other amounts recievables</t>
  </si>
  <si>
    <t>Net accured income</t>
  </si>
  <si>
    <t>% of receivables</t>
  </si>
  <si>
    <t>Total liabilites and equity</t>
  </si>
  <si>
    <t>Trade payables</t>
  </si>
  <si>
    <t>Social security and other taxes</t>
  </si>
  <si>
    <t xml:space="preserve">Other payables </t>
  </si>
  <si>
    <t>% change over turnover</t>
  </si>
  <si>
    <t>% of fixed planet and equipment</t>
  </si>
  <si>
    <t>Purchase of property, plant and equipment</t>
  </si>
  <si>
    <t>weight</t>
  </si>
  <si>
    <t>% weight</t>
  </si>
  <si>
    <t xml:space="preserve">Fixed plant and equipment </t>
  </si>
  <si>
    <t>% of plant + buildings</t>
  </si>
  <si>
    <t>- Repayment of borrowings (ex. payables + lease)</t>
  </si>
  <si>
    <t>% weight, total bank loans</t>
  </si>
  <si>
    <t>Total debt (ex. Lease liabilities)</t>
  </si>
  <si>
    <t>effective rate</t>
  </si>
  <si>
    <t>Interest expense (finance costs)</t>
  </si>
  <si>
    <t>Total interest expense</t>
  </si>
  <si>
    <t>Additions (purchases in forward years):</t>
  </si>
  <si>
    <t>Shares Outstanding</t>
  </si>
  <si>
    <t>EBTIDA</t>
  </si>
  <si>
    <t>EBIT</t>
  </si>
  <si>
    <t>% EBIT Margin</t>
  </si>
  <si>
    <t>% EBITDA Margin</t>
  </si>
  <si>
    <t>Net Debt</t>
  </si>
  <si>
    <t>EPS (GBp)</t>
  </si>
  <si>
    <t>Date</t>
  </si>
  <si>
    <t>Last Price  (R1)</t>
  </si>
  <si>
    <t>Current Shares Outstanding  (L1)</t>
  </si>
  <si>
    <t>Monthly Data</t>
  </si>
  <si>
    <t>Shares Out, March 31st</t>
  </si>
  <si>
    <t>Yield</t>
  </si>
  <si>
    <t>Price, March 31st (GBp)</t>
  </si>
  <si>
    <t>Dividend / Share (GBp)</t>
  </si>
  <si>
    <t>Gearing</t>
  </si>
  <si>
    <t>Cross currency swaps</t>
  </si>
  <si>
    <t>Loans recievable from joint venture</t>
  </si>
  <si>
    <t>Cash &amp; Cash Equivalents</t>
  </si>
  <si>
    <t>Cash at bank and in hand</t>
  </si>
  <si>
    <t>Short-term deposits</t>
  </si>
  <si>
    <t>Security desposit for insurance obligations</t>
  </si>
  <si>
    <t>Restricted for MoD (BServices, facilites construction)</t>
  </si>
  <si>
    <t>RCV (Ofwat data)</t>
  </si>
  <si>
    <t>RCV AMP7 annual growth rath (Ofwat)</t>
  </si>
  <si>
    <t>RCV Gearing</t>
  </si>
  <si>
    <t>Totex, Calculated</t>
  </si>
  <si>
    <t>Ofwat allowed totex</t>
  </si>
  <si>
    <t>Auxillary Data</t>
  </si>
  <si>
    <t>RoRE, Reported</t>
  </si>
  <si>
    <t>Premium to RCV</t>
  </si>
  <si>
    <t>Cash before new loans</t>
  </si>
  <si>
    <t>Operating Services</t>
  </si>
  <si>
    <t>Green Power</t>
  </si>
  <si>
    <t>Regulated</t>
  </si>
  <si>
    <t>Unregulated</t>
  </si>
  <si>
    <t>Payments for swap terminations</t>
  </si>
  <si>
    <t>Proceeds on disposal of subsidiary</t>
  </si>
  <si>
    <t>Net loans repaid (advanced to) by joint ventures</t>
  </si>
  <si>
    <t>Loss (profit) on sale of PP&amp;E and intangible assets</t>
  </si>
  <si>
    <t>Profit on disposal of subsidiary</t>
  </si>
  <si>
    <t>Reported RCV Gearing</t>
  </si>
  <si>
    <t>Low Guidance</t>
  </si>
  <si>
    <t>High Guidance</t>
  </si>
  <si>
    <t>Balance Sheet Gearing</t>
  </si>
  <si>
    <t>D / E</t>
  </si>
  <si>
    <t>Ticker</t>
  </si>
  <si>
    <t>SVT LN</t>
  </si>
  <si>
    <t>Share Price</t>
  </si>
  <si>
    <t>YTD Total Return</t>
  </si>
  <si>
    <t>Proforma Shares Out</t>
  </si>
  <si>
    <t>+ Debt</t>
  </si>
  <si>
    <t>- Cash</t>
  </si>
  <si>
    <t>Enterprise Value</t>
  </si>
  <si>
    <t>FY20A EV / EBITDA</t>
  </si>
  <si>
    <t>FY21E EV / EBITDA</t>
  </si>
  <si>
    <t>1mo. Avg Volume</t>
  </si>
  <si>
    <t>2148 - 2593</t>
  </si>
  <si>
    <t>52-Wk L / H</t>
  </si>
  <si>
    <t>Price</t>
  </si>
  <si>
    <t>Market Cap.</t>
  </si>
  <si>
    <t>Borrowings ex. lease liabilities + payables</t>
  </si>
  <si>
    <t>Total Borrowings</t>
  </si>
  <si>
    <t>EBITDA</t>
  </si>
  <si>
    <t>Proforma</t>
  </si>
  <si>
    <t>TTM</t>
  </si>
  <si>
    <t>FY21E Yield</t>
  </si>
  <si>
    <t>Dividend Freq</t>
  </si>
  <si>
    <t>Semi</t>
  </si>
  <si>
    <t>LTM Yield</t>
  </si>
  <si>
    <t>SVT LN Equity</t>
  </si>
  <si>
    <t>UU/ LN Equity</t>
  </si>
  <si>
    <t>PNN LN Equity</t>
  </si>
  <si>
    <t>Name</t>
  </si>
  <si>
    <t>Shares Out</t>
  </si>
  <si>
    <t>GBP</t>
  </si>
  <si>
    <t>Pref and Min. Int</t>
  </si>
  <si>
    <t>Market</t>
  </si>
  <si>
    <t>Cap</t>
  </si>
  <si>
    <t>Enterprise</t>
  </si>
  <si>
    <t>Value</t>
  </si>
  <si>
    <t>Sales</t>
  </si>
  <si>
    <t>EPS</t>
  </si>
  <si>
    <t>EV / EBITDA</t>
  </si>
  <si>
    <t>CY1</t>
  </si>
  <si>
    <t>CY2</t>
  </si>
  <si>
    <t>EV / Sales</t>
  </si>
  <si>
    <t>P / FCF</t>
  </si>
  <si>
    <t>Sales / CAPEX</t>
  </si>
  <si>
    <t>LTM Ratios</t>
  </si>
  <si>
    <t>SG&amp;A / Sales</t>
  </si>
  <si>
    <t>ROE</t>
  </si>
  <si>
    <t>GM</t>
  </si>
  <si>
    <t>Beta</t>
  </si>
  <si>
    <t>Average</t>
  </si>
  <si>
    <t>Median</t>
  </si>
  <si>
    <t>ROIC</t>
  </si>
  <si>
    <t>Equity</t>
  </si>
  <si>
    <t>Public Comparable Companies</t>
  </si>
  <si>
    <t>Price (GBP)</t>
  </si>
  <si>
    <t>Pennon Group PLC</t>
  </si>
  <si>
    <t>United Utilities Group PLC</t>
  </si>
  <si>
    <t>Severn Trent PLC</t>
  </si>
  <si>
    <t>UKRPYOY</t>
  </si>
  <si>
    <t>UKRPCJYR</t>
  </si>
  <si>
    <t>UKHCCPIY</t>
  </si>
  <si>
    <t>&lt;YoY% NSA&gt;</t>
  </si>
  <si>
    <t>UK RPI YoY NSA</t>
  </si>
  <si>
    <t>UK CPI EU Harmonized YoY NSA</t>
  </si>
  <si>
    <t>CPI Including owner occupiers housing costs YoY (CPIH)</t>
  </si>
  <si>
    <t>RPI</t>
  </si>
  <si>
    <t>CPI</t>
  </si>
  <si>
    <t>CPIH</t>
  </si>
  <si>
    <t>Text Date</t>
  </si>
  <si>
    <t>Premium / Discount</t>
  </si>
  <si>
    <t>Mean</t>
  </si>
  <si>
    <t>Premium / Discount Statistics</t>
  </si>
  <si>
    <t>StDEV</t>
  </si>
  <si>
    <t>Plotting</t>
  </si>
  <si>
    <t>+1 SD</t>
  </si>
  <si>
    <t>-1 SD</t>
  </si>
  <si>
    <t>Comps</t>
  </si>
  <si>
    <t>2021-05-19</t>
  </si>
  <si>
    <t>2021-05-18</t>
  </si>
  <si>
    <t>2021-05-17</t>
  </si>
  <si>
    <t>2021-05-14</t>
  </si>
  <si>
    <t>2021-05-13</t>
  </si>
  <si>
    <t>2021-05-12</t>
  </si>
  <si>
    <t>2021-05-11</t>
  </si>
  <si>
    <t>2021-05-10</t>
  </si>
  <si>
    <t>2021-05-07</t>
  </si>
  <si>
    <t>2021-05-06</t>
  </si>
  <si>
    <t>2021-05-05</t>
  </si>
  <si>
    <t>2021-05-04</t>
  </si>
  <si>
    <t>2021-04-30</t>
  </si>
  <si>
    <t>2021-04-29</t>
  </si>
  <si>
    <t>2021-04-28</t>
  </si>
  <si>
    <t>2021-04-27</t>
  </si>
  <si>
    <t>2021-04-26</t>
  </si>
  <si>
    <t>2021-04-23</t>
  </si>
  <si>
    <t>2021-04-22</t>
  </si>
  <si>
    <t>2021-04-21</t>
  </si>
  <si>
    <t>2021-04-20</t>
  </si>
  <si>
    <t>2021-04-19</t>
  </si>
  <si>
    <t>2021-04-16</t>
  </si>
  <si>
    <t>2021-04-15</t>
  </si>
  <si>
    <t>2021-04-14</t>
  </si>
  <si>
    <t>2021-04-13</t>
  </si>
  <si>
    <t>2021-04-12</t>
  </si>
  <si>
    <t>2021-04-09</t>
  </si>
  <si>
    <t>2021-04-08</t>
  </si>
  <si>
    <t>2021-04-07</t>
  </si>
  <si>
    <t>2021-04-06</t>
  </si>
  <si>
    <t>2021-04-01</t>
  </si>
  <si>
    <t>2021-03-31</t>
  </si>
  <si>
    <t>2021-03-30</t>
  </si>
  <si>
    <t>2021-03-29</t>
  </si>
  <si>
    <t>2021-03-26</t>
  </si>
  <si>
    <t>2021-03-25</t>
  </si>
  <si>
    <t>2021-03-24</t>
  </si>
  <si>
    <t>2021-03-23</t>
  </si>
  <si>
    <t>2021-03-22</t>
  </si>
  <si>
    <t>2021-03-19</t>
  </si>
  <si>
    <t>2021-03-18</t>
  </si>
  <si>
    <t>2021-03-17</t>
  </si>
  <si>
    <t>2021-03-16</t>
  </si>
  <si>
    <t>2021-03-15</t>
  </si>
  <si>
    <t>2021-03-12</t>
  </si>
  <si>
    <t>2021-03-11</t>
  </si>
  <si>
    <t>2021-03-10</t>
  </si>
  <si>
    <t>2021-03-09</t>
  </si>
  <si>
    <t>2021-03-08</t>
  </si>
  <si>
    <t>2021-03-05</t>
  </si>
  <si>
    <t>2021-03-04</t>
  </si>
  <si>
    <t>2021-03-03</t>
  </si>
  <si>
    <t>2021-03-02</t>
  </si>
  <si>
    <t>2021-03-01</t>
  </si>
  <si>
    <t>2021-02-26</t>
  </si>
  <si>
    <t>2021-02-25</t>
  </si>
  <si>
    <t>2021-02-24</t>
  </si>
  <si>
    <t>2021-02-23</t>
  </si>
  <si>
    <t>2021-02-22</t>
  </si>
  <si>
    <t>2021-02-19</t>
  </si>
  <si>
    <t>2021-02-18</t>
  </si>
  <si>
    <t>2021-02-17</t>
  </si>
  <si>
    <t>2021-02-16</t>
  </si>
  <si>
    <t>2021-02-15</t>
  </si>
  <si>
    <t>2021-02-12</t>
  </si>
  <si>
    <t>2021-02-11</t>
  </si>
  <si>
    <t>2021-02-10</t>
  </si>
  <si>
    <t>2021-02-09</t>
  </si>
  <si>
    <t>2021-02-08</t>
  </si>
  <si>
    <t>2021-02-05</t>
  </si>
  <si>
    <t>2021-02-04</t>
  </si>
  <si>
    <t>2021-02-03</t>
  </si>
  <si>
    <t>2021-02-02</t>
  </si>
  <si>
    <t>2021-02-01</t>
  </si>
  <si>
    <t>2021-01-29</t>
  </si>
  <si>
    <t>2021-01-28</t>
  </si>
  <si>
    <t>2021-01-27</t>
  </si>
  <si>
    <t>2021-01-26</t>
  </si>
  <si>
    <t>2021-01-25</t>
  </si>
  <si>
    <t>2021-01-22</t>
  </si>
  <si>
    <t>2021-01-21</t>
  </si>
  <si>
    <t>2021-01-20</t>
  </si>
  <si>
    <t>2021-01-19</t>
  </si>
  <si>
    <t>2021-01-18</t>
  </si>
  <si>
    <t>2021-01-15</t>
  </si>
  <si>
    <t>2021-01-14</t>
  </si>
  <si>
    <t>2021-01-13</t>
  </si>
  <si>
    <t>2021-01-12</t>
  </si>
  <si>
    <t>2021-01-11</t>
  </si>
  <si>
    <t>2021-01-08</t>
  </si>
  <si>
    <t>2021-01-07</t>
  </si>
  <si>
    <t>2021-01-06</t>
  </si>
  <si>
    <t>2021-01-05</t>
  </si>
  <si>
    <t>2021-01-04</t>
  </si>
  <si>
    <t>2020-12-31</t>
  </si>
  <si>
    <t>2020-12-30</t>
  </si>
  <si>
    <t>2020-12-29</t>
  </si>
  <si>
    <t>2020-12-24</t>
  </si>
  <si>
    <t>2020-12-23</t>
  </si>
  <si>
    <t>2020-12-22</t>
  </si>
  <si>
    <t>2020-12-21</t>
  </si>
  <si>
    <t>2020-12-18</t>
  </si>
  <si>
    <t>2020-12-17</t>
  </si>
  <si>
    <t>2020-12-16</t>
  </si>
  <si>
    <t>2020-12-15</t>
  </si>
  <si>
    <t>2020-12-14</t>
  </si>
  <si>
    <t>2020-12-11</t>
  </si>
  <si>
    <t>2020-12-10</t>
  </si>
  <si>
    <t>2020-12-09</t>
  </si>
  <si>
    <t>2020-12-08</t>
  </si>
  <si>
    <t>2020-12-07</t>
  </si>
  <si>
    <t>2020-12-04</t>
  </si>
  <si>
    <t>2020-12-03</t>
  </si>
  <si>
    <t>2020-12-02</t>
  </si>
  <si>
    <t>2020-12-01</t>
  </si>
  <si>
    <t>2020-11-30</t>
  </si>
  <si>
    <t>2020-11-27</t>
  </si>
  <si>
    <t>2020-11-26</t>
  </si>
  <si>
    <t>2020-11-25</t>
  </si>
  <si>
    <t>2020-11-24</t>
  </si>
  <si>
    <t>2020-11-23</t>
  </si>
  <si>
    <t>2020-11-20</t>
  </si>
  <si>
    <t>2020-11-19</t>
  </si>
  <si>
    <t>2020-11-18</t>
  </si>
  <si>
    <t>2020-11-17</t>
  </si>
  <si>
    <t>2020-11-16</t>
  </si>
  <si>
    <t>2020-11-13</t>
  </si>
  <si>
    <t>2020-11-12</t>
  </si>
  <si>
    <t>2020-11-11</t>
  </si>
  <si>
    <t>2020-11-10</t>
  </si>
  <si>
    <t>2020-11-09</t>
  </si>
  <si>
    <t>2020-11-06</t>
  </si>
  <si>
    <t>2020-11-05</t>
  </si>
  <si>
    <t>2020-11-04</t>
  </si>
  <si>
    <t>2020-11-03</t>
  </si>
  <si>
    <t>2020-11-02</t>
  </si>
  <si>
    <t>2020-10-30</t>
  </si>
  <si>
    <t>2020-10-29</t>
  </si>
  <si>
    <t>2020-10-28</t>
  </si>
  <si>
    <t>2020-10-27</t>
  </si>
  <si>
    <t>2020-10-26</t>
  </si>
  <si>
    <t>2020-10-23</t>
  </si>
  <si>
    <t>2020-10-22</t>
  </si>
  <si>
    <t>2020-10-21</t>
  </si>
  <si>
    <t>2020-10-20</t>
  </si>
  <si>
    <t>2020-10-19</t>
  </si>
  <si>
    <t>2020-10-16</t>
  </si>
  <si>
    <t>2020-10-15</t>
  </si>
  <si>
    <t>2020-10-14</t>
  </si>
  <si>
    <t>2020-10-13</t>
  </si>
  <si>
    <t>2020-10-12</t>
  </si>
  <si>
    <t>2020-10-09</t>
  </si>
  <si>
    <t>2020-10-08</t>
  </si>
  <si>
    <t>2020-10-07</t>
  </si>
  <si>
    <t>2020-10-06</t>
  </si>
  <si>
    <t>2020-10-05</t>
  </si>
  <si>
    <t>2020-10-02</t>
  </si>
  <si>
    <t>2020-10-01</t>
  </si>
  <si>
    <t>2020-09-30</t>
  </si>
  <si>
    <t>2020-09-29</t>
  </si>
  <si>
    <t>2020-09-28</t>
  </si>
  <si>
    <t>2020-09-25</t>
  </si>
  <si>
    <t>2020-09-24</t>
  </si>
  <si>
    <t>2020-09-23</t>
  </si>
  <si>
    <t>2020-09-22</t>
  </si>
  <si>
    <t>2020-09-21</t>
  </si>
  <si>
    <t>2020-09-18</t>
  </si>
  <si>
    <t>2020-09-17</t>
  </si>
  <si>
    <t>2020-09-16</t>
  </si>
  <si>
    <t>2020-09-15</t>
  </si>
  <si>
    <t>2020-09-14</t>
  </si>
  <si>
    <t>2020-09-11</t>
  </si>
  <si>
    <t>2020-09-10</t>
  </si>
  <si>
    <t>2020-09-09</t>
  </si>
  <si>
    <t>2020-09-08</t>
  </si>
  <si>
    <t>2020-09-07</t>
  </si>
  <si>
    <t>2020-09-04</t>
  </si>
  <si>
    <t>2020-09-03</t>
  </si>
  <si>
    <t>2020-09-02</t>
  </si>
  <si>
    <t>2020-09-01</t>
  </si>
  <si>
    <t>2020-08-28</t>
  </si>
  <si>
    <t>2020-08-27</t>
  </si>
  <si>
    <t>2020-08-26</t>
  </si>
  <si>
    <t>2020-08-25</t>
  </si>
  <si>
    <t>2020-08-24</t>
  </si>
  <si>
    <t>2020-08-21</t>
  </si>
  <si>
    <t>2020-08-20</t>
  </si>
  <si>
    <t>2020-08-19</t>
  </si>
  <si>
    <t>2020-08-18</t>
  </si>
  <si>
    <t>2020-08-17</t>
  </si>
  <si>
    <t>2020-08-14</t>
  </si>
  <si>
    <t>2020-08-13</t>
  </si>
  <si>
    <t>2020-08-12</t>
  </si>
  <si>
    <t>2020-08-11</t>
  </si>
  <si>
    <t>2020-08-10</t>
  </si>
  <si>
    <t>2020-08-07</t>
  </si>
  <si>
    <t>2020-08-06</t>
  </si>
  <si>
    <t>2020-08-05</t>
  </si>
  <si>
    <t>2020-08-04</t>
  </si>
  <si>
    <t>2020-08-03</t>
  </si>
  <si>
    <t>2020-07-31</t>
  </si>
  <si>
    <t>2020-07-30</t>
  </si>
  <si>
    <t>2020-07-29</t>
  </si>
  <si>
    <t>2020-07-28</t>
  </si>
  <si>
    <t>2020-07-27</t>
  </si>
  <si>
    <t>2020-07-24</t>
  </si>
  <si>
    <t>2020-07-23</t>
  </si>
  <si>
    <t>2020-07-22</t>
  </si>
  <si>
    <t>2020-07-21</t>
  </si>
  <si>
    <t>2020-07-20</t>
  </si>
  <si>
    <t>2020-07-17</t>
  </si>
  <si>
    <t>2020-07-16</t>
  </si>
  <si>
    <t>2020-07-15</t>
  </si>
  <si>
    <t>2020-07-14</t>
  </si>
  <si>
    <t>2020-07-13</t>
  </si>
  <si>
    <t>2020-07-10</t>
  </si>
  <si>
    <t>2020-07-09</t>
  </si>
  <si>
    <t>2020-07-08</t>
  </si>
  <si>
    <t>2020-07-07</t>
  </si>
  <si>
    <t>2020-07-06</t>
  </si>
  <si>
    <t>2020-07-03</t>
  </si>
  <si>
    <t>2020-07-02</t>
  </si>
  <si>
    <t>2020-07-01</t>
  </si>
  <si>
    <t>2020-06-30</t>
  </si>
  <si>
    <t>2020-06-29</t>
  </si>
  <si>
    <t>2020-06-26</t>
  </si>
  <si>
    <t>2020-06-25</t>
  </si>
  <si>
    <t>2020-06-24</t>
  </si>
  <si>
    <t>2020-06-23</t>
  </si>
  <si>
    <t>2020-06-22</t>
  </si>
  <si>
    <t>2020-06-19</t>
  </si>
  <si>
    <t>2020-06-18</t>
  </si>
  <si>
    <t>2020-06-17</t>
  </si>
  <si>
    <t>2020-06-16</t>
  </si>
  <si>
    <t>2020-06-15</t>
  </si>
  <si>
    <t>2020-06-12</t>
  </si>
  <si>
    <t>2020-06-11</t>
  </si>
  <si>
    <t>2020-06-10</t>
  </si>
  <si>
    <t>2020-06-09</t>
  </si>
  <si>
    <t>2020-06-08</t>
  </si>
  <si>
    <t>2020-06-05</t>
  </si>
  <si>
    <t>2020-06-04</t>
  </si>
  <si>
    <t>2020-06-03</t>
  </si>
  <si>
    <t>2020-06-02</t>
  </si>
  <si>
    <t>2020-06-01</t>
  </si>
  <si>
    <t>2020-05-29</t>
  </si>
  <si>
    <t>2020-05-28</t>
  </si>
  <si>
    <t>2020-05-27</t>
  </si>
  <si>
    <t>2020-05-26</t>
  </si>
  <si>
    <t>2020-05-22</t>
  </si>
  <si>
    <t>2020-05-21</t>
  </si>
  <si>
    <t>2020-05-20</t>
  </si>
  <si>
    <t>2020-05-19</t>
  </si>
  <si>
    <t>2020-05-18</t>
  </si>
  <si>
    <t>2020-05-15</t>
  </si>
  <si>
    <t>2020-05-14</t>
  </si>
  <si>
    <t>2020-05-13</t>
  </si>
  <si>
    <t>2020-05-12</t>
  </si>
  <si>
    <t>2020-05-11</t>
  </si>
  <si>
    <t>2020-05-07</t>
  </si>
  <si>
    <t>2020-05-06</t>
  </si>
  <si>
    <t>2020-05-05</t>
  </si>
  <si>
    <t>2020-05-04</t>
  </si>
  <si>
    <t>2020-05-01</t>
  </si>
  <si>
    <t>2020-04-30</t>
  </si>
  <si>
    <t>2020-04-29</t>
  </si>
  <si>
    <t>2020-04-28</t>
  </si>
  <si>
    <t>2020-04-27</t>
  </si>
  <si>
    <t>2020-04-24</t>
  </si>
  <si>
    <t>2020-04-23</t>
  </si>
  <si>
    <t>2020-04-22</t>
  </si>
  <si>
    <t>2020-04-21</t>
  </si>
  <si>
    <t>2020-04-20</t>
  </si>
  <si>
    <t>2020-04-17</t>
  </si>
  <si>
    <t>2020-04-16</t>
  </si>
  <si>
    <t>2020-04-15</t>
  </si>
  <si>
    <t>2020-04-14</t>
  </si>
  <si>
    <t>2020-04-09</t>
  </si>
  <si>
    <t>2020-04-08</t>
  </si>
  <si>
    <t>2020-04-07</t>
  </si>
  <si>
    <t>2020-04-06</t>
  </si>
  <si>
    <t>2020-04-03</t>
  </si>
  <si>
    <t>2020-04-02</t>
  </si>
  <si>
    <t>2020-04-01</t>
  </si>
  <si>
    <t>2020-03-31</t>
  </si>
  <si>
    <t>2020-03-30</t>
  </si>
  <si>
    <t>2020-03-27</t>
  </si>
  <si>
    <t>2020-03-26</t>
  </si>
  <si>
    <t>2020-03-25</t>
  </si>
  <si>
    <t>2020-03-24</t>
  </si>
  <si>
    <t>2020-03-23</t>
  </si>
  <si>
    <t>2020-03-20</t>
  </si>
  <si>
    <t>2020-03-19</t>
  </si>
  <si>
    <t>2020-03-18</t>
  </si>
  <si>
    <t>2020-03-17</t>
  </si>
  <si>
    <t>2020-03-16</t>
  </si>
  <si>
    <t>2020-03-13</t>
  </si>
  <si>
    <t>2020-03-12</t>
  </si>
  <si>
    <t>2020-03-11</t>
  </si>
  <si>
    <t>2020-03-10</t>
  </si>
  <si>
    <t>2020-03-09</t>
  </si>
  <si>
    <t>2020-03-06</t>
  </si>
  <si>
    <t>2020-03-05</t>
  </si>
  <si>
    <t>2020-03-04</t>
  </si>
  <si>
    <t>2020-03-03</t>
  </si>
  <si>
    <t>2020-03-02</t>
  </si>
  <si>
    <t>2020-02-28</t>
  </si>
  <si>
    <t>2020-02-27</t>
  </si>
  <si>
    <t>2020-02-26</t>
  </si>
  <si>
    <t>2020-02-25</t>
  </si>
  <si>
    <t>2020-02-24</t>
  </si>
  <si>
    <t>2020-02-21</t>
  </si>
  <si>
    <t>2020-02-20</t>
  </si>
  <si>
    <t>2020-02-19</t>
  </si>
  <si>
    <t>2020-02-18</t>
  </si>
  <si>
    <t>2020-02-17</t>
  </si>
  <si>
    <t>2020-02-14</t>
  </si>
  <si>
    <t>2020-02-13</t>
  </si>
  <si>
    <t>2020-02-12</t>
  </si>
  <si>
    <t>2020-02-11</t>
  </si>
  <si>
    <t>2020-02-10</t>
  </si>
  <si>
    <t>2020-02-07</t>
  </si>
  <si>
    <t>2020-02-06</t>
  </si>
  <si>
    <t>2020-02-05</t>
  </si>
  <si>
    <t>2020-02-04</t>
  </si>
  <si>
    <t>2020-02-03</t>
  </si>
  <si>
    <t>2020-01-31</t>
  </si>
  <si>
    <t>2020-01-30</t>
  </si>
  <si>
    <t>2020-01-29</t>
  </si>
  <si>
    <t>2020-01-28</t>
  </si>
  <si>
    <t>2020-01-27</t>
  </si>
  <si>
    <t>2020-01-24</t>
  </si>
  <si>
    <t>2020-01-23</t>
  </si>
  <si>
    <t>2020-01-22</t>
  </si>
  <si>
    <t>2020-01-21</t>
  </si>
  <si>
    <t>2020-01-20</t>
  </si>
  <si>
    <t>2020-01-17</t>
  </si>
  <si>
    <t>2020-01-16</t>
  </si>
  <si>
    <t>2020-01-15</t>
  </si>
  <si>
    <t>2020-01-14</t>
  </si>
  <si>
    <t>2020-01-13</t>
  </si>
  <si>
    <t>2020-01-10</t>
  </si>
  <si>
    <t>2020-01-09</t>
  </si>
  <si>
    <t>2020-01-08</t>
  </si>
  <si>
    <t>2020-01-07</t>
  </si>
  <si>
    <t>2020-01-06</t>
  </si>
  <si>
    <t>2020-01-03</t>
  </si>
  <si>
    <t>2020-01-02</t>
  </si>
  <si>
    <t>2019-12-31</t>
  </si>
  <si>
    <t>Last PX</t>
  </si>
  <si>
    <t>sum(group(dropna(cash_divs(dates=range(-11Y,0D),currency=GBP,dividend_type=REGULAR)),year(dropna(cash_divs(dates=range(-11Y,0D),currency=GBP,dividend_type=REGULAR)).date)))</t>
  </si>
  <si>
    <t>ID</t>
  </si>
  <si>
    <t>Anglian</t>
  </si>
  <si>
    <t>Dŵr Cymru Welsh Water</t>
  </si>
  <si>
    <t>Hafren Dyfrdwy</t>
  </si>
  <si>
    <t>Northumbrian</t>
  </si>
  <si>
    <t>Severn Trent</t>
  </si>
  <si>
    <t>South West</t>
  </si>
  <si>
    <t>Southern</t>
  </si>
  <si>
    <t>Thames</t>
  </si>
  <si>
    <t>United Utilities</t>
  </si>
  <si>
    <t>Wessex</t>
  </si>
  <si>
    <t>Yorkshire</t>
  </si>
  <si>
    <t>https://discoverwater.co.uk/annual-bill</t>
  </si>
  <si>
    <t>Company</t>
  </si>
  <si>
    <t>Additional Allowance</t>
  </si>
  <si>
    <t>South Staffs Water</t>
  </si>
  <si>
    <t>South West Water</t>
  </si>
  <si>
    <t>Thames Water</t>
  </si>
  <si>
    <t>% Allocated</t>
  </si>
  <si>
    <t>** Prices in 2017-18 Financial Year
Average CPIH prices,</t>
  </si>
  <si>
    <t>Premium</t>
  </si>
  <si>
    <t>EV / EBITDA Premium</t>
  </si>
  <si>
    <t>Index Value</t>
  </si>
  <si>
    <t>Shrs Out</t>
  </si>
  <si>
    <t>Current Price</t>
  </si>
  <si>
    <t>Relative Valuation</t>
  </si>
  <si>
    <t>FH20</t>
  </si>
  <si>
    <t>FH19</t>
  </si>
  <si>
    <t>% Diff</t>
  </si>
  <si>
    <t>CAGR</t>
  </si>
  <si>
    <t>Peer Avg.</t>
  </si>
  <si>
    <t>Premium (discount)</t>
  </si>
  <si>
    <t>Multiple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</si>
</sst>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
    <numFmt numFmtId="165" formatCode="0.0%"/>
    <numFmt numFmtId="166" formatCode="_-* #,##0.00_-;\-* #,##0.00_-;_-* &quot;-&quot;??_-;_-@_-"/>
    <numFmt numFmtId="167" formatCode="0.0"/>
    <numFmt numFmtId="168" formatCode="#,##0.0\x"/>
    <numFmt numFmtId="169" formatCode="#,##0.000"/>
    <numFmt numFmtId="170" formatCode="0.000"/>
    <numFmt numFmtId="171" formatCode="[$-409]mmm\-yy;@"/>
    <numFmt numFmtId="172" formatCode="\+0.00%;\-0.00%;0.00%"/>
    <numFmt numFmtId="173" formatCode="_-[$£-809]* #,##0.00_-;\-[$£-809]* #,##0.00_-;_-[$£-809]* &quot;-&quot;??_-;_-@_-"/>
    <numFmt numFmtId="174" formatCode="#,##0.00\x"/>
    <numFmt numFmtId="175" formatCode="_-[$£-809]* #,##0_-;\-[$£-809]* #,##0_-;_-[$£-809]* &quot;-&quot;??_-;_-@_-"/>
  </numFmts>
  <fonts count="29" x14ac:knownFonts="1">
    <font>
      <sz val="11"/>
      <color theme="1"/>
      <name val="Calibri"/>
      <family val="2"/>
      <scheme val="minor"/>
    </font>
    <font>
      <b/>
      <sz val="11"/>
      <color theme="1"/>
      <name val="Calibri"/>
      <family val="2"/>
      <scheme val="minor"/>
    </font>
    <font>
      <sz val="11"/>
      <name val="Calibri"/>
      <family val="2"/>
      <scheme val="minor"/>
    </font>
    <font>
      <sz val="11"/>
      <color theme="1"/>
      <name val="Calibri"/>
      <family val="2"/>
      <scheme val="minor"/>
    </font>
    <font>
      <sz val="11"/>
      <color rgb="FFFF0000"/>
      <name val="Calibri"/>
      <family val="2"/>
      <scheme val="minor"/>
    </font>
    <font>
      <sz val="8"/>
      <name val="Calibri"/>
      <family val="2"/>
      <scheme val="minor"/>
    </font>
    <font>
      <sz val="10"/>
      <name val="Arial"/>
      <family val="2"/>
    </font>
    <font>
      <sz val="9"/>
      <color indexed="81"/>
      <name val="Tahoma"/>
      <family val="2"/>
    </font>
    <font>
      <b/>
      <sz val="15"/>
      <color theme="3"/>
      <name val="Arial"/>
      <family val="2"/>
    </font>
    <font>
      <b/>
      <sz val="13"/>
      <color theme="3"/>
      <name val="Arial"/>
      <family val="2"/>
    </font>
    <font>
      <i/>
      <sz val="10"/>
      <color theme="1"/>
      <name val="Calibri"/>
      <family val="2"/>
      <scheme val="minor"/>
    </font>
    <font>
      <sz val="11"/>
      <color theme="2" tint="-0.249977111117893"/>
      <name val="Calibri"/>
      <family val="2"/>
      <scheme val="minor"/>
    </font>
    <font>
      <i/>
      <sz val="10"/>
      <name val="Calibri"/>
      <family val="2"/>
      <scheme val="minor"/>
    </font>
    <font>
      <sz val="14"/>
      <name val="Calibri"/>
      <family val="2"/>
      <scheme val="minor"/>
    </font>
    <font>
      <sz val="11"/>
      <color theme="4"/>
      <name val="Calibri"/>
      <family val="2"/>
      <scheme val="minor"/>
    </font>
    <font>
      <i/>
      <sz val="10"/>
      <color theme="4"/>
      <name val="Calibri"/>
      <family val="2"/>
      <scheme val="minor"/>
    </font>
    <font>
      <sz val="11"/>
      <color theme="0" tint="-0.499984740745262"/>
      <name val="Calibri"/>
      <family val="2"/>
      <scheme val="minor"/>
    </font>
    <font>
      <sz val="11"/>
      <color theme="1" tint="0.499984740745262"/>
      <name val="Calibri"/>
      <family val="2"/>
      <scheme val="minor"/>
    </font>
    <font>
      <sz val="10"/>
      <color theme="1"/>
      <name val="Calibri"/>
      <family val="2"/>
      <scheme val="minor"/>
    </font>
    <font>
      <i/>
      <sz val="11"/>
      <color theme="1"/>
      <name val="Calibri"/>
      <family val="2"/>
      <scheme val="minor"/>
    </font>
    <font>
      <i/>
      <sz val="11"/>
      <color theme="1" tint="0.499984740745262"/>
      <name val="Calibri"/>
      <family val="2"/>
      <scheme val="minor"/>
    </font>
    <font>
      <b/>
      <sz val="11"/>
      <color theme="1"/>
      <name val="Roboto Condensed"/>
    </font>
    <font>
      <sz val="11"/>
      <color theme="1"/>
      <name val="Roboto Condensed"/>
    </font>
    <font>
      <b/>
      <sz val="16"/>
      <color theme="0"/>
      <name val="Roboto Condensed"/>
    </font>
    <font>
      <sz val="11"/>
      <color theme="0"/>
      <name val="Roboto Condensed"/>
    </font>
    <font>
      <i/>
      <sz val="9"/>
      <color theme="0"/>
      <name val="Roboto Condensed"/>
    </font>
    <font>
      <b/>
      <sz val="11"/>
      <color theme="3" tint="-0.249977111117893"/>
      <name val="Calibri"/>
      <family val="2"/>
      <scheme val="minor"/>
    </font>
    <font>
      <sz val="11"/>
      <color theme="0" tint="-0.249977111117893"/>
      <name val="Calibri"/>
      <family val="2"/>
      <scheme val="minor"/>
    </font>
    <font>
      <b/>
      <sz val="11"/>
      <color rgb="FF002060"/>
      <name val="Calibri"/>
      <family val="2"/>
      <scheme val="minor"/>
    </font>
  </fonts>
  <fills count="21">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3"/>
        <bgColor indexed="64"/>
      </patternFill>
    </fill>
  </fills>
  <borders count="8">
    <border>
      <left/>
      <right/>
      <top/>
      <bottom/>
      <diagonal/>
    </border>
    <border>
      <left/>
      <right/>
      <top/>
      <bottom style="thick">
        <color theme="4"/>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style="thin">
        <color indexed="64"/>
      </top>
      <bottom/>
      <diagonal/>
    </border>
    <border>
      <left/>
      <right/>
      <top style="thin">
        <color theme="1" tint="0.499984740745262"/>
      </top>
      <bottom/>
      <diagonal/>
    </border>
    <border>
      <left/>
      <right/>
      <top/>
      <bottom style="thin">
        <color theme="1" tint="0.499984740745262"/>
      </bottom>
      <diagonal/>
    </border>
  </borders>
  <cellStyleXfs count="32">
    <xf numFmtId="0" fontId="0" fillId="0" borderId="0"/>
    <xf numFmtId="9" fontId="3" fillId="0" borderId="0" applyFont="0" applyFill="0" applyBorder="0" applyAlignment="0" applyProtection="0"/>
    <xf numFmtId="0" fontId="6" fillId="0" borderId="0"/>
    <xf numFmtId="166" fontId="6" fillId="0" borderId="0" applyFon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3" fillId="0" borderId="0"/>
    <xf numFmtId="0" fontId="3" fillId="5"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6" fillId="0" borderId="0"/>
    <xf numFmtId="0" fontId="3" fillId="0" borderId="0"/>
    <xf numFmtId="0" fontId="6" fillId="0" borderId="0"/>
    <xf numFmtId="0" fontId="6" fillId="0" borderId="0"/>
    <xf numFmtId="0" fontId="6" fillId="0" borderId="0"/>
    <xf numFmtId="0" fontId="3" fillId="4" borderId="3" applyNumberFormat="0" applyFont="0" applyAlignment="0" applyProtection="0"/>
    <xf numFmtId="0" fontId="3" fillId="4" borderId="3" applyNumberFormat="0" applyFont="0" applyAlignment="0" applyProtection="0"/>
    <xf numFmtId="0" fontId="6" fillId="0" borderId="0"/>
    <xf numFmtId="0" fontId="6" fillId="0" borderId="0"/>
    <xf numFmtId="0" fontId="6" fillId="0" borderId="0"/>
    <xf numFmtId="0" fontId="6" fillId="0" borderId="0"/>
    <xf numFmtId="0" fontId="6" fillId="0" borderId="0"/>
    <xf numFmtId="22" fontId="6" fillId="0" borderId="0"/>
  </cellStyleXfs>
  <cellXfs count="207">
    <xf numFmtId="0" fontId="0" fillId="0" borderId="0" xfId="0"/>
    <xf numFmtId="0" fontId="2" fillId="2" borderId="0" xfId="0" applyFont="1" applyFill="1"/>
    <xf numFmtId="0" fontId="0" fillId="3" borderId="0" xfId="0" applyFill="1"/>
    <xf numFmtId="164" fontId="0" fillId="3" borderId="0" xfId="0" applyNumberFormat="1" applyFill="1"/>
    <xf numFmtId="0" fontId="0" fillId="3" borderId="0" xfId="0" applyFill="1" applyAlignment="1">
      <alignment horizontal="left" indent="1"/>
    </xf>
    <xf numFmtId="0" fontId="1" fillId="3" borderId="0" xfId="0" applyFont="1" applyFill="1"/>
    <xf numFmtId="164" fontId="1" fillId="3" borderId="0" xfId="0" applyNumberFormat="1" applyFont="1" applyFill="1"/>
    <xf numFmtId="164" fontId="0" fillId="3" borderId="0" xfId="0" applyNumberFormat="1" applyFont="1" applyFill="1"/>
    <xf numFmtId="0" fontId="0" fillId="3" borderId="0" xfId="0" applyFill="1" applyAlignment="1">
      <alignment horizontal="left"/>
    </xf>
    <xf numFmtId="3" fontId="0" fillId="3" borderId="0" xfId="0" applyNumberFormat="1" applyFill="1"/>
    <xf numFmtId="9" fontId="0" fillId="3" borderId="0" xfId="1" applyFont="1" applyFill="1"/>
    <xf numFmtId="165" fontId="0" fillId="3" borderId="0" xfId="1" applyNumberFormat="1" applyFont="1" applyFill="1"/>
    <xf numFmtId="0" fontId="0" fillId="0" borderId="0" xfId="0" applyAlignment="1">
      <alignment horizontal="right"/>
    </xf>
    <xf numFmtId="164" fontId="0" fillId="0" borderId="0" xfId="0" applyNumberFormat="1" applyAlignment="1">
      <alignment horizontal="right"/>
    </xf>
    <xf numFmtId="0" fontId="0" fillId="2" borderId="0" xfId="0" applyFill="1"/>
    <xf numFmtId="0" fontId="0" fillId="2" borderId="0" xfId="0" applyFill="1" applyAlignment="1">
      <alignment horizontal="right"/>
    </xf>
    <xf numFmtId="10" fontId="0" fillId="0" borderId="0" xfId="1" applyNumberFormat="1" applyFont="1"/>
    <xf numFmtId="9" fontId="0" fillId="0" borderId="0" xfId="1" applyNumberFormat="1" applyFont="1"/>
    <xf numFmtId="3" fontId="0" fillId="0" borderId="0" xfId="0" applyNumberFormat="1"/>
    <xf numFmtId="164" fontId="0" fillId="0" borderId="0" xfId="0" applyNumberFormat="1"/>
    <xf numFmtId="0" fontId="1" fillId="2" borderId="0" xfId="0" applyFont="1" applyFill="1" applyAlignment="1">
      <alignment horizontal="right"/>
    </xf>
    <xf numFmtId="0" fontId="1" fillId="2" borderId="0" xfId="0" applyFont="1" applyFill="1"/>
    <xf numFmtId="2" fontId="0" fillId="3" borderId="0" xfId="0" applyNumberFormat="1" applyFill="1"/>
    <xf numFmtId="167" fontId="0" fillId="3" borderId="0" xfId="0" applyNumberFormat="1" applyFill="1"/>
    <xf numFmtId="0" fontId="0" fillId="2" borderId="0" xfId="0" applyFill="1" applyAlignment="1">
      <alignment horizontal="center"/>
    </xf>
    <xf numFmtId="0" fontId="0" fillId="3" borderId="0" xfId="0" applyFill="1" applyAlignment="1">
      <alignment horizontal="left" indent="2"/>
    </xf>
    <xf numFmtId="0" fontId="0" fillId="3" borderId="0" xfId="0" applyFill="1" applyAlignment="1">
      <alignment horizontal="left" indent="3"/>
    </xf>
    <xf numFmtId="0" fontId="10" fillId="3" borderId="0" xfId="0" applyFont="1" applyFill="1" applyAlignment="1">
      <alignment horizontal="left" indent="1"/>
    </xf>
    <xf numFmtId="165" fontId="10" fillId="3" borderId="0" xfId="1" applyNumberFormat="1" applyFont="1" applyFill="1"/>
    <xf numFmtId="164" fontId="11" fillId="3" borderId="0" xfId="0" applyNumberFormat="1" applyFont="1" applyFill="1"/>
    <xf numFmtId="0" fontId="11" fillId="3" borderId="0" xfId="0" applyFont="1" applyFill="1" applyAlignment="1">
      <alignment horizontal="left"/>
    </xf>
    <xf numFmtId="0" fontId="0" fillId="17" borderId="0" xfId="0" applyFill="1" applyAlignment="1">
      <alignment horizontal="left" indent="1"/>
    </xf>
    <xf numFmtId="164" fontId="0" fillId="17" borderId="0" xfId="0" applyNumberFormat="1" applyFill="1"/>
    <xf numFmtId="0" fontId="0" fillId="17" borderId="0" xfId="0" applyFill="1"/>
    <xf numFmtId="0" fontId="0" fillId="3" borderId="0" xfId="0" applyFill="1" applyAlignment="1">
      <alignment horizontal="center"/>
    </xf>
    <xf numFmtId="165" fontId="0" fillId="3" borderId="0" xfId="1" applyNumberFormat="1" applyFont="1" applyFill="1" applyAlignment="1">
      <alignment horizontal="center"/>
    </xf>
    <xf numFmtId="167" fontId="0" fillId="3" borderId="0" xfId="0" applyNumberFormat="1" applyFill="1" applyAlignment="1">
      <alignment horizontal="center"/>
    </xf>
    <xf numFmtId="164" fontId="10" fillId="3" borderId="0" xfId="0" applyNumberFormat="1" applyFont="1" applyFill="1"/>
    <xf numFmtId="0" fontId="10" fillId="17" borderId="0" xfId="0" applyFont="1" applyFill="1" applyAlignment="1">
      <alignment horizontal="left" indent="2"/>
    </xf>
    <xf numFmtId="165" fontId="10" fillId="17" borderId="0" xfId="1" applyNumberFormat="1" applyFont="1" applyFill="1"/>
    <xf numFmtId="0" fontId="10" fillId="17" borderId="0" xfId="0" applyFont="1" applyFill="1" applyAlignment="1">
      <alignment horizontal="left" indent="1"/>
    </xf>
    <xf numFmtId="164" fontId="10" fillId="17" borderId="0" xfId="0" applyNumberFormat="1" applyFont="1" applyFill="1"/>
    <xf numFmtId="0" fontId="0" fillId="17" borderId="0" xfId="0" applyFill="1" applyAlignment="1">
      <alignment horizontal="left" indent="2"/>
    </xf>
    <xf numFmtId="168" fontId="10" fillId="17" borderId="0" xfId="0" applyNumberFormat="1" applyFont="1" applyFill="1"/>
    <xf numFmtId="0" fontId="10" fillId="17" borderId="0" xfId="0" applyFont="1" applyFill="1" applyAlignment="1">
      <alignment horizontal="left" indent="3"/>
    </xf>
    <xf numFmtId="0" fontId="0" fillId="3" borderId="0" xfId="0" quotePrefix="1" applyFill="1"/>
    <xf numFmtId="0" fontId="0" fillId="3" borderId="4" xfId="0" quotePrefix="1" applyFill="1" applyBorder="1"/>
    <xf numFmtId="0" fontId="0" fillId="3" borderId="4" xfId="0" applyFill="1" applyBorder="1"/>
    <xf numFmtId="167" fontId="0" fillId="3" borderId="4" xfId="0" applyNumberFormat="1" applyFill="1" applyBorder="1"/>
    <xf numFmtId="0" fontId="12" fillId="2" borderId="0" xfId="0" applyFont="1" applyFill="1"/>
    <xf numFmtId="0" fontId="13" fillId="2" borderId="0" xfId="0" applyFont="1" applyFill="1"/>
    <xf numFmtId="9" fontId="10" fillId="3" borderId="0" xfId="1" applyNumberFormat="1" applyFont="1" applyFill="1"/>
    <xf numFmtId="168" fontId="10" fillId="3" borderId="0" xfId="0" applyNumberFormat="1" applyFont="1" applyFill="1"/>
    <xf numFmtId="0" fontId="1" fillId="3" borderId="5" xfId="0" applyFont="1" applyFill="1" applyBorder="1"/>
    <xf numFmtId="164" fontId="1" fillId="3" borderId="5" xfId="0" applyNumberFormat="1" applyFont="1" applyFill="1" applyBorder="1"/>
    <xf numFmtId="0" fontId="2" fillId="2" borderId="0" xfId="0" applyFont="1" applyFill="1" applyAlignment="1">
      <alignment horizontal="right"/>
    </xf>
    <xf numFmtId="0" fontId="14" fillId="3" borderId="0" xfId="0" applyFont="1" applyFill="1"/>
    <xf numFmtId="164" fontId="14" fillId="3" borderId="0" xfId="0" applyNumberFormat="1" applyFont="1" applyFill="1"/>
    <xf numFmtId="164" fontId="4" fillId="2" borderId="0" xfId="0" applyNumberFormat="1" applyFont="1" applyFill="1"/>
    <xf numFmtId="0" fontId="2" fillId="3" borderId="0" xfId="0" applyFont="1" applyFill="1" applyAlignment="1">
      <alignment horizontal="right"/>
    </xf>
    <xf numFmtId="0" fontId="0" fillId="3" borderId="5" xfId="0" applyFill="1" applyBorder="1"/>
    <xf numFmtId="164" fontId="0" fillId="3" borderId="5" xfId="0" applyNumberFormat="1" applyFill="1" applyBorder="1"/>
    <xf numFmtId="0" fontId="0" fillId="17" borderId="0" xfId="0" applyFill="1" applyBorder="1"/>
    <xf numFmtId="164" fontId="0" fillId="17" borderId="0" xfId="0" applyNumberFormat="1" applyFill="1" applyBorder="1"/>
    <xf numFmtId="0" fontId="0" fillId="17" borderId="0" xfId="0" applyFill="1" applyBorder="1" applyAlignment="1">
      <alignment horizontal="left" indent="1"/>
    </xf>
    <xf numFmtId="0" fontId="0" fillId="3" borderId="6" xfId="0" applyFill="1" applyBorder="1"/>
    <xf numFmtId="164" fontId="0" fillId="3" borderId="6" xfId="0" applyNumberFormat="1" applyFill="1" applyBorder="1"/>
    <xf numFmtId="164" fontId="2" fillId="3" borderId="0" xfId="0" applyNumberFormat="1" applyFont="1" applyFill="1" applyAlignment="1">
      <alignment horizontal="right"/>
    </xf>
    <xf numFmtId="0" fontId="16" fillId="3" borderId="0" xfId="0" applyFont="1" applyFill="1"/>
    <xf numFmtId="164" fontId="16" fillId="3" borderId="0" xfId="0" applyNumberFormat="1" applyFont="1" applyFill="1"/>
    <xf numFmtId="0" fontId="10" fillId="17" borderId="0" xfId="0" applyFont="1" applyFill="1" applyBorder="1" applyAlignment="1">
      <alignment horizontal="left" indent="2"/>
    </xf>
    <xf numFmtId="165" fontId="10" fillId="17" borderId="0" xfId="1" applyNumberFormat="1" applyFont="1" applyFill="1" applyBorder="1"/>
    <xf numFmtId="0" fontId="0" fillId="3" borderId="0" xfId="0" quotePrefix="1" applyFill="1" applyAlignment="1">
      <alignment horizontal="left" indent="1"/>
    </xf>
    <xf numFmtId="170" fontId="0" fillId="3" borderId="0" xfId="0" applyNumberFormat="1" applyFill="1"/>
    <xf numFmtId="0" fontId="16" fillId="3" borderId="0" xfId="0" applyFont="1" applyFill="1" applyBorder="1"/>
    <xf numFmtId="164" fontId="16" fillId="3" borderId="0" xfId="0" applyNumberFormat="1" applyFont="1" applyFill="1" applyBorder="1"/>
    <xf numFmtId="0" fontId="16" fillId="3" borderId="0" xfId="0" applyFont="1" applyFill="1" applyAlignment="1">
      <alignment horizontal="left"/>
    </xf>
    <xf numFmtId="0" fontId="0" fillId="3" borderId="0" xfId="0" applyFont="1" applyFill="1" applyBorder="1"/>
    <xf numFmtId="0" fontId="2" fillId="17" borderId="0" xfId="0" applyFont="1" applyFill="1" applyAlignment="1">
      <alignment horizontal="left" indent="1"/>
    </xf>
    <xf numFmtId="164" fontId="2" fillId="17" borderId="0" xfId="0" applyNumberFormat="1" applyFont="1" applyFill="1"/>
    <xf numFmtId="0" fontId="17" fillId="17" borderId="0" xfId="0" applyFont="1" applyFill="1" applyAlignment="1">
      <alignment horizontal="left" indent="1"/>
    </xf>
    <xf numFmtId="164" fontId="17" fillId="17" borderId="0" xfId="0" applyNumberFormat="1" applyFont="1" applyFill="1"/>
    <xf numFmtId="0" fontId="12" fillId="17" borderId="0" xfId="0" applyFont="1" applyFill="1" applyAlignment="1">
      <alignment horizontal="left" indent="2"/>
    </xf>
    <xf numFmtId="169" fontId="12" fillId="17" borderId="0" xfId="0" applyNumberFormat="1" applyFont="1" applyFill="1"/>
    <xf numFmtId="164" fontId="0" fillId="3" borderId="0" xfId="0" applyNumberFormat="1" applyFont="1" applyFill="1" applyBorder="1"/>
    <xf numFmtId="0" fontId="0" fillId="17" borderId="0" xfId="0" applyFont="1" applyFill="1" applyBorder="1" applyAlignment="1">
      <alignment horizontal="left" indent="1"/>
    </xf>
    <xf numFmtId="164" fontId="0" fillId="17" borderId="0" xfId="0" applyNumberFormat="1" applyFont="1" applyFill="1" applyBorder="1"/>
    <xf numFmtId="165" fontId="15" fillId="3" borderId="0" xfId="1" applyNumberFormat="1" applyFont="1" applyFill="1"/>
    <xf numFmtId="0" fontId="17" fillId="3" borderId="0" xfId="0" applyFont="1" applyFill="1"/>
    <xf numFmtId="164" fontId="17" fillId="3" borderId="0" xfId="0" applyNumberFormat="1" applyFont="1" applyFill="1"/>
    <xf numFmtId="0" fontId="0" fillId="3" borderId="7" xfId="0" applyFill="1" applyBorder="1" applyAlignment="1">
      <alignment horizontal="left" indent="1"/>
    </xf>
    <xf numFmtId="0" fontId="0" fillId="3" borderId="7" xfId="0" applyFill="1" applyBorder="1"/>
    <xf numFmtId="0" fontId="14" fillId="3" borderId="7" xfId="0" applyFont="1" applyFill="1" applyBorder="1"/>
    <xf numFmtId="164" fontId="0" fillId="3" borderId="7" xfId="0" applyNumberFormat="1" applyFill="1" applyBorder="1"/>
    <xf numFmtId="10" fontId="10" fillId="17" borderId="0" xfId="1" applyNumberFormat="1" applyFont="1" applyFill="1"/>
    <xf numFmtId="164" fontId="0" fillId="18" borderId="0" xfId="0" applyNumberFormat="1" applyFill="1"/>
    <xf numFmtId="164" fontId="0" fillId="19" borderId="0" xfId="0" applyNumberFormat="1" applyFill="1"/>
    <xf numFmtId="0" fontId="0" fillId="19" borderId="0" xfId="0" applyFill="1" applyAlignment="1">
      <alignment horizontal="left"/>
    </xf>
    <xf numFmtId="0" fontId="0" fillId="3" borderId="0" xfId="0" applyFont="1" applyFill="1"/>
    <xf numFmtId="165" fontId="10" fillId="3" borderId="0" xfId="1" applyNumberFormat="1" applyFont="1" applyFill="1" applyAlignment="1">
      <alignment horizontal="left" indent="1"/>
    </xf>
    <xf numFmtId="0" fontId="0" fillId="3" borderId="0" xfId="0" applyFont="1" applyFill="1" applyBorder="1" applyAlignment="1">
      <alignment horizontal="left" indent="1"/>
    </xf>
    <xf numFmtId="9" fontId="10" fillId="3" borderId="0" xfId="1" applyFont="1" applyFill="1" applyBorder="1"/>
    <xf numFmtId="0" fontId="10" fillId="3" borderId="0" xfId="0" applyFont="1" applyFill="1" applyBorder="1" applyAlignment="1">
      <alignment horizontal="left" indent="1"/>
    </xf>
    <xf numFmtId="169" fontId="0" fillId="3" borderId="0" xfId="0" applyNumberFormat="1" applyFont="1" applyFill="1" applyBorder="1"/>
    <xf numFmtId="1" fontId="0" fillId="3" borderId="0" xfId="0" applyNumberFormat="1" applyFill="1"/>
    <xf numFmtId="164" fontId="0" fillId="3" borderId="0" xfId="0" applyNumberFormat="1" applyFill="1" applyAlignment="1">
      <alignment horizontal="right"/>
    </xf>
    <xf numFmtId="10" fontId="0" fillId="3" borderId="0" xfId="1" applyNumberFormat="1" applyFont="1" applyFill="1"/>
    <xf numFmtId="0" fontId="0" fillId="3" borderId="0" xfId="0" applyFill="1" applyAlignment="1">
      <alignment horizontal="left"/>
    </xf>
    <xf numFmtId="14" fontId="0" fillId="3" borderId="0" xfId="0" applyNumberFormat="1" applyFill="1" applyAlignment="1">
      <alignment horizontal="left"/>
    </xf>
    <xf numFmtId="165" fontId="0" fillId="3" borderId="0" xfId="1" applyNumberFormat="1" applyFont="1" applyFill="1" applyBorder="1"/>
    <xf numFmtId="170" fontId="0" fillId="3" borderId="0" xfId="1" applyNumberFormat="1" applyFont="1" applyFill="1" applyBorder="1"/>
    <xf numFmtId="171" fontId="2" fillId="2" borderId="0" xfId="0" applyNumberFormat="1" applyFont="1" applyFill="1"/>
    <xf numFmtId="0" fontId="0" fillId="3" borderId="0" xfId="0" applyFill="1" applyAlignment="1">
      <alignment horizontal="left"/>
    </xf>
    <xf numFmtId="0" fontId="18" fillId="17" borderId="0" xfId="0" applyFont="1" applyFill="1" applyAlignment="1">
      <alignment horizontal="left" indent="2"/>
    </xf>
    <xf numFmtId="164" fontId="18" fillId="17" borderId="0" xfId="0" applyNumberFormat="1" applyFont="1" applyFill="1"/>
    <xf numFmtId="10" fontId="10" fillId="3" borderId="0" xfId="1" applyNumberFormat="1" applyFont="1" applyFill="1" applyBorder="1"/>
    <xf numFmtId="3" fontId="0" fillId="3" borderId="0" xfId="1" applyNumberFormat="1" applyFont="1" applyFill="1" applyBorder="1"/>
    <xf numFmtId="0" fontId="0" fillId="3" borderId="0" xfId="0" applyFont="1" applyFill="1" applyBorder="1" applyAlignment="1">
      <alignment horizontal="left"/>
    </xf>
    <xf numFmtId="0" fontId="20" fillId="3" borderId="0" xfId="0" applyFont="1" applyFill="1"/>
    <xf numFmtId="164" fontId="20" fillId="3" borderId="0" xfId="0" applyNumberFormat="1" applyFont="1" applyFill="1"/>
    <xf numFmtId="165" fontId="0" fillId="3" borderId="0" xfId="0" applyNumberFormat="1" applyFill="1"/>
    <xf numFmtId="3" fontId="0" fillId="3" borderId="0" xfId="0" applyNumberFormat="1" applyFill="1" applyAlignment="1">
      <alignment horizontal="right"/>
    </xf>
    <xf numFmtId="0" fontId="21" fillId="3" borderId="0" xfId="0" applyFont="1" applyFill="1"/>
    <xf numFmtId="0" fontId="21" fillId="3" borderId="0" xfId="0" applyFont="1" applyFill="1" applyAlignment="1">
      <alignment horizontal="right"/>
    </xf>
    <xf numFmtId="0" fontId="22" fillId="3" borderId="0" xfId="0" applyFont="1" applyFill="1"/>
    <xf numFmtId="0" fontId="22" fillId="3" borderId="0" xfId="0" applyFont="1" applyFill="1" applyAlignment="1">
      <alignment horizontal="right"/>
    </xf>
    <xf numFmtId="0" fontId="21" fillId="3" borderId="5" xfId="0" applyFont="1" applyFill="1" applyBorder="1"/>
    <xf numFmtId="0" fontId="22" fillId="3" borderId="0" xfId="0" quotePrefix="1" applyFont="1" applyFill="1"/>
    <xf numFmtId="10" fontId="22" fillId="3" borderId="0" xfId="1" applyNumberFormat="1" applyFont="1" applyFill="1" applyAlignment="1">
      <alignment horizontal="right"/>
    </xf>
    <xf numFmtId="172" fontId="22" fillId="3" borderId="0" xfId="1" applyNumberFormat="1" applyFont="1" applyFill="1" applyAlignment="1">
      <alignment horizontal="right"/>
    </xf>
    <xf numFmtId="2" fontId="22" fillId="3" borderId="0" xfId="0" applyNumberFormat="1" applyFont="1" applyFill="1" applyAlignment="1">
      <alignment horizontal="right"/>
    </xf>
    <xf numFmtId="14" fontId="0" fillId="3" borderId="0" xfId="0" applyNumberFormat="1" applyFill="1"/>
    <xf numFmtId="173" fontId="0" fillId="3" borderId="0" xfId="0" applyNumberFormat="1" applyFill="1"/>
    <xf numFmtId="0" fontId="0" fillId="3" borderId="0" xfId="0" applyFill="1" applyAlignment="1"/>
    <xf numFmtId="3" fontId="22" fillId="3" borderId="0" xfId="0" applyNumberFormat="1" applyFont="1" applyFill="1" applyAlignment="1">
      <alignment horizontal="right"/>
    </xf>
    <xf numFmtId="3" fontId="21" fillId="3" borderId="5" xfId="0" applyNumberFormat="1" applyFont="1" applyFill="1" applyBorder="1" applyAlignment="1">
      <alignment horizontal="right"/>
    </xf>
    <xf numFmtId="1" fontId="22" fillId="3" borderId="0" xfId="0" applyNumberFormat="1" applyFont="1" applyFill="1" applyAlignment="1">
      <alignment horizontal="right"/>
    </xf>
    <xf numFmtId="168" fontId="22" fillId="3" borderId="0" xfId="0" applyNumberFormat="1" applyFont="1" applyFill="1" applyAlignment="1">
      <alignment horizontal="right"/>
    </xf>
    <xf numFmtId="0" fontId="24" fillId="20" borderId="0" xfId="0" applyFont="1" applyFill="1"/>
    <xf numFmtId="0" fontId="24" fillId="20" borderId="0" xfId="0" applyFont="1" applyFill="1" applyAlignment="1">
      <alignment horizontal="center"/>
    </xf>
    <xf numFmtId="0" fontId="24" fillId="20" borderId="0" xfId="0" applyFont="1" applyFill="1" applyAlignment="1">
      <alignment horizontal="center" vertical="center"/>
    </xf>
    <xf numFmtId="2" fontId="22" fillId="3" borderId="0" xfId="0" applyNumberFormat="1" applyFont="1" applyFill="1" applyAlignment="1">
      <alignment horizontal="center"/>
    </xf>
    <xf numFmtId="0" fontId="22" fillId="3" borderId="0" xfId="0" applyFont="1" applyFill="1" applyAlignment="1">
      <alignment horizontal="center"/>
    </xf>
    <xf numFmtId="3" fontId="22" fillId="3" borderId="0" xfId="0" applyNumberFormat="1" applyFont="1" applyFill="1" applyAlignment="1">
      <alignment horizontal="center"/>
    </xf>
    <xf numFmtId="173" fontId="22" fillId="3" borderId="0" xfId="0" applyNumberFormat="1" applyFont="1" applyFill="1" applyAlignment="1">
      <alignment horizontal="center"/>
    </xf>
    <xf numFmtId="168" fontId="22" fillId="3" borderId="0" xfId="0" applyNumberFormat="1" applyFont="1" applyFill="1" applyAlignment="1">
      <alignment horizontal="center"/>
    </xf>
    <xf numFmtId="165" fontId="22" fillId="3" borderId="0" xfId="1" applyNumberFormat="1" applyFont="1" applyFill="1" applyAlignment="1">
      <alignment horizontal="center"/>
    </xf>
    <xf numFmtId="9" fontId="22" fillId="3" borderId="0" xfId="1" applyNumberFormat="1" applyFont="1" applyFill="1" applyAlignment="1">
      <alignment horizontal="center"/>
    </xf>
    <xf numFmtId="0" fontId="22" fillId="3" borderId="5" xfId="0" applyFont="1" applyFill="1" applyBorder="1" applyAlignment="1">
      <alignment horizontal="center"/>
    </xf>
    <xf numFmtId="173" fontId="22" fillId="3" borderId="5" xfId="0" applyNumberFormat="1" applyFont="1" applyFill="1" applyBorder="1" applyAlignment="1">
      <alignment horizontal="center"/>
    </xf>
    <xf numFmtId="168" fontId="22" fillId="3" borderId="5" xfId="0" applyNumberFormat="1" applyFont="1" applyFill="1" applyBorder="1" applyAlignment="1">
      <alignment horizontal="center"/>
    </xf>
    <xf numFmtId="165" fontId="22" fillId="3" borderId="5" xfId="1" applyNumberFormat="1" applyFont="1" applyFill="1" applyBorder="1" applyAlignment="1">
      <alignment horizontal="center"/>
    </xf>
    <xf numFmtId="9" fontId="22" fillId="3" borderId="5" xfId="1" applyNumberFormat="1" applyFont="1" applyFill="1" applyBorder="1" applyAlignment="1">
      <alignment horizontal="center"/>
    </xf>
    <xf numFmtId="2" fontId="22" fillId="3" borderId="5" xfId="0" applyNumberFormat="1" applyFont="1" applyFill="1" applyBorder="1" applyAlignment="1">
      <alignment horizontal="center"/>
    </xf>
    <xf numFmtId="0" fontId="24" fillId="3" borderId="0" xfId="0" applyFont="1" applyFill="1" applyAlignment="1">
      <alignment horizontal="center"/>
    </xf>
    <xf numFmtId="173" fontId="24" fillId="3" borderId="0" xfId="0" applyNumberFormat="1" applyFont="1" applyFill="1" applyAlignment="1">
      <alignment horizontal="center"/>
    </xf>
    <xf numFmtId="168" fontId="24" fillId="3" borderId="0" xfId="0" applyNumberFormat="1" applyFont="1" applyFill="1" applyAlignment="1">
      <alignment horizontal="center"/>
    </xf>
    <xf numFmtId="165" fontId="24" fillId="3" borderId="0" xfId="1" applyNumberFormat="1" applyFont="1" applyFill="1" applyAlignment="1">
      <alignment horizontal="center"/>
    </xf>
    <xf numFmtId="9" fontId="24" fillId="3" borderId="0" xfId="1" applyNumberFormat="1" applyFont="1" applyFill="1" applyAlignment="1">
      <alignment horizontal="center"/>
    </xf>
    <xf numFmtId="2" fontId="24" fillId="3" borderId="0" xfId="0" applyNumberFormat="1" applyFont="1" applyFill="1" applyAlignment="1">
      <alignment horizontal="center"/>
    </xf>
    <xf numFmtId="0" fontId="21" fillId="2" borderId="0" xfId="0" applyFont="1" applyFill="1"/>
    <xf numFmtId="2" fontId="21" fillId="2" borderId="0" xfId="0" applyNumberFormat="1" applyFont="1" applyFill="1" applyAlignment="1">
      <alignment horizontal="center"/>
    </xf>
    <xf numFmtId="0" fontId="21" fillId="2" borderId="0" xfId="0" applyFont="1" applyFill="1" applyAlignment="1">
      <alignment horizontal="center"/>
    </xf>
    <xf numFmtId="3" fontId="21" fillId="2" borderId="0" xfId="0" applyNumberFormat="1" applyFont="1" applyFill="1" applyAlignment="1">
      <alignment horizontal="center"/>
    </xf>
    <xf numFmtId="1" fontId="21" fillId="2" borderId="0" xfId="0" applyNumberFormat="1" applyFont="1" applyFill="1"/>
    <xf numFmtId="173" fontId="21" fillId="2" borderId="0" xfId="0" applyNumberFormat="1" applyFont="1" applyFill="1" applyAlignment="1">
      <alignment horizontal="center"/>
    </xf>
    <xf numFmtId="168" fontId="21" fillId="2" borderId="0" xfId="0" applyNumberFormat="1" applyFont="1" applyFill="1" applyAlignment="1">
      <alignment horizontal="center"/>
    </xf>
    <xf numFmtId="165" fontId="21" fillId="2" borderId="0" xfId="1" applyNumberFormat="1" applyFont="1" applyFill="1" applyAlignment="1">
      <alignment horizontal="center"/>
    </xf>
    <xf numFmtId="9" fontId="21" fillId="2" borderId="0" xfId="1" applyNumberFormat="1" applyFont="1" applyFill="1" applyAlignment="1">
      <alignment horizontal="center"/>
    </xf>
    <xf numFmtId="10" fontId="3" fillId="3" borderId="0" xfId="1" applyNumberFormat="1" applyFont="1" applyFill="1" applyAlignment="1">
      <alignment horizontal="center"/>
    </xf>
    <xf numFmtId="10" fontId="22" fillId="3" borderId="0" xfId="1" applyNumberFormat="1" applyFont="1" applyFill="1" applyAlignment="1">
      <alignment horizontal="center"/>
    </xf>
    <xf numFmtId="10" fontId="22" fillId="3" borderId="5" xfId="1" applyNumberFormat="1" applyFont="1" applyFill="1" applyBorder="1" applyAlignment="1">
      <alignment horizontal="center"/>
    </xf>
    <xf numFmtId="10" fontId="24" fillId="3" borderId="0" xfId="1" applyNumberFormat="1" applyFont="1" applyFill="1" applyAlignment="1">
      <alignment horizontal="center"/>
    </xf>
    <xf numFmtId="10" fontId="21" fillId="2" borderId="0" xfId="1" applyNumberFormat="1" applyFont="1" applyFill="1" applyAlignment="1">
      <alignment horizontal="center"/>
    </xf>
    <xf numFmtId="14" fontId="6" fillId="3" borderId="0" xfId="31" applyNumberFormat="1" applyFont="1" applyFill="1" applyBorder="1" applyAlignment="1" applyProtection="1">
      <alignment horizontal="left"/>
    </xf>
    <xf numFmtId="0" fontId="0" fillId="3" borderId="0" xfId="0" quotePrefix="1" applyFill="1" applyAlignment="1">
      <alignment horizontal="center"/>
    </xf>
    <xf numFmtId="174" fontId="0" fillId="3" borderId="0" xfId="0" applyNumberFormat="1" applyFill="1" applyAlignment="1">
      <alignment horizontal="center"/>
    </xf>
    <xf numFmtId="10" fontId="0" fillId="3" borderId="0" xfId="0" applyNumberFormat="1" applyFill="1"/>
    <xf numFmtId="10" fontId="0" fillId="3" borderId="0" xfId="0" applyNumberFormat="1" applyFill="1" applyAlignment="1">
      <alignment horizontal="center"/>
    </xf>
    <xf numFmtId="10" fontId="3" fillId="3" borderId="0" xfId="1" applyNumberFormat="1" applyFont="1" applyFill="1"/>
    <xf numFmtId="175" fontId="0" fillId="3" borderId="0" xfId="0" applyNumberFormat="1" applyFill="1"/>
    <xf numFmtId="174" fontId="0" fillId="3" borderId="0" xfId="0" applyNumberFormat="1" applyFill="1"/>
    <xf numFmtId="165" fontId="1" fillId="3" borderId="0" xfId="1" applyNumberFormat="1" applyFont="1" applyFill="1" applyAlignment="1">
      <alignment horizontal="center"/>
    </xf>
    <xf numFmtId="9" fontId="0" fillId="3" borderId="0" xfId="1" applyNumberFormat="1" applyFont="1" applyFill="1" applyAlignment="1">
      <alignment horizontal="center"/>
    </xf>
    <xf numFmtId="9" fontId="0" fillId="17" borderId="0" xfId="1" applyNumberFormat="1" applyFont="1" applyFill="1" applyAlignment="1">
      <alignment horizontal="center"/>
    </xf>
    <xf numFmtId="0" fontId="26" fillId="3" borderId="0" xfId="0" applyFont="1" applyFill="1"/>
    <xf numFmtId="0" fontId="27" fillId="3" borderId="0" xfId="0" applyFont="1" applyFill="1"/>
    <xf numFmtId="164" fontId="27" fillId="3" borderId="0" xfId="0" applyNumberFormat="1" applyFont="1" applyFill="1"/>
    <xf numFmtId="3" fontId="0" fillId="3" borderId="0" xfId="1" applyNumberFormat="1" applyFont="1" applyFill="1" applyAlignment="1">
      <alignment horizontal="center"/>
    </xf>
    <xf numFmtId="3" fontId="0" fillId="17" borderId="0" xfId="1" applyNumberFormat="1" applyFont="1" applyFill="1" applyAlignment="1">
      <alignment horizontal="center"/>
    </xf>
    <xf numFmtId="1" fontId="0" fillId="3" borderId="0" xfId="0" applyNumberFormat="1" applyFill="1" applyAlignment="1">
      <alignment horizontal="center"/>
    </xf>
    <xf numFmtId="3" fontId="1" fillId="3" borderId="0" xfId="0" applyNumberFormat="1" applyFont="1" applyFill="1" applyAlignment="1">
      <alignment horizontal="center"/>
    </xf>
    <xf numFmtId="168" fontId="0" fillId="3" borderId="0" xfId="0" applyNumberFormat="1" applyFill="1"/>
    <xf numFmtId="165" fontId="0" fillId="3" borderId="0" xfId="0" applyNumberFormat="1" applyFont="1" applyFill="1"/>
    <xf numFmtId="0" fontId="23" fillId="20" borderId="0" xfId="0" applyFont="1" applyFill="1" applyAlignment="1">
      <alignment horizontal="left"/>
    </xf>
    <xf numFmtId="0" fontId="25" fillId="20" borderId="0" xfId="0" applyFont="1" applyFill="1" applyAlignment="1">
      <alignment horizontal="left"/>
    </xf>
    <xf numFmtId="0" fontId="24" fillId="20" borderId="0" xfId="0" applyFont="1" applyFill="1" applyAlignment="1">
      <alignment horizontal="center" vertical="center"/>
    </xf>
    <xf numFmtId="0" fontId="22" fillId="3" borderId="5" xfId="0" applyFont="1" applyFill="1" applyBorder="1" applyAlignment="1">
      <alignment horizontal="left"/>
    </xf>
    <xf numFmtId="0" fontId="24" fillId="3" borderId="0" xfId="0" applyFont="1" applyFill="1" applyAlignment="1">
      <alignment horizontal="left"/>
    </xf>
    <xf numFmtId="0" fontId="24" fillId="20" borderId="0" xfId="0" applyFont="1" applyFill="1" applyAlignment="1">
      <alignment horizontal="center"/>
    </xf>
    <xf numFmtId="0" fontId="0" fillId="3" borderId="0" xfId="0" applyFill="1" applyAlignment="1">
      <alignment horizontal="center"/>
    </xf>
    <xf numFmtId="0" fontId="28" fillId="2" borderId="0" xfId="0" applyFont="1" applyFill="1" applyAlignment="1">
      <alignment horizontal="center"/>
    </xf>
    <xf numFmtId="0" fontId="28" fillId="2" borderId="0" xfId="0" applyFont="1" applyFill="1" applyAlignment="1">
      <alignment horizontal="center" vertical="center" wrapText="1"/>
    </xf>
    <xf numFmtId="0" fontId="0" fillId="2" borderId="0" xfId="0" applyFill="1" applyAlignment="1">
      <alignment horizontal="left"/>
    </xf>
    <xf numFmtId="0" fontId="1" fillId="2" borderId="0" xfId="0" applyFont="1" applyFill="1" applyAlignment="1">
      <alignment horizontal="center"/>
    </xf>
    <xf numFmtId="0" fontId="0" fillId="3" borderId="0" xfId="0" applyFill="1" applyAlignment="1">
      <alignment horizontal="right"/>
    </xf>
    <xf numFmtId="0" fontId="0" fillId="3" borderId="0" xfId="0" applyFill="1" applyAlignment="1">
      <alignment horizontal="left"/>
    </xf>
  </cellXfs>
  <cellStyles count="32">
    <cellStyle name="20% - Accent1 2" xfId="7" xr:uid="{E2421D4D-690C-4372-AB67-82BA0BFED356}"/>
    <cellStyle name="20% - Accent2 2" xfId="8" xr:uid="{55C74C8B-7007-422F-B472-E4814A032B89}"/>
    <cellStyle name="20% - Accent3 2" xfId="9" xr:uid="{AA311D78-CA0E-4AEE-B6CA-F16DF846A736}"/>
    <cellStyle name="20% - Accent4 2" xfId="10" xr:uid="{ABE87091-E4EB-4509-AF2E-17B17F42F86B}"/>
    <cellStyle name="20% - Accent5 2" xfId="11" xr:uid="{56DAE1C0-4A0F-48FD-BC43-56ED52195823}"/>
    <cellStyle name="20% - Accent6 2" xfId="12" xr:uid="{97E6AEBE-75AB-4BF4-8E78-168F8ABDEF41}"/>
    <cellStyle name="40% - Accent1 2" xfId="13" xr:uid="{D2B579AE-71AF-4C84-A330-10CBEFAE7BC1}"/>
    <cellStyle name="40% - Accent2 2" xfId="14" xr:uid="{76E853D4-0BEC-44CA-94C3-5667F87F3434}"/>
    <cellStyle name="40% - Accent3 2" xfId="15" xr:uid="{2FEB1EE1-1552-48A6-AB81-AC06DC924FC8}"/>
    <cellStyle name="40% - Accent4 2" xfId="16" xr:uid="{67D0DE8A-1B5E-4A2A-8DE1-73234BF2A3A4}"/>
    <cellStyle name="40% - Accent5 2" xfId="17" xr:uid="{E62EFB5F-2B13-43CC-B893-6A6FA58FC021}"/>
    <cellStyle name="40% - Accent6 2" xfId="18" xr:uid="{17A8A2F8-20BC-4664-BE46-0549F2650DDF}"/>
    <cellStyle name="blp_datetime" xfId="31" xr:uid="{EDC48200-F320-4DE2-9471-384F6D3F8C8A}"/>
    <cellStyle name="Comma 2" xfId="3" xr:uid="{14AAB5D7-6F87-43BC-B985-8EB5B22A714E}"/>
    <cellStyle name="Heading 1 2" xfId="4" xr:uid="{4F1D7477-0D43-46C5-9DBD-8EE8766A2C1F}"/>
    <cellStyle name="Heading 2 2" xfId="5" xr:uid="{06FFC1D4-A8CF-4625-94BC-585110C51A00}"/>
    <cellStyle name="Normal" xfId="0" builtinId="0"/>
    <cellStyle name="Normal 16" xfId="19" xr:uid="{16586E25-9542-41EF-9D70-5299C84FD590}"/>
    <cellStyle name="Normal 16 2" xfId="27" xr:uid="{F692C8B6-D671-4133-903D-6FE8DC84FD6B}"/>
    <cellStyle name="Normal 2" xfId="2" xr:uid="{2066CDCC-9E2E-4EE5-9932-1B42E0CFD01B}"/>
    <cellStyle name="Normal 2 2" xfId="6" xr:uid="{FADC3AD1-6877-41FB-B9CE-20030200F8B1}"/>
    <cellStyle name="Normal 3" xfId="20" xr:uid="{7246DDEC-DE39-4174-BB55-C11184A73141}"/>
    <cellStyle name="Normal 4" xfId="21" xr:uid="{04B3AEC1-87F6-4922-9587-283DB52E0986}"/>
    <cellStyle name="Normal 4 2" xfId="28" xr:uid="{61F1461F-AB9A-4BDF-90A0-9235370EF3FA}"/>
    <cellStyle name="Normal 5" xfId="22" xr:uid="{B7662884-E5D8-4575-8ADC-5876DA256C18}"/>
    <cellStyle name="Normal 5 2" xfId="29" xr:uid="{68C8B16E-4096-4E91-AF63-F884C6935321}"/>
    <cellStyle name="Normal 6" xfId="23" xr:uid="{21074CE3-CA82-4E96-89C6-57B9192DFB0D}"/>
    <cellStyle name="Normal 6 2" xfId="30" xr:uid="{D8D06A95-93C0-4C57-9BF8-6E5077BBE95A}"/>
    <cellStyle name="Normal 7" xfId="26" xr:uid="{D8190583-CDA1-4226-98C3-40F8BFF398B4}"/>
    <cellStyle name="Note 2" xfId="24" xr:uid="{2A2EB813-5D79-425F-B53B-F382F91F8DF0}"/>
    <cellStyle name="Note 3" xfId="25" xr:uid="{B8CCD7D0-A5D6-4053-8757-98F3909830F3}"/>
    <cellStyle name="Percent" xfId="1" builtinId="5"/>
  </cellStyles>
  <dxfs count="0"/>
  <tableStyles count="0" defaultTableStyle="TableStyleMedium2" defaultPivotStyle="PivotStyleLight16"/>
  <colors>
    <mruColors>
      <color rgb="FFF3FFF3"/>
      <color rgb="FFE7FF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inflation!$G$4</c:f>
              <c:strCache>
                <c:ptCount val="1"/>
                <c:pt idx="0">
                  <c:v>RPI</c:v>
                </c:pt>
              </c:strCache>
            </c:strRef>
          </c:tx>
          <c:spPr>
            <a:ln w="19050" cap="rnd">
              <a:solidFill>
                <a:schemeClr val="tx2"/>
              </a:solidFill>
              <a:round/>
            </a:ln>
            <a:effectLst/>
          </c:spPr>
          <c:marker>
            <c:symbol val="none"/>
          </c:marker>
          <c:cat>
            <c:numRef>
              <c:f>inflation!$F$5:$F$244</c:f>
              <c:numCache>
                <c:formatCode>m/d/yyyy</c:formatCode>
                <c:ptCount val="240"/>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pt idx="14">
                  <c:v>43890</c:v>
                </c:pt>
                <c:pt idx="15">
                  <c:v>43861</c:v>
                </c:pt>
                <c:pt idx="16">
                  <c:v>43830</c:v>
                </c:pt>
                <c:pt idx="17">
                  <c:v>43799</c:v>
                </c:pt>
                <c:pt idx="18">
                  <c:v>43769</c:v>
                </c:pt>
                <c:pt idx="19">
                  <c:v>43738</c:v>
                </c:pt>
                <c:pt idx="20">
                  <c:v>43708</c:v>
                </c:pt>
                <c:pt idx="21">
                  <c:v>43677</c:v>
                </c:pt>
                <c:pt idx="22">
                  <c:v>43646</c:v>
                </c:pt>
                <c:pt idx="23">
                  <c:v>43616</c:v>
                </c:pt>
                <c:pt idx="24">
                  <c:v>43585</c:v>
                </c:pt>
                <c:pt idx="25">
                  <c:v>43555</c:v>
                </c:pt>
                <c:pt idx="26">
                  <c:v>43524</c:v>
                </c:pt>
                <c:pt idx="27">
                  <c:v>43496</c:v>
                </c:pt>
                <c:pt idx="28">
                  <c:v>43465</c:v>
                </c:pt>
                <c:pt idx="29">
                  <c:v>43434</c:v>
                </c:pt>
                <c:pt idx="30">
                  <c:v>43404</c:v>
                </c:pt>
                <c:pt idx="31">
                  <c:v>43373</c:v>
                </c:pt>
                <c:pt idx="32">
                  <c:v>43343</c:v>
                </c:pt>
                <c:pt idx="33">
                  <c:v>43312</c:v>
                </c:pt>
                <c:pt idx="34">
                  <c:v>43281</c:v>
                </c:pt>
                <c:pt idx="35">
                  <c:v>43251</c:v>
                </c:pt>
                <c:pt idx="36">
                  <c:v>43220</c:v>
                </c:pt>
                <c:pt idx="37">
                  <c:v>43190</c:v>
                </c:pt>
                <c:pt idx="38">
                  <c:v>43159</c:v>
                </c:pt>
                <c:pt idx="39">
                  <c:v>43131</c:v>
                </c:pt>
                <c:pt idx="40">
                  <c:v>43100</c:v>
                </c:pt>
                <c:pt idx="41">
                  <c:v>43069</c:v>
                </c:pt>
                <c:pt idx="42">
                  <c:v>43039</c:v>
                </c:pt>
                <c:pt idx="43">
                  <c:v>43008</c:v>
                </c:pt>
                <c:pt idx="44">
                  <c:v>42978</c:v>
                </c:pt>
                <c:pt idx="45">
                  <c:v>42947</c:v>
                </c:pt>
                <c:pt idx="46">
                  <c:v>42916</c:v>
                </c:pt>
                <c:pt idx="47">
                  <c:v>42886</c:v>
                </c:pt>
                <c:pt idx="48">
                  <c:v>42855</c:v>
                </c:pt>
                <c:pt idx="49">
                  <c:v>42825</c:v>
                </c:pt>
                <c:pt idx="50">
                  <c:v>42794</c:v>
                </c:pt>
                <c:pt idx="51">
                  <c:v>42766</c:v>
                </c:pt>
                <c:pt idx="52">
                  <c:v>42735</c:v>
                </c:pt>
                <c:pt idx="53">
                  <c:v>42704</c:v>
                </c:pt>
                <c:pt idx="54">
                  <c:v>42674</c:v>
                </c:pt>
                <c:pt idx="55">
                  <c:v>42643</c:v>
                </c:pt>
                <c:pt idx="56">
                  <c:v>42613</c:v>
                </c:pt>
                <c:pt idx="57">
                  <c:v>42582</c:v>
                </c:pt>
                <c:pt idx="58">
                  <c:v>42551</c:v>
                </c:pt>
                <c:pt idx="59">
                  <c:v>42521</c:v>
                </c:pt>
                <c:pt idx="60">
                  <c:v>42490</c:v>
                </c:pt>
                <c:pt idx="61">
                  <c:v>42460</c:v>
                </c:pt>
                <c:pt idx="62">
                  <c:v>42429</c:v>
                </c:pt>
                <c:pt idx="63">
                  <c:v>42400</c:v>
                </c:pt>
                <c:pt idx="64">
                  <c:v>42369</c:v>
                </c:pt>
                <c:pt idx="65">
                  <c:v>42338</c:v>
                </c:pt>
                <c:pt idx="66">
                  <c:v>42308</c:v>
                </c:pt>
                <c:pt idx="67">
                  <c:v>42277</c:v>
                </c:pt>
                <c:pt idx="68">
                  <c:v>42247</c:v>
                </c:pt>
                <c:pt idx="69">
                  <c:v>42216</c:v>
                </c:pt>
                <c:pt idx="70">
                  <c:v>42185</c:v>
                </c:pt>
                <c:pt idx="71">
                  <c:v>42155</c:v>
                </c:pt>
                <c:pt idx="72">
                  <c:v>42124</c:v>
                </c:pt>
                <c:pt idx="73">
                  <c:v>42094</c:v>
                </c:pt>
                <c:pt idx="74">
                  <c:v>42063</c:v>
                </c:pt>
                <c:pt idx="75">
                  <c:v>42035</c:v>
                </c:pt>
                <c:pt idx="76">
                  <c:v>42004</c:v>
                </c:pt>
                <c:pt idx="77">
                  <c:v>41973</c:v>
                </c:pt>
                <c:pt idx="78">
                  <c:v>41943</c:v>
                </c:pt>
                <c:pt idx="79">
                  <c:v>41912</c:v>
                </c:pt>
                <c:pt idx="80">
                  <c:v>41882</c:v>
                </c:pt>
                <c:pt idx="81">
                  <c:v>41851</c:v>
                </c:pt>
                <c:pt idx="82">
                  <c:v>41820</c:v>
                </c:pt>
                <c:pt idx="83">
                  <c:v>41790</c:v>
                </c:pt>
                <c:pt idx="84">
                  <c:v>41759</c:v>
                </c:pt>
                <c:pt idx="85">
                  <c:v>41729</c:v>
                </c:pt>
                <c:pt idx="86">
                  <c:v>41698</c:v>
                </c:pt>
                <c:pt idx="87">
                  <c:v>41670</c:v>
                </c:pt>
                <c:pt idx="88">
                  <c:v>41639</c:v>
                </c:pt>
                <c:pt idx="89">
                  <c:v>41608</c:v>
                </c:pt>
                <c:pt idx="90">
                  <c:v>41578</c:v>
                </c:pt>
                <c:pt idx="91">
                  <c:v>41547</c:v>
                </c:pt>
                <c:pt idx="92">
                  <c:v>41517</c:v>
                </c:pt>
                <c:pt idx="93">
                  <c:v>41486</c:v>
                </c:pt>
                <c:pt idx="94">
                  <c:v>41455</c:v>
                </c:pt>
                <c:pt idx="95">
                  <c:v>41425</c:v>
                </c:pt>
                <c:pt idx="96">
                  <c:v>41394</c:v>
                </c:pt>
                <c:pt idx="97">
                  <c:v>41364</c:v>
                </c:pt>
                <c:pt idx="98">
                  <c:v>41333</c:v>
                </c:pt>
                <c:pt idx="99">
                  <c:v>41305</c:v>
                </c:pt>
                <c:pt idx="100">
                  <c:v>41274</c:v>
                </c:pt>
                <c:pt idx="101">
                  <c:v>41243</c:v>
                </c:pt>
                <c:pt idx="102">
                  <c:v>41213</c:v>
                </c:pt>
                <c:pt idx="103">
                  <c:v>41182</c:v>
                </c:pt>
                <c:pt idx="104">
                  <c:v>41152</c:v>
                </c:pt>
                <c:pt idx="105">
                  <c:v>41121</c:v>
                </c:pt>
                <c:pt idx="106">
                  <c:v>41090</c:v>
                </c:pt>
                <c:pt idx="107">
                  <c:v>41060</c:v>
                </c:pt>
                <c:pt idx="108">
                  <c:v>41029</c:v>
                </c:pt>
                <c:pt idx="109">
                  <c:v>40999</c:v>
                </c:pt>
                <c:pt idx="110">
                  <c:v>40968</c:v>
                </c:pt>
                <c:pt idx="111">
                  <c:v>40939</c:v>
                </c:pt>
                <c:pt idx="112">
                  <c:v>40908</c:v>
                </c:pt>
                <c:pt idx="113">
                  <c:v>40877</c:v>
                </c:pt>
                <c:pt idx="114">
                  <c:v>40847</c:v>
                </c:pt>
                <c:pt idx="115">
                  <c:v>40816</c:v>
                </c:pt>
                <c:pt idx="116">
                  <c:v>40786</c:v>
                </c:pt>
                <c:pt idx="117">
                  <c:v>40755</c:v>
                </c:pt>
                <c:pt idx="118">
                  <c:v>40724</c:v>
                </c:pt>
                <c:pt idx="119">
                  <c:v>40694</c:v>
                </c:pt>
                <c:pt idx="120">
                  <c:v>40663</c:v>
                </c:pt>
                <c:pt idx="121">
                  <c:v>40633</c:v>
                </c:pt>
                <c:pt idx="122">
                  <c:v>40602</c:v>
                </c:pt>
                <c:pt idx="123">
                  <c:v>40574</c:v>
                </c:pt>
                <c:pt idx="124">
                  <c:v>40543</c:v>
                </c:pt>
                <c:pt idx="125">
                  <c:v>40512</c:v>
                </c:pt>
                <c:pt idx="126">
                  <c:v>40482</c:v>
                </c:pt>
                <c:pt idx="127">
                  <c:v>40451</c:v>
                </c:pt>
                <c:pt idx="128">
                  <c:v>40421</c:v>
                </c:pt>
                <c:pt idx="129">
                  <c:v>40390</c:v>
                </c:pt>
                <c:pt idx="130">
                  <c:v>40359</c:v>
                </c:pt>
                <c:pt idx="131">
                  <c:v>40329</c:v>
                </c:pt>
                <c:pt idx="132">
                  <c:v>40298</c:v>
                </c:pt>
                <c:pt idx="133">
                  <c:v>40268</c:v>
                </c:pt>
                <c:pt idx="134">
                  <c:v>40237</c:v>
                </c:pt>
                <c:pt idx="135">
                  <c:v>40209</c:v>
                </c:pt>
                <c:pt idx="136">
                  <c:v>40178</c:v>
                </c:pt>
                <c:pt idx="137">
                  <c:v>40147</c:v>
                </c:pt>
                <c:pt idx="138">
                  <c:v>40117</c:v>
                </c:pt>
                <c:pt idx="139">
                  <c:v>40086</c:v>
                </c:pt>
                <c:pt idx="140">
                  <c:v>40056</c:v>
                </c:pt>
                <c:pt idx="141">
                  <c:v>40025</c:v>
                </c:pt>
                <c:pt idx="142">
                  <c:v>39994</c:v>
                </c:pt>
                <c:pt idx="143">
                  <c:v>39964</c:v>
                </c:pt>
                <c:pt idx="144">
                  <c:v>39933</c:v>
                </c:pt>
                <c:pt idx="145">
                  <c:v>39903</c:v>
                </c:pt>
                <c:pt idx="146">
                  <c:v>39872</c:v>
                </c:pt>
                <c:pt idx="147">
                  <c:v>39844</c:v>
                </c:pt>
                <c:pt idx="148">
                  <c:v>39813</c:v>
                </c:pt>
                <c:pt idx="149">
                  <c:v>39782</c:v>
                </c:pt>
                <c:pt idx="150">
                  <c:v>39752</c:v>
                </c:pt>
                <c:pt idx="151">
                  <c:v>39721</c:v>
                </c:pt>
                <c:pt idx="152">
                  <c:v>39691</c:v>
                </c:pt>
                <c:pt idx="153">
                  <c:v>39660</c:v>
                </c:pt>
                <c:pt idx="154">
                  <c:v>39629</c:v>
                </c:pt>
                <c:pt idx="155">
                  <c:v>39599</c:v>
                </c:pt>
                <c:pt idx="156">
                  <c:v>39568</c:v>
                </c:pt>
                <c:pt idx="157">
                  <c:v>39538</c:v>
                </c:pt>
                <c:pt idx="158">
                  <c:v>39507</c:v>
                </c:pt>
                <c:pt idx="159">
                  <c:v>39478</c:v>
                </c:pt>
                <c:pt idx="160">
                  <c:v>39447</c:v>
                </c:pt>
                <c:pt idx="161">
                  <c:v>39416</c:v>
                </c:pt>
                <c:pt idx="162">
                  <c:v>39386</c:v>
                </c:pt>
                <c:pt idx="163">
                  <c:v>39355</c:v>
                </c:pt>
                <c:pt idx="164">
                  <c:v>39325</c:v>
                </c:pt>
                <c:pt idx="165">
                  <c:v>39294</c:v>
                </c:pt>
                <c:pt idx="166">
                  <c:v>39263</c:v>
                </c:pt>
                <c:pt idx="167">
                  <c:v>39233</c:v>
                </c:pt>
                <c:pt idx="168">
                  <c:v>39202</c:v>
                </c:pt>
                <c:pt idx="169">
                  <c:v>39172</c:v>
                </c:pt>
                <c:pt idx="170">
                  <c:v>39141</c:v>
                </c:pt>
                <c:pt idx="171">
                  <c:v>39113</c:v>
                </c:pt>
                <c:pt idx="172">
                  <c:v>39082</c:v>
                </c:pt>
                <c:pt idx="173">
                  <c:v>39051</c:v>
                </c:pt>
                <c:pt idx="174">
                  <c:v>39021</c:v>
                </c:pt>
                <c:pt idx="175">
                  <c:v>38990</c:v>
                </c:pt>
                <c:pt idx="176">
                  <c:v>38960</c:v>
                </c:pt>
                <c:pt idx="177">
                  <c:v>38929</c:v>
                </c:pt>
                <c:pt idx="178">
                  <c:v>38898</c:v>
                </c:pt>
                <c:pt idx="179">
                  <c:v>38868</c:v>
                </c:pt>
                <c:pt idx="180">
                  <c:v>38837</c:v>
                </c:pt>
                <c:pt idx="181">
                  <c:v>38807</c:v>
                </c:pt>
                <c:pt idx="182">
                  <c:v>38776</c:v>
                </c:pt>
                <c:pt idx="183">
                  <c:v>38748</c:v>
                </c:pt>
                <c:pt idx="184">
                  <c:v>38717</c:v>
                </c:pt>
                <c:pt idx="185">
                  <c:v>38686</c:v>
                </c:pt>
                <c:pt idx="186">
                  <c:v>38656</c:v>
                </c:pt>
                <c:pt idx="187">
                  <c:v>38625</c:v>
                </c:pt>
                <c:pt idx="188">
                  <c:v>38595</c:v>
                </c:pt>
                <c:pt idx="189">
                  <c:v>38564</c:v>
                </c:pt>
                <c:pt idx="190">
                  <c:v>38533</c:v>
                </c:pt>
                <c:pt idx="191">
                  <c:v>38503</c:v>
                </c:pt>
                <c:pt idx="192">
                  <c:v>38472</c:v>
                </c:pt>
                <c:pt idx="193">
                  <c:v>38442</c:v>
                </c:pt>
                <c:pt idx="194">
                  <c:v>38411</c:v>
                </c:pt>
                <c:pt idx="195">
                  <c:v>38383</c:v>
                </c:pt>
                <c:pt idx="196">
                  <c:v>38352</c:v>
                </c:pt>
                <c:pt idx="197">
                  <c:v>38321</c:v>
                </c:pt>
                <c:pt idx="198">
                  <c:v>38291</c:v>
                </c:pt>
                <c:pt idx="199">
                  <c:v>38260</c:v>
                </c:pt>
                <c:pt idx="200">
                  <c:v>38230</c:v>
                </c:pt>
                <c:pt idx="201">
                  <c:v>38199</c:v>
                </c:pt>
                <c:pt idx="202">
                  <c:v>38168</c:v>
                </c:pt>
                <c:pt idx="203">
                  <c:v>38138</c:v>
                </c:pt>
                <c:pt idx="204">
                  <c:v>38107</c:v>
                </c:pt>
                <c:pt idx="205">
                  <c:v>38077</c:v>
                </c:pt>
                <c:pt idx="206">
                  <c:v>38046</c:v>
                </c:pt>
                <c:pt idx="207">
                  <c:v>38017</c:v>
                </c:pt>
                <c:pt idx="208">
                  <c:v>37986</c:v>
                </c:pt>
                <c:pt idx="209">
                  <c:v>37955</c:v>
                </c:pt>
                <c:pt idx="210">
                  <c:v>37925</c:v>
                </c:pt>
                <c:pt idx="211">
                  <c:v>37894</c:v>
                </c:pt>
                <c:pt idx="212">
                  <c:v>37864</c:v>
                </c:pt>
                <c:pt idx="213">
                  <c:v>37833</c:v>
                </c:pt>
                <c:pt idx="214">
                  <c:v>37802</c:v>
                </c:pt>
                <c:pt idx="215">
                  <c:v>37772</c:v>
                </c:pt>
                <c:pt idx="216">
                  <c:v>37741</c:v>
                </c:pt>
                <c:pt idx="217">
                  <c:v>37711</c:v>
                </c:pt>
                <c:pt idx="218">
                  <c:v>37680</c:v>
                </c:pt>
                <c:pt idx="219">
                  <c:v>37652</c:v>
                </c:pt>
                <c:pt idx="220">
                  <c:v>37621</c:v>
                </c:pt>
                <c:pt idx="221">
                  <c:v>37590</c:v>
                </c:pt>
                <c:pt idx="222">
                  <c:v>37560</c:v>
                </c:pt>
                <c:pt idx="223">
                  <c:v>37529</c:v>
                </c:pt>
                <c:pt idx="224">
                  <c:v>37499</c:v>
                </c:pt>
                <c:pt idx="225">
                  <c:v>37468</c:v>
                </c:pt>
                <c:pt idx="226">
                  <c:v>37437</c:v>
                </c:pt>
                <c:pt idx="227">
                  <c:v>37407</c:v>
                </c:pt>
                <c:pt idx="228">
                  <c:v>37376</c:v>
                </c:pt>
                <c:pt idx="229">
                  <c:v>37346</c:v>
                </c:pt>
                <c:pt idx="230">
                  <c:v>37315</c:v>
                </c:pt>
                <c:pt idx="231">
                  <c:v>37287</c:v>
                </c:pt>
                <c:pt idx="232">
                  <c:v>37256</c:v>
                </c:pt>
                <c:pt idx="233">
                  <c:v>37225</c:v>
                </c:pt>
                <c:pt idx="234">
                  <c:v>37195</c:v>
                </c:pt>
                <c:pt idx="235">
                  <c:v>37164</c:v>
                </c:pt>
                <c:pt idx="236">
                  <c:v>37134</c:v>
                </c:pt>
                <c:pt idx="237">
                  <c:v>37103</c:v>
                </c:pt>
                <c:pt idx="238">
                  <c:v>37072</c:v>
                </c:pt>
                <c:pt idx="239">
                  <c:v>37042</c:v>
                </c:pt>
              </c:numCache>
            </c:numRef>
          </c:cat>
          <c:val>
            <c:numRef>
              <c:f>inflation!$G$5:$G$244</c:f>
              <c:numCache>
                <c:formatCode>0.0%</c:formatCode>
                <c:ptCount val="240"/>
                <c:pt idx="0">
                  <c:v>2.8999999999999998E-2</c:v>
                </c:pt>
                <c:pt idx="1">
                  <c:v>1.4999999999999999E-2</c:v>
                </c:pt>
                <c:pt idx="2">
                  <c:v>1.3999999999999999E-2</c:v>
                </c:pt>
                <c:pt idx="3">
                  <c:v>1.3999999999999999E-2</c:v>
                </c:pt>
                <c:pt idx="4">
                  <c:v>1.2E-2</c:v>
                </c:pt>
                <c:pt idx="5">
                  <c:v>9.0000000000000011E-3</c:v>
                </c:pt>
                <c:pt idx="6">
                  <c:v>1.3000000000000001E-2</c:v>
                </c:pt>
                <c:pt idx="7">
                  <c:v>1.1000000000000001E-2</c:v>
                </c:pt>
                <c:pt idx="8">
                  <c:v>5.0000000000000001E-3</c:v>
                </c:pt>
                <c:pt idx="9">
                  <c:v>1.6E-2</c:v>
                </c:pt>
                <c:pt idx="10">
                  <c:v>1.1000000000000001E-2</c:v>
                </c:pt>
                <c:pt idx="11">
                  <c:v>0.01</c:v>
                </c:pt>
                <c:pt idx="12">
                  <c:v>1.4999999999999999E-2</c:v>
                </c:pt>
                <c:pt idx="13">
                  <c:v>2.6000000000000002E-2</c:v>
                </c:pt>
                <c:pt idx="14">
                  <c:v>2.5000000000000001E-2</c:v>
                </c:pt>
                <c:pt idx="15">
                  <c:v>2.7000000000000003E-2</c:v>
                </c:pt>
                <c:pt idx="16">
                  <c:v>2.2000000000000002E-2</c:v>
                </c:pt>
                <c:pt idx="17">
                  <c:v>2.2000000000000002E-2</c:v>
                </c:pt>
                <c:pt idx="18">
                  <c:v>2.1000000000000001E-2</c:v>
                </c:pt>
                <c:pt idx="19">
                  <c:v>2.4E-2</c:v>
                </c:pt>
                <c:pt idx="20">
                  <c:v>2.6000000000000002E-2</c:v>
                </c:pt>
                <c:pt idx="21">
                  <c:v>2.7999999999999997E-2</c:v>
                </c:pt>
                <c:pt idx="22">
                  <c:v>2.8999999999999998E-2</c:v>
                </c:pt>
                <c:pt idx="23">
                  <c:v>0.03</c:v>
                </c:pt>
                <c:pt idx="24">
                  <c:v>0.03</c:v>
                </c:pt>
                <c:pt idx="25">
                  <c:v>2.4E-2</c:v>
                </c:pt>
                <c:pt idx="26">
                  <c:v>2.5000000000000001E-2</c:v>
                </c:pt>
                <c:pt idx="27">
                  <c:v>2.5000000000000001E-2</c:v>
                </c:pt>
                <c:pt idx="28">
                  <c:v>2.7000000000000003E-2</c:v>
                </c:pt>
                <c:pt idx="29">
                  <c:v>3.2000000000000001E-2</c:v>
                </c:pt>
                <c:pt idx="30">
                  <c:v>3.3000000000000002E-2</c:v>
                </c:pt>
                <c:pt idx="31">
                  <c:v>3.3000000000000002E-2</c:v>
                </c:pt>
                <c:pt idx="32">
                  <c:v>3.5000000000000003E-2</c:v>
                </c:pt>
                <c:pt idx="33">
                  <c:v>3.2000000000000001E-2</c:v>
                </c:pt>
                <c:pt idx="34">
                  <c:v>3.4000000000000002E-2</c:v>
                </c:pt>
                <c:pt idx="35">
                  <c:v>3.3000000000000002E-2</c:v>
                </c:pt>
                <c:pt idx="36">
                  <c:v>3.4000000000000002E-2</c:v>
                </c:pt>
                <c:pt idx="37">
                  <c:v>3.3000000000000002E-2</c:v>
                </c:pt>
                <c:pt idx="38">
                  <c:v>3.6000000000000004E-2</c:v>
                </c:pt>
                <c:pt idx="39">
                  <c:v>0.04</c:v>
                </c:pt>
                <c:pt idx="40">
                  <c:v>4.0999999999999995E-2</c:v>
                </c:pt>
                <c:pt idx="41">
                  <c:v>3.9E-2</c:v>
                </c:pt>
                <c:pt idx="42">
                  <c:v>0.04</c:v>
                </c:pt>
                <c:pt idx="43">
                  <c:v>3.9E-2</c:v>
                </c:pt>
                <c:pt idx="44">
                  <c:v>3.9E-2</c:v>
                </c:pt>
                <c:pt idx="45">
                  <c:v>3.6000000000000004E-2</c:v>
                </c:pt>
                <c:pt idx="46">
                  <c:v>3.5000000000000003E-2</c:v>
                </c:pt>
                <c:pt idx="47">
                  <c:v>3.7000000000000005E-2</c:v>
                </c:pt>
                <c:pt idx="48">
                  <c:v>3.5000000000000003E-2</c:v>
                </c:pt>
                <c:pt idx="49">
                  <c:v>3.1E-2</c:v>
                </c:pt>
                <c:pt idx="50">
                  <c:v>3.2000000000000001E-2</c:v>
                </c:pt>
                <c:pt idx="51">
                  <c:v>2.6000000000000002E-2</c:v>
                </c:pt>
                <c:pt idx="52">
                  <c:v>2.5000000000000001E-2</c:v>
                </c:pt>
                <c:pt idx="53">
                  <c:v>2.2000000000000002E-2</c:v>
                </c:pt>
                <c:pt idx="54">
                  <c:v>0.02</c:v>
                </c:pt>
                <c:pt idx="55">
                  <c:v>0.02</c:v>
                </c:pt>
                <c:pt idx="56">
                  <c:v>1.8000000000000002E-2</c:v>
                </c:pt>
                <c:pt idx="57">
                  <c:v>1.9E-2</c:v>
                </c:pt>
                <c:pt idx="58">
                  <c:v>1.6E-2</c:v>
                </c:pt>
                <c:pt idx="59">
                  <c:v>1.3999999999999999E-2</c:v>
                </c:pt>
                <c:pt idx="60">
                  <c:v>1.3000000000000001E-2</c:v>
                </c:pt>
                <c:pt idx="61">
                  <c:v>1.6E-2</c:v>
                </c:pt>
                <c:pt idx="62">
                  <c:v>1.3000000000000001E-2</c:v>
                </c:pt>
                <c:pt idx="63">
                  <c:v>1.3000000000000001E-2</c:v>
                </c:pt>
                <c:pt idx="64">
                  <c:v>1.2E-2</c:v>
                </c:pt>
                <c:pt idx="65">
                  <c:v>1.1000000000000001E-2</c:v>
                </c:pt>
                <c:pt idx="66">
                  <c:v>6.9999999999999993E-3</c:v>
                </c:pt>
                <c:pt idx="67">
                  <c:v>8.0000000000000002E-3</c:v>
                </c:pt>
                <c:pt idx="68">
                  <c:v>1.1000000000000001E-2</c:v>
                </c:pt>
                <c:pt idx="69">
                  <c:v>0.01</c:v>
                </c:pt>
                <c:pt idx="70">
                  <c:v>0.01</c:v>
                </c:pt>
                <c:pt idx="71">
                  <c:v>0.01</c:v>
                </c:pt>
                <c:pt idx="72">
                  <c:v>9.0000000000000011E-3</c:v>
                </c:pt>
                <c:pt idx="73">
                  <c:v>9.0000000000000011E-3</c:v>
                </c:pt>
                <c:pt idx="74">
                  <c:v>0.01</c:v>
                </c:pt>
                <c:pt idx="75">
                  <c:v>1.1000000000000001E-2</c:v>
                </c:pt>
                <c:pt idx="76">
                  <c:v>1.6E-2</c:v>
                </c:pt>
                <c:pt idx="77">
                  <c:v>0.02</c:v>
                </c:pt>
                <c:pt idx="78">
                  <c:v>2.3E-2</c:v>
                </c:pt>
                <c:pt idx="79">
                  <c:v>2.3E-2</c:v>
                </c:pt>
                <c:pt idx="80">
                  <c:v>2.4E-2</c:v>
                </c:pt>
                <c:pt idx="81">
                  <c:v>2.5000000000000001E-2</c:v>
                </c:pt>
                <c:pt idx="82">
                  <c:v>2.6000000000000002E-2</c:v>
                </c:pt>
                <c:pt idx="83">
                  <c:v>2.4E-2</c:v>
                </c:pt>
                <c:pt idx="84">
                  <c:v>2.5000000000000001E-2</c:v>
                </c:pt>
                <c:pt idx="85">
                  <c:v>2.5000000000000001E-2</c:v>
                </c:pt>
                <c:pt idx="86">
                  <c:v>2.7000000000000003E-2</c:v>
                </c:pt>
                <c:pt idx="87">
                  <c:v>2.7999999999999997E-2</c:v>
                </c:pt>
                <c:pt idx="88">
                  <c:v>2.7000000000000003E-2</c:v>
                </c:pt>
                <c:pt idx="89">
                  <c:v>2.6000000000000002E-2</c:v>
                </c:pt>
                <c:pt idx="90">
                  <c:v>2.6000000000000002E-2</c:v>
                </c:pt>
                <c:pt idx="91">
                  <c:v>3.2000000000000001E-2</c:v>
                </c:pt>
                <c:pt idx="92">
                  <c:v>3.3000000000000002E-2</c:v>
                </c:pt>
                <c:pt idx="93">
                  <c:v>3.1E-2</c:v>
                </c:pt>
                <c:pt idx="94">
                  <c:v>3.3000000000000002E-2</c:v>
                </c:pt>
                <c:pt idx="95">
                  <c:v>3.1E-2</c:v>
                </c:pt>
                <c:pt idx="96">
                  <c:v>2.8999999999999998E-2</c:v>
                </c:pt>
                <c:pt idx="97">
                  <c:v>3.3000000000000002E-2</c:v>
                </c:pt>
                <c:pt idx="98">
                  <c:v>3.2000000000000001E-2</c:v>
                </c:pt>
                <c:pt idx="99">
                  <c:v>3.3000000000000002E-2</c:v>
                </c:pt>
                <c:pt idx="100">
                  <c:v>3.1E-2</c:v>
                </c:pt>
                <c:pt idx="101">
                  <c:v>0.03</c:v>
                </c:pt>
                <c:pt idx="102">
                  <c:v>3.2000000000000001E-2</c:v>
                </c:pt>
                <c:pt idx="103">
                  <c:v>2.6000000000000002E-2</c:v>
                </c:pt>
                <c:pt idx="104">
                  <c:v>2.8999999999999998E-2</c:v>
                </c:pt>
                <c:pt idx="105">
                  <c:v>3.2000000000000001E-2</c:v>
                </c:pt>
                <c:pt idx="106">
                  <c:v>2.7999999999999997E-2</c:v>
                </c:pt>
                <c:pt idx="107">
                  <c:v>3.1E-2</c:v>
                </c:pt>
                <c:pt idx="108">
                  <c:v>3.5000000000000003E-2</c:v>
                </c:pt>
                <c:pt idx="109">
                  <c:v>3.6000000000000004E-2</c:v>
                </c:pt>
                <c:pt idx="110">
                  <c:v>3.7000000000000005E-2</c:v>
                </c:pt>
                <c:pt idx="111">
                  <c:v>3.9E-2</c:v>
                </c:pt>
                <c:pt idx="112">
                  <c:v>4.8000000000000001E-2</c:v>
                </c:pt>
                <c:pt idx="113">
                  <c:v>5.2000000000000005E-2</c:v>
                </c:pt>
                <c:pt idx="114">
                  <c:v>5.4000000000000006E-2</c:v>
                </c:pt>
                <c:pt idx="115">
                  <c:v>5.5999999999999994E-2</c:v>
                </c:pt>
                <c:pt idx="116">
                  <c:v>5.2000000000000005E-2</c:v>
                </c:pt>
                <c:pt idx="117">
                  <c:v>0.05</c:v>
                </c:pt>
                <c:pt idx="118">
                  <c:v>0.05</c:v>
                </c:pt>
                <c:pt idx="119">
                  <c:v>5.2000000000000005E-2</c:v>
                </c:pt>
                <c:pt idx="120">
                  <c:v>5.2000000000000005E-2</c:v>
                </c:pt>
                <c:pt idx="121">
                  <c:v>5.2999999999999999E-2</c:v>
                </c:pt>
                <c:pt idx="122">
                  <c:v>5.5E-2</c:v>
                </c:pt>
                <c:pt idx="123">
                  <c:v>5.0999999999999997E-2</c:v>
                </c:pt>
                <c:pt idx="124">
                  <c:v>4.8000000000000001E-2</c:v>
                </c:pt>
                <c:pt idx="125">
                  <c:v>4.7E-2</c:v>
                </c:pt>
                <c:pt idx="126">
                  <c:v>4.4999999999999998E-2</c:v>
                </c:pt>
                <c:pt idx="127">
                  <c:v>4.5999999999999999E-2</c:v>
                </c:pt>
                <c:pt idx="128">
                  <c:v>4.7E-2</c:v>
                </c:pt>
                <c:pt idx="129">
                  <c:v>4.8000000000000001E-2</c:v>
                </c:pt>
                <c:pt idx="130">
                  <c:v>0.05</c:v>
                </c:pt>
                <c:pt idx="131">
                  <c:v>5.0999999999999997E-2</c:v>
                </c:pt>
                <c:pt idx="132">
                  <c:v>5.2999999999999999E-2</c:v>
                </c:pt>
                <c:pt idx="133">
                  <c:v>4.4000000000000004E-2</c:v>
                </c:pt>
                <c:pt idx="134">
                  <c:v>3.7000000000000005E-2</c:v>
                </c:pt>
                <c:pt idx="135">
                  <c:v>3.7000000000000005E-2</c:v>
                </c:pt>
                <c:pt idx="136">
                  <c:v>2.4E-2</c:v>
                </c:pt>
                <c:pt idx="137">
                  <c:v>3.0000000000000001E-3</c:v>
                </c:pt>
                <c:pt idx="138">
                  <c:v>-8.0000000000000002E-3</c:v>
                </c:pt>
                <c:pt idx="139">
                  <c:v>-1.3999999999999999E-2</c:v>
                </c:pt>
                <c:pt idx="140">
                  <c:v>-1.3000000000000001E-2</c:v>
                </c:pt>
                <c:pt idx="141">
                  <c:v>-1.3999999999999999E-2</c:v>
                </c:pt>
                <c:pt idx="142">
                  <c:v>-1.6E-2</c:v>
                </c:pt>
                <c:pt idx="143">
                  <c:v>-1.1000000000000001E-2</c:v>
                </c:pt>
                <c:pt idx="144">
                  <c:v>-1.2E-2</c:v>
                </c:pt>
                <c:pt idx="145">
                  <c:v>-4.0000000000000001E-3</c:v>
                </c:pt>
                <c:pt idx="146">
                  <c:v>0</c:v>
                </c:pt>
                <c:pt idx="147">
                  <c:v>1E-3</c:v>
                </c:pt>
                <c:pt idx="148">
                  <c:v>9.0000000000000011E-3</c:v>
                </c:pt>
                <c:pt idx="149">
                  <c:v>0.03</c:v>
                </c:pt>
                <c:pt idx="150">
                  <c:v>4.2000000000000003E-2</c:v>
                </c:pt>
                <c:pt idx="151">
                  <c:v>0.05</c:v>
                </c:pt>
                <c:pt idx="152">
                  <c:v>4.8000000000000001E-2</c:v>
                </c:pt>
                <c:pt idx="153">
                  <c:v>0.05</c:v>
                </c:pt>
                <c:pt idx="154">
                  <c:v>4.5999999999999999E-2</c:v>
                </c:pt>
                <c:pt idx="155">
                  <c:v>4.2999999999999997E-2</c:v>
                </c:pt>
                <c:pt idx="156">
                  <c:v>4.2000000000000003E-2</c:v>
                </c:pt>
                <c:pt idx="157">
                  <c:v>3.7999999999999999E-2</c:v>
                </c:pt>
                <c:pt idx="158">
                  <c:v>4.0999999999999995E-2</c:v>
                </c:pt>
                <c:pt idx="159">
                  <c:v>4.0999999999999995E-2</c:v>
                </c:pt>
                <c:pt idx="160">
                  <c:v>0.04</c:v>
                </c:pt>
                <c:pt idx="161">
                  <c:v>4.2999999999999997E-2</c:v>
                </c:pt>
                <c:pt idx="162">
                  <c:v>4.2000000000000003E-2</c:v>
                </c:pt>
                <c:pt idx="163">
                  <c:v>3.9E-2</c:v>
                </c:pt>
                <c:pt idx="164">
                  <c:v>4.0999999999999995E-2</c:v>
                </c:pt>
                <c:pt idx="165">
                  <c:v>3.7999999999999999E-2</c:v>
                </c:pt>
                <c:pt idx="166">
                  <c:v>4.4000000000000004E-2</c:v>
                </c:pt>
                <c:pt idx="167">
                  <c:v>4.2999999999999997E-2</c:v>
                </c:pt>
                <c:pt idx="168">
                  <c:v>4.4999999999999998E-2</c:v>
                </c:pt>
                <c:pt idx="169">
                  <c:v>4.8000000000000001E-2</c:v>
                </c:pt>
                <c:pt idx="170">
                  <c:v>4.5999999999999999E-2</c:v>
                </c:pt>
                <c:pt idx="171">
                  <c:v>4.2000000000000003E-2</c:v>
                </c:pt>
                <c:pt idx="172">
                  <c:v>4.4000000000000004E-2</c:v>
                </c:pt>
                <c:pt idx="173">
                  <c:v>3.9E-2</c:v>
                </c:pt>
                <c:pt idx="174">
                  <c:v>3.7000000000000005E-2</c:v>
                </c:pt>
                <c:pt idx="175">
                  <c:v>3.6000000000000004E-2</c:v>
                </c:pt>
                <c:pt idx="176">
                  <c:v>3.4000000000000002E-2</c:v>
                </c:pt>
                <c:pt idx="177">
                  <c:v>3.3000000000000002E-2</c:v>
                </c:pt>
                <c:pt idx="178">
                  <c:v>3.3000000000000002E-2</c:v>
                </c:pt>
                <c:pt idx="179">
                  <c:v>0.03</c:v>
                </c:pt>
                <c:pt idx="180">
                  <c:v>2.6000000000000002E-2</c:v>
                </c:pt>
                <c:pt idx="181">
                  <c:v>2.4E-2</c:v>
                </c:pt>
                <c:pt idx="182">
                  <c:v>2.4E-2</c:v>
                </c:pt>
                <c:pt idx="183">
                  <c:v>2.4E-2</c:v>
                </c:pt>
                <c:pt idx="184">
                  <c:v>2.2000000000000002E-2</c:v>
                </c:pt>
                <c:pt idx="185">
                  <c:v>2.4E-2</c:v>
                </c:pt>
                <c:pt idx="186">
                  <c:v>2.5000000000000001E-2</c:v>
                </c:pt>
                <c:pt idx="187">
                  <c:v>2.7000000000000003E-2</c:v>
                </c:pt>
                <c:pt idx="188">
                  <c:v>2.7999999999999997E-2</c:v>
                </c:pt>
                <c:pt idx="189">
                  <c:v>2.8999999999999998E-2</c:v>
                </c:pt>
                <c:pt idx="190">
                  <c:v>2.8999999999999998E-2</c:v>
                </c:pt>
                <c:pt idx="191">
                  <c:v>2.8999999999999998E-2</c:v>
                </c:pt>
                <c:pt idx="192">
                  <c:v>3.2000000000000001E-2</c:v>
                </c:pt>
                <c:pt idx="193">
                  <c:v>3.2000000000000001E-2</c:v>
                </c:pt>
                <c:pt idx="194">
                  <c:v>3.2000000000000001E-2</c:v>
                </c:pt>
                <c:pt idx="195">
                  <c:v>3.2000000000000001E-2</c:v>
                </c:pt>
                <c:pt idx="196">
                  <c:v>3.5000000000000003E-2</c:v>
                </c:pt>
                <c:pt idx="197">
                  <c:v>3.4000000000000002E-2</c:v>
                </c:pt>
                <c:pt idx="198">
                  <c:v>3.3000000000000002E-2</c:v>
                </c:pt>
                <c:pt idx="199">
                  <c:v>3.1E-2</c:v>
                </c:pt>
                <c:pt idx="200">
                  <c:v>3.2000000000000001E-2</c:v>
                </c:pt>
                <c:pt idx="201">
                  <c:v>0.03</c:v>
                </c:pt>
                <c:pt idx="202">
                  <c:v>0.03</c:v>
                </c:pt>
                <c:pt idx="203">
                  <c:v>2.7999999999999997E-2</c:v>
                </c:pt>
                <c:pt idx="204">
                  <c:v>2.5000000000000001E-2</c:v>
                </c:pt>
                <c:pt idx="205">
                  <c:v>2.6000000000000002E-2</c:v>
                </c:pt>
                <c:pt idx="206">
                  <c:v>2.5000000000000001E-2</c:v>
                </c:pt>
                <c:pt idx="207">
                  <c:v>2.6000000000000002E-2</c:v>
                </c:pt>
                <c:pt idx="208">
                  <c:v>2.7999999999999997E-2</c:v>
                </c:pt>
                <c:pt idx="209">
                  <c:v>2.5000000000000001E-2</c:v>
                </c:pt>
                <c:pt idx="210">
                  <c:v>2.6000000000000002E-2</c:v>
                </c:pt>
                <c:pt idx="211">
                  <c:v>2.7999999999999997E-2</c:v>
                </c:pt>
                <c:pt idx="212">
                  <c:v>2.8999999999999998E-2</c:v>
                </c:pt>
                <c:pt idx="213">
                  <c:v>3.1E-2</c:v>
                </c:pt>
                <c:pt idx="214">
                  <c:v>2.8999999999999998E-2</c:v>
                </c:pt>
                <c:pt idx="215">
                  <c:v>0.03</c:v>
                </c:pt>
                <c:pt idx="216">
                  <c:v>3.1E-2</c:v>
                </c:pt>
                <c:pt idx="217">
                  <c:v>3.1E-2</c:v>
                </c:pt>
                <c:pt idx="218">
                  <c:v>3.2000000000000001E-2</c:v>
                </c:pt>
                <c:pt idx="219">
                  <c:v>2.8999999999999998E-2</c:v>
                </c:pt>
                <c:pt idx="220">
                  <c:v>2.8999999999999998E-2</c:v>
                </c:pt>
                <c:pt idx="221">
                  <c:v>2.6000000000000002E-2</c:v>
                </c:pt>
                <c:pt idx="222">
                  <c:v>2.1000000000000001E-2</c:v>
                </c:pt>
                <c:pt idx="223">
                  <c:v>1.7000000000000001E-2</c:v>
                </c:pt>
                <c:pt idx="224">
                  <c:v>1.3999999999999999E-2</c:v>
                </c:pt>
                <c:pt idx="225">
                  <c:v>1.4999999999999999E-2</c:v>
                </c:pt>
                <c:pt idx="226">
                  <c:v>0.01</c:v>
                </c:pt>
                <c:pt idx="227">
                  <c:v>1.1000000000000001E-2</c:v>
                </c:pt>
                <c:pt idx="228">
                  <c:v>1.4999999999999999E-2</c:v>
                </c:pt>
                <c:pt idx="229">
                  <c:v>1.3000000000000001E-2</c:v>
                </c:pt>
                <c:pt idx="230">
                  <c:v>0.01</c:v>
                </c:pt>
                <c:pt idx="231">
                  <c:v>1.3000000000000001E-2</c:v>
                </c:pt>
                <c:pt idx="232">
                  <c:v>6.9999999999999993E-3</c:v>
                </c:pt>
                <c:pt idx="233">
                  <c:v>9.0000000000000011E-3</c:v>
                </c:pt>
                <c:pt idx="234">
                  <c:v>1.6E-2</c:v>
                </c:pt>
                <c:pt idx="235">
                  <c:v>1.7000000000000001E-2</c:v>
                </c:pt>
                <c:pt idx="236">
                  <c:v>2.1000000000000001E-2</c:v>
                </c:pt>
                <c:pt idx="237">
                  <c:v>1.6E-2</c:v>
                </c:pt>
                <c:pt idx="238">
                  <c:v>1.9E-2</c:v>
                </c:pt>
                <c:pt idx="239">
                  <c:v>2.1000000000000001E-2</c:v>
                </c:pt>
              </c:numCache>
            </c:numRef>
          </c:val>
          <c:smooth val="0"/>
          <c:extLst>
            <c:ext xmlns:c16="http://schemas.microsoft.com/office/drawing/2014/chart" uri="{C3380CC4-5D6E-409C-BE32-E72D297353CC}">
              <c16:uniqueId val="{00000000-509C-4B29-ABCC-E9A43FADD87C}"/>
            </c:ext>
          </c:extLst>
        </c:ser>
        <c:ser>
          <c:idx val="1"/>
          <c:order val="1"/>
          <c:tx>
            <c:strRef>
              <c:f>inflation!$H$4</c:f>
              <c:strCache>
                <c:ptCount val="1"/>
                <c:pt idx="0">
                  <c:v>CPI</c:v>
                </c:pt>
              </c:strCache>
            </c:strRef>
          </c:tx>
          <c:spPr>
            <a:ln w="19050" cap="rnd">
              <a:solidFill>
                <a:schemeClr val="accent3"/>
              </a:solidFill>
              <a:round/>
            </a:ln>
            <a:effectLst/>
          </c:spPr>
          <c:marker>
            <c:symbol val="none"/>
          </c:marker>
          <c:cat>
            <c:numRef>
              <c:f>inflation!$F$5:$F$244</c:f>
              <c:numCache>
                <c:formatCode>m/d/yyyy</c:formatCode>
                <c:ptCount val="240"/>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pt idx="14">
                  <c:v>43890</c:v>
                </c:pt>
                <c:pt idx="15">
                  <c:v>43861</c:v>
                </c:pt>
                <c:pt idx="16">
                  <c:v>43830</c:v>
                </c:pt>
                <c:pt idx="17">
                  <c:v>43799</c:v>
                </c:pt>
                <c:pt idx="18">
                  <c:v>43769</c:v>
                </c:pt>
                <c:pt idx="19">
                  <c:v>43738</c:v>
                </c:pt>
                <c:pt idx="20">
                  <c:v>43708</c:v>
                </c:pt>
                <c:pt idx="21">
                  <c:v>43677</c:v>
                </c:pt>
                <c:pt idx="22">
                  <c:v>43646</c:v>
                </c:pt>
                <c:pt idx="23">
                  <c:v>43616</c:v>
                </c:pt>
                <c:pt idx="24">
                  <c:v>43585</c:v>
                </c:pt>
                <c:pt idx="25">
                  <c:v>43555</c:v>
                </c:pt>
                <c:pt idx="26">
                  <c:v>43524</c:v>
                </c:pt>
                <c:pt idx="27">
                  <c:v>43496</c:v>
                </c:pt>
                <c:pt idx="28">
                  <c:v>43465</c:v>
                </c:pt>
                <c:pt idx="29">
                  <c:v>43434</c:v>
                </c:pt>
                <c:pt idx="30">
                  <c:v>43404</c:v>
                </c:pt>
                <c:pt idx="31">
                  <c:v>43373</c:v>
                </c:pt>
                <c:pt idx="32">
                  <c:v>43343</c:v>
                </c:pt>
                <c:pt idx="33">
                  <c:v>43312</c:v>
                </c:pt>
                <c:pt idx="34">
                  <c:v>43281</c:v>
                </c:pt>
                <c:pt idx="35">
                  <c:v>43251</c:v>
                </c:pt>
                <c:pt idx="36">
                  <c:v>43220</c:v>
                </c:pt>
                <c:pt idx="37">
                  <c:v>43190</c:v>
                </c:pt>
                <c:pt idx="38">
                  <c:v>43159</c:v>
                </c:pt>
                <c:pt idx="39">
                  <c:v>43131</c:v>
                </c:pt>
                <c:pt idx="40">
                  <c:v>43100</c:v>
                </c:pt>
                <c:pt idx="41">
                  <c:v>43069</c:v>
                </c:pt>
                <c:pt idx="42">
                  <c:v>43039</c:v>
                </c:pt>
                <c:pt idx="43">
                  <c:v>43008</c:v>
                </c:pt>
                <c:pt idx="44">
                  <c:v>42978</c:v>
                </c:pt>
                <c:pt idx="45">
                  <c:v>42947</c:v>
                </c:pt>
                <c:pt idx="46">
                  <c:v>42916</c:v>
                </c:pt>
                <c:pt idx="47">
                  <c:v>42886</c:v>
                </c:pt>
                <c:pt idx="48">
                  <c:v>42855</c:v>
                </c:pt>
                <c:pt idx="49">
                  <c:v>42825</c:v>
                </c:pt>
                <c:pt idx="50">
                  <c:v>42794</c:v>
                </c:pt>
                <c:pt idx="51">
                  <c:v>42766</c:v>
                </c:pt>
                <c:pt idx="52">
                  <c:v>42735</c:v>
                </c:pt>
                <c:pt idx="53">
                  <c:v>42704</c:v>
                </c:pt>
                <c:pt idx="54">
                  <c:v>42674</c:v>
                </c:pt>
                <c:pt idx="55">
                  <c:v>42643</c:v>
                </c:pt>
                <c:pt idx="56">
                  <c:v>42613</c:v>
                </c:pt>
                <c:pt idx="57">
                  <c:v>42582</c:v>
                </c:pt>
                <c:pt idx="58">
                  <c:v>42551</c:v>
                </c:pt>
                <c:pt idx="59">
                  <c:v>42521</c:v>
                </c:pt>
                <c:pt idx="60">
                  <c:v>42490</c:v>
                </c:pt>
                <c:pt idx="61">
                  <c:v>42460</c:v>
                </c:pt>
                <c:pt idx="62">
                  <c:v>42429</c:v>
                </c:pt>
                <c:pt idx="63">
                  <c:v>42400</c:v>
                </c:pt>
                <c:pt idx="64">
                  <c:v>42369</c:v>
                </c:pt>
                <c:pt idx="65">
                  <c:v>42338</c:v>
                </c:pt>
                <c:pt idx="66">
                  <c:v>42308</c:v>
                </c:pt>
                <c:pt idx="67">
                  <c:v>42277</c:v>
                </c:pt>
                <c:pt idx="68">
                  <c:v>42247</c:v>
                </c:pt>
                <c:pt idx="69">
                  <c:v>42216</c:v>
                </c:pt>
                <c:pt idx="70">
                  <c:v>42185</c:v>
                </c:pt>
                <c:pt idx="71">
                  <c:v>42155</c:v>
                </c:pt>
                <c:pt idx="72">
                  <c:v>42124</c:v>
                </c:pt>
                <c:pt idx="73">
                  <c:v>42094</c:v>
                </c:pt>
                <c:pt idx="74">
                  <c:v>42063</c:v>
                </c:pt>
                <c:pt idx="75">
                  <c:v>42035</c:v>
                </c:pt>
                <c:pt idx="76">
                  <c:v>42004</c:v>
                </c:pt>
                <c:pt idx="77">
                  <c:v>41973</c:v>
                </c:pt>
                <c:pt idx="78">
                  <c:v>41943</c:v>
                </c:pt>
                <c:pt idx="79">
                  <c:v>41912</c:v>
                </c:pt>
                <c:pt idx="80">
                  <c:v>41882</c:v>
                </c:pt>
                <c:pt idx="81">
                  <c:v>41851</c:v>
                </c:pt>
                <c:pt idx="82">
                  <c:v>41820</c:v>
                </c:pt>
                <c:pt idx="83">
                  <c:v>41790</c:v>
                </c:pt>
                <c:pt idx="84">
                  <c:v>41759</c:v>
                </c:pt>
                <c:pt idx="85">
                  <c:v>41729</c:v>
                </c:pt>
                <c:pt idx="86">
                  <c:v>41698</c:v>
                </c:pt>
                <c:pt idx="87">
                  <c:v>41670</c:v>
                </c:pt>
                <c:pt idx="88">
                  <c:v>41639</c:v>
                </c:pt>
                <c:pt idx="89">
                  <c:v>41608</c:v>
                </c:pt>
                <c:pt idx="90">
                  <c:v>41578</c:v>
                </c:pt>
                <c:pt idx="91">
                  <c:v>41547</c:v>
                </c:pt>
                <c:pt idx="92">
                  <c:v>41517</c:v>
                </c:pt>
                <c:pt idx="93">
                  <c:v>41486</c:v>
                </c:pt>
                <c:pt idx="94">
                  <c:v>41455</c:v>
                </c:pt>
                <c:pt idx="95">
                  <c:v>41425</c:v>
                </c:pt>
                <c:pt idx="96">
                  <c:v>41394</c:v>
                </c:pt>
                <c:pt idx="97">
                  <c:v>41364</c:v>
                </c:pt>
                <c:pt idx="98">
                  <c:v>41333</c:v>
                </c:pt>
                <c:pt idx="99">
                  <c:v>41305</c:v>
                </c:pt>
                <c:pt idx="100">
                  <c:v>41274</c:v>
                </c:pt>
                <c:pt idx="101">
                  <c:v>41243</c:v>
                </c:pt>
                <c:pt idx="102">
                  <c:v>41213</c:v>
                </c:pt>
                <c:pt idx="103">
                  <c:v>41182</c:v>
                </c:pt>
                <c:pt idx="104">
                  <c:v>41152</c:v>
                </c:pt>
                <c:pt idx="105">
                  <c:v>41121</c:v>
                </c:pt>
                <c:pt idx="106">
                  <c:v>41090</c:v>
                </c:pt>
                <c:pt idx="107">
                  <c:v>41060</c:v>
                </c:pt>
                <c:pt idx="108">
                  <c:v>41029</c:v>
                </c:pt>
                <c:pt idx="109">
                  <c:v>40999</c:v>
                </c:pt>
                <c:pt idx="110">
                  <c:v>40968</c:v>
                </c:pt>
                <c:pt idx="111">
                  <c:v>40939</c:v>
                </c:pt>
                <c:pt idx="112">
                  <c:v>40908</c:v>
                </c:pt>
                <c:pt idx="113">
                  <c:v>40877</c:v>
                </c:pt>
                <c:pt idx="114">
                  <c:v>40847</c:v>
                </c:pt>
                <c:pt idx="115">
                  <c:v>40816</c:v>
                </c:pt>
                <c:pt idx="116">
                  <c:v>40786</c:v>
                </c:pt>
                <c:pt idx="117">
                  <c:v>40755</c:v>
                </c:pt>
                <c:pt idx="118">
                  <c:v>40724</c:v>
                </c:pt>
                <c:pt idx="119">
                  <c:v>40694</c:v>
                </c:pt>
                <c:pt idx="120">
                  <c:v>40663</c:v>
                </c:pt>
                <c:pt idx="121">
                  <c:v>40633</c:v>
                </c:pt>
                <c:pt idx="122">
                  <c:v>40602</c:v>
                </c:pt>
                <c:pt idx="123">
                  <c:v>40574</c:v>
                </c:pt>
                <c:pt idx="124">
                  <c:v>40543</c:v>
                </c:pt>
                <c:pt idx="125">
                  <c:v>40512</c:v>
                </c:pt>
                <c:pt idx="126">
                  <c:v>40482</c:v>
                </c:pt>
                <c:pt idx="127">
                  <c:v>40451</c:v>
                </c:pt>
                <c:pt idx="128">
                  <c:v>40421</c:v>
                </c:pt>
                <c:pt idx="129">
                  <c:v>40390</c:v>
                </c:pt>
                <c:pt idx="130">
                  <c:v>40359</c:v>
                </c:pt>
                <c:pt idx="131">
                  <c:v>40329</c:v>
                </c:pt>
                <c:pt idx="132">
                  <c:v>40298</c:v>
                </c:pt>
                <c:pt idx="133">
                  <c:v>40268</c:v>
                </c:pt>
                <c:pt idx="134">
                  <c:v>40237</c:v>
                </c:pt>
                <c:pt idx="135">
                  <c:v>40209</c:v>
                </c:pt>
                <c:pt idx="136">
                  <c:v>40178</c:v>
                </c:pt>
                <c:pt idx="137">
                  <c:v>40147</c:v>
                </c:pt>
                <c:pt idx="138">
                  <c:v>40117</c:v>
                </c:pt>
                <c:pt idx="139">
                  <c:v>40086</c:v>
                </c:pt>
                <c:pt idx="140">
                  <c:v>40056</c:v>
                </c:pt>
                <c:pt idx="141">
                  <c:v>40025</c:v>
                </c:pt>
                <c:pt idx="142">
                  <c:v>39994</c:v>
                </c:pt>
                <c:pt idx="143">
                  <c:v>39964</c:v>
                </c:pt>
                <c:pt idx="144">
                  <c:v>39933</c:v>
                </c:pt>
                <c:pt idx="145">
                  <c:v>39903</c:v>
                </c:pt>
                <c:pt idx="146">
                  <c:v>39872</c:v>
                </c:pt>
                <c:pt idx="147">
                  <c:v>39844</c:v>
                </c:pt>
                <c:pt idx="148">
                  <c:v>39813</c:v>
                </c:pt>
                <c:pt idx="149">
                  <c:v>39782</c:v>
                </c:pt>
                <c:pt idx="150">
                  <c:v>39752</c:v>
                </c:pt>
                <c:pt idx="151">
                  <c:v>39721</c:v>
                </c:pt>
                <c:pt idx="152">
                  <c:v>39691</c:v>
                </c:pt>
                <c:pt idx="153">
                  <c:v>39660</c:v>
                </c:pt>
                <c:pt idx="154">
                  <c:v>39629</c:v>
                </c:pt>
                <c:pt idx="155">
                  <c:v>39599</c:v>
                </c:pt>
                <c:pt idx="156">
                  <c:v>39568</c:v>
                </c:pt>
                <c:pt idx="157">
                  <c:v>39538</c:v>
                </c:pt>
                <c:pt idx="158">
                  <c:v>39507</c:v>
                </c:pt>
                <c:pt idx="159">
                  <c:v>39478</c:v>
                </c:pt>
                <c:pt idx="160">
                  <c:v>39447</c:v>
                </c:pt>
                <c:pt idx="161">
                  <c:v>39416</c:v>
                </c:pt>
                <c:pt idx="162">
                  <c:v>39386</c:v>
                </c:pt>
                <c:pt idx="163">
                  <c:v>39355</c:v>
                </c:pt>
                <c:pt idx="164">
                  <c:v>39325</c:v>
                </c:pt>
                <c:pt idx="165">
                  <c:v>39294</c:v>
                </c:pt>
                <c:pt idx="166">
                  <c:v>39263</c:v>
                </c:pt>
                <c:pt idx="167">
                  <c:v>39233</c:v>
                </c:pt>
                <c:pt idx="168">
                  <c:v>39202</c:v>
                </c:pt>
                <c:pt idx="169">
                  <c:v>39172</c:v>
                </c:pt>
                <c:pt idx="170">
                  <c:v>39141</c:v>
                </c:pt>
                <c:pt idx="171">
                  <c:v>39113</c:v>
                </c:pt>
                <c:pt idx="172">
                  <c:v>39082</c:v>
                </c:pt>
                <c:pt idx="173">
                  <c:v>39051</c:v>
                </c:pt>
                <c:pt idx="174">
                  <c:v>39021</c:v>
                </c:pt>
                <c:pt idx="175">
                  <c:v>38990</c:v>
                </c:pt>
                <c:pt idx="176">
                  <c:v>38960</c:v>
                </c:pt>
                <c:pt idx="177">
                  <c:v>38929</c:v>
                </c:pt>
                <c:pt idx="178">
                  <c:v>38898</c:v>
                </c:pt>
                <c:pt idx="179">
                  <c:v>38868</c:v>
                </c:pt>
                <c:pt idx="180">
                  <c:v>38837</c:v>
                </c:pt>
                <c:pt idx="181">
                  <c:v>38807</c:v>
                </c:pt>
                <c:pt idx="182">
                  <c:v>38776</c:v>
                </c:pt>
                <c:pt idx="183">
                  <c:v>38748</c:v>
                </c:pt>
                <c:pt idx="184">
                  <c:v>38717</c:v>
                </c:pt>
                <c:pt idx="185">
                  <c:v>38686</c:v>
                </c:pt>
                <c:pt idx="186">
                  <c:v>38656</c:v>
                </c:pt>
                <c:pt idx="187">
                  <c:v>38625</c:v>
                </c:pt>
                <c:pt idx="188">
                  <c:v>38595</c:v>
                </c:pt>
                <c:pt idx="189">
                  <c:v>38564</c:v>
                </c:pt>
                <c:pt idx="190">
                  <c:v>38533</c:v>
                </c:pt>
                <c:pt idx="191">
                  <c:v>38503</c:v>
                </c:pt>
                <c:pt idx="192">
                  <c:v>38472</c:v>
                </c:pt>
                <c:pt idx="193">
                  <c:v>38442</c:v>
                </c:pt>
                <c:pt idx="194">
                  <c:v>38411</c:v>
                </c:pt>
                <c:pt idx="195">
                  <c:v>38383</c:v>
                </c:pt>
                <c:pt idx="196">
                  <c:v>38352</c:v>
                </c:pt>
                <c:pt idx="197">
                  <c:v>38321</c:v>
                </c:pt>
                <c:pt idx="198">
                  <c:v>38291</c:v>
                </c:pt>
                <c:pt idx="199">
                  <c:v>38260</c:v>
                </c:pt>
                <c:pt idx="200">
                  <c:v>38230</c:v>
                </c:pt>
                <c:pt idx="201">
                  <c:v>38199</c:v>
                </c:pt>
                <c:pt idx="202">
                  <c:v>38168</c:v>
                </c:pt>
                <c:pt idx="203">
                  <c:v>38138</c:v>
                </c:pt>
                <c:pt idx="204">
                  <c:v>38107</c:v>
                </c:pt>
                <c:pt idx="205">
                  <c:v>38077</c:v>
                </c:pt>
                <c:pt idx="206">
                  <c:v>38046</c:v>
                </c:pt>
                <c:pt idx="207">
                  <c:v>38017</c:v>
                </c:pt>
                <c:pt idx="208">
                  <c:v>37986</c:v>
                </c:pt>
                <c:pt idx="209">
                  <c:v>37955</c:v>
                </c:pt>
                <c:pt idx="210">
                  <c:v>37925</c:v>
                </c:pt>
                <c:pt idx="211">
                  <c:v>37894</c:v>
                </c:pt>
                <c:pt idx="212">
                  <c:v>37864</c:v>
                </c:pt>
                <c:pt idx="213">
                  <c:v>37833</c:v>
                </c:pt>
                <c:pt idx="214">
                  <c:v>37802</c:v>
                </c:pt>
                <c:pt idx="215">
                  <c:v>37772</c:v>
                </c:pt>
                <c:pt idx="216">
                  <c:v>37741</c:v>
                </c:pt>
                <c:pt idx="217">
                  <c:v>37711</c:v>
                </c:pt>
                <c:pt idx="218">
                  <c:v>37680</c:v>
                </c:pt>
                <c:pt idx="219">
                  <c:v>37652</c:v>
                </c:pt>
                <c:pt idx="220">
                  <c:v>37621</c:v>
                </c:pt>
                <c:pt idx="221">
                  <c:v>37590</c:v>
                </c:pt>
                <c:pt idx="222">
                  <c:v>37560</c:v>
                </c:pt>
                <c:pt idx="223">
                  <c:v>37529</c:v>
                </c:pt>
                <c:pt idx="224">
                  <c:v>37499</c:v>
                </c:pt>
                <c:pt idx="225">
                  <c:v>37468</c:v>
                </c:pt>
                <c:pt idx="226">
                  <c:v>37437</c:v>
                </c:pt>
                <c:pt idx="227">
                  <c:v>37407</c:v>
                </c:pt>
                <c:pt idx="228">
                  <c:v>37376</c:v>
                </c:pt>
                <c:pt idx="229">
                  <c:v>37346</c:v>
                </c:pt>
                <c:pt idx="230">
                  <c:v>37315</c:v>
                </c:pt>
                <c:pt idx="231">
                  <c:v>37287</c:v>
                </c:pt>
                <c:pt idx="232">
                  <c:v>37256</c:v>
                </c:pt>
                <c:pt idx="233">
                  <c:v>37225</c:v>
                </c:pt>
                <c:pt idx="234">
                  <c:v>37195</c:v>
                </c:pt>
                <c:pt idx="235">
                  <c:v>37164</c:v>
                </c:pt>
                <c:pt idx="236">
                  <c:v>37134</c:v>
                </c:pt>
                <c:pt idx="237">
                  <c:v>37103</c:v>
                </c:pt>
                <c:pt idx="238">
                  <c:v>37072</c:v>
                </c:pt>
                <c:pt idx="239">
                  <c:v>37042</c:v>
                </c:pt>
              </c:numCache>
            </c:numRef>
          </c:cat>
          <c:val>
            <c:numRef>
              <c:f>inflation!$H$5:$H$244</c:f>
              <c:numCache>
                <c:formatCode>0.0%</c:formatCode>
                <c:ptCount val="240"/>
                <c:pt idx="0">
                  <c:v>1.4999999999999999E-2</c:v>
                </c:pt>
                <c:pt idx="1">
                  <c:v>6.9999999999999993E-3</c:v>
                </c:pt>
                <c:pt idx="2">
                  <c:v>4.0000000000000001E-3</c:v>
                </c:pt>
                <c:pt idx="3">
                  <c:v>6.9999999999999993E-3</c:v>
                </c:pt>
                <c:pt idx="4">
                  <c:v>6.0000000000000001E-3</c:v>
                </c:pt>
                <c:pt idx="5">
                  <c:v>3.0000000000000001E-3</c:v>
                </c:pt>
                <c:pt idx="6">
                  <c:v>6.9999999999999993E-3</c:v>
                </c:pt>
                <c:pt idx="7">
                  <c:v>5.0000000000000001E-3</c:v>
                </c:pt>
                <c:pt idx="8">
                  <c:v>2E-3</c:v>
                </c:pt>
                <c:pt idx="9">
                  <c:v>0.01</c:v>
                </c:pt>
                <c:pt idx="10">
                  <c:v>6.0000000000000001E-3</c:v>
                </c:pt>
                <c:pt idx="11">
                  <c:v>5.0000000000000001E-3</c:v>
                </c:pt>
                <c:pt idx="12">
                  <c:v>8.0000000000000002E-3</c:v>
                </c:pt>
                <c:pt idx="13">
                  <c:v>1.4999999999999999E-2</c:v>
                </c:pt>
                <c:pt idx="14">
                  <c:v>1.7000000000000001E-2</c:v>
                </c:pt>
                <c:pt idx="15">
                  <c:v>1.8000000000000002E-2</c:v>
                </c:pt>
                <c:pt idx="16">
                  <c:v>1.3000000000000001E-2</c:v>
                </c:pt>
                <c:pt idx="17">
                  <c:v>1.4999999999999999E-2</c:v>
                </c:pt>
                <c:pt idx="18">
                  <c:v>1.4999999999999999E-2</c:v>
                </c:pt>
                <c:pt idx="19">
                  <c:v>1.7000000000000001E-2</c:v>
                </c:pt>
                <c:pt idx="20">
                  <c:v>1.7000000000000001E-2</c:v>
                </c:pt>
                <c:pt idx="21">
                  <c:v>2.1000000000000001E-2</c:v>
                </c:pt>
                <c:pt idx="22">
                  <c:v>0.02</c:v>
                </c:pt>
                <c:pt idx="23">
                  <c:v>0.02</c:v>
                </c:pt>
                <c:pt idx="24">
                  <c:v>2.1000000000000001E-2</c:v>
                </c:pt>
                <c:pt idx="25">
                  <c:v>1.9E-2</c:v>
                </c:pt>
                <c:pt idx="26">
                  <c:v>1.9E-2</c:v>
                </c:pt>
                <c:pt idx="27">
                  <c:v>1.8000000000000002E-2</c:v>
                </c:pt>
                <c:pt idx="28">
                  <c:v>2.1000000000000001E-2</c:v>
                </c:pt>
                <c:pt idx="29">
                  <c:v>2.3E-2</c:v>
                </c:pt>
                <c:pt idx="30">
                  <c:v>2.4E-2</c:v>
                </c:pt>
                <c:pt idx="31">
                  <c:v>2.4E-2</c:v>
                </c:pt>
                <c:pt idx="32">
                  <c:v>2.7000000000000003E-2</c:v>
                </c:pt>
                <c:pt idx="33">
                  <c:v>2.5000000000000001E-2</c:v>
                </c:pt>
                <c:pt idx="34">
                  <c:v>2.4E-2</c:v>
                </c:pt>
                <c:pt idx="35">
                  <c:v>2.4E-2</c:v>
                </c:pt>
                <c:pt idx="36">
                  <c:v>2.4E-2</c:v>
                </c:pt>
                <c:pt idx="37">
                  <c:v>2.5000000000000001E-2</c:v>
                </c:pt>
                <c:pt idx="38">
                  <c:v>2.7000000000000003E-2</c:v>
                </c:pt>
                <c:pt idx="39">
                  <c:v>0.03</c:v>
                </c:pt>
                <c:pt idx="40">
                  <c:v>0.03</c:v>
                </c:pt>
                <c:pt idx="41">
                  <c:v>3.1E-2</c:v>
                </c:pt>
                <c:pt idx="42">
                  <c:v>0.03</c:v>
                </c:pt>
                <c:pt idx="43">
                  <c:v>0.03</c:v>
                </c:pt>
                <c:pt idx="44">
                  <c:v>2.8999999999999998E-2</c:v>
                </c:pt>
                <c:pt idx="45">
                  <c:v>2.6000000000000002E-2</c:v>
                </c:pt>
                <c:pt idx="46">
                  <c:v>2.6000000000000002E-2</c:v>
                </c:pt>
                <c:pt idx="47">
                  <c:v>2.8999999999999998E-2</c:v>
                </c:pt>
                <c:pt idx="48">
                  <c:v>2.7000000000000003E-2</c:v>
                </c:pt>
                <c:pt idx="49">
                  <c:v>2.3E-2</c:v>
                </c:pt>
                <c:pt idx="50">
                  <c:v>2.3E-2</c:v>
                </c:pt>
                <c:pt idx="51">
                  <c:v>1.8000000000000002E-2</c:v>
                </c:pt>
                <c:pt idx="52">
                  <c:v>1.6E-2</c:v>
                </c:pt>
                <c:pt idx="53">
                  <c:v>1.2E-2</c:v>
                </c:pt>
                <c:pt idx="54">
                  <c:v>9.0000000000000011E-3</c:v>
                </c:pt>
                <c:pt idx="55">
                  <c:v>0.01</c:v>
                </c:pt>
                <c:pt idx="56">
                  <c:v>6.0000000000000001E-3</c:v>
                </c:pt>
                <c:pt idx="57">
                  <c:v>6.0000000000000001E-3</c:v>
                </c:pt>
                <c:pt idx="58">
                  <c:v>5.0000000000000001E-3</c:v>
                </c:pt>
                <c:pt idx="59">
                  <c:v>3.0000000000000001E-3</c:v>
                </c:pt>
                <c:pt idx="60">
                  <c:v>3.0000000000000001E-3</c:v>
                </c:pt>
                <c:pt idx="61">
                  <c:v>5.0000000000000001E-3</c:v>
                </c:pt>
                <c:pt idx="62">
                  <c:v>3.0000000000000001E-3</c:v>
                </c:pt>
                <c:pt idx="63">
                  <c:v>3.0000000000000001E-3</c:v>
                </c:pt>
                <c:pt idx="64">
                  <c:v>2E-3</c:v>
                </c:pt>
                <c:pt idx="65">
                  <c:v>1E-3</c:v>
                </c:pt>
                <c:pt idx="66">
                  <c:v>-1E-3</c:v>
                </c:pt>
                <c:pt idx="67">
                  <c:v>-1E-3</c:v>
                </c:pt>
                <c:pt idx="68">
                  <c:v>0</c:v>
                </c:pt>
                <c:pt idx="69">
                  <c:v>1E-3</c:v>
                </c:pt>
                <c:pt idx="70">
                  <c:v>0</c:v>
                </c:pt>
                <c:pt idx="71">
                  <c:v>1E-3</c:v>
                </c:pt>
                <c:pt idx="72">
                  <c:v>-1E-3</c:v>
                </c:pt>
                <c:pt idx="73">
                  <c:v>0</c:v>
                </c:pt>
                <c:pt idx="74">
                  <c:v>0</c:v>
                </c:pt>
                <c:pt idx="75">
                  <c:v>3.0000000000000001E-3</c:v>
                </c:pt>
                <c:pt idx="76">
                  <c:v>5.0000000000000001E-3</c:v>
                </c:pt>
                <c:pt idx="77">
                  <c:v>0.01</c:v>
                </c:pt>
                <c:pt idx="78">
                  <c:v>1.3000000000000001E-2</c:v>
                </c:pt>
                <c:pt idx="79">
                  <c:v>1.2E-2</c:v>
                </c:pt>
                <c:pt idx="80">
                  <c:v>1.4999999999999999E-2</c:v>
                </c:pt>
                <c:pt idx="81">
                  <c:v>1.6E-2</c:v>
                </c:pt>
                <c:pt idx="82">
                  <c:v>1.9E-2</c:v>
                </c:pt>
                <c:pt idx="83">
                  <c:v>1.4999999999999999E-2</c:v>
                </c:pt>
                <c:pt idx="84">
                  <c:v>1.8000000000000002E-2</c:v>
                </c:pt>
                <c:pt idx="85">
                  <c:v>1.6E-2</c:v>
                </c:pt>
                <c:pt idx="86">
                  <c:v>1.7000000000000001E-2</c:v>
                </c:pt>
                <c:pt idx="87">
                  <c:v>1.9E-2</c:v>
                </c:pt>
                <c:pt idx="88">
                  <c:v>0.02</c:v>
                </c:pt>
                <c:pt idx="89">
                  <c:v>2.1000000000000001E-2</c:v>
                </c:pt>
                <c:pt idx="90">
                  <c:v>2.2000000000000002E-2</c:v>
                </c:pt>
                <c:pt idx="91">
                  <c:v>2.7000000000000003E-2</c:v>
                </c:pt>
                <c:pt idx="92">
                  <c:v>2.7000000000000003E-2</c:v>
                </c:pt>
                <c:pt idx="93">
                  <c:v>2.7999999999999997E-2</c:v>
                </c:pt>
                <c:pt idx="94">
                  <c:v>2.8999999999999998E-2</c:v>
                </c:pt>
                <c:pt idx="95">
                  <c:v>2.7000000000000003E-2</c:v>
                </c:pt>
                <c:pt idx="96">
                  <c:v>2.4E-2</c:v>
                </c:pt>
                <c:pt idx="97">
                  <c:v>2.7999999999999997E-2</c:v>
                </c:pt>
                <c:pt idx="98">
                  <c:v>2.7999999999999997E-2</c:v>
                </c:pt>
                <c:pt idx="99">
                  <c:v>2.7000000000000003E-2</c:v>
                </c:pt>
                <c:pt idx="100">
                  <c:v>2.7000000000000003E-2</c:v>
                </c:pt>
                <c:pt idx="101">
                  <c:v>2.7000000000000003E-2</c:v>
                </c:pt>
                <c:pt idx="102">
                  <c:v>2.7000000000000003E-2</c:v>
                </c:pt>
                <c:pt idx="103">
                  <c:v>2.2000000000000002E-2</c:v>
                </c:pt>
                <c:pt idx="104">
                  <c:v>2.5000000000000001E-2</c:v>
                </c:pt>
                <c:pt idx="105">
                  <c:v>2.6000000000000002E-2</c:v>
                </c:pt>
                <c:pt idx="106">
                  <c:v>2.4E-2</c:v>
                </c:pt>
                <c:pt idx="107">
                  <c:v>2.7999999999999997E-2</c:v>
                </c:pt>
                <c:pt idx="108">
                  <c:v>0.03</c:v>
                </c:pt>
                <c:pt idx="109">
                  <c:v>3.5000000000000003E-2</c:v>
                </c:pt>
                <c:pt idx="110">
                  <c:v>3.4000000000000002E-2</c:v>
                </c:pt>
                <c:pt idx="111">
                  <c:v>3.6000000000000004E-2</c:v>
                </c:pt>
                <c:pt idx="112">
                  <c:v>4.2000000000000003E-2</c:v>
                </c:pt>
                <c:pt idx="113">
                  <c:v>4.8000000000000001E-2</c:v>
                </c:pt>
                <c:pt idx="114">
                  <c:v>0.05</c:v>
                </c:pt>
                <c:pt idx="115">
                  <c:v>5.2000000000000005E-2</c:v>
                </c:pt>
                <c:pt idx="116">
                  <c:v>4.4999999999999998E-2</c:v>
                </c:pt>
                <c:pt idx="117">
                  <c:v>4.4000000000000004E-2</c:v>
                </c:pt>
                <c:pt idx="118">
                  <c:v>4.2000000000000003E-2</c:v>
                </c:pt>
                <c:pt idx="119">
                  <c:v>4.4999999999999998E-2</c:v>
                </c:pt>
                <c:pt idx="120">
                  <c:v>4.4999999999999998E-2</c:v>
                </c:pt>
                <c:pt idx="121">
                  <c:v>0.04</c:v>
                </c:pt>
                <c:pt idx="122">
                  <c:v>4.4000000000000004E-2</c:v>
                </c:pt>
                <c:pt idx="123">
                  <c:v>0.04</c:v>
                </c:pt>
                <c:pt idx="124">
                  <c:v>3.7000000000000005E-2</c:v>
                </c:pt>
                <c:pt idx="125">
                  <c:v>3.3000000000000002E-2</c:v>
                </c:pt>
                <c:pt idx="126">
                  <c:v>3.2000000000000001E-2</c:v>
                </c:pt>
                <c:pt idx="127">
                  <c:v>3.1E-2</c:v>
                </c:pt>
                <c:pt idx="128">
                  <c:v>3.1E-2</c:v>
                </c:pt>
                <c:pt idx="129">
                  <c:v>3.1E-2</c:v>
                </c:pt>
                <c:pt idx="130">
                  <c:v>3.2000000000000001E-2</c:v>
                </c:pt>
                <c:pt idx="131">
                  <c:v>3.4000000000000002E-2</c:v>
                </c:pt>
                <c:pt idx="132">
                  <c:v>3.7000000000000005E-2</c:v>
                </c:pt>
                <c:pt idx="133">
                  <c:v>3.4000000000000002E-2</c:v>
                </c:pt>
                <c:pt idx="134">
                  <c:v>0.03</c:v>
                </c:pt>
                <c:pt idx="135">
                  <c:v>3.5000000000000003E-2</c:v>
                </c:pt>
                <c:pt idx="136">
                  <c:v>2.8999999999999998E-2</c:v>
                </c:pt>
                <c:pt idx="137">
                  <c:v>1.9E-2</c:v>
                </c:pt>
                <c:pt idx="138">
                  <c:v>1.4999999999999999E-2</c:v>
                </c:pt>
                <c:pt idx="139">
                  <c:v>1.1000000000000001E-2</c:v>
                </c:pt>
                <c:pt idx="140">
                  <c:v>1.6E-2</c:v>
                </c:pt>
                <c:pt idx="141">
                  <c:v>1.8000000000000002E-2</c:v>
                </c:pt>
                <c:pt idx="142">
                  <c:v>1.8000000000000002E-2</c:v>
                </c:pt>
                <c:pt idx="143">
                  <c:v>2.2000000000000002E-2</c:v>
                </c:pt>
                <c:pt idx="144">
                  <c:v>2.3E-2</c:v>
                </c:pt>
                <c:pt idx="145">
                  <c:v>2.8999999999999998E-2</c:v>
                </c:pt>
                <c:pt idx="146">
                  <c:v>3.2000000000000001E-2</c:v>
                </c:pt>
                <c:pt idx="147">
                  <c:v>0.03</c:v>
                </c:pt>
                <c:pt idx="148">
                  <c:v>3.1E-2</c:v>
                </c:pt>
                <c:pt idx="149">
                  <c:v>4.0999999999999995E-2</c:v>
                </c:pt>
                <c:pt idx="150">
                  <c:v>4.4999999999999998E-2</c:v>
                </c:pt>
                <c:pt idx="151">
                  <c:v>5.2000000000000005E-2</c:v>
                </c:pt>
                <c:pt idx="152">
                  <c:v>4.7E-2</c:v>
                </c:pt>
                <c:pt idx="153">
                  <c:v>4.4000000000000004E-2</c:v>
                </c:pt>
                <c:pt idx="154">
                  <c:v>3.7999999999999999E-2</c:v>
                </c:pt>
                <c:pt idx="155">
                  <c:v>3.3000000000000002E-2</c:v>
                </c:pt>
                <c:pt idx="156">
                  <c:v>0.03</c:v>
                </c:pt>
                <c:pt idx="157">
                  <c:v>2.5000000000000001E-2</c:v>
                </c:pt>
                <c:pt idx="158">
                  <c:v>2.5000000000000001E-2</c:v>
                </c:pt>
                <c:pt idx="159">
                  <c:v>2.2000000000000002E-2</c:v>
                </c:pt>
                <c:pt idx="160">
                  <c:v>2.1000000000000001E-2</c:v>
                </c:pt>
                <c:pt idx="161">
                  <c:v>2.1000000000000001E-2</c:v>
                </c:pt>
                <c:pt idx="162">
                  <c:v>2.1000000000000001E-2</c:v>
                </c:pt>
                <c:pt idx="163">
                  <c:v>1.8000000000000002E-2</c:v>
                </c:pt>
                <c:pt idx="164">
                  <c:v>1.8000000000000002E-2</c:v>
                </c:pt>
                <c:pt idx="165">
                  <c:v>1.9E-2</c:v>
                </c:pt>
                <c:pt idx="166">
                  <c:v>2.4E-2</c:v>
                </c:pt>
                <c:pt idx="167">
                  <c:v>2.5000000000000001E-2</c:v>
                </c:pt>
                <c:pt idx="168">
                  <c:v>2.7999999999999997E-2</c:v>
                </c:pt>
                <c:pt idx="169">
                  <c:v>3.1E-2</c:v>
                </c:pt>
                <c:pt idx="170">
                  <c:v>2.7999999999999997E-2</c:v>
                </c:pt>
                <c:pt idx="171">
                  <c:v>2.7000000000000003E-2</c:v>
                </c:pt>
                <c:pt idx="172">
                  <c:v>0.03</c:v>
                </c:pt>
                <c:pt idx="173">
                  <c:v>2.7000000000000003E-2</c:v>
                </c:pt>
                <c:pt idx="174">
                  <c:v>2.4E-2</c:v>
                </c:pt>
                <c:pt idx="175">
                  <c:v>2.4E-2</c:v>
                </c:pt>
                <c:pt idx="176">
                  <c:v>2.5000000000000001E-2</c:v>
                </c:pt>
                <c:pt idx="177">
                  <c:v>2.4E-2</c:v>
                </c:pt>
                <c:pt idx="178">
                  <c:v>2.5000000000000001E-2</c:v>
                </c:pt>
                <c:pt idx="179">
                  <c:v>2.2000000000000002E-2</c:v>
                </c:pt>
                <c:pt idx="180">
                  <c:v>0.02</c:v>
                </c:pt>
                <c:pt idx="181">
                  <c:v>1.8000000000000002E-2</c:v>
                </c:pt>
                <c:pt idx="182">
                  <c:v>0.02</c:v>
                </c:pt>
                <c:pt idx="183">
                  <c:v>1.9E-2</c:v>
                </c:pt>
                <c:pt idx="184">
                  <c:v>1.9E-2</c:v>
                </c:pt>
                <c:pt idx="185">
                  <c:v>2.1000000000000001E-2</c:v>
                </c:pt>
                <c:pt idx="186">
                  <c:v>2.3E-2</c:v>
                </c:pt>
                <c:pt idx="187">
                  <c:v>2.5000000000000001E-2</c:v>
                </c:pt>
                <c:pt idx="188">
                  <c:v>2.4E-2</c:v>
                </c:pt>
                <c:pt idx="189">
                  <c:v>2.3E-2</c:v>
                </c:pt>
                <c:pt idx="190">
                  <c:v>0.02</c:v>
                </c:pt>
                <c:pt idx="191">
                  <c:v>1.9E-2</c:v>
                </c:pt>
                <c:pt idx="192">
                  <c:v>1.9E-2</c:v>
                </c:pt>
                <c:pt idx="193">
                  <c:v>1.9E-2</c:v>
                </c:pt>
                <c:pt idx="194">
                  <c:v>1.7000000000000001E-2</c:v>
                </c:pt>
                <c:pt idx="195">
                  <c:v>1.6E-2</c:v>
                </c:pt>
                <c:pt idx="196">
                  <c:v>1.7000000000000001E-2</c:v>
                </c:pt>
                <c:pt idx="197">
                  <c:v>1.4999999999999999E-2</c:v>
                </c:pt>
                <c:pt idx="198">
                  <c:v>1.2E-2</c:v>
                </c:pt>
                <c:pt idx="199">
                  <c:v>1.1000000000000001E-2</c:v>
                </c:pt>
                <c:pt idx="200">
                  <c:v>1.3000000000000001E-2</c:v>
                </c:pt>
                <c:pt idx="201">
                  <c:v>1.3999999999999999E-2</c:v>
                </c:pt>
                <c:pt idx="202">
                  <c:v>1.6E-2</c:v>
                </c:pt>
                <c:pt idx="203">
                  <c:v>1.4999999999999999E-2</c:v>
                </c:pt>
                <c:pt idx="204">
                  <c:v>1.1000000000000001E-2</c:v>
                </c:pt>
                <c:pt idx="205">
                  <c:v>1.1000000000000001E-2</c:v>
                </c:pt>
                <c:pt idx="206">
                  <c:v>1.3000000000000001E-2</c:v>
                </c:pt>
                <c:pt idx="207">
                  <c:v>1.3999999999999999E-2</c:v>
                </c:pt>
                <c:pt idx="208">
                  <c:v>1.3000000000000001E-2</c:v>
                </c:pt>
                <c:pt idx="209">
                  <c:v>1.3000000000000001E-2</c:v>
                </c:pt>
                <c:pt idx="210">
                  <c:v>1.3999999999999999E-2</c:v>
                </c:pt>
                <c:pt idx="211">
                  <c:v>1.3999999999999999E-2</c:v>
                </c:pt>
                <c:pt idx="212">
                  <c:v>1.3999999999999999E-2</c:v>
                </c:pt>
                <c:pt idx="213">
                  <c:v>1.3000000000000001E-2</c:v>
                </c:pt>
                <c:pt idx="214">
                  <c:v>1.1000000000000001E-2</c:v>
                </c:pt>
                <c:pt idx="215">
                  <c:v>1.3000000000000001E-2</c:v>
                </c:pt>
                <c:pt idx="216">
                  <c:v>1.3999999999999999E-2</c:v>
                </c:pt>
                <c:pt idx="217">
                  <c:v>1.4999999999999999E-2</c:v>
                </c:pt>
                <c:pt idx="218">
                  <c:v>1.6E-2</c:v>
                </c:pt>
                <c:pt idx="219">
                  <c:v>1.3000000000000001E-2</c:v>
                </c:pt>
                <c:pt idx="220">
                  <c:v>1.7000000000000001E-2</c:v>
                </c:pt>
                <c:pt idx="221">
                  <c:v>1.4999999999999999E-2</c:v>
                </c:pt>
                <c:pt idx="222">
                  <c:v>1.3999999999999999E-2</c:v>
                </c:pt>
                <c:pt idx="223">
                  <c:v>0.01</c:v>
                </c:pt>
                <c:pt idx="224">
                  <c:v>0.01</c:v>
                </c:pt>
                <c:pt idx="225">
                  <c:v>1.1000000000000001E-2</c:v>
                </c:pt>
                <c:pt idx="226">
                  <c:v>6.0000000000000001E-3</c:v>
                </c:pt>
                <c:pt idx="227">
                  <c:v>8.0000000000000002E-3</c:v>
                </c:pt>
                <c:pt idx="228">
                  <c:v>1.3999999999999999E-2</c:v>
                </c:pt>
                <c:pt idx="229">
                  <c:v>1.4999999999999999E-2</c:v>
                </c:pt>
                <c:pt idx="230">
                  <c:v>1.4999999999999999E-2</c:v>
                </c:pt>
                <c:pt idx="231">
                  <c:v>1.6E-2</c:v>
                </c:pt>
                <c:pt idx="232">
                  <c:v>1.1000000000000001E-2</c:v>
                </c:pt>
                <c:pt idx="233">
                  <c:v>8.0000000000000002E-3</c:v>
                </c:pt>
                <c:pt idx="234">
                  <c:v>1.2E-2</c:v>
                </c:pt>
                <c:pt idx="235">
                  <c:v>1.3000000000000001E-2</c:v>
                </c:pt>
                <c:pt idx="236">
                  <c:v>1.8000000000000002E-2</c:v>
                </c:pt>
                <c:pt idx="237">
                  <c:v>1.3999999999999999E-2</c:v>
                </c:pt>
                <c:pt idx="238">
                  <c:v>1.7000000000000001E-2</c:v>
                </c:pt>
                <c:pt idx="239">
                  <c:v>1.7000000000000001E-2</c:v>
                </c:pt>
              </c:numCache>
            </c:numRef>
          </c:val>
          <c:smooth val="0"/>
          <c:extLst>
            <c:ext xmlns:c16="http://schemas.microsoft.com/office/drawing/2014/chart" uri="{C3380CC4-5D6E-409C-BE32-E72D297353CC}">
              <c16:uniqueId val="{00000001-509C-4B29-ABCC-E9A43FADD87C}"/>
            </c:ext>
          </c:extLst>
        </c:ser>
        <c:ser>
          <c:idx val="2"/>
          <c:order val="2"/>
          <c:tx>
            <c:strRef>
              <c:f>inflation!$I$4</c:f>
              <c:strCache>
                <c:ptCount val="1"/>
                <c:pt idx="0">
                  <c:v>CPIH</c:v>
                </c:pt>
              </c:strCache>
            </c:strRef>
          </c:tx>
          <c:spPr>
            <a:ln w="19050" cap="rnd">
              <a:solidFill>
                <a:schemeClr val="accent6"/>
              </a:solidFill>
              <a:round/>
            </a:ln>
            <a:effectLst/>
          </c:spPr>
          <c:marker>
            <c:symbol val="none"/>
          </c:marker>
          <c:cat>
            <c:numRef>
              <c:f>inflation!$F$5:$F$244</c:f>
              <c:numCache>
                <c:formatCode>m/d/yyyy</c:formatCode>
                <c:ptCount val="240"/>
                <c:pt idx="0">
                  <c:v>44316</c:v>
                </c:pt>
                <c:pt idx="1">
                  <c:v>44286</c:v>
                </c:pt>
                <c:pt idx="2">
                  <c:v>44255</c:v>
                </c:pt>
                <c:pt idx="3">
                  <c:v>44227</c:v>
                </c:pt>
                <c:pt idx="4">
                  <c:v>44196</c:v>
                </c:pt>
                <c:pt idx="5">
                  <c:v>44165</c:v>
                </c:pt>
                <c:pt idx="6">
                  <c:v>44135</c:v>
                </c:pt>
                <c:pt idx="7">
                  <c:v>44104</c:v>
                </c:pt>
                <c:pt idx="8">
                  <c:v>44074</c:v>
                </c:pt>
                <c:pt idx="9">
                  <c:v>44043</c:v>
                </c:pt>
                <c:pt idx="10">
                  <c:v>44012</c:v>
                </c:pt>
                <c:pt idx="11">
                  <c:v>43982</c:v>
                </c:pt>
                <c:pt idx="12">
                  <c:v>43951</c:v>
                </c:pt>
                <c:pt idx="13">
                  <c:v>43921</c:v>
                </c:pt>
                <c:pt idx="14">
                  <c:v>43890</c:v>
                </c:pt>
                <c:pt idx="15">
                  <c:v>43861</c:v>
                </c:pt>
                <c:pt idx="16">
                  <c:v>43830</c:v>
                </c:pt>
                <c:pt idx="17">
                  <c:v>43799</c:v>
                </c:pt>
                <c:pt idx="18">
                  <c:v>43769</c:v>
                </c:pt>
                <c:pt idx="19">
                  <c:v>43738</c:v>
                </c:pt>
                <c:pt idx="20">
                  <c:v>43708</c:v>
                </c:pt>
                <c:pt idx="21">
                  <c:v>43677</c:v>
                </c:pt>
                <c:pt idx="22">
                  <c:v>43646</c:v>
                </c:pt>
                <c:pt idx="23">
                  <c:v>43616</c:v>
                </c:pt>
                <c:pt idx="24">
                  <c:v>43585</c:v>
                </c:pt>
                <c:pt idx="25">
                  <c:v>43555</c:v>
                </c:pt>
                <c:pt idx="26">
                  <c:v>43524</c:v>
                </c:pt>
                <c:pt idx="27">
                  <c:v>43496</c:v>
                </c:pt>
                <c:pt idx="28">
                  <c:v>43465</c:v>
                </c:pt>
                <c:pt idx="29">
                  <c:v>43434</c:v>
                </c:pt>
                <c:pt idx="30">
                  <c:v>43404</c:v>
                </c:pt>
                <c:pt idx="31">
                  <c:v>43373</c:v>
                </c:pt>
                <c:pt idx="32">
                  <c:v>43343</c:v>
                </c:pt>
                <c:pt idx="33">
                  <c:v>43312</c:v>
                </c:pt>
                <c:pt idx="34">
                  <c:v>43281</c:v>
                </c:pt>
                <c:pt idx="35">
                  <c:v>43251</c:v>
                </c:pt>
                <c:pt idx="36">
                  <c:v>43220</c:v>
                </c:pt>
                <c:pt idx="37">
                  <c:v>43190</c:v>
                </c:pt>
                <c:pt idx="38">
                  <c:v>43159</c:v>
                </c:pt>
                <c:pt idx="39">
                  <c:v>43131</c:v>
                </c:pt>
                <c:pt idx="40">
                  <c:v>43100</c:v>
                </c:pt>
                <c:pt idx="41">
                  <c:v>43069</c:v>
                </c:pt>
                <c:pt idx="42">
                  <c:v>43039</c:v>
                </c:pt>
                <c:pt idx="43">
                  <c:v>43008</c:v>
                </c:pt>
                <c:pt idx="44">
                  <c:v>42978</c:v>
                </c:pt>
                <c:pt idx="45">
                  <c:v>42947</c:v>
                </c:pt>
                <c:pt idx="46">
                  <c:v>42916</c:v>
                </c:pt>
                <c:pt idx="47">
                  <c:v>42886</c:v>
                </c:pt>
                <c:pt idx="48">
                  <c:v>42855</c:v>
                </c:pt>
                <c:pt idx="49">
                  <c:v>42825</c:v>
                </c:pt>
                <c:pt idx="50">
                  <c:v>42794</c:v>
                </c:pt>
                <c:pt idx="51">
                  <c:v>42766</c:v>
                </c:pt>
                <c:pt idx="52">
                  <c:v>42735</c:v>
                </c:pt>
                <c:pt idx="53">
                  <c:v>42704</c:v>
                </c:pt>
                <c:pt idx="54">
                  <c:v>42674</c:v>
                </c:pt>
                <c:pt idx="55">
                  <c:v>42643</c:v>
                </c:pt>
                <c:pt idx="56">
                  <c:v>42613</c:v>
                </c:pt>
                <c:pt idx="57">
                  <c:v>42582</c:v>
                </c:pt>
                <c:pt idx="58">
                  <c:v>42551</c:v>
                </c:pt>
                <c:pt idx="59">
                  <c:v>42521</c:v>
                </c:pt>
                <c:pt idx="60">
                  <c:v>42490</c:v>
                </c:pt>
                <c:pt idx="61">
                  <c:v>42460</c:v>
                </c:pt>
                <c:pt idx="62">
                  <c:v>42429</c:v>
                </c:pt>
                <c:pt idx="63">
                  <c:v>42400</c:v>
                </c:pt>
                <c:pt idx="64">
                  <c:v>42369</c:v>
                </c:pt>
                <c:pt idx="65">
                  <c:v>42338</c:v>
                </c:pt>
                <c:pt idx="66">
                  <c:v>42308</c:v>
                </c:pt>
                <c:pt idx="67">
                  <c:v>42277</c:v>
                </c:pt>
                <c:pt idx="68">
                  <c:v>42247</c:v>
                </c:pt>
                <c:pt idx="69">
                  <c:v>42216</c:v>
                </c:pt>
                <c:pt idx="70">
                  <c:v>42185</c:v>
                </c:pt>
                <c:pt idx="71">
                  <c:v>42155</c:v>
                </c:pt>
                <c:pt idx="72">
                  <c:v>42124</c:v>
                </c:pt>
                <c:pt idx="73">
                  <c:v>42094</c:v>
                </c:pt>
                <c:pt idx="74">
                  <c:v>42063</c:v>
                </c:pt>
                <c:pt idx="75">
                  <c:v>42035</c:v>
                </c:pt>
                <c:pt idx="76">
                  <c:v>42004</c:v>
                </c:pt>
                <c:pt idx="77">
                  <c:v>41973</c:v>
                </c:pt>
                <c:pt idx="78">
                  <c:v>41943</c:v>
                </c:pt>
                <c:pt idx="79">
                  <c:v>41912</c:v>
                </c:pt>
                <c:pt idx="80">
                  <c:v>41882</c:v>
                </c:pt>
                <c:pt idx="81">
                  <c:v>41851</c:v>
                </c:pt>
                <c:pt idx="82">
                  <c:v>41820</c:v>
                </c:pt>
                <c:pt idx="83">
                  <c:v>41790</c:v>
                </c:pt>
                <c:pt idx="84">
                  <c:v>41759</c:v>
                </c:pt>
                <c:pt idx="85">
                  <c:v>41729</c:v>
                </c:pt>
                <c:pt idx="86">
                  <c:v>41698</c:v>
                </c:pt>
                <c:pt idx="87">
                  <c:v>41670</c:v>
                </c:pt>
                <c:pt idx="88">
                  <c:v>41639</c:v>
                </c:pt>
                <c:pt idx="89">
                  <c:v>41608</c:v>
                </c:pt>
                <c:pt idx="90">
                  <c:v>41578</c:v>
                </c:pt>
                <c:pt idx="91">
                  <c:v>41547</c:v>
                </c:pt>
                <c:pt idx="92">
                  <c:v>41517</c:v>
                </c:pt>
                <c:pt idx="93">
                  <c:v>41486</c:v>
                </c:pt>
                <c:pt idx="94">
                  <c:v>41455</c:v>
                </c:pt>
                <c:pt idx="95">
                  <c:v>41425</c:v>
                </c:pt>
                <c:pt idx="96">
                  <c:v>41394</c:v>
                </c:pt>
                <c:pt idx="97">
                  <c:v>41364</c:v>
                </c:pt>
                <c:pt idx="98">
                  <c:v>41333</c:v>
                </c:pt>
                <c:pt idx="99">
                  <c:v>41305</c:v>
                </c:pt>
                <c:pt idx="100">
                  <c:v>41274</c:v>
                </c:pt>
                <c:pt idx="101">
                  <c:v>41243</c:v>
                </c:pt>
                <c:pt idx="102">
                  <c:v>41213</c:v>
                </c:pt>
                <c:pt idx="103">
                  <c:v>41182</c:v>
                </c:pt>
                <c:pt idx="104">
                  <c:v>41152</c:v>
                </c:pt>
                <c:pt idx="105">
                  <c:v>41121</c:v>
                </c:pt>
                <c:pt idx="106">
                  <c:v>41090</c:v>
                </c:pt>
                <c:pt idx="107">
                  <c:v>41060</c:v>
                </c:pt>
                <c:pt idx="108">
                  <c:v>41029</c:v>
                </c:pt>
                <c:pt idx="109">
                  <c:v>40999</c:v>
                </c:pt>
                <c:pt idx="110">
                  <c:v>40968</c:v>
                </c:pt>
                <c:pt idx="111">
                  <c:v>40939</c:v>
                </c:pt>
                <c:pt idx="112">
                  <c:v>40908</c:v>
                </c:pt>
                <c:pt idx="113">
                  <c:v>40877</c:v>
                </c:pt>
                <c:pt idx="114">
                  <c:v>40847</c:v>
                </c:pt>
                <c:pt idx="115">
                  <c:v>40816</c:v>
                </c:pt>
                <c:pt idx="116">
                  <c:v>40786</c:v>
                </c:pt>
                <c:pt idx="117">
                  <c:v>40755</c:v>
                </c:pt>
                <c:pt idx="118">
                  <c:v>40724</c:v>
                </c:pt>
                <c:pt idx="119">
                  <c:v>40694</c:v>
                </c:pt>
                <c:pt idx="120">
                  <c:v>40663</c:v>
                </c:pt>
                <c:pt idx="121">
                  <c:v>40633</c:v>
                </c:pt>
                <c:pt idx="122">
                  <c:v>40602</c:v>
                </c:pt>
                <c:pt idx="123">
                  <c:v>40574</c:v>
                </c:pt>
                <c:pt idx="124">
                  <c:v>40543</c:v>
                </c:pt>
                <c:pt idx="125">
                  <c:v>40512</c:v>
                </c:pt>
                <c:pt idx="126">
                  <c:v>40482</c:v>
                </c:pt>
                <c:pt idx="127">
                  <c:v>40451</c:v>
                </c:pt>
                <c:pt idx="128">
                  <c:v>40421</c:v>
                </c:pt>
                <c:pt idx="129">
                  <c:v>40390</c:v>
                </c:pt>
                <c:pt idx="130">
                  <c:v>40359</c:v>
                </c:pt>
                <c:pt idx="131">
                  <c:v>40329</c:v>
                </c:pt>
                <c:pt idx="132">
                  <c:v>40298</c:v>
                </c:pt>
                <c:pt idx="133">
                  <c:v>40268</c:v>
                </c:pt>
                <c:pt idx="134">
                  <c:v>40237</c:v>
                </c:pt>
                <c:pt idx="135">
                  <c:v>40209</c:v>
                </c:pt>
                <c:pt idx="136">
                  <c:v>40178</c:v>
                </c:pt>
                <c:pt idx="137">
                  <c:v>40147</c:v>
                </c:pt>
                <c:pt idx="138">
                  <c:v>40117</c:v>
                </c:pt>
                <c:pt idx="139">
                  <c:v>40086</c:v>
                </c:pt>
                <c:pt idx="140">
                  <c:v>40056</c:v>
                </c:pt>
                <c:pt idx="141">
                  <c:v>40025</c:v>
                </c:pt>
                <c:pt idx="142">
                  <c:v>39994</c:v>
                </c:pt>
                <c:pt idx="143">
                  <c:v>39964</c:v>
                </c:pt>
                <c:pt idx="144">
                  <c:v>39933</c:v>
                </c:pt>
                <c:pt idx="145">
                  <c:v>39903</c:v>
                </c:pt>
                <c:pt idx="146">
                  <c:v>39872</c:v>
                </c:pt>
                <c:pt idx="147">
                  <c:v>39844</c:v>
                </c:pt>
                <c:pt idx="148">
                  <c:v>39813</c:v>
                </c:pt>
                <c:pt idx="149">
                  <c:v>39782</c:v>
                </c:pt>
                <c:pt idx="150">
                  <c:v>39752</c:v>
                </c:pt>
                <c:pt idx="151">
                  <c:v>39721</c:v>
                </c:pt>
                <c:pt idx="152">
                  <c:v>39691</c:v>
                </c:pt>
                <c:pt idx="153">
                  <c:v>39660</c:v>
                </c:pt>
                <c:pt idx="154">
                  <c:v>39629</c:v>
                </c:pt>
                <c:pt idx="155">
                  <c:v>39599</c:v>
                </c:pt>
                <c:pt idx="156">
                  <c:v>39568</c:v>
                </c:pt>
                <c:pt idx="157">
                  <c:v>39538</c:v>
                </c:pt>
                <c:pt idx="158">
                  <c:v>39507</c:v>
                </c:pt>
                <c:pt idx="159">
                  <c:v>39478</c:v>
                </c:pt>
                <c:pt idx="160">
                  <c:v>39447</c:v>
                </c:pt>
                <c:pt idx="161">
                  <c:v>39416</c:v>
                </c:pt>
                <c:pt idx="162">
                  <c:v>39386</c:v>
                </c:pt>
                <c:pt idx="163">
                  <c:v>39355</c:v>
                </c:pt>
                <c:pt idx="164">
                  <c:v>39325</c:v>
                </c:pt>
                <c:pt idx="165">
                  <c:v>39294</c:v>
                </c:pt>
                <c:pt idx="166">
                  <c:v>39263</c:v>
                </c:pt>
                <c:pt idx="167">
                  <c:v>39233</c:v>
                </c:pt>
                <c:pt idx="168">
                  <c:v>39202</c:v>
                </c:pt>
                <c:pt idx="169">
                  <c:v>39172</c:v>
                </c:pt>
                <c:pt idx="170">
                  <c:v>39141</c:v>
                </c:pt>
                <c:pt idx="171">
                  <c:v>39113</c:v>
                </c:pt>
                <c:pt idx="172">
                  <c:v>39082</c:v>
                </c:pt>
                <c:pt idx="173">
                  <c:v>39051</c:v>
                </c:pt>
                <c:pt idx="174">
                  <c:v>39021</c:v>
                </c:pt>
                <c:pt idx="175">
                  <c:v>38990</c:v>
                </c:pt>
                <c:pt idx="176">
                  <c:v>38960</c:v>
                </c:pt>
                <c:pt idx="177">
                  <c:v>38929</c:v>
                </c:pt>
                <c:pt idx="178">
                  <c:v>38898</c:v>
                </c:pt>
                <c:pt idx="179">
                  <c:v>38868</c:v>
                </c:pt>
                <c:pt idx="180">
                  <c:v>38837</c:v>
                </c:pt>
                <c:pt idx="181">
                  <c:v>38807</c:v>
                </c:pt>
                <c:pt idx="182">
                  <c:v>38776</c:v>
                </c:pt>
                <c:pt idx="183">
                  <c:v>38748</c:v>
                </c:pt>
                <c:pt idx="184">
                  <c:v>38717</c:v>
                </c:pt>
                <c:pt idx="185">
                  <c:v>38686</c:v>
                </c:pt>
                <c:pt idx="186">
                  <c:v>38656</c:v>
                </c:pt>
                <c:pt idx="187">
                  <c:v>38625</c:v>
                </c:pt>
                <c:pt idx="188">
                  <c:v>38595</c:v>
                </c:pt>
                <c:pt idx="189">
                  <c:v>38564</c:v>
                </c:pt>
                <c:pt idx="190">
                  <c:v>38533</c:v>
                </c:pt>
                <c:pt idx="191">
                  <c:v>38503</c:v>
                </c:pt>
                <c:pt idx="192">
                  <c:v>38472</c:v>
                </c:pt>
                <c:pt idx="193">
                  <c:v>38442</c:v>
                </c:pt>
                <c:pt idx="194">
                  <c:v>38411</c:v>
                </c:pt>
                <c:pt idx="195">
                  <c:v>38383</c:v>
                </c:pt>
                <c:pt idx="196">
                  <c:v>38352</c:v>
                </c:pt>
                <c:pt idx="197">
                  <c:v>38321</c:v>
                </c:pt>
                <c:pt idx="198">
                  <c:v>38291</c:v>
                </c:pt>
                <c:pt idx="199">
                  <c:v>38260</c:v>
                </c:pt>
                <c:pt idx="200">
                  <c:v>38230</c:v>
                </c:pt>
                <c:pt idx="201">
                  <c:v>38199</c:v>
                </c:pt>
                <c:pt idx="202">
                  <c:v>38168</c:v>
                </c:pt>
                <c:pt idx="203">
                  <c:v>38138</c:v>
                </c:pt>
                <c:pt idx="204">
                  <c:v>38107</c:v>
                </c:pt>
                <c:pt idx="205">
                  <c:v>38077</c:v>
                </c:pt>
                <c:pt idx="206">
                  <c:v>38046</c:v>
                </c:pt>
                <c:pt idx="207">
                  <c:v>38017</c:v>
                </c:pt>
                <c:pt idx="208">
                  <c:v>37986</c:v>
                </c:pt>
                <c:pt idx="209">
                  <c:v>37955</c:v>
                </c:pt>
                <c:pt idx="210">
                  <c:v>37925</c:v>
                </c:pt>
                <c:pt idx="211">
                  <c:v>37894</c:v>
                </c:pt>
                <c:pt idx="212">
                  <c:v>37864</c:v>
                </c:pt>
                <c:pt idx="213">
                  <c:v>37833</c:v>
                </c:pt>
                <c:pt idx="214">
                  <c:v>37802</c:v>
                </c:pt>
                <c:pt idx="215">
                  <c:v>37772</c:v>
                </c:pt>
                <c:pt idx="216">
                  <c:v>37741</c:v>
                </c:pt>
                <c:pt idx="217">
                  <c:v>37711</c:v>
                </c:pt>
                <c:pt idx="218">
                  <c:v>37680</c:v>
                </c:pt>
                <c:pt idx="219">
                  <c:v>37652</c:v>
                </c:pt>
                <c:pt idx="220">
                  <c:v>37621</c:v>
                </c:pt>
                <c:pt idx="221">
                  <c:v>37590</c:v>
                </c:pt>
                <c:pt idx="222">
                  <c:v>37560</c:v>
                </c:pt>
                <c:pt idx="223">
                  <c:v>37529</c:v>
                </c:pt>
                <c:pt idx="224">
                  <c:v>37499</c:v>
                </c:pt>
                <c:pt idx="225">
                  <c:v>37468</c:v>
                </c:pt>
                <c:pt idx="226">
                  <c:v>37437</c:v>
                </c:pt>
                <c:pt idx="227">
                  <c:v>37407</c:v>
                </c:pt>
                <c:pt idx="228">
                  <c:v>37376</c:v>
                </c:pt>
                <c:pt idx="229">
                  <c:v>37346</c:v>
                </c:pt>
                <c:pt idx="230">
                  <c:v>37315</c:v>
                </c:pt>
                <c:pt idx="231">
                  <c:v>37287</c:v>
                </c:pt>
                <c:pt idx="232">
                  <c:v>37256</c:v>
                </c:pt>
                <c:pt idx="233">
                  <c:v>37225</c:v>
                </c:pt>
                <c:pt idx="234">
                  <c:v>37195</c:v>
                </c:pt>
                <c:pt idx="235">
                  <c:v>37164</c:v>
                </c:pt>
                <c:pt idx="236">
                  <c:v>37134</c:v>
                </c:pt>
                <c:pt idx="237">
                  <c:v>37103</c:v>
                </c:pt>
                <c:pt idx="238">
                  <c:v>37072</c:v>
                </c:pt>
                <c:pt idx="239">
                  <c:v>37042</c:v>
                </c:pt>
              </c:numCache>
            </c:numRef>
          </c:cat>
          <c:val>
            <c:numRef>
              <c:f>inflation!$I$5:$I$244</c:f>
              <c:numCache>
                <c:formatCode>0.0%</c:formatCode>
                <c:ptCount val="240"/>
                <c:pt idx="0">
                  <c:v>1.6E-2</c:v>
                </c:pt>
                <c:pt idx="1">
                  <c:v>0.01</c:v>
                </c:pt>
                <c:pt idx="2">
                  <c:v>6.9999999999999993E-3</c:v>
                </c:pt>
                <c:pt idx="3">
                  <c:v>9.0000000000000011E-3</c:v>
                </c:pt>
                <c:pt idx="4">
                  <c:v>8.0000000000000002E-3</c:v>
                </c:pt>
                <c:pt idx="5">
                  <c:v>6.0000000000000001E-3</c:v>
                </c:pt>
                <c:pt idx="6">
                  <c:v>9.0000000000000011E-3</c:v>
                </c:pt>
                <c:pt idx="7">
                  <c:v>6.9999999999999993E-3</c:v>
                </c:pt>
                <c:pt idx="8">
                  <c:v>5.0000000000000001E-3</c:v>
                </c:pt>
                <c:pt idx="9">
                  <c:v>1.1000000000000001E-2</c:v>
                </c:pt>
                <c:pt idx="10">
                  <c:v>8.0000000000000002E-3</c:v>
                </c:pt>
                <c:pt idx="11">
                  <c:v>6.9999999999999993E-3</c:v>
                </c:pt>
                <c:pt idx="12">
                  <c:v>9.0000000000000011E-3</c:v>
                </c:pt>
                <c:pt idx="13">
                  <c:v>1.4999999999999999E-2</c:v>
                </c:pt>
                <c:pt idx="14">
                  <c:v>1.7000000000000001E-2</c:v>
                </c:pt>
                <c:pt idx="15">
                  <c:v>1.8000000000000002E-2</c:v>
                </c:pt>
                <c:pt idx="16">
                  <c:v>1.3999999999999999E-2</c:v>
                </c:pt>
                <c:pt idx="17">
                  <c:v>1.4999999999999999E-2</c:v>
                </c:pt>
                <c:pt idx="18">
                  <c:v>1.4999999999999999E-2</c:v>
                </c:pt>
                <c:pt idx="19">
                  <c:v>1.7000000000000001E-2</c:v>
                </c:pt>
                <c:pt idx="20">
                  <c:v>1.7000000000000001E-2</c:v>
                </c:pt>
                <c:pt idx="21">
                  <c:v>0.02</c:v>
                </c:pt>
                <c:pt idx="22">
                  <c:v>1.9E-2</c:v>
                </c:pt>
                <c:pt idx="23">
                  <c:v>1.9E-2</c:v>
                </c:pt>
                <c:pt idx="24">
                  <c:v>0.02</c:v>
                </c:pt>
                <c:pt idx="25">
                  <c:v>1.8000000000000002E-2</c:v>
                </c:pt>
                <c:pt idx="26">
                  <c:v>1.8000000000000002E-2</c:v>
                </c:pt>
                <c:pt idx="27">
                  <c:v>1.8000000000000002E-2</c:v>
                </c:pt>
                <c:pt idx="28">
                  <c:v>0.02</c:v>
                </c:pt>
                <c:pt idx="29">
                  <c:v>2.2000000000000002E-2</c:v>
                </c:pt>
                <c:pt idx="30">
                  <c:v>2.2000000000000002E-2</c:v>
                </c:pt>
                <c:pt idx="31">
                  <c:v>2.2000000000000002E-2</c:v>
                </c:pt>
                <c:pt idx="32">
                  <c:v>2.4E-2</c:v>
                </c:pt>
                <c:pt idx="33">
                  <c:v>2.3E-2</c:v>
                </c:pt>
                <c:pt idx="34">
                  <c:v>2.3E-2</c:v>
                </c:pt>
                <c:pt idx="35">
                  <c:v>2.3E-2</c:v>
                </c:pt>
                <c:pt idx="36">
                  <c:v>2.2000000000000002E-2</c:v>
                </c:pt>
                <c:pt idx="37">
                  <c:v>2.3E-2</c:v>
                </c:pt>
                <c:pt idx="38">
                  <c:v>2.5000000000000001E-2</c:v>
                </c:pt>
                <c:pt idx="39">
                  <c:v>2.7000000000000003E-2</c:v>
                </c:pt>
                <c:pt idx="40">
                  <c:v>2.7000000000000003E-2</c:v>
                </c:pt>
                <c:pt idx="41">
                  <c:v>2.7999999999999997E-2</c:v>
                </c:pt>
                <c:pt idx="42">
                  <c:v>2.7999999999999997E-2</c:v>
                </c:pt>
                <c:pt idx="43">
                  <c:v>2.7999999999999997E-2</c:v>
                </c:pt>
                <c:pt idx="44">
                  <c:v>2.7000000000000003E-2</c:v>
                </c:pt>
                <c:pt idx="45">
                  <c:v>2.6000000000000002E-2</c:v>
                </c:pt>
                <c:pt idx="46">
                  <c:v>2.6000000000000002E-2</c:v>
                </c:pt>
                <c:pt idx="47">
                  <c:v>2.7000000000000003E-2</c:v>
                </c:pt>
                <c:pt idx="48">
                  <c:v>2.6000000000000002E-2</c:v>
                </c:pt>
                <c:pt idx="49">
                  <c:v>2.3E-2</c:v>
                </c:pt>
                <c:pt idx="50">
                  <c:v>2.3E-2</c:v>
                </c:pt>
                <c:pt idx="51">
                  <c:v>1.9E-2</c:v>
                </c:pt>
                <c:pt idx="52">
                  <c:v>1.8000000000000002E-2</c:v>
                </c:pt>
                <c:pt idx="53">
                  <c:v>1.4999999999999999E-2</c:v>
                </c:pt>
                <c:pt idx="54">
                  <c:v>1.3000000000000001E-2</c:v>
                </c:pt>
                <c:pt idx="55">
                  <c:v>1.3000000000000001E-2</c:v>
                </c:pt>
                <c:pt idx="56">
                  <c:v>0.01</c:v>
                </c:pt>
                <c:pt idx="57">
                  <c:v>9.0000000000000011E-3</c:v>
                </c:pt>
                <c:pt idx="58">
                  <c:v>8.0000000000000002E-3</c:v>
                </c:pt>
                <c:pt idx="59">
                  <c:v>6.9999999999999993E-3</c:v>
                </c:pt>
                <c:pt idx="60">
                  <c:v>6.9999999999999993E-3</c:v>
                </c:pt>
                <c:pt idx="61">
                  <c:v>8.0000000000000002E-3</c:v>
                </c:pt>
                <c:pt idx="62">
                  <c:v>6.0000000000000001E-3</c:v>
                </c:pt>
                <c:pt idx="63">
                  <c:v>6.0000000000000001E-3</c:v>
                </c:pt>
                <c:pt idx="64">
                  <c:v>5.0000000000000001E-3</c:v>
                </c:pt>
                <c:pt idx="65">
                  <c:v>4.0000000000000001E-3</c:v>
                </c:pt>
                <c:pt idx="66">
                  <c:v>2E-3</c:v>
                </c:pt>
                <c:pt idx="67">
                  <c:v>2E-3</c:v>
                </c:pt>
                <c:pt idx="68">
                  <c:v>4.0000000000000001E-3</c:v>
                </c:pt>
                <c:pt idx="69">
                  <c:v>5.0000000000000001E-3</c:v>
                </c:pt>
                <c:pt idx="70">
                  <c:v>3.0000000000000001E-3</c:v>
                </c:pt>
                <c:pt idx="71">
                  <c:v>4.0000000000000001E-3</c:v>
                </c:pt>
                <c:pt idx="72">
                  <c:v>3.0000000000000001E-3</c:v>
                </c:pt>
                <c:pt idx="73">
                  <c:v>3.0000000000000001E-3</c:v>
                </c:pt>
                <c:pt idx="74">
                  <c:v>4.0000000000000001E-3</c:v>
                </c:pt>
                <c:pt idx="75">
                  <c:v>5.0000000000000001E-3</c:v>
                </c:pt>
                <c:pt idx="76">
                  <c:v>6.9999999999999993E-3</c:v>
                </c:pt>
                <c:pt idx="77">
                  <c:v>1.1000000000000001E-2</c:v>
                </c:pt>
                <c:pt idx="78">
                  <c:v>1.3000000000000001E-2</c:v>
                </c:pt>
                <c:pt idx="79">
                  <c:v>1.3000000000000001E-2</c:v>
                </c:pt>
                <c:pt idx="80">
                  <c:v>1.4999999999999999E-2</c:v>
                </c:pt>
                <c:pt idx="81">
                  <c:v>1.6E-2</c:v>
                </c:pt>
                <c:pt idx="82">
                  <c:v>1.8000000000000002E-2</c:v>
                </c:pt>
                <c:pt idx="83">
                  <c:v>1.4999999999999999E-2</c:v>
                </c:pt>
                <c:pt idx="84">
                  <c:v>1.7000000000000001E-2</c:v>
                </c:pt>
                <c:pt idx="85">
                  <c:v>1.4999999999999999E-2</c:v>
                </c:pt>
                <c:pt idx="86">
                  <c:v>1.6E-2</c:v>
                </c:pt>
                <c:pt idx="87">
                  <c:v>1.8000000000000002E-2</c:v>
                </c:pt>
                <c:pt idx="88">
                  <c:v>1.9E-2</c:v>
                </c:pt>
                <c:pt idx="89">
                  <c:v>1.9E-2</c:v>
                </c:pt>
                <c:pt idx="90">
                  <c:v>0.02</c:v>
                </c:pt>
                <c:pt idx="91">
                  <c:v>2.4E-2</c:v>
                </c:pt>
                <c:pt idx="92">
                  <c:v>2.4E-2</c:v>
                </c:pt>
                <c:pt idx="93">
                  <c:v>2.5000000000000001E-2</c:v>
                </c:pt>
                <c:pt idx="94">
                  <c:v>2.6000000000000002E-2</c:v>
                </c:pt>
                <c:pt idx="95">
                  <c:v>2.4E-2</c:v>
                </c:pt>
                <c:pt idx="96">
                  <c:v>2.2000000000000002E-2</c:v>
                </c:pt>
                <c:pt idx="97">
                  <c:v>2.5000000000000001E-2</c:v>
                </c:pt>
                <c:pt idx="98">
                  <c:v>2.5000000000000001E-2</c:v>
                </c:pt>
                <c:pt idx="99">
                  <c:v>2.4E-2</c:v>
                </c:pt>
                <c:pt idx="100">
                  <c:v>2.4E-2</c:v>
                </c:pt>
                <c:pt idx="101">
                  <c:v>2.4E-2</c:v>
                </c:pt>
                <c:pt idx="102">
                  <c:v>2.4E-2</c:v>
                </c:pt>
                <c:pt idx="103">
                  <c:v>2.1000000000000001E-2</c:v>
                </c:pt>
                <c:pt idx="104">
                  <c:v>2.3E-2</c:v>
                </c:pt>
                <c:pt idx="105">
                  <c:v>2.4E-2</c:v>
                </c:pt>
                <c:pt idx="106">
                  <c:v>2.3E-2</c:v>
                </c:pt>
                <c:pt idx="107">
                  <c:v>2.5000000000000001E-2</c:v>
                </c:pt>
                <c:pt idx="108">
                  <c:v>2.7999999999999997E-2</c:v>
                </c:pt>
                <c:pt idx="109">
                  <c:v>3.1E-2</c:v>
                </c:pt>
                <c:pt idx="110">
                  <c:v>3.1E-2</c:v>
                </c:pt>
                <c:pt idx="111">
                  <c:v>3.2000000000000001E-2</c:v>
                </c:pt>
                <c:pt idx="112">
                  <c:v>3.7000000000000005E-2</c:v>
                </c:pt>
                <c:pt idx="113">
                  <c:v>4.0999999999999995E-2</c:v>
                </c:pt>
                <c:pt idx="114">
                  <c:v>4.2999999999999997E-2</c:v>
                </c:pt>
                <c:pt idx="115">
                  <c:v>4.4999999999999998E-2</c:v>
                </c:pt>
                <c:pt idx="116">
                  <c:v>3.9E-2</c:v>
                </c:pt>
                <c:pt idx="117">
                  <c:v>3.7999999999999999E-2</c:v>
                </c:pt>
                <c:pt idx="118">
                  <c:v>3.6000000000000004E-2</c:v>
                </c:pt>
                <c:pt idx="119">
                  <c:v>3.7999999999999999E-2</c:v>
                </c:pt>
                <c:pt idx="120">
                  <c:v>3.7999999999999999E-2</c:v>
                </c:pt>
                <c:pt idx="121">
                  <c:v>3.5000000000000003E-2</c:v>
                </c:pt>
                <c:pt idx="122">
                  <c:v>3.7000000000000005E-2</c:v>
                </c:pt>
                <c:pt idx="123">
                  <c:v>3.4000000000000002E-2</c:v>
                </c:pt>
                <c:pt idx="124">
                  <c:v>3.1E-2</c:v>
                </c:pt>
                <c:pt idx="125">
                  <c:v>2.6000000000000002E-2</c:v>
                </c:pt>
                <c:pt idx="126">
                  <c:v>2.5000000000000001E-2</c:v>
                </c:pt>
                <c:pt idx="127">
                  <c:v>2.4E-2</c:v>
                </c:pt>
                <c:pt idx="128">
                  <c:v>2.4E-2</c:v>
                </c:pt>
                <c:pt idx="129">
                  <c:v>2.3E-2</c:v>
                </c:pt>
                <c:pt idx="130">
                  <c:v>2.4E-2</c:v>
                </c:pt>
                <c:pt idx="131">
                  <c:v>2.5000000000000001E-2</c:v>
                </c:pt>
                <c:pt idx="132">
                  <c:v>2.7000000000000003E-2</c:v>
                </c:pt>
                <c:pt idx="133">
                  <c:v>2.4E-2</c:v>
                </c:pt>
                <c:pt idx="134">
                  <c:v>2.1000000000000001E-2</c:v>
                </c:pt>
                <c:pt idx="135">
                  <c:v>2.6000000000000002E-2</c:v>
                </c:pt>
                <c:pt idx="136">
                  <c:v>2.1000000000000001E-2</c:v>
                </c:pt>
                <c:pt idx="137">
                  <c:v>1.4999999999999999E-2</c:v>
                </c:pt>
                <c:pt idx="138">
                  <c:v>1.2E-2</c:v>
                </c:pt>
                <c:pt idx="139">
                  <c:v>0.01</c:v>
                </c:pt>
                <c:pt idx="140">
                  <c:v>1.3999999999999999E-2</c:v>
                </c:pt>
                <c:pt idx="141">
                  <c:v>1.6E-2</c:v>
                </c:pt>
                <c:pt idx="142">
                  <c:v>1.7000000000000001E-2</c:v>
                </c:pt>
                <c:pt idx="143">
                  <c:v>2.1000000000000001E-2</c:v>
                </c:pt>
                <c:pt idx="144">
                  <c:v>2.3E-2</c:v>
                </c:pt>
                <c:pt idx="145">
                  <c:v>2.7999999999999997E-2</c:v>
                </c:pt>
                <c:pt idx="146">
                  <c:v>3.1E-2</c:v>
                </c:pt>
                <c:pt idx="147">
                  <c:v>2.8999999999999998E-2</c:v>
                </c:pt>
                <c:pt idx="148">
                  <c:v>0.03</c:v>
                </c:pt>
                <c:pt idx="149">
                  <c:v>3.7999999999999999E-2</c:v>
                </c:pt>
                <c:pt idx="150">
                  <c:v>4.2000000000000003E-2</c:v>
                </c:pt>
                <c:pt idx="151">
                  <c:v>4.8000000000000001E-2</c:v>
                </c:pt>
                <c:pt idx="152">
                  <c:v>4.4000000000000004E-2</c:v>
                </c:pt>
                <c:pt idx="153">
                  <c:v>4.2000000000000003E-2</c:v>
                </c:pt>
                <c:pt idx="154">
                  <c:v>3.7000000000000005E-2</c:v>
                </c:pt>
                <c:pt idx="155">
                  <c:v>3.3000000000000002E-2</c:v>
                </c:pt>
                <c:pt idx="156">
                  <c:v>0.03</c:v>
                </c:pt>
                <c:pt idx="157">
                  <c:v>2.6000000000000002E-2</c:v>
                </c:pt>
                <c:pt idx="158">
                  <c:v>2.6000000000000002E-2</c:v>
                </c:pt>
                <c:pt idx="159">
                  <c:v>2.4E-2</c:v>
                </c:pt>
                <c:pt idx="160">
                  <c:v>2.3E-2</c:v>
                </c:pt>
                <c:pt idx="161">
                  <c:v>2.2000000000000002E-2</c:v>
                </c:pt>
                <c:pt idx="162">
                  <c:v>2.3E-2</c:v>
                </c:pt>
                <c:pt idx="163">
                  <c:v>0.02</c:v>
                </c:pt>
                <c:pt idx="164">
                  <c:v>0.02</c:v>
                </c:pt>
                <c:pt idx="165">
                  <c:v>0.02</c:v>
                </c:pt>
                <c:pt idx="166">
                  <c:v>2.5000000000000001E-2</c:v>
                </c:pt>
                <c:pt idx="167">
                  <c:v>2.5000000000000001E-2</c:v>
                </c:pt>
                <c:pt idx="168">
                  <c:v>2.7000000000000003E-2</c:v>
                </c:pt>
                <c:pt idx="169">
                  <c:v>2.8999999999999998E-2</c:v>
                </c:pt>
                <c:pt idx="170">
                  <c:v>2.7000000000000003E-2</c:v>
                </c:pt>
                <c:pt idx="171">
                  <c:v>2.7000000000000003E-2</c:v>
                </c:pt>
                <c:pt idx="172">
                  <c:v>2.8999999999999998E-2</c:v>
                </c:pt>
                <c:pt idx="173">
                  <c:v>2.7999999999999997E-2</c:v>
                </c:pt>
                <c:pt idx="174">
                  <c:v>2.5000000000000001E-2</c:v>
                </c:pt>
                <c:pt idx="175">
                  <c:v>2.5000000000000001E-2</c:v>
                </c:pt>
                <c:pt idx="176">
                  <c:v>2.6000000000000002E-2</c:v>
                </c:pt>
                <c:pt idx="177">
                  <c:v>2.5000000000000001E-2</c:v>
                </c:pt>
                <c:pt idx="178">
                  <c:v>2.6000000000000002E-2</c:v>
                </c:pt>
                <c:pt idx="179">
                  <c:v>2.4E-2</c:v>
                </c:pt>
                <c:pt idx="180">
                  <c:v>2.2000000000000002E-2</c:v>
                </c:pt>
                <c:pt idx="181">
                  <c:v>0.02</c:v>
                </c:pt>
                <c:pt idx="182">
                  <c:v>2.2000000000000002E-2</c:v>
                </c:pt>
                <c:pt idx="183">
                  <c:v>2.2000000000000002E-2</c:v>
                </c:pt>
                <c:pt idx="184">
                  <c:v>2.1000000000000001E-2</c:v>
                </c:pt>
                <c:pt idx="185">
                  <c:v>2.2000000000000002E-2</c:v>
                </c:pt>
                <c:pt idx="186">
                  <c:v>2.4E-2</c:v>
                </c:pt>
                <c:pt idx="187">
                  <c:v>2.5000000000000001E-2</c:v>
                </c:pt>
                <c:pt idx="188">
                  <c:v>2.4E-2</c:v>
                </c:pt>
                <c:pt idx="189">
                  <c:v>2.3E-2</c:v>
                </c:pt>
                <c:pt idx="190">
                  <c:v>0.02</c:v>
                </c:pt>
                <c:pt idx="191">
                  <c:v>1.9E-2</c:v>
                </c:pt>
                <c:pt idx="192">
                  <c:v>1.9E-2</c:v>
                </c:pt>
                <c:pt idx="193">
                  <c:v>0.02</c:v>
                </c:pt>
                <c:pt idx="194">
                  <c:v>1.7000000000000001E-2</c:v>
                </c:pt>
                <c:pt idx="195">
                  <c:v>1.7000000000000001E-2</c:v>
                </c:pt>
                <c:pt idx="196">
                  <c:v>1.8000000000000002E-2</c:v>
                </c:pt>
                <c:pt idx="197">
                  <c:v>1.4999999999999999E-2</c:v>
                </c:pt>
                <c:pt idx="198">
                  <c:v>1.3000000000000001E-2</c:v>
                </c:pt>
                <c:pt idx="199">
                  <c:v>1.2E-2</c:v>
                </c:pt>
                <c:pt idx="200">
                  <c:v>1.3999999999999999E-2</c:v>
                </c:pt>
                <c:pt idx="201">
                  <c:v>1.3999999999999999E-2</c:v>
                </c:pt>
                <c:pt idx="202">
                  <c:v>1.4999999999999999E-2</c:v>
                </c:pt>
                <c:pt idx="203">
                  <c:v>1.3999999999999999E-2</c:v>
                </c:pt>
                <c:pt idx="204">
                  <c:v>1.1000000000000001E-2</c:v>
                </c:pt>
                <c:pt idx="205">
                  <c:v>1.2E-2</c:v>
                </c:pt>
                <c:pt idx="206">
                  <c:v>1.3999999999999999E-2</c:v>
                </c:pt>
                <c:pt idx="207">
                  <c:v>1.4999999999999999E-2</c:v>
                </c:pt>
                <c:pt idx="208">
                  <c:v>1.3000000000000001E-2</c:v>
                </c:pt>
                <c:pt idx="209">
                  <c:v>1.3000000000000001E-2</c:v>
                </c:pt>
                <c:pt idx="210">
                  <c:v>1.3000000000000001E-2</c:v>
                </c:pt>
                <c:pt idx="211">
                  <c:v>1.3000000000000001E-2</c:v>
                </c:pt>
                <c:pt idx="212">
                  <c:v>1.3999999999999999E-2</c:v>
                </c:pt>
                <c:pt idx="213">
                  <c:v>1.3000000000000001E-2</c:v>
                </c:pt>
                <c:pt idx="214">
                  <c:v>1.2E-2</c:v>
                </c:pt>
                <c:pt idx="215">
                  <c:v>1.3000000000000001E-2</c:v>
                </c:pt>
                <c:pt idx="216">
                  <c:v>1.4999999999999999E-2</c:v>
                </c:pt>
                <c:pt idx="217">
                  <c:v>1.6E-2</c:v>
                </c:pt>
                <c:pt idx="218">
                  <c:v>1.6E-2</c:v>
                </c:pt>
                <c:pt idx="219">
                  <c:v>1.3999999999999999E-2</c:v>
                </c:pt>
                <c:pt idx="220">
                  <c:v>1.7000000000000001E-2</c:v>
                </c:pt>
                <c:pt idx="221">
                  <c:v>1.6E-2</c:v>
                </c:pt>
                <c:pt idx="222">
                  <c:v>1.4999999999999999E-2</c:v>
                </c:pt>
                <c:pt idx="223">
                  <c:v>1.2E-2</c:v>
                </c:pt>
                <c:pt idx="224">
                  <c:v>1.3000000000000001E-2</c:v>
                </c:pt>
                <c:pt idx="225">
                  <c:v>1.3999999999999999E-2</c:v>
                </c:pt>
                <c:pt idx="226">
                  <c:v>1.1000000000000001E-2</c:v>
                </c:pt>
                <c:pt idx="227">
                  <c:v>1.2E-2</c:v>
                </c:pt>
                <c:pt idx="228">
                  <c:v>1.6E-2</c:v>
                </c:pt>
                <c:pt idx="229">
                  <c:v>1.7000000000000001E-2</c:v>
                </c:pt>
                <c:pt idx="230">
                  <c:v>1.7000000000000001E-2</c:v>
                </c:pt>
                <c:pt idx="231">
                  <c:v>1.8000000000000002E-2</c:v>
                </c:pt>
                <c:pt idx="232">
                  <c:v>1.3999999999999999E-2</c:v>
                </c:pt>
                <c:pt idx="233">
                  <c:v>1.2E-2</c:v>
                </c:pt>
                <c:pt idx="234">
                  <c:v>1.6E-2</c:v>
                </c:pt>
                <c:pt idx="235">
                  <c:v>1.7000000000000001E-2</c:v>
                </c:pt>
                <c:pt idx="236">
                  <c:v>2.1000000000000001E-2</c:v>
                </c:pt>
                <c:pt idx="237">
                  <c:v>1.7000000000000001E-2</c:v>
                </c:pt>
                <c:pt idx="238">
                  <c:v>1.9E-2</c:v>
                </c:pt>
                <c:pt idx="239">
                  <c:v>1.9E-2</c:v>
                </c:pt>
              </c:numCache>
            </c:numRef>
          </c:val>
          <c:smooth val="0"/>
          <c:extLst>
            <c:ext xmlns:c16="http://schemas.microsoft.com/office/drawing/2014/chart" uri="{C3380CC4-5D6E-409C-BE32-E72D297353CC}">
              <c16:uniqueId val="{00000002-509C-4B29-ABCC-E9A43FADD87C}"/>
            </c:ext>
          </c:extLst>
        </c:ser>
        <c:dLbls>
          <c:showLegendKey val="0"/>
          <c:showVal val="0"/>
          <c:showCatName val="0"/>
          <c:showSerName val="0"/>
          <c:showPercent val="0"/>
          <c:showBubbleSize val="0"/>
        </c:dLbls>
        <c:smooth val="0"/>
        <c:axId val="621099400"/>
        <c:axId val="621101368"/>
      </c:lineChart>
      <c:dateAx>
        <c:axId val="621099400"/>
        <c:scaling>
          <c:orientation val="minMax"/>
        </c:scaling>
        <c:delete val="0"/>
        <c:axPos val="b"/>
        <c:numFmt formatCode="[$-409]mmm\-yy;@" sourceLinked="0"/>
        <c:majorTickMark val="none"/>
        <c:minorTickMark val="none"/>
        <c:tickLblPos val="low"/>
        <c:spPr>
          <a:noFill/>
          <a:ln w="9525" cap="flat" cmpd="sng" algn="ctr">
            <a:no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621101368"/>
        <c:crosses val="autoZero"/>
        <c:auto val="1"/>
        <c:lblOffset val="100"/>
        <c:baseTimeUnit val="months"/>
        <c:majorUnit val="2"/>
        <c:majorTimeUnit val="years"/>
      </c:dateAx>
      <c:valAx>
        <c:axId val="621101368"/>
        <c:scaling>
          <c:orientation val="minMax"/>
        </c:scaling>
        <c:delete val="0"/>
        <c:axPos val="l"/>
        <c:numFmt formatCode="0%" sourceLinked="0"/>
        <c:majorTickMark val="none"/>
        <c:minorTickMark val="none"/>
        <c:tickLblPos val="high"/>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62109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Roboto Condensed" panose="02000000000000000000" pitchFamily="2" charset="0"/>
          <a:ea typeface="Roboto Condensed" panose="02000000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337165715653987E-2"/>
          <c:y val="5.0925925925925923E-2"/>
          <c:w val="0.87338698363941369"/>
          <c:h val="0.89814814814814814"/>
        </c:manualLayout>
      </c:layout>
      <c:lineChart>
        <c:grouping val="standard"/>
        <c:varyColors val="0"/>
        <c:ser>
          <c:idx val="0"/>
          <c:order val="0"/>
          <c:tx>
            <c:strRef>
              <c:f>evebitda!$P$4</c:f>
              <c:strCache>
                <c:ptCount val="1"/>
                <c:pt idx="0">
                  <c:v>Average</c:v>
                </c:pt>
              </c:strCache>
            </c:strRef>
          </c:tx>
          <c:spPr>
            <a:ln w="19050" cap="rnd">
              <a:solidFill>
                <a:schemeClr val="bg1">
                  <a:lumMod val="50000"/>
                </a:schemeClr>
              </a:solidFill>
              <a:round/>
            </a:ln>
            <a:effectLst/>
          </c:spPr>
          <c:marker>
            <c:symbol val="none"/>
          </c:marker>
          <c:cat>
            <c:numRef>
              <c:f>evebitda!$B$5:$B$258</c:f>
              <c:numCache>
                <c:formatCode>m/d/yyyy</c:formatCode>
                <c:ptCount val="254"/>
                <c:pt idx="0">
                  <c:v>44335</c:v>
                </c:pt>
                <c:pt idx="1">
                  <c:v>44334</c:v>
                </c:pt>
                <c:pt idx="2">
                  <c:v>44333</c:v>
                </c:pt>
                <c:pt idx="3">
                  <c:v>44330</c:v>
                </c:pt>
                <c:pt idx="4">
                  <c:v>44329</c:v>
                </c:pt>
                <c:pt idx="5">
                  <c:v>44328</c:v>
                </c:pt>
                <c:pt idx="6">
                  <c:v>44327</c:v>
                </c:pt>
                <c:pt idx="7">
                  <c:v>44326</c:v>
                </c:pt>
                <c:pt idx="8">
                  <c:v>44323</c:v>
                </c:pt>
                <c:pt idx="9">
                  <c:v>44322</c:v>
                </c:pt>
                <c:pt idx="10">
                  <c:v>44321</c:v>
                </c:pt>
                <c:pt idx="11">
                  <c:v>44320</c:v>
                </c:pt>
                <c:pt idx="12">
                  <c:v>44316</c:v>
                </c:pt>
                <c:pt idx="13">
                  <c:v>44315</c:v>
                </c:pt>
                <c:pt idx="14">
                  <c:v>44314</c:v>
                </c:pt>
                <c:pt idx="15">
                  <c:v>44313</c:v>
                </c:pt>
                <c:pt idx="16">
                  <c:v>44312</c:v>
                </c:pt>
                <c:pt idx="17">
                  <c:v>44309</c:v>
                </c:pt>
                <c:pt idx="18">
                  <c:v>44308</c:v>
                </c:pt>
                <c:pt idx="19">
                  <c:v>44307</c:v>
                </c:pt>
                <c:pt idx="20">
                  <c:v>44306</c:v>
                </c:pt>
                <c:pt idx="21">
                  <c:v>44305</c:v>
                </c:pt>
                <c:pt idx="22">
                  <c:v>44302</c:v>
                </c:pt>
                <c:pt idx="23">
                  <c:v>44301</c:v>
                </c:pt>
                <c:pt idx="24">
                  <c:v>44300</c:v>
                </c:pt>
                <c:pt idx="25">
                  <c:v>44299</c:v>
                </c:pt>
                <c:pt idx="26">
                  <c:v>44298</c:v>
                </c:pt>
                <c:pt idx="27">
                  <c:v>44295</c:v>
                </c:pt>
                <c:pt idx="28">
                  <c:v>44294</c:v>
                </c:pt>
                <c:pt idx="29">
                  <c:v>44293</c:v>
                </c:pt>
                <c:pt idx="30">
                  <c:v>44292</c:v>
                </c:pt>
                <c:pt idx="31">
                  <c:v>44287</c:v>
                </c:pt>
                <c:pt idx="32">
                  <c:v>44286</c:v>
                </c:pt>
                <c:pt idx="33">
                  <c:v>44285</c:v>
                </c:pt>
                <c:pt idx="34">
                  <c:v>44284</c:v>
                </c:pt>
                <c:pt idx="35">
                  <c:v>44281</c:v>
                </c:pt>
                <c:pt idx="36">
                  <c:v>44280</c:v>
                </c:pt>
                <c:pt idx="37">
                  <c:v>44279</c:v>
                </c:pt>
                <c:pt idx="38">
                  <c:v>44278</c:v>
                </c:pt>
                <c:pt idx="39">
                  <c:v>44277</c:v>
                </c:pt>
                <c:pt idx="40">
                  <c:v>44274</c:v>
                </c:pt>
                <c:pt idx="41">
                  <c:v>44273</c:v>
                </c:pt>
                <c:pt idx="42">
                  <c:v>44272</c:v>
                </c:pt>
                <c:pt idx="43">
                  <c:v>44271</c:v>
                </c:pt>
                <c:pt idx="44">
                  <c:v>44270</c:v>
                </c:pt>
                <c:pt idx="45">
                  <c:v>44267</c:v>
                </c:pt>
                <c:pt idx="46">
                  <c:v>44266</c:v>
                </c:pt>
                <c:pt idx="47">
                  <c:v>44265</c:v>
                </c:pt>
                <c:pt idx="48">
                  <c:v>44264</c:v>
                </c:pt>
                <c:pt idx="49">
                  <c:v>44263</c:v>
                </c:pt>
                <c:pt idx="50">
                  <c:v>44260</c:v>
                </c:pt>
                <c:pt idx="51">
                  <c:v>44259</c:v>
                </c:pt>
                <c:pt idx="52">
                  <c:v>44258</c:v>
                </c:pt>
                <c:pt idx="53">
                  <c:v>44257</c:v>
                </c:pt>
                <c:pt idx="54">
                  <c:v>44256</c:v>
                </c:pt>
                <c:pt idx="55">
                  <c:v>44253</c:v>
                </c:pt>
                <c:pt idx="56">
                  <c:v>44252</c:v>
                </c:pt>
                <c:pt idx="57">
                  <c:v>44251</c:v>
                </c:pt>
                <c:pt idx="58">
                  <c:v>44250</c:v>
                </c:pt>
                <c:pt idx="59">
                  <c:v>44249</c:v>
                </c:pt>
                <c:pt idx="60">
                  <c:v>44246</c:v>
                </c:pt>
                <c:pt idx="61">
                  <c:v>44245</c:v>
                </c:pt>
                <c:pt idx="62">
                  <c:v>44244</c:v>
                </c:pt>
                <c:pt idx="63">
                  <c:v>44243</c:v>
                </c:pt>
                <c:pt idx="64">
                  <c:v>44242</c:v>
                </c:pt>
                <c:pt idx="65">
                  <c:v>44239</c:v>
                </c:pt>
                <c:pt idx="66">
                  <c:v>44238</c:v>
                </c:pt>
                <c:pt idx="67">
                  <c:v>44237</c:v>
                </c:pt>
                <c:pt idx="68">
                  <c:v>44236</c:v>
                </c:pt>
                <c:pt idx="69">
                  <c:v>44235</c:v>
                </c:pt>
                <c:pt idx="70">
                  <c:v>44232</c:v>
                </c:pt>
                <c:pt idx="71">
                  <c:v>44231</c:v>
                </c:pt>
                <c:pt idx="72">
                  <c:v>44230</c:v>
                </c:pt>
                <c:pt idx="73">
                  <c:v>44229</c:v>
                </c:pt>
                <c:pt idx="74">
                  <c:v>44228</c:v>
                </c:pt>
                <c:pt idx="75">
                  <c:v>44225</c:v>
                </c:pt>
                <c:pt idx="76">
                  <c:v>44224</c:v>
                </c:pt>
                <c:pt idx="77">
                  <c:v>44223</c:v>
                </c:pt>
                <c:pt idx="78">
                  <c:v>44222</c:v>
                </c:pt>
                <c:pt idx="79">
                  <c:v>44221</c:v>
                </c:pt>
                <c:pt idx="80">
                  <c:v>44218</c:v>
                </c:pt>
                <c:pt idx="81">
                  <c:v>44217</c:v>
                </c:pt>
                <c:pt idx="82">
                  <c:v>44216</c:v>
                </c:pt>
                <c:pt idx="83">
                  <c:v>44215</c:v>
                </c:pt>
                <c:pt idx="84">
                  <c:v>44214</c:v>
                </c:pt>
                <c:pt idx="85">
                  <c:v>44211</c:v>
                </c:pt>
                <c:pt idx="86">
                  <c:v>44210</c:v>
                </c:pt>
                <c:pt idx="87">
                  <c:v>44209</c:v>
                </c:pt>
                <c:pt idx="88">
                  <c:v>44208</c:v>
                </c:pt>
                <c:pt idx="89">
                  <c:v>44207</c:v>
                </c:pt>
                <c:pt idx="90">
                  <c:v>44204</c:v>
                </c:pt>
                <c:pt idx="91">
                  <c:v>44203</c:v>
                </c:pt>
                <c:pt idx="92">
                  <c:v>44202</c:v>
                </c:pt>
                <c:pt idx="93">
                  <c:v>44201</c:v>
                </c:pt>
                <c:pt idx="94">
                  <c:v>44200</c:v>
                </c:pt>
                <c:pt idx="95">
                  <c:v>44196</c:v>
                </c:pt>
                <c:pt idx="96">
                  <c:v>44195</c:v>
                </c:pt>
                <c:pt idx="97">
                  <c:v>44194</c:v>
                </c:pt>
                <c:pt idx="98">
                  <c:v>44189</c:v>
                </c:pt>
                <c:pt idx="99">
                  <c:v>44188</c:v>
                </c:pt>
                <c:pt idx="100">
                  <c:v>44187</c:v>
                </c:pt>
                <c:pt idx="101">
                  <c:v>44186</c:v>
                </c:pt>
                <c:pt idx="102">
                  <c:v>44183</c:v>
                </c:pt>
                <c:pt idx="103">
                  <c:v>44182</c:v>
                </c:pt>
                <c:pt idx="104">
                  <c:v>44181</c:v>
                </c:pt>
                <c:pt idx="105">
                  <c:v>44180</c:v>
                </c:pt>
                <c:pt idx="106">
                  <c:v>44179</c:v>
                </c:pt>
                <c:pt idx="107">
                  <c:v>44176</c:v>
                </c:pt>
                <c:pt idx="108">
                  <c:v>44175</c:v>
                </c:pt>
                <c:pt idx="109">
                  <c:v>44174</c:v>
                </c:pt>
                <c:pt idx="110">
                  <c:v>44173</c:v>
                </c:pt>
                <c:pt idx="111">
                  <c:v>44172</c:v>
                </c:pt>
                <c:pt idx="112">
                  <c:v>44169</c:v>
                </c:pt>
                <c:pt idx="113">
                  <c:v>44168</c:v>
                </c:pt>
                <c:pt idx="114">
                  <c:v>44167</c:v>
                </c:pt>
                <c:pt idx="115">
                  <c:v>44166</c:v>
                </c:pt>
                <c:pt idx="116">
                  <c:v>44165</c:v>
                </c:pt>
                <c:pt idx="117">
                  <c:v>44162</c:v>
                </c:pt>
                <c:pt idx="118">
                  <c:v>44161</c:v>
                </c:pt>
                <c:pt idx="119">
                  <c:v>44160</c:v>
                </c:pt>
                <c:pt idx="120">
                  <c:v>44159</c:v>
                </c:pt>
                <c:pt idx="121">
                  <c:v>44158</c:v>
                </c:pt>
                <c:pt idx="122">
                  <c:v>44155</c:v>
                </c:pt>
                <c:pt idx="123">
                  <c:v>44154</c:v>
                </c:pt>
                <c:pt idx="124">
                  <c:v>44153</c:v>
                </c:pt>
                <c:pt idx="125">
                  <c:v>44152</c:v>
                </c:pt>
                <c:pt idx="126">
                  <c:v>44151</c:v>
                </c:pt>
                <c:pt idx="127">
                  <c:v>44148</c:v>
                </c:pt>
                <c:pt idx="128">
                  <c:v>44147</c:v>
                </c:pt>
                <c:pt idx="129">
                  <c:v>44146</c:v>
                </c:pt>
                <c:pt idx="130">
                  <c:v>44145</c:v>
                </c:pt>
                <c:pt idx="131">
                  <c:v>44144</c:v>
                </c:pt>
                <c:pt idx="132">
                  <c:v>44141</c:v>
                </c:pt>
                <c:pt idx="133">
                  <c:v>44140</c:v>
                </c:pt>
                <c:pt idx="134">
                  <c:v>44139</c:v>
                </c:pt>
                <c:pt idx="135">
                  <c:v>44138</c:v>
                </c:pt>
                <c:pt idx="136">
                  <c:v>44137</c:v>
                </c:pt>
                <c:pt idx="137">
                  <c:v>44134</c:v>
                </c:pt>
                <c:pt idx="138">
                  <c:v>44133</c:v>
                </c:pt>
                <c:pt idx="139">
                  <c:v>44132</c:v>
                </c:pt>
                <c:pt idx="140">
                  <c:v>44131</c:v>
                </c:pt>
                <c:pt idx="141">
                  <c:v>44130</c:v>
                </c:pt>
                <c:pt idx="142">
                  <c:v>44127</c:v>
                </c:pt>
                <c:pt idx="143">
                  <c:v>44126</c:v>
                </c:pt>
                <c:pt idx="144">
                  <c:v>44125</c:v>
                </c:pt>
                <c:pt idx="145">
                  <c:v>44124</c:v>
                </c:pt>
                <c:pt idx="146">
                  <c:v>44123</c:v>
                </c:pt>
                <c:pt idx="147">
                  <c:v>44120</c:v>
                </c:pt>
                <c:pt idx="148">
                  <c:v>44119</c:v>
                </c:pt>
                <c:pt idx="149">
                  <c:v>44118</c:v>
                </c:pt>
                <c:pt idx="150">
                  <c:v>44117</c:v>
                </c:pt>
                <c:pt idx="151">
                  <c:v>44116</c:v>
                </c:pt>
                <c:pt idx="152">
                  <c:v>44113</c:v>
                </c:pt>
                <c:pt idx="153">
                  <c:v>44112</c:v>
                </c:pt>
                <c:pt idx="154">
                  <c:v>44111</c:v>
                </c:pt>
                <c:pt idx="155">
                  <c:v>44110</c:v>
                </c:pt>
                <c:pt idx="156">
                  <c:v>44109</c:v>
                </c:pt>
                <c:pt idx="157">
                  <c:v>44106</c:v>
                </c:pt>
                <c:pt idx="158">
                  <c:v>44105</c:v>
                </c:pt>
                <c:pt idx="159">
                  <c:v>44104</c:v>
                </c:pt>
                <c:pt idx="160">
                  <c:v>44103</c:v>
                </c:pt>
                <c:pt idx="161">
                  <c:v>44102</c:v>
                </c:pt>
                <c:pt idx="162">
                  <c:v>44099</c:v>
                </c:pt>
                <c:pt idx="163">
                  <c:v>44098</c:v>
                </c:pt>
                <c:pt idx="164">
                  <c:v>44097</c:v>
                </c:pt>
                <c:pt idx="165">
                  <c:v>44096</c:v>
                </c:pt>
                <c:pt idx="166">
                  <c:v>44095</c:v>
                </c:pt>
                <c:pt idx="167">
                  <c:v>44092</c:v>
                </c:pt>
                <c:pt idx="168">
                  <c:v>44091</c:v>
                </c:pt>
                <c:pt idx="169">
                  <c:v>44090</c:v>
                </c:pt>
                <c:pt idx="170">
                  <c:v>44089</c:v>
                </c:pt>
                <c:pt idx="171">
                  <c:v>44088</c:v>
                </c:pt>
                <c:pt idx="172">
                  <c:v>44085</c:v>
                </c:pt>
                <c:pt idx="173">
                  <c:v>44084</c:v>
                </c:pt>
                <c:pt idx="174">
                  <c:v>44083</c:v>
                </c:pt>
                <c:pt idx="175">
                  <c:v>44082</c:v>
                </c:pt>
                <c:pt idx="176">
                  <c:v>44081</c:v>
                </c:pt>
                <c:pt idx="177">
                  <c:v>44078</c:v>
                </c:pt>
                <c:pt idx="178">
                  <c:v>44077</c:v>
                </c:pt>
                <c:pt idx="179">
                  <c:v>44076</c:v>
                </c:pt>
                <c:pt idx="180">
                  <c:v>44075</c:v>
                </c:pt>
                <c:pt idx="181">
                  <c:v>44071</c:v>
                </c:pt>
                <c:pt idx="182">
                  <c:v>44070</c:v>
                </c:pt>
                <c:pt idx="183">
                  <c:v>44069</c:v>
                </c:pt>
                <c:pt idx="184">
                  <c:v>44068</c:v>
                </c:pt>
                <c:pt idx="185">
                  <c:v>44067</c:v>
                </c:pt>
                <c:pt idx="186">
                  <c:v>44064</c:v>
                </c:pt>
                <c:pt idx="187">
                  <c:v>44063</c:v>
                </c:pt>
                <c:pt idx="188">
                  <c:v>44062</c:v>
                </c:pt>
                <c:pt idx="189">
                  <c:v>44061</c:v>
                </c:pt>
                <c:pt idx="190">
                  <c:v>44060</c:v>
                </c:pt>
                <c:pt idx="191">
                  <c:v>44057</c:v>
                </c:pt>
                <c:pt idx="192">
                  <c:v>44056</c:v>
                </c:pt>
                <c:pt idx="193">
                  <c:v>44055</c:v>
                </c:pt>
                <c:pt idx="194">
                  <c:v>44054</c:v>
                </c:pt>
                <c:pt idx="195">
                  <c:v>44053</c:v>
                </c:pt>
                <c:pt idx="196">
                  <c:v>44050</c:v>
                </c:pt>
                <c:pt idx="197">
                  <c:v>44049</c:v>
                </c:pt>
                <c:pt idx="198">
                  <c:v>44048</c:v>
                </c:pt>
                <c:pt idx="199">
                  <c:v>44047</c:v>
                </c:pt>
                <c:pt idx="200">
                  <c:v>44046</c:v>
                </c:pt>
                <c:pt idx="201">
                  <c:v>44043</c:v>
                </c:pt>
                <c:pt idx="202">
                  <c:v>44042</c:v>
                </c:pt>
                <c:pt idx="203">
                  <c:v>44041</c:v>
                </c:pt>
                <c:pt idx="204">
                  <c:v>44040</c:v>
                </c:pt>
                <c:pt idx="205">
                  <c:v>44039</c:v>
                </c:pt>
                <c:pt idx="206">
                  <c:v>44036</c:v>
                </c:pt>
                <c:pt idx="207">
                  <c:v>44035</c:v>
                </c:pt>
                <c:pt idx="208">
                  <c:v>44034</c:v>
                </c:pt>
                <c:pt idx="209">
                  <c:v>44033</c:v>
                </c:pt>
                <c:pt idx="210">
                  <c:v>44032</c:v>
                </c:pt>
                <c:pt idx="211">
                  <c:v>44029</c:v>
                </c:pt>
                <c:pt idx="212">
                  <c:v>44028</c:v>
                </c:pt>
                <c:pt idx="213">
                  <c:v>44027</c:v>
                </c:pt>
                <c:pt idx="214">
                  <c:v>44026</c:v>
                </c:pt>
                <c:pt idx="215">
                  <c:v>44025</c:v>
                </c:pt>
                <c:pt idx="216">
                  <c:v>44022</c:v>
                </c:pt>
                <c:pt idx="217">
                  <c:v>44021</c:v>
                </c:pt>
                <c:pt idx="218">
                  <c:v>44020</c:v>
                </c:pt>
                <c:pt idx="219">
                  <c:v>44019</c:v>
                </c:pt>
                <c:pt idx="220">
                  <c:v>44018</c:v>
                </c:pt>
                <c:pt idx="221">
                  <c:v>44015</c:v>
                </c:pt>
                <c:pt idx="222">
                  <c:v>44014</c:v>
                </c:pt>
                <c:pt idx="223">
                  <c:v>44013</c:v>
                </c:pt>
                <c:pt idx="224">
                  <c:v>44012</c:v>
                </c:pt>
                <c:pt idx="225">
                  <c:v>44011</c:v>
                </c:pt>
                <c:pt idx="226">
                  <c:v>44008</c:v>
                </c:pt>
                <c:pt idx="227">
                  <c:v>44007</c:v>
                </c:pt>
                <c:pt idx="228">
                  <c:v>44006</c:v>
                </c:pt>
                <c:pt idx="229">
                  <c:v>44005</c:v>
                </c:pt>
                <c:pt idx="230">
                  <c:v>44004</c:v>
                </c:pt>
                <c:pt idx="231">
                  <c:v>44001</c:v>
                </c:pt>
                <c:pt idx="232">
                  <c:v>44000</c:v>
                </c:pt>
                <c:pt idx="233">
                  <c:v>43999</c:v>
                </c:pt>
                <c:pt idx="234">
                  <c:v>43998</c:v>
                </c:pt>
                <c:pt idx="235">
                  <c:v>43997</c:v>
                </c:pt>
                <c:pt idx="236">
                  <c:v>43994</c:v>
                </c:pt>
                <c:pt idx="237">
                  <c:v>43993</c:v>
                </c:pt>
                <c:pt idx="238">
                  <c:v>43992</c:v>
                </c:pt>
                <c:pt idx="239">
                  <c:v>43991</c:v>
                </c:pt>
                <c:pt idx="240">
                  <c:v>43990</c:v>
                </c:pt>
                <c:pt idx="241">
                  <c:v>43987</c:v>
                </c:pt>
                <c:pt idx="242">
                  <c:v>43986</c:v>
                </c:pt>
                <c:pt idx="243">
                  <c:v>43985</c:v>
                </c:pt>
                <c:pt idx="244">
                  <c:v>43984</c:v>
                </c:pt>
                <c:pt idx="245">
                  <c:v>43983</c:v>
                </c:pt>
                <c:pt idx="246">
                  <c:v>43980</c:v>
                </c:pt>
                <c:pt idx="247">
                  <c:v>43979</c:v>
                </c:pt>
                <c:pt idx="248">
                  <c:v>43978</c:v>
                </c:pt>
                <c:pt idx="249">
                  <c:v>43977</c:v>
                </c:pt>
                <c:pt idx="250">
                  <c:v>43973</c:v>
                </c:pt>
                <c:pt idx="251">
                  <c:v>43972</c:v>
                </c:pt>
                <c:pt idx="252">
                  <c:v>43971</c:v>
                </c:pt>
                <c:pt idx="253">
                  <c:v>43970</c:v>
                </c:pt>
              </c:numCache>
            </c:numRef>
          </c:cat>
          <c:val>
            <c:numRef>
              <c:f>evebitda!$P$5:$P$258</c:f>
              <c:numCache>
                <c:formatCode>0.00%</c:formatCode>
                <c:ptCount val="254"/>
                <c:pt idx="0">
                  <c:v>8.8958807694498095E-3</c:v>
                </c:pt>
                <c:pt idx="1">
                  <c:v>8.8958807694498095E-3</c:v>
                </c:pt>
                <c:pt idx="2">
                  <c:v>8.8958807694498095E-3</c:v>
                </c:pt>
                <c:pt idx="3">
                  <c:v>8.8958807694498095E-3</c:v>
                </c:pt>
                <c:pt idx="4">
                  <c:v>8.8958807694498095E-3</c:v>
                </c:pt>
                <c:pt idx="5">
                  <c:v>8.8958807694498095E-3</c:v>
                </c:pt>
                <c:pt idx="6">
                  <c:v>8.8958807694498095E-3</c:v>
                </c:pt>
                <c:pt idx="7">
                  <c:v>8.8958807694498095E-3</c:v>
                </c:pt>
                <c:pt idx="8">
                  <c:v>8.8958807694498095E-3</c:v>
                </c:pt>
                <c:pt idx="9">
                  <c:v>8.8958807694498095E-3</c:v>
                </c:pt>
                <c:pt idx="10">
                  <c:v>8.8958807694498095E-3</c:v>
                </c:pt>
                <c:pt idx="11">
                  <c:v>8.8958807694498095E-3</c:v>
                </c:pt>
                <c:pt idx="12">
                  <c:v>8.8958807694498095E-3</c:v>
                </c:pt>
                <c:pt idx="13">
                  <c:v>8.8958807694498095E-3</c:v>
                </c:pt>
                <c:pt idx="14">
                  <c:v>8.8958807694498095E-3</c:v>
                </c:pt>
                <c:pt idx="15">
                  <c:v>8.8958807694498095E-3</c:v>
                </c:pt>
                <c:pt idx="16">
                  <c:v>8.8958807694498095E-3</c:v>
                </c:pt>
                <c:pt idx="17">
                  <c:v>8.8958807694498095E-3</c:v>
                </c:pt>
                <c:pt idx="18">
                  <c:v>8.8958807694498095E-3</c:v>
                </c:pt>
                <c:pt idx="19">
                  <c:v>8.8958807694498095E-3</c:v>
                </c:pt>
                <c:pt idx="20">
                  <c:v>8.8958807694498095E-3</c:v>
                </c:pt>
                <c:pt idx="21">
                  <c:v>8.8958807694498095E-3</c:v>
                </c:pt>
                <c:pt idx="22">
                  <c:v>8.8958807694498095E-3</c:v>
                </c:pt>
                <c:pt idx="23">
                  <c:v>8.8958807694498095E-3</c:v>
                </c:pt>
                <c:pt idx="24">
                  <c:v>8.8958807694498095E-3</c:v>
                </c:pt>
                <c:pt idx="25">
                  <c:v>8.8958807694498095E-3</c:v>
                </c:pt>
                <c:pt idx="26">
                  <c:v>8.8958807694498095E-3</c:v>
                </c:pt>
                <c:pt idx="27">
                  <c:v>8.8958807694498095E-3</c:v>
                </c:pt>
                <c:pt idx="28">
                  <c:v>8.8958807694498095E-3</c:v>
                </c:pt>
                <c:pt idx="29">
                  <c:v>8.8958807694498095E-3</c:v>
                </c:pt>
                <c:pt idx="30">
                  <c:v>8.8958807694498095E-3</c:v>
                </c:pt>
                <c:pt idx="31">
                  <c:v>8.8958807694498095E-3</c:v>
                </c:pt>
                <c:pt idx="32">
                  <c:v>8.8958807694498095E-3</c:v>
                </c:pt>
                <c:pt idx="33">
                  <c:v>8.8958807694498095E-3</c:v>
                </c:pt>
                <c:pt idx="34">
                  <c:v>8.8958807694498095E-3</c:v>
                </c:pt>
                <c:pt idx="35">
                  <c:v>8.8958807694498095E-3</c:v>
                </c:pt>
                <c:pt idx="36">
                  <c:v>8.8958807694498095E-3</c:v>
                </c:pt>
                <c:pt idx="37">
                  <c:v>8.8958807694498095E-3</c:v>
                </c:pt>
                <c:pt idx="38">
                  <c:v>8.8958807694498095E-3</c:v>
                </c:pt>
                <c:pt idx="39">
                  <c:v>8.8958807694498095E-3</c:v>
                </c:pt>
                <c:pt idx="40">
                  <c:v>8.8958807694498095E-3</c:v>
                </c:pt>
                <c:pt idx="41">
                  <c:v>8.8958807694498095E-3</c:v>
                </c:pt>
                <c:pt idx="42">
                  <c:v>8.8958807694498095E-3</c:v>
                </c:pt>
                <c:pt idx="43">
                  <c:v>8.8958807694498095E-3</c:v>
                </c:pt>
                <c:pt idx="44">
                  <c:v>8.8958807694498095E-3</c:v>
                </c:pt>
                <c:pt idx="45">
                  <c:v>8.8958807694498095E-3</c:v>
                </c:pt>
                <c:pt idx="46">
                  <c:v>8.8958807694498095E-3</c:v>
                </c:pt>
                <c:pt idx="47">
                  <c:v>8.8958807694498095E-3</c:v>
                </c:pt>
                <c:pt idx="48">
                  <c:v>8.8958807694498095E-3</c:v>
                </c:pt>
                <c:pt idx="49">
                  <c:v>8.8958807694498095E-3</c:v>
                </c:pt>
                <c:pt idx="50">
                  <c:v>8.8958807694498095E-3</c:v>
                </c:pt>
                <c:pt idx="51">
                  <c:v>8.8958807694498095E-3</c:v>
                </c:pt>
                <c:pt idx="52">
                  <c:v>8.8958807694498095E-3</c:v>
                </c:pt>
                <c:pt idx="53">
                  <c:v>8.8958807694498095E-3</c:v>
                </c:pt>
                <c:pt idx="54">
                  <c:v>8.8958807694498095E-3</c:v>
                </c:pt>
                <c:pt idx="55">
                  <c:v>8.8958807694498095E-3</c:v>
                </c:pt>
                <c:pt idx="56">
                  <c:v>8.8958807694498095E-3</c:v>
                </c:pt>
                <c:pt idx="57">
                  <c:v>8.8958807694498095E-3</c:v>
                </c:pt>
                <c:pt idx="58">
                  <c:v>8.8958807694498095E-3</c:v>
                </c:pt>
                <c:pt idx="59">
                  <c:v>8.8958807694498095E-3</c:v>
                </c:pt>
                <c:pt idx="60">
                  <c:v>8.8958807694498095E-3</c:v>
                </c:pt>
                <c:pt idx="61">
                  <c:v>8.8958807694498095E-3</c:v>
                </c:pt>
                <c:pt idx="62">
                  <c:v>8.8958807694498095E-3</c:v>
                </c:pt>
                <c:pt idx="63">
                  <c:v>8.8958807694498095E-3</c:v>
                </c:pt>
                <c:pt idx="64">
                  <c:v>8.8958807694498095E-3</c:v>
                </c:pt>
                <c:pt idx="65">
                  <c:v>8.8958807694498095E-3</c:v>
                </c:pt>
                <c:pt idx="66">
                  <c:v>8.8958807694498095E-3</c:v>
                </c:pt>
                <c:pt idx="67">
                  <c:v>8.8958807694498095E-3</c:v>
                </c:pt>
                <c:pt idx="68">
                  <c:v>8.8958807694498095E-3</c:v>
                </c:pt>
                <c:pt idx="69">
                  <c:v>8.8958807694498095E-3</c:v>
                </c:pt>
                <c:pt idx="70">
                  <c:v>8.8958807694498095E-3</c:v>
                </c:pt>
                <c:pt idx="71">
                  <c:v>8.8958807694498095E-3</c:v>
                </c:pt>
                <c:pt idx="72">
                  <c:v>8.8958807694498095E-3</c:v>
                </c:pt>
                <c:pt idx="73">
                  <c:v>8.8958807694498095E-3</c:v>
                </c:pt>
                <c:pt idx="74">
                  <c:v>8.8958807694498095E-3</c:v>
                </c:pt>
                <c:pt idx="75">
                  <c:v>8.8958807694498095E-3</c:v>
                </c:pt>
                <c:pt idx="76">
                  <c:v>8.8958807694498095E-3</c:v>
                </c:pt>
                <c:pt idx="77">
                  <c:v>8.8958807694498095E-3</c:v>
                </c:pt>
                <c:pt idx="78">
                  <c:v>8.8958807694498095E-3</c:v>
                </c:pt>
                <c:pt idx="79">
                  <c:v>8.8958807694498095E-3</c:v>
                </c:pt>
                <c:pt idx="80">
                  <c:v>8.8958807694498095E-3</c:v>
                </c:pt>
                <c:pt idx="81">
                  <c:v>8.8958807694498095E-3</c:v>
                </c:pt>
                <c:pt idx="82">
                  <c:v>8.8958807694498095E-3</c:v>
                </c:pt>
                <c:pt idx="83">
                  <c:v>8.8958807694498095E-3</c:v>
                </c:pt>
                <c:pt idx="84">
                  <c:v>8.8958807694498095E-3</c:v>
                </c:pt>
                <c:pt idx="85">
                  <c:v>8.8958807694498095E-3</c:v>
                </c:pt>
                <c:pt idx="86">
                  <c:v>8.8958807694498095E-3</c:v>
                </c:pt>
                <c:pt idx="87">
                  <c:v>8.8958807694498095E-3</c:v>
                </c:pt>
                <c:pt idx="88">
                  <c:v>8.8958807694498095E-3</c:v>
                </c:pt>
                <c:pt idx="89">
                  <c:v>8.8958807694498095E-3</c:v>
                </c:pt>
                <c:pt idx="90">
                  <c:v>8.8958807694498095E-3</c:v>
                </c:pt>
                <c:pt idx="91">
                  <c:v>8.8958807694498095E-3</c:v>
                </c:pt>
                <c:pt idx="92">
                  <c:v>8.8958807694498095E-3</c:v>
                </c:pt>
                <c:pt idx="93">
                  <c:v>8.8958807694498095E-3</c:v>
                </c:pt>
                <c:pt idx="94">
                  <c:v>8.8958807694498095E-3</c:v>
                </c:pt>
                <c:pt idx="95">
                  <c:v>8.8958807694498095E-3</c:v>
                </c:pt>
                <c:pt idx="96">
                  <c:v>8.8958807694498095E-3</c:v>
                </c:pt>
                <c:pt idx="97">
                  <c:v>8.8958807694498095E-3</c:v>
                </c:pt>
                <c:pt idx="98">
                  <c:v>8.8958807694498095E-3</c:v>
                </c:pt>
                <c:pt idx="99">
                  <c:v>8.8958807694498095E-3</c:v>
                </c:pt>
                <c:pt idx="100">
                  <c:v>8.8958807694498095E-3</c:v>
                </c:pt>
                <c:pt idx="101">
                  <c:v>8.8958807694498095E-3</c:v>
                </c:pt>
                <c:pt idx="102">
                  <c:v>8.8958807694498095E-3</c:v>
                </c:pt>
                <c:pt idx="103">
                  <c:v>8.8958807694498095E-3</c:v>
                </c:pt>
                <c:pt idx="104">
                  <c:v>8.8958807694498095E-3</c:v>
                </c:pt>
                <c:pt idx="105">
                  <c:v>8.8958807694498095E-3</c:v>
                </c:pt>
                <c:pt idx="106">
                  <c:v>8.8958807694498095E-3</c:v>
                </c:pt>
                <c:pt idx="107">
                  <c:v>8.8958807694498095E-3</c:v>
                </c:pt>
                <c:pt idx="108">
                  <c:v>8.8958807694498095E-3</c:v>
                </c:pt>
                <c:pt idx="109">
                  <c:v>8.8958807694498095E-3</c:v>
                </c:pt>
                <c:pt idx="110">
                  <c:v>8.8958807694498095E-3</c:v>
                </c:pt>
                <c:pt idx="111">
                  <c:v>8.8958807694498095E-3</c:v>
                </c:pt>
                <c:pt idx="112">
                  <c:v>8.8958807694498095E-3</c:v>
                </c:pt>
                <c:pt idx="113">
                  <c:v>8.8958807694498095E-3</c:v>
                </c:pt>
                <c:pt idx="114">
                  <c:v>8.8958807694498095E-3</c:v>
                </c:pt>
                <c:pt idx="115">
                  <c:v>8.8958807694498095E-3</c:v>
                </c:pt>
                <c:pt idx="116">
                  <c:v>8.8958807694498095E-3</c:v>
                </c:pt>
                <c:pt idx="117">
                  <c:v>8.8958807694498095E-3</c:v>
                </c:pt>
                <c:pt idx="118">
                  <c:v>8.8958807694498095E-3</c:v>
                </c:pt>
                <c:pt idx="119">
                  <c:v>8.8958807694498095E-3</c:v>
                </c:pt>
                <c:pt idx="120">
                  <c:v>8.8958807694498095E-3</c:v>
                </c:pt>
                <c:pt idx="121">
                  <c:v>8.8958807694498095E-3</c:v>
                </c:pt>
                <c:pt idx="122">
                  <c:v>8.8958807694498095E-3</c:v>
                </c:pt>
                <c:pt idx="123">
                  <c:v>8.8958807694498095E-3</c:v>
                </c:pt>
                <c:pt idx="124">
                  <c:v>8.8958807694498095E-3</c:v>
                </c:pt>
                <c:pt idx="125">
                  <c:v>8.8958807694498095E-3</c:v>
                </c:pt>
                <c:pt idx="126">
                  <c:v>8.8958807694498095E-3</c:v>
                </c:pt>
                <c:pt idx="127">
                  <c:v>8.8958807694498095E-3</c:v>
                </c:pt>
                <c:pt idx="128">
                  <c:v>8.8958807694498095E-3</c:v>
                </c:pt>
                <c:pt idx="129">
                  <c:v>8.8958807694498095E-3</c:v>
                </c:pt>
                <c:pt idx="130">
                  <c:v>8.8958807694498095E-3</c:v>
                </c:pt>
                <c:pt idx="131">
                  <c:v>8.8958807694498095E-3</c:v>
                </c:pt>
                <c:pt idx="132">
                  <c:v>8.8958807694498095E-3</c:v>
                </c:pt>
                <c:pt idx="133">
                  <c:v>8.8958807694498095E-3</c:v>
                </c:pt>
                <c:pt idx="134">
                  <c:v>8.8958807694498095E-3</c:v>
                </c:pt>
                <c:pt idx="135">
                  <c:v>8.8958807694498095E-3</c:v>
                </c:pt>
                <c:pt idx="136">
                  <c:v>8.8958807694498095E-3</c:v>
                </c:pt>
                <c:pt idx="137">
                  <c:v>8.8958807694498095E-3</c:v>
                </c:pt>
                <c:pt idx="138">
                  <c:v>8.8958807694498095E-3</c:v>
                </c:pt>
                <c:pt idx="139">
                  <c:v>8.8958807694498095E-3</c:v>
                </c:pt>
                <c:pt idx="140">
                  <c:v>8.8958807694498095E-3</c:v>
                </c:pt>
                <c:pt idx="141">
                  <c:v>8.8958807694498095E-3</c:v>
                </c:pt>
                <c:pt idx="142">
                  <c:v>8.8958807694498095E-3</c:v>
                </c:pt>
                <c:pt idx="143">
                  <c:v>8.8958807694498095E-3</c:v>
                </c:pt>
                <c:pt idx="144">
                  <c:v>8.8958807694498095E-3</c:v>
                </c:pt>
                <c:pt idx="145">
                  <c:v>8.8958807694498095E-3</c:v>
                </c:pt>
                <c:pt idx="146">
                  <c:v>8.8958807694498095E-3</c:v>
                </c:pt>
                <c:pt idx="147">
                  <c:v>8.8958807694498095E-3</c:v>
                </c:pt>
                <c:pt idx="148">
                  <c:v>8.8958807694498095E-3</c:v>
                </c:pt>
                <c:pt idx="149">
                  <c:v>8.8958807694498095E-3</c:v>
                </c:pt>
                <c:pt idx="150">
                  <c:v>8.8958807694498095E-3</c:v>
                </c:pt>
                <c:pt idx="151">
                  <c:v>8.8958807694498095E-3</c:v>
                </c:pt>
                <c:pt idx="152">
                  <c:v>8.8958807694498095E-3</c:v>
                </c:pt>
                <c:pt idx="153">
                  <c:v>8.8958807694498095E-3</c:v>
                </c:pt>
                <c:pt idx="154">
                  <c:v>8.8958807694498095E-3</c:v>
                </c:pt>
                <c:pt idx="155">
                  <c:v>8.8958807694498095E-3</c:v>
                </c:pt>
                <c:pt idx="156">
                  <c:v>8.8958807694498095E-3</c:v>
                </c:pt>
                <c:pt idx="157">
                  <c:v>8.8958807694498095E-3</c:v>
                </c:pt>
                <c:pt idx="158">
                  <c:v>8.8958807694498095E-3</c:v>
                </c:pt>
                <c:pt idx="159">
                  <c:v>8.8958807694498095E-3</c:v>
                </c:pt>
                <c:pt idx="160">
                  <c:v>8.8958807694498095E-3</c:v>
                </c:pt>
                <c:pt idx="161">
                  <c:v>8.8958807694498095E-3</c:v>
                </c:pt>
                <c:pt idx="162">
                  <c:v>8.8958807694498095E-3</c:v>
                </c:pt>
                <c:pt idx="163">
                  <c:v>8.8958807694498095E-3</c:v>
                </c:pt>
                <c:pt idx="164">
                  <c:v>8.8958807694498095E-3</c:v>
                </c:pt>
                <c:pt idx="165">
                  <c:v>8.8958807694498095E-3</c:v>
                </c:pt>
                <c:pt idx="166">
                  <c:v>8.8958807694498095E-3</c:v>
                </c:pt>
                <c:pt idx="167">
                  <c:v>8.8958807694498095E-3</c:v>
                </c:pt>
                <c:pt idx="168">
                  <c:v>8.8958807694498095E-3</c:v>
                </c:pt>
                <c:pt idx="169">
                  <c:v>8.8958807694498095E-3</c:v>
                </c:pt>
                <c:pt idx="170">
                  <c:v>8.8958807694498095E-3</c:v>
                </c:pt>
                <c:pt idx="171">
                  <c:v>8.8958807694498095E-3</c:v>
                </c:pt>
                <c:pt idx="172">
                  <c:v>8.8958807694498095E-3</c:v>
                </c:pt>
                <c:pt idx="173">
                  <c:v>8.8958807694498095E-3</c:v>
                </c:pt>
                <c:pt idx="174">
                  <c:v>8.8958807694498095E-3</c:v>
                </c:pt>
                <c:pt idx="175">
                  <c:v>8.8958807694498095E-3</c:v>
                </c:pt>
                <c:pt idx="176">
                  <c:v>8.8958807694498095E-3</c:v>
                </c:pt>
                <c:pt idx="177">
                  <c:v>8.8958807694498095E-3</c:v>
                </c:pt>
                <c:pt idx="178">
                  <c:v>8.8958807694498095E-3</c:v>
                </c:pt>
                <c:pt idx="179">
                  <c:v>8.8958807694498095E-3</c:v>
                </c:pt>
                <c:pt idx="180">
                  <c:v>8.8958807694498095E-3</c:v>
                </c:pt>
                <c:pt idx="181">
                  <c:v>8.8958807694498095E-3</c:v>
                </c:pt>
                <c:pt idx="182">
                  <c:v>8.8958807694498095E-3</c:v>
                </c:pt>
                <c:pt idx="183">
                  <c:v>8.8958807694498095E-3</c:v>
                </c:pt>
                <c:pt idx="184">
                  <c:v>8.8958807694498095E-3</c:v>
                </c:pt>
                <c:pt idx="185">
                  <c:v>8.8958807694498095E-3</c:v>
                </c:pt>
                <c:pt idx="186">
                  <c:v>8.8958807694498095E-3</c:v>
                </c:pt>
                <c:pt idx="187">
                  <c:v>8.8958807694498095E-3</c:v>
                </c:pt>
                <c:pt idx="188">
                  <c:v>8.8958807694498095E-3</c:v>
                </c:pt>
                <c:pt idx="189">
                  <c:v>8.8958807694498095E-3</c:v>
                </c:pt>
                <c:pt idx="190">
                  <c:v>8.8958807694498095E-3</c:v>
                </c:pt>
                <c:pt idx="191">
                  <c:v>8.8958807694498095E-3</c:v>
                </c:pt>
                <c:pt idx="192">
                  <c:v>8.8958807694498095E-3</c:v>
                </c:pt>
                <c:pt idx="193">
                  <c:v>8.8958807694498095E-3</c:v>
                </c:pt>
                <c:pt idx="194">
                  <c:v>8.8958807694498095E-3</c:v>
                </c:pt>
                <c:pt idx="195">
                  <c:v>8.8958807694498095E-3</c:v>
                </c:pt>
                <c:pt idx="196">
                  <c:v>8.8958807694498095E-3</c:v>
                </c:pt>
                <c:pt idx="197">
                  <c:v>8.8958807694498095E-3</c:v>
                </c:pt>
                <c:pt idx="198">
                  <c:v>8.8958807694498095E-3</c:v>
                </c:pt>
                <c:pt idx="199">
                  <c:v>8.8958807694498095E-3</c:v>
                </c:pt>
                <c:pt idx="200">
                  <c:v>8.8958807694498095E-3</c:v>
                </c:pt>
                <c:pt idx="201">
                  <c:v>8.8958807694498095E-3</c:v>
                </c:pt>
                <c:pt idx="202">
                  <c:v>8.8958807694498095E-3</c:v>
                </c:pt>
                <c:pt idx="203">
                  <c:v>8.8958807694498095E-3</c:v>
                </c:pt>
                <c:pt idx="204">
                  <c:v>8.8958807694498095E-3</c:v>
                </c:pt>
                <c:pt idx="205">
                  <c:v>8.8958807694498095E-3</c:v>
                </c:pt>
                <c:pt idx="206">
                  <c:v>8.8958807694498095E-3</c:v>
                </c:pt>
                <c:pt idx="207">
                  <c:v>8.8958807694498095E-3</c:v>
                </c:pt>
                <c:pt idx="208">
                  <c:v>8.8958807694498095E-3</c:v>
                </c:pt>
                <c:pt idx="209">
                  <c:v>8.8958807694498095E-3</c:v>
                </c:pt>
                <c:pt idx="210">
                  <c:v>8.8958807694498095E-3</c:v>
                </c:pt>
                <c:pt idx="211">
                  <c:v>8.8958807694498095E-3</c:v>
                </c:pt>
                <c:pt idx="212">
                  <c:v>8.8958807694498095E-3</c:v>
                </c:pt>
                <c:pt idx="213">
                  <c:v>8.8958807694498095E-3</c:v>
                </c:pt>
                <c:pt idx="214">
                  <c:v>8.8958807694498095E-3</c:v>
                </c:pt>
                <c:pt idx="215">
                  <c:v>8.8958807694498095E-3</c:v>
                </c:pt>
                <c:pt idx="216">
                  <c:v>8.8958807694498095E-3</c:v>
                </c:pt>
                <c:pt idx="217">
                  <c:v>8.8958807694498095E-3</c:v>
                </c:pt>
                <c:pt idx="218">
                  <c:v>8.8958807694498095E-3</c:v>
                </c:pt>
                <c:pt idx="219">
                  <c:v>8.8958807694498095E-3</c:v>
                </c:pt>
                <c:pt idx="220">
                  <c:v>8.8958807694498095E-3</c:v>
                </c:pt>
                <c:pt idx="221">
                  <c:v>8.8958807694498095E-3</c:v>
                </c:pt>
                <c:pt idx="222">
                  <c:v>8.8958807694498095E-3</c:v>
                </c:pt>
                <c:pt idx="223">
                  <c:v>8.8958807694498095E-3</c:v>
                </c:pt>
                <c:pt idx="224">
                  <c:v>8.8958807694498095E-3</c:v>
                </c:pt>
                <c:pt idx="225">
                  <c:v>8.8958807694498095E-3</c:v>
                </c:pt>
                <c:pt idx="226">
                  <c:v>8.8958807694498095E-3</c:v>
                </c:pt>
                <c:pt idx="227">
                  <c:v>8.8958807694498095E-3</c:v>
                </c:pt>
                <c:pt idx="228">
                  <c:v>8.8958807694498095E-3</c:v>
                </c:pt>
                <c:pt idx="229">
                  <c:v>8.8958807694498095E-3</c:v>
                </c:pt>
                <c:pt idx="230">
                  <c:v>8.8958807694498095E-3</c:v>
                </c:pt>
                <c:pt idx="231">
                  <c:v>8.8958807694498095E-3</c:v>
                </c:pt>
                <c:pt idx="232">
                  <c:v>8.8958807694498095E-3</c:v>
                </c:pt>
                <c:pt idx="233">
                  <c:v>8.8958807694498095E-3</c:v>
                </c:pt>
                <c:pt idx="234">
                  <c:v>8.8958807694498095E-3</c:v>
                </c:pt>
                <c:pt idx="235">
                  <c:v>8.8958807694498095E-3</c:v>
                </c:pt>
                <c:pt idx="236">
                  <c:v>8.8958807694498095E-3</c:v>
                </c:pt>
                <c:pt idx="237">
                  <c:v>8.8958807694498095E-3</c:v>
                </c:pt>
                <c:pt idx="238">
                  <c:v>8.8958807694498095E-3</c:v>
                </c:pt>
                <c:pt idx="239">
                  <c:v>8.8958807694498095E-3</c:v>
                </c:pt>
                <c:pt idx="240">
                  <c:v>8.8958807694498095E-3</c:v>
                </c:pt>
                <c:pt idx="241">
                  <c:v>8.8958807694498095E-3</c:v>
                </c:pt>
                <c:pt idx="242">
                  <c:v>8.8958807694498095E-3</c:v>
                </c:pt>
                <c:pt idx="243">
                  <c:v>8.8958807694498095E-3</c:v>
                </c:pt>
                <c:pt idx="244">
                  <c:v>8.8958807694498095E-3</c:v>
                </c:pt>
                <c:pt idx="245">
                  <c:v>8.8958807694498095E-3</c:v>
                </c:pt>
                <c:pt idx="246">
                  <c:v>8.8958807694498095E-3</c:v>
                </c:pt>
                <c:pt idx="247">
                  <c:v>8.8958807694498095E-3</c:v>
                </c:pt>
                <c:pt idx="248">
                  <c:v>8.8958807694498095E-3</c:v>
                </c:pt>
                <c:pt idx="249">
                  <c:v>8.8958807694498095E-3</c:v>
                </c:pt>
                <c:pt idx="250">
                  <c:v>8.8958807694498095E-3</c:v>
                </c:pt>
                <c:pt idx="251">
                  <c:v>8.8958807694498095E-3</c:v>
                </c:pt>
                <c:pt idx="252">
                  <c:v>8.8958807694498095E-3</c:v>
                </c:pt>
                <c:pt idx="253">
                  <c:v>8.8958807694498095E-3</c:v>
                </c:pt>
              </c:numCache>
            </c:numRef>
          </c:val>
          <c:smooth val="0"/>
          <c:extLst>
            <c:ext xmlns:c16="http://schemas.microsoft.com/office/drawing/2014/chart" uri="{C3380CC4-5D6E-409C-BE32-E72D297353CC}">
              <c16:uniqueId val="{00000000-D8A5-45F1-BDF7-50F9D9BECFDB}"/>
            </c:ext>
          </c:extLst>
        </c:ser>
        <c:ser>
          <c:idx val="1"/>
          <c:order val="1"/>
          <c:tx>
            <c:strRef>
              <c:f>evebitda!$O$4</c:f>
              <c:strCache>
                <c:ptCount val="1"/>
                <c:pt idx="0">
                  <c:v>-1 SD</c:v>
                </c:pt>
              </c:strCache>
            </c:strRef>
          </c:tx>
          <c:spPr>
            <a:ln w="19050" cap="rnd">
              <a:solidFill>
                <a:schemeClr val="bg1">
                  <a:lumMod val="50000"/>
                </a:schemeClr>
              </a:solidFill>
              <a:prstDash val="dash"/>
              <a:round/>
            </a:ln>
            <a:effectLst/>
          </c:spPr>
          <c:marker>
            <c:symbol val="none"/>
          </c:marker>
          <c:cat>
            <c:numRef>
              <c:f>evebitda!$B$5:$B$258</c:f>
              <c:numCache>
                <c:formatCode>m/d/yyyy</c:formatCode>
                <c:ptCount val="254"/>
                <c:pt idx="0">
                  <c:v>44335</c:v>
                </c:pt>
                <c:pt idx="1">
                  <c:v>44334</c:v>
                </c:pt>
                <c:pt idx="2">
                  <c:v>44333</c:v>
                </c:pt>
                <c:pt idx="3">
                  <c:v>44330</c:v>
                </c:pt>
                <c:pt idx="4">
                  <c:v>44329</c:v>
                </c:pt>
                <c:pt idx="5">
                  <c:v>44328</c:v>
                </c:pt>
                <c:pt idx="6">
                  <c:v>44327</c:v>
                </c:pt>
                <c:pt idx="7">
                  <c:v>44326</c:v>
                </c:pt>
                <c:pt idx="8">
                  <c:v>44323</c:v>
                </c:pt>
                <c:pt idx="9">
                  <c:v>44322</c:v>
                </c:pt>
                <c:pt idx="10">
                  <c:v>44321</c:v>
                </c:pt>
                <c:pt idx="11">
                  <c:v>44320</c:v>
                </c:pt>
                <c:pt idx="12">
                  <c:v>44316</c:v>
                </c:pt>
                <c:pt idx="13">
                  <c:v>44315</c:v>
                </c:pt>
                <c:pt idx="14">
                  <c:v>44314</c:v>
                </c:pt>
                <c:pt idx="15">
                  <c:v>44313</c:v>
                </c:pt>
                <c:pt idx="16">
                  <c:v>44312</c:v>
                </c:pt>
                <c:pt idx="17">
                  <c:v>44309</c:v>
                </c:pt>
                <c:pt idx="18">
                  <c:v>44308</c:v>
                </c:pt>
                <c:pt idx="19">
                  <c:v>44307</c:v>
                </c:pt>
                <c:pt idx="20">
                  <c:v>44306</c:v>
                </c:pt>
                <c:pt idx="21">
                  <c:v>44305</c:v>
                </c:pt>
                <c:pt idx="22">
                  <c:v>44302</c:v>
                </c:pt>
                <c:pt idx="23">
                  <c:v>44301</c:v>
                </c:pt>
                <c:pt idx="24">
                  <c:v>44300</c:v>
                </c:pt>
                <c:pt idx="25">
                  <c:v>44299</c:v>
                </c:pt>
                <c:pt idx="26">
                  <c:v>44298</c:v>
                </c:pt>
                <c:pt idx="27">
                  <c:v>44295</c:v>
                </c:pt>
                <c:pt idx="28">
                  <c:v>44294</c:v>
                </c:pt>
                <c:pt idx="29">
                  <c:v>44293</c:v>
                </c:pt>
                <c:pt idx="30">
                  <c:v>44292</c:v>
                </c:pt>
                <c:pt idx="31">
                  <c:v>44287</c:v>
                </c:pt>
                <c:pt idx="32">
                  <c:v>44286</c:v>
                </c:pt>
                <c:pt idx="33">
                  <c:v>44285</c:v>
                </c:pt>
                <c:pt idx="34">
                  <c:v>44284</c:v>
                </c:pt>
                <c:pt idx="35">
                  <c:v>44281</c:v>
                </c:pt>
                <c:pt idx="36">
                  <c:v>44280</c:v>
                </c:pt>
                <c:pt idx="37">
                  <c:v>44279</c:v>
                </c:pt>
                <c:pt idx="38">
                  <c:v>44278</c:v>
                </c:pt>
                <c:pt idx="39">
                  <c:v>44277</c:v>
                </c:pt>
                <c:pt idx="40">
                  <c:v>44274</c:v>
                </c:pt>
                <c:pt idx="41">
                  <c:v>44273</c:v>
                </c:pt>
                <c:pt idx="42">
                  <c:v>44272</c:v>
                </c:pt>
                <c:pt idx="43">
                  <c:v>44271</c:v>
                </c:pt>
                <c:pt idx="44">
                  <c:v>44270</c:v>
                </c:pt>
                <c:pt idx="45">
                  <c:v>44267</c:v>
                </c:pt>
                <c:pt idx="46">
                  <c:v>44266</c:v>
                </c:pt>
                <c:pt idx="47">
                  <c:v>44265</c:v>
                </c:pt>
                <c:pt idx="48">
                  <c:v>44264</c:v>
                </c:pt>
                <c:pt idx="49">
                  <c:v>44263</c:v>
                </c:pt>
                <c:pt idx="50">
                  <c:v>44260</c:v>
                </c:pt>
                <c:pt idx="51">
                  <c:v>44259</c:v>
                </c:pt>
                <c:pt idx="52">
                  <c:v>44258</c:v>
                </c:pt>
                <c:pt idx="53">
                  <c:v>44257</c:v>
                </c:pt>
                <c:pt idx="54">
                  <c:v>44256</c:v>
                </c:pt>
                <c:pt idx="55">
                  <c:v>44253</c:v>
                </c:pt>
                <c:pt idx="56">
                  <c:v>44252</c:v>
                </c:pt>
                <c:pt idx="57">
                  <c:v>44251</c:v>
                </c:pt>
                <c:pt idx="58">
                  <c:v>44250</c:v>
                </c:pt>
                <c:pt idx="59">
                  <c:v>44249</c:v>
                </c:pt>
                <c:pt idx="60">
                  <c:v>44246</c:v>
                </c:pt>
                <c:pt idx="61">
                  <c:v>44245</c:v>
                </c:pt>
                <c:pt idx="62">
                  <c:v>44244</c:v>
                </c:pt>
                <c:pt idx="63">
                  <c:v>44243</c:v>
                </c:pt>
                <c:pt idx="64">
                  <c:v>44242</c:v>
                </c:pt>
                <c:pt idx="65">
                  <c:v>44239</c:v>
                </c:pt>
                <c:pt idx="66">
                  <c:v>44238</c:v>
                </c:pt>
                <c:pt idx="67">
                  <c:v>44237</c:v>
                </c:pt>
                <c:pt idx="68">
                  <c:v>44236</c:v>
                </c:pt>
                <c:pt idx="69">
                  <c:v>44235</c:v>
                </c:pt>
                <c:pt idx="70">
                  <c:v>44232</c:v>
                </c:pt>
                <c:pt idx="71">
                  <c:v>44231</c:v>
                </c:pt>
                <c:pt idx="72">
                  <c:v>44230</c:v>
                </c:pt>
                <c:pt idx="73">
                  <c:v>44229</c:v>
                </c:pt>
                <c:pt idx="74">
                  <c:v>44228</c:v>
                </c:pt>
                <c:pt idx="75">
                  <c:v>44225</c:v>
                </c:pt>
                <c:pt idx="76">
                  <c:v>44224</c:v>
                </c:pt>
                <c:pt idx="77">
                  <c:v>44223</c:v>
                </c:pt>
                <c:pt idx="78">
                  <c:v>44222</c:v>
                </c:pt>
                <c:pt idx="79">
                  <c:v>44221</c:v>
                </c:pt>
                <c:pt idx="80">
                  <c:v>44218</c:v>
                </c:pt>
                <c:pt idx="81">
                  <c:v>44217</c:v>
                </c:pt>
                <c:pt idx="82">
                  <c:v>44216</c:v>
                </c:pt>
                <c:pt idx="83">
                  <c:v>44215</c:v>
                </c:pt>
                <c:pt idx="84">
                  <c:v>44214</c:v>
                </c:pt>
                <c:pt idx="85">
                  <c:v>44211</c:v>
                </c:pt>
                <c:pt idx="86">
                  <c:v>44210</c:v>
                </c:pt>
                <c:pt idx="87">
                  <c:v>44209</c:v>
                </c:pt>
                <c:pt idx="88">
                  <c:v>44208</c:v>
                </c:pt>
                <c:pt idx="89">
                  <c:v>44207</c:v>
                </c:pt>
                <c:pt idx="90">
                  <c:v>44204</c:v>
                </c:pt>
                <c:pt idx="91">
                  <c:v>44203</c:v>
                </c:pt>
                <c:pt idx="92">
                  <c:v>44202</c:v>
                </c:pt>
                <c:pt idx="93">
                  <c:v>44201</c:v>
                </c:pt>
                <c:pt idx="94">
                  <c:v>44200</c:v>
                </c:pt>
                <c:pt idx="95">
                  <c:v>44196</c:v>
                </c:pt>
                <c:pt idx="96">
                  <c:v>44195</c:v>
                </c:pt>
                <c:pt idx="97">
                  <c:v>44194</c:v>
                </c:pt>
                <c:pt idx="98">
                  <c:v>44189</c:v>
                </c:pt>
                <c:pt idx="99">
                  <c:v>44188</c:v>
                </c:pt>
                <c:pt idx="100">
                  <c:v>44187</c:v>
                </c:pt>
                <c:pt idx="101">
                  <c:v>44186</c:v>
                </c:pt>
                <c:pt idx="102">
                  <c:v>44183</c:v>
                </c:pt>
                <c:pt idx="103">
                  <c:v>44182</c:v>
                </c:pt>
                <c:pt idx="104">
                  <c:v>44181</c:v>
                </c:pt>
                <c:pt idx="105">
                  <c:v>44180</c:v>
                </c:pt>
                <c:pt idx="106">
                  <c:v>44179</c:v>
                </c:pt>
                <c:pt idx="107">
                  <c:v>44176</c:v>
                </c:pt>
                <c:pt idx="108">
                  <c:v>44175</c:v>
                </c:pt>
                <c:pt idx="109">
                  <c:v>44174</c:v>
                </c:pt>
                <c:pt idx="110">
                  <c:v>44173</c:v>
                </c:pt>
                <c:pt idx="111">
                  <c:v>44172</c:v>
                </c:pt>
                <c:pt idx="112">
                  <c:v>44169</c:v>
                </c:pt>
                <c:pt idx="113">
                  <c:v>44168</c:v>
                </c:pt>
                <c:pt idx="114">
                  <c:v>44167</c:v>
                </c:pt>
                <c:pt idx="115">
                  <c:v>44166</c:v>
                </c:pt>
                <c:pt idx="116">
                  <c:v>44165</c:v>
                </c:pt>
                <c:pt idx="117">
                  <c:v>44162</c:v>
                </c:pt>
                <c:pt idx="118">
                  <c:v>44161</c:v>
                </c:pt>
                <c:pt idx="119">
                  <c:v>44160</c:v>
                </c:pt>
                <c:pt idx="120">
                  <c:v>44159</c:v>
                </c:pt>
                <c:pt idx="121">
                  <c:v>44158</c:v>
                </c:pt>
                <c:pt idx="122">
                  <c:v>44155</c:v>
                </c:pt>
                <c:pt idx="123">
                  <c:v>44154</c:v>
                </c:pt>
                <c:pt idx="124">
                  <c:v>44153</c:v>
                </c:pt>
                <c:pt idx="125">
                  <c:v>44152</c:v>
                </c:pt>
                <c:pt idx="126">
                  <c:v>44151</c:v>
                </c:pt>
                <c:pt idx="127">
                  <c:v>44148</c:v>
                </c:pt>
                <c:pt idx="128">
                  <c:v>44147</c:v>
                </c:pt>
                <c:pt idx="129">
                  <c:v>44146</c:v>
                </c:pt>
                <c:pt idx="130">
                  <c:v>44145</c:v>
                </c:pt>
                <c:pt idx="131">
                  <c:v>44144</c:v>
                </c:pt>
                <c:pt idx="132">
                  <c:v>44141</c:v>
                </c:pt>
                <c:pt idx="133">
                  <c:v>44140</c:v>
                </c:pt>
                <c:pt idx="134">
                  <c:v>44139</c:v>
                </c:pt>
                <c:pt idx="135">
                  <c:v>44138</c:v>
                </c:pt>
                <c:pt idx="136">
                  <c:v>44137</c:v>
                </c:pt>
                <c:pt idx="137">
                  <c:v>44134</c:v>
                </c:pt>
                <c:pt idx="138">
                  <c:v>44133</c:v>
                </c:pt>
                <c:pt idx="139">
                  <c:v>44132</c:v>
                </c:pt>
                <c:pt idx="140">
                  <c:v>44131</c:v>
                </c:pt>
                <c:pt idx="141">
                  <c:v>44130</c:v>
                </c:pt>
                <c:pt idx="142">
                  <c:v>44127</c:v>
                </c:pt>
                <c:pt idx="143">
                  <c:v>44126</c:v>
                </c:pt>
                <c:pt idx="144">
                  <c:v>44125</c:v>
                </c:pt>
                <c:pt idx="145">
                  <c:v>44124</c:v>
                </c:pt>
                <c:pt idx="146">
                  <c:v>44123</c:v>
                </c:pt>
                <c:pt idx="147">
                  <c:v>44120</c:v>
                </c:pt>
                <c:pt idx="148">
                  <c:v>44119</c:v>
                </c:pt>
                <c:pt idx="149">
                  <c:v>44118</c:v>
                </c:pt>
                <c:pt idx="150">
                  <c:v>44117</c:v>
                </c:pt>
                <c:pt idx="151">
                  <c:v>44116</c:v>
                </c:pt>
                <c:pt idx="152">
                  <c:v>44113</c:v>
                </c:pt>
                <c:pt idx="153">
                  <c:v>44112</c:v>
                </c:pt>
                <c:pt idx="154">
                  <c:v>44111</c:v>
                </c:pt>
                <c:pt idx="155">
                  <c:v>44110</c:v>
                </c:pt>
                <c:pt idx="156">
                  <c:v>44109</c:v>
                </c:pt>
                <c:pt idx="157">
                  <c:v>44106</c:v>
                </c:pt>
                <c:pt idx="158">
                  <c:v>44105</c:v>
                </c:pt>
                <c:pt idx="159">
                  <c:v>44104</c:v>
                </c:pt>
                <c:pt idx="160">
                  <c:v>44103</c:v>
                </c:pt>
                <c:pt idx="161">
                  <c:v>44102</c:v>
                </c:pt>
                <c:pt idx="162">
                  <c:v>44099</c:v>
                </c:pt>
                <c:pt idx="163">
                  <c:v>44098</c:v>
                </c:pt>
                <c:pt idx="164">
                  <c:v>44097</c:v>
                </c:pt>
                <c:pt idx="165">
                  <c:v>44096</c:v>
                </c:pt>
                <c:pt idx="166">
                  <c:v>44095</c:v>
                </c:pt>
                <c:pt idx="167">
                  <c:v>44092</c:v>
                </c:pt>
                <c:pt idx="168">
                  <c:v>44091</c:v>
                </c:pt>
                <c:pt idx="169">
                  <c:v>44090</c:v>
                </c:pt>
                <c:pt idx="170">
                  <c:v>44089</c:v>
                </c:pt>
                <c:pt idx="171">
                  <c:v>44088</c:v>
                </c:pt>
                <c:pt idx="172">
                  <c:v>44085</c:v>
                </c:pt>
                <c:pt idx="173">
                  <c:v>44084</c:v>
                </c:pt>
                <c:pt idx="174">
                  <c:v>44083</c:v>
                </c:pt>
                <c:pt idx="175">
                  <c:v>44082</c:v>
                </c:pt>
                <c:pt idx="176">
                  <c:v>44081</c:v>
                </c:pt>
                <c:pt idx="177">
                  <c:v>44078</c:v>
                </c:pt>
                <c:pt idx="178">
                  <c:v>44077</c:v>
                </c:pt>
                <c:pt idx="179">
                  <c:v>44076</c:v>
                </c:pt>
                <c:pt idx="180">
                  <c:v>44075</c:v>
                </c:pt>
                <c:pt idx="181">
                  <c:v>44071</c:v>
                </c:pt>
                <c:pt idx="182">
                  <c:v>44070</c:v>
                </c:pt>
                <c:pt idx="183">
                  <c:v>44069</c:v>
                </c:pt>
                <c:pt idx="184">
                  <c:v>44068</c:v>
                </c:pt>
                <c:pt idx="185">
                  <c:v>44067</c:v>
                </c:pt>
                <c:pt idx="186">
                  <c:v>44064</c:v>
                </c:pt>
                <c:pt idx="187">
                  <c:v>44063</c:v>
                </c:pt>
                <c:pt idx="188">
                  <c:v>44062</c:v>
                </c:pt>
                <c:pt idx="189">
                  <c:v>44061</c:v>
                </c:pt>
                <c:pt idx="190">
                  <c:v>44060</c:v>
                </c:pt>
                <c:pt idx="191">
                  <c:v>44057</c:v>
                </c:pt>
                <c:pt idx="192">
                  <c:v>44056</c:v>
                </c:pt>
                <c:pt idx="193">
                  <c:v>44055</c:v>
                </c:pt>
                <c:pt idx="194">
                  <c:v>44054</c:v>
                </c:pt>
                <c:pt idx="195">
                  <c:v>44053</c:v>
                </c:pt>
                <c:pt idx="196">
                  <c:v>44050</c:v>
                </c:pt>
                <c:pt idx="197">
                  <c:v>44049</c:v>
                </c:pt>
                <c:pt idx="198">
                  <c:v>44048</c:v>
                </c:pt>
                <c:pt idx="199">
                  <c:v>44047</c:v>
                </c:pt>
                <c:pt idx="200">
                  <c:v>44046</c:v>
                </c:pt>
                <c:pt idx="201">
                  <c:v>44043</c:v>
                </c:pt>
                <c:pt idx="202">
                  <c:v>44042</c:v>
                </c:pt>
                <c:pt idx="203">
                  <c:v>44041</c:v>
                </c:pt>
                <c:pt idx="204">
                  <c:v>44040</c:v>
                </c:pt>
                <c:pt idx="205">
                  <c:v>44039</c:v>
                </c:pt>
                <c:pt idx="206">
                  <c:v>44036</c:v>
                </c:pt>
                <c:pt idx="207">
                  <c:v>44035</c:v>
                </c:pt>
                <c:pt idx="208">
                  <c:v>44034</c:v>
                </c:pt>
                <c:pt idx="209">
                  <c:v>44033</c:v>
                </c:pt>
                <c:pt idx="210">
                  <c:v>44032</c:v>
                </c:pt>
                <c:pt idx="211">
                  <c:v>44029</c:v>
                </c:pt>
                <c:pt idx="212">
                  <c:v>44028</c:v>
                </c:pt>
                <c:pt idx="213">
                  <c:v>44027</c:v>
                </c:pt>
                <c:pt idx="214">
                  <c:v>44026</c:v>
                </c:pt>
                <c:pt idx="215">
                  <c:v>44025</c:v>
                </c:pt>
                <c:pt idx="216">
                  <c:v>44022</c:v>
                </c:pt>
                <c:pt idx="217">
                  <c:v>44021</c:v>
                </c:pt>
                <c:pt idx="218">
                  <c:v>44020</c:v>
                </c:pt>
                <c:pt idx="219">
                  <c:v>44019</c:v>
                </c:pt>
                <c:pt idx="220">
                  <c:v>44018</c:v>
                </c:pt>
                <c:pt idx="221">
                  <c:v>44015</c:v>
                </c:pt>
                <c:pt idx="222">
                  <c:v>44014</c:v>
                </c:pt>
                <c:pt idx="223">
                  <c:v>44013</c:v>
                </c:pt>
                <c:pt idx="224">
                  <c:v>44012</c:v>
                </c:pt>
                <c:pt idx="225">
                  <c:v>44011</c:v>
                </c:pt>
                <c:pt idx="226">
                  <c:v>44008</c:v>
                </c:pt>
                <c:pt idx="227">
                  <c:v>44007</c:v>
                </c:pt>
                <c:pt idx="228">
                  <c:v>44006</c:v>
                </c:pt>
                <c:pt idx="229">
                  <c:v>44005</c:v>
                </c:pt>
                <c:pt idx="230">
                  <c:v>44004</c:v>
                </c:pt>
                <c:pt idx="231">
                  <c:v>44001</c:v>
                </c:pt>
                <c:pt idx="232">
                  <c:v>44000</c:v>
                </c:pt>
                <c:pt idx="233">
                  <c:v>43999</c:v>
                </c:pt>
                <c:pt idx="234">
                  <c:v>43998</c:v>
                </c:pt>
                <c:pt idx="235">
                  <c:v>43997</c:v>
                </c:pt>
                <c:pt idx="236">
                  <c:v>43994</c:v>
                </c:pt>
                <c:pt idx="237">
                  <c:v>43993</c:v>
                </c:pt>
                <c:pt idx="238">
                  <c:v>43992</c:v>
                </c:pt>
                <c:pt idx="239">
                  <c:v>43991</c:v>
                </c:pt>
                <c:pt idx="240">
                  <c:v>43990</c:v>
                </c:pt>
                <c:pt idx="241">
                  <c:v>43987</c:v>
                </c:pt>
                <c:pt idx="242">
                  <c:v>43986</c:v>
                </c:pt>
                <c:pt idx="243">
                  <c:v>43985</c:v>
                </c:pt>
                <c:pt idx="244">
                  <c:v>43984</c:v>
                </c:pt>
                <c:pt idx="245">
                  <c:v>43983</c:v>
                </c:pt>
                <c:pt idx="246">
                  <c:v>43980</c:v>
                </c:pt>
                <c:pt idx="247">
                  <c:v>43979</c:v>
                </c:pt>
                <c:pt idx="248">
                  <c:v>43978</c:v>
                </c:pt>
                <c:pt idx="249">
                  <c:v>43977</c:v>
                </c:pt>
                <c:pt idx="250">
                  <c:v>43973</c:v>
                </c:pt>
                <c:pt idx="251">
                  <c:v>43972</c:v>
                </c:pt>
                <c:pt idx="252">
                  <c:v>43971</c:v>
                </c:pt>
                <c:pt idx="253">
                  <c:v>43970</c:v>
                </c:pt>
              </c:numCache>
            </c:numRef>
          </c:cat>
          <c:val>
            <c:numRef>
              <c:f>evebitda!$O$5:$O$258</c:f>
              <c:numCache>
                <c:formatCode>0.00%</c:formatCode>
                <c:ptCount val="254"/>
                <c:pt idx="0">
                  <c:v>-9.3793575747374708E-2</c:v>
                </c:pt>
                <c:pt idx="1">
                  <c:v>-9.3793575747374708E-2</c:v>
                </c:pt>
                <c:pt idx="2">
                  <c:v>-9.3793575747374708E-2</c:v>
                </c:pt>
                <c:pt idx="3">
                  <c:v>-9.3793575747374708E-2</c:v>
                </c:pt>
                <c:pt idx="4">
                  <c:v>-9.3793575747374708E-2</c:v>
                </c:pt>
                <c:pt idx="5">
                  <c:v>-9.3793575747374708E-2</c:v>
                </c:pt>
                <c:pt idx="6">
                  <c:v>-9.3793575747374708E-2</c:v>
                </c:pt>
                <c:pt idx="7">
                  <c:v>-9.3793575747374708E-2</c:v>
                </c:pt>
                <c:pt idx="8">
                  <c:v>-9.3793575747374708E-2</c:v>
                </c:pt>
                <c:pt idx="9">
                  <c:v>-9.3793575747374708E-2</c:v>
                </c:pt>
                <c:pt idx="10">
                  <c:v>-9.3793575747374708E-2</c:v>
                </c:pt>
                <c:pt idx="11">
                  <c:v>-9.3793575747374708E-2</c:v>
                </c:pt>
                <c:pt idx="12">
                  <c:v>-9.3793575747374708E-2</c:v>
                </c:pt>
                <c:pt idx="13">
                  <c:v>-9.3793575747374708E-2</c:v>
                </c:pt>
                <c:pt idx="14">
                  <c:v>-9.3793575747374708E-2</c:v>
                </c:pt>
                <c:pt idx="15">
                  <c:v>-9.3793575747374708E-2</c:v>
                </c:pt>
                <c:pt idx="16">
                  <c:v>-9.3793575747374708E-2</c:v>
                </c:pt>
                <c:pt idx="17">
                  <c:v>-9.3793575747374708E-2</c:v>
                </c:pt>
                <c:pt idx="18">
                  <c:v>-9.3793575747374708E-2</c:v>
                </c:pt>
                <c:pt idx="19">
                  <c:v>-9.3793575747374708E-2</c:v>
                </c:pt>
                <c:pt idx="20">
                  <c:v>-9.3793575747374708E-2</c:v>
                </c:pt>
                <c:pt idx="21">
                  <c:v>-9.3793575747374708E-2</c:v>
                </c:pt>
                <c:pt idx="22">
                  <c:v>-9.3793575747374708E-2</c:v>
                </c:pt>
                <c:pt idx="23">
                  <c:v>-9.3793575747374708E-2</c:v>
                </c:pt>
                <c:pt idx="24">
                  <c:v>-9.3793575747374708E-2</c:v>
                </c:pt>
                <c:pt idx="25">
                  <c:v>-9.3793575747374708E-2</c:v>
                </c:pt>
                <c:pt idx="26">
                  <c:v>-9.3793575747374708E-2</c:v>
                </c:pt>
                <c:pt idx="27">
                  <c:v>-9.3793575747374708E-2</c:v>
                </c:pt>
                <c:pt idx="28">
                  <c:v>-9.3793575747374708E-2</c:v>
                </c:pt>
                <c:pt idx="29">
                  <c:v>-9.3793575747374708E-2</c:v>
                </c:pt>
                <c:pt idx="30">
                  <c:v>-9.3793575747374708E-2</c:v>
                </c:pt>
                <c:pt idx="31">
                  <c:v>-9.3793575747374708E-2</c:v>
                </c:pt>
                <c:pt idx="32">
                  <c:v>-9.3793575747374708E-2</c:v>
                </c:pt>
                <c:pt idx="33">
                  <c:v>-9.3793575747374708E-2</c:v>
                </c:pt>
                <c:pt idx="34">
                  <c:v>-9.3793575747374708E-2</c:v>
                </c:pt>
                <c:pt idx="35">
                  <c:v>-9.3793575747374708E-2</c:v>
                </c:pt>
                <c:pt idx="36">
                  <c:v>-9.3793575747374708E-2</c:v>
                </c:pt>
                <c:pt idx="37">
                  <c:v>-9.3793575747374708E-2</c:v>
                </c:pt>
                <c:pt idx="38">
                  <c:v>-9.3793575747374708E-2</c:v>
                </c:pt>
                <c:pt idx="39">
                  <c:v>-9.3793575747374708E-2</c:v>
                </c:pt>
                <c:pt idx="40">
                  <c:v>-9.3793575747374708E-2</c:v>
                </c:pt>
                <c:pt idx="41">
                  <c:v>-9.3793575747374708E-2</c:v>
                </c:pt>
                <c:pt idx="42">
                  <c:v>-9.3793575747374708E-2</c:v>
                </c:pt>
                <c:pt idx="43">
                  <c:v>-9.3793575747374708E-2</c:v>
                </c:pt>
                <c:pt idx="44">
                  <c:v>-9.3793575747374708E-2</c:v>
                </c:pt>
                <c:pt idx="45">
                  <c:v>-9.3793575747374708E-2</c:v>
                </c:pt>
                <c:pt idx="46">
                  <c:v>-9.3793575747374708E-2</c:v>
                </c:pt>
                <c:pt idx="47">
                  <c:v>-9.3793575747374708E-2</c:v>
                </c:pt>
                <c:pt idx="48">
                  <c:v>-9.3793575747374708E-2</c:v>
                </c:pt>
                <c:pt idx="49">
                  <c:v>-9.3793575747374708E-2</c:v>
                </c:pt>
                <c:pt idx="50">
                  <c:v>-9.3793575747374708E-2</c:v>
                </c:pt>
                <c:pt idx="51">
                  <c:v>-9.3793575747374708E-2</c:v>
                </c:pt>
                <c:pt idx="52">
                  <c:v>-9.3793575747374708E-2</c:v>
                </c:pt>
                <c:pt idx="53">
                  <c:v>-9.3793575747374708E-2</c:v>
                </c:pt>
                <c:pt idx="54">
                  <c:v>-9.3793575747374708E-2</c:v>
                </c:pt>
                <c:pt idx="55">
                  <c:v>-9.3793575747374708E-2</c:v>
                </c:pt>
                <c:pt idx="56">
                  <c:v>-9.3793575747374708E-2</c:v>
                </c:pt>
                <c:pt idx="57">
                  <c:v>-9.3793575747374708E-2</c:v>
                </c:pt>
                <c:pt idx="58">
                  <c:v>-9.3793575747374708E-2</c:v>
                </c:pt>
                <c:pt idx="59">
                  <c:v>-9.3793575747374708E-2</c:v>
                </c:pt>
                <c:pt idx="60">
                  <c:v>-9.3793575747374708E-2</c:v>
                </c:pt>
                <c:pt idx="61">
                  <c:v>-9.3793575747374708E-2</c:v>
                </c:pt>
                <c:pt idx="62">
                  <c:v>-9.3793575747374708E-2</c:v>
                </c:pt>
                <c:pt idx="63">
                  <c:v>-9.3793575747374708E-2</c:v>
                </c:pt>
                <c:pt idx="64">
                  <c:v>-9.3793575747374708E-2</c:v>
                </c:pt>
                <c:pt idx="65">
                  <c:v>-9.3793575747374708E-2</c:v>
                </c:pt>
                <c:pt idx="66">
                  <c:v>-9.3793575747374708E-2</c:v>
                </c:pt>
                <c:pt idx="67">
                  <c:v>-9.3793575747374708E-2</c:v>
                </c:pt>
                <c:pt idx="68">
                  <c:v>-9.3793575747374708E-2</c:v>
                </c:pt>
                <c:pt idx="69">
                  <c:v>-9.3793575747374708E-2</c:v>
                </c:pt>
                <c:pt idx="70">
                  <c:v>-9.3793575747374708E-2</c:v>
                </c:pt>
                <c:pt idx="71">
                  <c:v>-9.3793575747374708E-2</c:v>
                </c:pt>
                <c:pt idx="72">
                  <c:v>-9.3793575747374708E-2</c:v>
                </c:pt>
                <c:pt idx="73">
                  <c:v>-9.3793575747374708E-2</c:v>
                </c:pt>
                <c:pt idx="74">
                  <c:v>-9.3793575747374708E-2</c:v>
                </c:pt>
                <c:pt idx="75">
                  <c:v>-9.3793575747374708E-2</c:v>
                </c:pt>
                <c:pt idx="76">
                  <c:v>-9.3793575747374708E-2</c:v>
                </c:pt>
                <c:pt idx="77">
                  <c:v>-9.3793575747374708E-2</c:v>
                </c:pt>
                <c:pt idx="78">
                  <c:v>-9.3793575747374708E-2</c:v>
                </c:pt>
                <c:pt idx="79">
                  <c:v>-9.3793575747374708E-2</c:v>
                </c:pt>
                <c:pt idx="80">
                  <c:v>-9.3793575747374708E-2</c:v>
                </c:pt>
                <c:pt idx="81">
                  <c:v>-9.3793575747374708E-2</c:v>
                </c:pt>
                <c:pt idx="82">
                  <c:v>-9.3793575747374708E-2</c:v>
                </c:pt>
                <c:pt idx="83">
                  <c:v>-9.3793575747374708E-2</c:v>
                </c:pt>
                <c:pt idx="84">
                  <c:v>-9.3793575747374708E-2</c:v>
                </c:pt>
                <c:pt idx="85">
                  <c:v>-9.3793575747374708E-2</c:v>
                </c:pt>
                <c:pt idx="86">
                  <c:v>-9.3793575747374708E-2</c:v>
                </c:pt>
                <c:pt idx="87">
                  <c:v>-9.3793575747374708E-2</c:v>
                </c:pt>
                <c:pt idx="88">
                  <c:v>-9.3793575747374708E-2</c:v>
                </c:pt>
                <c:pt idx="89">
                  <c:v>-9.3793575747374708E-2</c:v>
                </c:pt>
                <c:pt idx="90">
                  <c:v>-9.3793575747374708E-2</c:v>
                </c:pt>
                <c:pt idx="91">
                  <c:v>-9.3793575747374708E-2</c:v>
                </c:pt>
                <c:pt idx="92">
                  <c:v>-9.3793575747374708E-2</c:v>
                </c:pt>
                <c:pt idx="93">
                  <c:v>-9.3793575747374708E-2</c:v>
                </c:pt>
                <c:pt idx="94">
                  <c:v>-9.3793575747374708E-2</c:v>
                </c:pt>
                <c:pt idx="95">
                  <c:v>-9.3793575747374708E-2</c:v>
                </c:pt>
                <c:pt idx="96">
                  <c:v>-9.3793575747374708E-2</c:v>
                </c:pt>
                <c:pt idx="97">
                  <c:v>-9.3793575747374708E-2</c:v>
                </c:pt>
                <c:pt idx="98">
                  <c:v>-9.3793575747374708E-2</c:v>
                </c:pt>
                <c:pt idx="99">
                  <c:v>-9.3793575747374708E-2</c:v>
                </c:pt>
                <c:pt idx="100">
                  <c:v>-9.3793575747374708E-2</c:v>
                </c:pt>
                <c:pt idx="101">
                  <c:v>-9.3793575747374708E-2</c:v>
                </c:pt>
                <c:pt idx="102">
                  <c:v>-9.3793575747374708E-2</c:v>
                </c:pt>
                <c:pt idx="103">
                  <c:v>-9.3793575747374708E-2</c:v>
                </c:pt>
                <c:pt idx="104">
                  <c:v>-9.3793575747374708E-2</c:v>
                </c:pt>
                <c:pt idx="105">
                  <c:v>-9.3793575747374708E-2</c:v>
                </c:pt>
                <c:pt idx="106">
                  <c:v>-9.3793575747374708E-2</c:v>
                </c:pt>
                <c:pt idx="107">
                  <c:v>-9.3793575747374708E-2</c:v>
                </c:pt>
                <c:pt idx="108">
                  <c:v>-9.3793575747374708E-2</c:v>
                </c:pt>
                <c:pt idx="109">
                  <c:v>-9.3793575747374708E-2</c:v>
                </c:pt>
                <c:pt idx="110">
                  <c:v>-9.3793575747374708E-2</c:v>
                </c:pt>
                <c:pt idx="111">
                  <c:v>-9.3793575747374708E-2</c:v>
                </c:pt>
                <c:pt idx="112">
                  <c:v>-9.3793575747374708E-2</c:v>
                </c:pt>
                <c:pt idx="113">
                  <c:v>-9.3793575747374708E-2</c:v>
                </c:pt>
                <c:pt idx="114">
                  <c:v>-9.3793575747374708E-2</c:v>
                </c:pt>
                <c:pt idx="115">
                  <c:v>-9.3793575747374708E-2</c:v>
                </c:pt>
                <c:pt idx="116">
                  <c:v>-9.3793575747374708E-2</c:v>
                </c:pt>
                <c:pt idx="117">
                  <c:v>-9.3793575747374708E-2</c:v>
                </c:pt>
                <c:pt idx="118">
                  <c:v>-9.3793575747374708E-2</c:v>
                </c:pt>
                <c:pt idx="119">
                  <c:v>-9.3793575747374708E-2</c:v>
                </c:pt>
                <c:pt idx="120">
                  <c:v>-9.3793575747374708E-2</c:v>
                </c:pt>
                <c:pt idx="121">
                  <c:v>-9.3793575747374708E-2</c:v>
                </c:pt>
                <c:pt idx="122">
                  <c:v>-9.3793575747374708E-2</c:v>
                </c:pt>
                <c:pt idx="123">
                  <c:v>-9.3793575747374708E-2</c:v>
                </c:pt>
                <c:pt idx="124">
                  <c:v>-9.3793575747374708E-2</c:v>
                </c:pt>
                <c:pt idx="125">
                  <c:v>-9.3793575747374708E-2</c:v>
                </c:pt>
                <c:pt idx="126">
                  <c:v>-9.3793575747374708E-2</c:v>
                </c:pt>
                <c:pt idx="127">
                  <c:v>-9.3793575747374708E-2</c:v>
                </c:pt>
                <c:pt idx="128">
                  <c:v>-9.3793575747374708E-2</c:v>
                </c:pt>
                <c:pt idx="129">
                  <c:v>-9.3793575747374708E-2</c:v>
                </c:pt>
                <c:pt idx="130">
                  <c:v>-9.3793575747374708E-2</c:v>
                </c:pt>
                <c:pt idx="131">
                  <c:v>-9.3793575747374708E-2</c:v>
                </c:pt>
                <c:pt idx="132">
                  <c:v>-9.3793575747374708E-2</c:v>
                </c:pt>
                <c:pt idx="133">
                  <c:v>-9.3793575747374708E-2</c:v>
                </c:pt>
                <c:pt idx="134">
                  <c:v>-9.3793575747374708E-2</c:v>
                </c:pt>
                <c:pt idx="135">
                  <c:v>-9.3793575747374708E-2</c:v>
                </c:pt>
                <c:pt idx="136">
                  <c:v>-9.3793575747374708E-2</c:v>
                </c:pt>
                <c:pt idx="137">
                  <c:v>-9.3793575747374708E-2</c:v>
                </c:pt>
                <c:pt idx="138">
                  <c:v>-9.3793575747374708E-2</c:v>
                </c:pt>
                <c:pt idx="139">
                  <c:v>-9.3793575747374708E-2</c:v>
                </c:pt>
                <c:pt idx="140">
                  <c:v>-9.3793575747374708E-2</c:v>
                </c:pt>
                <c:pt idx="141">
                  <c:v>-9.3793575747374708E-2</c:v>
                </c:pt>
                <c:pt idx="142">
                  <c:v>-9.3793575747374708E-2</c:v>
                </c:pt>
                <c:pt idx="143">
                  <c:v>-9.3793575747374708E-2</c:v>
                </c:pt>
                <c:pt idx="144">
                  <c:v>-9.3793575747374708E-2</c:v>
                </c:pt>
                <c:pt idx="145">
                  <c:v>-9.3793575747374708E-2</c:v>
                </c:pt>
                <c:pt idx="146">
                  <c:v>-9.3793575747374708E-2</c:v>
                </c:pt>
                <c:pt idx="147">
                  <c:v>-9.3793575747374708E-2</c:v>
                </c:pt>
                <c:pt idx="148">
                  <c:v>-9.3793575747374708E-2</c:v>
                </c:pt>
                <c:pt idx="149">
                  <c:v>-9.3793575747374708E-2</c:v>
                </c:pt>
                <c:pt idx="150">
                  <c:v>-9.3793575747374708E-2</c:v>
                </c:pt>
                <c:pt idx="151">
                  <c:v>-9.3793575747374708E-2</c:v>
                </c:pt>
                <c:pt idx="152">
                  <c:v>-9.3793575747374708E-2</c:v>
                </c:pt>
                <c:pt idx="153">
                  <c:v>-9.3793575747374708E-2</c:v>
                </c:pt>
                <c:pt idx="154">
                  <c:v>-9.3793575747374708E-2</c:v>
                </c:pt>
                <c:pt idx="155">
                  <c:v>-9.3793575747374708E-2</c:v>
                </c:pt>
                <c:pt idx="156">
                  <c:v>-9.3793575747374708E-2</c:v>
                </c:pt>
                <c:pt idx="157">
                  <c:v>-9.3793575747374708E-2</c:v>
                </c:pt>
                <c:pt idx="158">
                  <c:v>-9.3793575747374708E-2</c:v>
                </c:pt>
                <c:pt idx="159">
                  <c:v>-9.3793575747374708E-2</c:v>
                </c:pt>
                <c:pt idx="160">
                  <c:v>-9.3793575747374708E-2</c:v>
                </c:pt>
                <c:pt idx="161">
                  <c:v>-9.3793575747374708E-2</c:v>
                </c:pt>
                <c:pt idx="162">
                  <c:v>-9.3793575747374708E-2</c:v>
                </c:pt>
                <c:pt idx="163">
                  <c:v>-9.3793575747374708E-2</c:v>
                </c:pt>
                <c:pt idx="164">
                  <c:v>-9.3793575747374708E-2</c:v>
                </c:pt>
                <c:pt idx="165">
                  <c:v>-9.3793575747374708E-2</c:v>
                </c:pt>
                <c:pt idx="166">
                  <c:v>-9.3793575747374708E-2</c:v>
                </c:pt>
                <c:pt idx="167">
                  <c:v>-9.3793575747374708E-2</c:v>
                </c:pt>
                <c:pt idx="168">
                  <c:v>-9.3793575747374708E-2</c:v>
                </c:pt>
                <c:pt idx="169">
                  <c:v>-9.3793575747374708E-2</c:v>
                </c:pt>
                <c:pt idx="170">
                  <c:v>-9.3793575747374708E-2</c:v>
                </c:pt>
                <c:pt idx="171">
                  <c:v>-9.3793575747374708E-2</c:v>
                </c:pt>
                <c:pt idx="172">
                  <c:v>-9.3793575747374708E-2</c:v>
                </c:pt>
                <c:pt idx="173">
                  <c:v>-9.3793575747374708E-2</c:v>
                </c:pt>
                <c:pt idx="174">
                  <c:v>-9.3793575747374708E-2</c:v>
                </c:pt>
                <c:pt idx="175">
                  <c:v>-9.3793575747374708E-2</c:v>
                </c:pt>
                <c:pt idx="176">
                  <c:v>-9.3793575747374708E-2</c:v>
                </c:pt>
                <c:pt idx="177">
                  <c:v>-9.3793575747374708E-2</c:v>
                </c:pt>
                <c:pt idx="178">
                  <c:v>-9.3793575747374708E-2</c:v>
                </c:pt>
                <c:pt idx="179">
                  <c:v>-9.3793575747374708E-2</c:v>
                </c:pt>
                <c:pt idx="180">
                  <c:v>-9.3793575747374708E-2</c:v>
                </c:pt>
                <c:pt idx="181">
                  <c:v>-9.3793575747374708E-2</c:v>
                </c:pt>
                <c:pt idx="182">
                  <c:v>-9.3793575747374708E-2</c:v>
                </c:pt>
                <c:pt idx="183">
                  <c:v>-9.3793575747374708E-2</c:v>
                </c:pt>
                <c:pt idx="184">
                  <c:v>-9.3793575747374708E-2</c:v>
                </c:pt>
                <c:pt idx="185">
                  <c:v>-9.3793575747374708E-2</c:v>
                </c:pt>
                <c:pt idx="186">
                  <c:v>-9.3793575747374708E-2</c:v>
                </c:pt>
                <c:pt idx="187">
                  <c:v>-9.3793575747374708E-2</c:v>
                </c:pt>
                <c:pt idx="188">
                  <c:v>-9.3793575747374708E-2</c:v>
                </c:pt>
                <c:pt idx="189">
                  <c:v>-9.3793575747374708E-2</c:v>
                </c:pt>
                <c:pt idx="190">
                  <c:v>-9.3793575747374708E-2</c:v>
                </c:pt>
                <c:pt idx="191">
                  <c:v>-9.3793575747374708E-2</c:v>
                </c:pt>
                <c:pt idx="192">
                  <c:v>-9.3793575747374708E-2</c:v>
                </c:pt>
                <c:pt idx="193">
                  <c:v>-9.3793575747374708E-2</c:v>
                </c:pt>
                <c:pt idx="194">
                  <c:v>-9.3793575747374708E-2</c:v>
                </c:pt>
                <c:pt idx="195">
                  <c:v>-9.3793575747374708E-2</c:v>
                </c:pt>
                <c:pt idx="196">
                  <c:v>-9.3793575747374708E-2</c:v>
                </c:pt>
                <c:pt idx="197">
                  <c:v>-9.3793575747374708E-2</c:v>
                </c:pt>
                <c:pt idx="198">
                  <c:v>-9.3793575747374708E-2</c:v>
                </c:pt>
                <c:pt idx="199">
                  <c:v>-9.3793575747374708E-2</c:v>
                </c:pt>
                <c:pt idx="200">
                  <c:v>-9.3793575747374708E-2</c:v>
                </c:pt>
                <c:pt idx="201">
                  <c:v>-9.3793575747374708E-2</c:v>
                </c:pt>
                <c:pt idx="202">
                  <c:v>-9.3793575747374708E-2</c:v>
                </c:pt>
                <c:pt idx="203">
                  <c:v>-9.3793575747374708E-2</c:v>
                </c:pt>
                <c:pt idx="204">
                  <c:v>-9.3793575747374708E-2</c:v>
                </c:pt>
                <c:pt idx="205">
                  <c:v>-9.3793575747374708E-2</c:v>
                </c:pt>
                <c:pt idx="206">
                  <c:v>-9.3793575747374708E-2</c:v>
                </c:pt>
                <c:pt idx="207">
                  <c:v>-9.3793575747374708E-2</c:v>
                </c:pt>
                <c:pt idx="208">
                  <c:v>-9.3793575747374708E-2</c:v>
                </c:pt>
                <c:pt idx="209">
                  <c:v>-9.3793575747374708E-2</c:v>
                </c:pt>
                <c:pt idx="210">
                  <c:v>-9.3793575747374708E-2</c:v>
                </c:pt>
                <c:pt idx="211">
                  <c:v>-9.3793575747374708E-2</c:v>
                </c:pt>
                <c:pt idx="212">
                  <c:v>-9.3793575747374708E-2</c:v>
                </c:pt>
                <c:pt idx="213">
                  <c:v>-9.3793575747374708E-2</c:v>
                </c:pt>
                <c:pt idx="214">
                  <c:v>-9.3793575747374708E-2</c:v>
                </c:pt>
                <c:pt idx="215">
                  <c:v>-9.3793575747374708E-2</c:v>
                </c:pt>
                <c:pt idx="216">
                  <c:v>-9.3793575747374708E-2</c:v>
                </c:pt>
                <c:pt idx="217">
                  <c:v>-9.3793575747374708E-2</c:v>
                </c:pt>
                <c:pt idx="218">
                  <c:v>-9.3793575747374708E-2</c:v>
                </c:pt>
                <c:pt idx="219">
                  <c:v>-9.3793575747374708E-2</c:v>
                </c:pt>
                <c:pt idx="220">
                  <c:v>-9.3793575747374708E-2</c:v>
                </c:pt>
                <c:pt idx="221">
                  <c:v>-9.3793575747374708E-2</c:v>
                </c:pt>
                <c:pt idx="222">
                  <c:v>-9.3793575747374708E-2</c:v>
                </c:pt>
                <c:pt idx="223">
                  <c:v>-9.3793575747374708E-2</c:v>
                </c:pt>
                <c:pt idx="224">
                  <c:v>-9.3793575747374708E-2</c:v>
                </c:pt>
                <c:pt idx="225">
                  <c:v>-9.3793575747374708E-2</c:v>
                </c:pt>
                <c:pt idx="226">
                  <c:v>-9.3793575747374708E-2</c:v>
                </c:pt>
                <c:pt idx="227">
                  <c:v>-9.3793575747374708E-2</c:v>
                </c:pt>
                <c:pt idx="228">
                  <c:v>-9.3793575747374708E-2</c:v>
                </c:pt>
                <c:pt idx="229">
                  <c:v>-9.3793575747374708E-2</c:v>
                </c:pt>
                <c:pt idx="230">
                  <c:v>-9.3793575747374708E-2</c:v>
                </c:pt>
                <c:pt idx="231">
                  <c:v>-9.3793575747374708E-2</c:v>
                </c:pt>
                <c:pt idx="232">
                  <c:v>-9.3793575747374708E-2</c:v>
                </c:pt>
                <c:pt idx="233">
                  <c:v>-9.3793575747374708E-2</c:v>
                </c:pt>
                <c:pt idx="234">
                  <c:v>-9.3793575747374708E-2</c:v>
                </c:pt>
                <c:pt idx="235">
                  <c:v>-9.3793575747374708E-2</c:v>
                </c:pt>
                <c:pt idx="236">
                  <c:v>-9.3793575747374708E-2</c:v>
                </c:pt>
                <c:pt idx="237">
                  <c:v>-9.3793575747374708E-2</c:v>
                </c:pt>
                <c:pt idx="238">
                  <c:v>-9.3793575747374708E-2</c:v>
                </c:pt>
                <c:pt idx="239">
                  <c:v>-9.3793575747374708E-2</c:v>
                </c:pt>
                <c:pt idx="240">
                  <c:v>-9.3793575747374708E-2</c:v>
                </c:pt>
                <c:pt idx="241">
                  <c:v>-9.3793575747374708E-2</c:v>
                </c:pt>
                <c:pt idx="242">
                  <c:v>-9.3793575747374708E-2</c:v>
                </c:pt>
                <c:pt idx="243">
                  <c:v>-9.3793575747374708E-2</c:v>
                </c:pt>
                <c:pt idx="244">
                  <c:v>-9.3793575747374708E-2</c:v>
                </c:pt>
                <c:pt idx="245">
                  <c:v>-9.3793575747374708E-2</c:v>
                </c:pt>
                <c:pt idx="246">
                  <c:v>-9.3793575747374708E-2</c:v>
                </c:pt>
                <c:pt idx="247">
                  <c:v>-9.3793575747374708E-2</c:v>
                </c:pt>
                <c:pt idx="248">
                  <c:v>-9.3793575747374708E-2</c:v>
                </c:pt>
                <c:pt idx="249">
                  <c:v>-9.3793575747374708E-2</c:v>
                </c:pt>
                <c:pt idx="250">
                  <c:v>-9.3793575747374708E-2</c:v>
                </c:pt>
                <c:pt idx="251">
                  <c:v>-9.3793575747374708E-2</c:v>
                </c:pt>
                <c:pt idx="252">
                  <c:v>-9.3793575747374708E-2</c:v>
                </c:pt>
                <c:pt idx="253">
                  <c:v>-9.3793575747374708E-2</c:v>
                </c:pt>
              </c:numCache>
            </c:numRef>
          </c:val>
          <c:smooth val="0"/>
          <c:extLst>
            <c:ext xmlns:c16="http://schemas.microsoft.com/office/drawing/2014/chart" uri="{C3380CC4-5D6E-409C-BE32-E72D297353CC}">
              <c16:uniqueId val="{00000002-D8A5-45F1-BDF7-50F9D9BECFDB}"/>
            </c:ext>
          </c:extLst>
        </c:ser>
        <c:ser>
          <c:idx val="2"/>
          <c:order val="2"/>
          <c:tx>
            <c:strRef>
              <c:f>evebitda!$Q$4</c:f>
              <c:strCache>
                <c:ptCount val="1"/>
                <c:pt idx="0">
                  <c:v>+1 SD</c:v>
                </c:pt>
              </c:strCache>
            </c:strRef>
          </c:tx>
          <c:spPr>
            <a:ln w="19050" cap="rnd">
              <a:solidFill>
                <a:schemeClr val="bg1">
                  <a:lumMod val="50000"/>
                </a:schemeClr>
              </a:solidFill>
              <a:prstDash val="dash"/>
              <a:round/>
            </a:ln>
            <a:effectLst/>
          </c:spPr>
          <c:marker>
            <c:symbol val="none"/>
          </c:marker>
          <c:cat>
            <c:numRef>
              <c:f>evebitda!$B$5:$B$258</c:f>
              <c:numCache>
                <c:formatCode>m/d/yyyy</c:formatCode>
                <c:ptCount val="254"/>
                <c:pt idx="0">
                  <c:v>44335</c:v>
                </c:pt>
                <c:pt idx="1">
                  <c:v>44334</c:v>
                </c:pt>
                <c:pt idx="2">
                  <c:v>44333</c:v>
                </c:pt>
                <c:pt idx="3">
                  <c:v>44330</c:v>
                </c:pt>
                <c:pt idx="4">
                  <c:v>44329</c:v>
                </c:pt>
                <c:pt idx="5">
                  <c:v>44328</c:v>
                </c:pt>
                <c:pt idx="6">
                  <c:v>44327</c:v>
                </c:pt>
                <c:pt idx="7">
                  <c:v>44326</c:v>
                </c:pt>
                <c:pt idx="8">
                  <c:v>44323</c:v>
                </c:pt>
                <c:pt idx="9">
                  <c:v>44322</c:v>
                </c:pt>
                <c:pt idx="10">
                  <c:v>44321</c:v>
                </c:pt>
                <c:pt idx="11">
                  <c:v>44320</c:v>
                </c:pt>
                <c:pt idx="12">
                  <c:v>44316</c:v>
                </c:pt>
                <c:pt idx="13">
                  <c:v>44315</c:v>
                </c:pt>
                <c:pt idx="14">
                  <c:v>44314</c:v>
                </c:pt>
                <c:pt idx="15">
                  <c:v>44313</c:v>
                </c:pt>
                <c:pt idx="16">
                  <c:v>44312</c:v>
                </c:pt>
                <c:pt idx="17">
                  <c:v>44309</c:v>
                </c:pt>
                <c:pt idx="18">
                  <c:v>44308</c:v>
                </c:pt>
                <c:pt idx="19">
                  <c:v>44307</c:v>
                </c:pt>
                <c:pt idx="20">
                  <c:v>44306</c:v>
                </c:pt>
                <c:pt idx="21">
                  <c:v>44305</c:v>
                </c:pt>
                <c:pt idx="22">
                  <c:v>44302</c:v>
                </c:pt>
                <c:pt idx="23">
                  <c:v>44301</c:v>
                </c:pt>
                <c:pt idx="24">
                  <c:v>44300</c:v>
                </c:pt>
                <c:pt idx="25">
                  <c:v>44299</c:v>
                </c:pt>
                <c:pt idx="26">
                  <c:v>44298</c:v>
                </c:pt>
                <c:pt idx="27">
                  <c:v>44295</c:v>
                </c:pt>
                <c:pt idx="28">
                  <c:v>44294</c:v>
                </c:pt>
                <c:pt idx="29">
                  <c:v>44293</c:v>
                </c:pt>
                <c:pt idx="30">
                  <c:v>44292</c:v>
                </c:pt>
                <c:pt idx="31">
                  <c:v>44287</c:v>
                </c:pt>
                <c:pt idx="32">
                  <c:v>44286</c:v>
                </c:pt>
                <c:pt idx="33">
                  <c:v>44285</c:v>
                </c:pt>
                <c:pt idx="34">
                  <c:v>44284</c:v>
                </c:pt>
                <c:pt idx="35">
                  <c:v>44281</c:v>
                </c:pt>
                <c:pt idx="36">
                  <c:v>44280</c:v>
                </c:pt>
                <c:pt idx="37">
                  <c:v>44279</c:v>
                </c:pt>
                <c:pt idx="38">
                  <c:v>44278</c:v>
                </c:pt>
                <c:pt idx="39">
                  <c:v>44277</c:v>
                </c:pt>
                <c:pt idx="40">
                  <c:v>44274</c:v>
                </c:pt>
                <c:pt idx="41">
                  <c:v>44273</c:v>
                </c:pt>
                <c:pt idx="42">
                  <c:v>44272</c:v>
                </c:pt>
                <c:pt idx="43">
                  <c:v>44271</c:v>
                </c:pt>
                <c:pt idx="44">
                  <c:v>44270</c:v>
                </c:pt>
                <c:pt idx="45">
                  <c:v>44267</c:v>
                </c:pt>
                <c:pt idx="46">
                  <c:v>44266</c:v>
                </c:pt>
                <c:pt idx="47">
                  <c:v>44265</c:v>
                </c:pt>
                <c:pt idx="48">
                  <c:v>44264</c:v>
                </c:pt>
                <c:pt idx="49">
                  <c:v>44263</c:v>
                </c:pt>
                <c:pt idx="50">
                  <c:v>44260</c:v>
                </c:pt>
                <c:pt idx="51">
                  <c:v>44259</c:v>
                </c:pt>
                <c:pt idx="52">
                  <c:v>44258</c:v>
                </c:pt>
                <c:pt idx="53">
                  <c:v>44257</c:v>
                </c:pt>
                <c:pt idx="54">
                  <c:v>44256</c:v>
                </c:pt>
                <c:pt idx="55">
                  <c:v>44253</c:v>
                </c:pt>
                <c:pt idx="56">
                  <c:v>44252</c:v>
                </c:pt>
                <c:pt idx="57">
                  <c:v>44251</c:v>
                </c:pt>
                <c:pt idx="58">
                  <c:v>44250</c:v>
                </c:pt>
                <c:pt idx="59">
                  <c:v>44249</c:v>
                </c:pt>
                <c:pt idx="60">
                  <c:v>44246</c:v>
                </c:pt>
                <c:pt idx="61">
                  <c:v>44245</c:v>
                </c:pt>
                <c:pt idx="62">
                  <c:v>44244</c:v>
                </c:pt>
                <c:pt idx="63">
                  <c:v>44243</c:v>
                </c:pt>
                <c:pt idx="64">
                  <c:v>44242</c:v>
                </c:pt>
                <c:pt idx="65">
                  <c:v>44239</c:v>
                </c:pt>
                <c:pt idx="66">
                  <c:v>44238</c:v>
                </c:pt>
                <c:pt idx="67">
                  <c:v>44237</c:v>
                </c:pt>
                <c:pt idx="68">
                  <c:v>44236</c:v>
                </c:pt>
                <c:pt idx="69">
                  <c:v>44235</c:v>
                </c:pt>
                <c:pt idx="70">
                  <c:v>44232</c:v>
                </c:pt>
                <c:pt idx="71">
                  <c:v>44231</c:v>
                </c:pt>
                <c:pt idx="72">
                  <c:v>44230</c:v>
                </c:pt>
                <c:pt idx="73">
                  <c:v>44229</c:v>
                </c:pt>
                <c:pt idx="74">
                  <c:v>44228</c:v>
                </c:pt>
                <c:pt idx="75">
                  <c:v>44225</c:v>
                </c:pt>
                <c:pt idx="76">
                  <c:v>44224</c:v>
                </c:pt>
                <c:pt idx="77">
                  <c:v>44223</c:v>
                </c:pt>
                <c:pt idx="78">
                  <c:v>44222</c:v>
                </c:pt>
                <c:pt idx="79">
                  <c:v>44221</c:v>
                </c:pt>
                <c:pt idx="80">
                  <c:v>44218</c:v>
                </c:pt>
                <c:pt idx="81">
                  <c:v>44217</c:v>
                </c:pt>
                <c:pt idx="82">
                  <c:v>44216</c:v>
                </c:pt>
                <c:pt idx="83">
                  <c:v>44215</c:v>
                </c:pt>
                <c:pt idx="84">
                  <c:v>44214</c:v>
                </c:pt>
                <c:pt idx="85">
                  <c:v>44211</c:v>
                </c:pt>
                <c:pt idx="86">
                  <c:v>44210</c:v>
                </c:pt>
                <c:pt idx="87">
                  <c:v>44209</c:v>
                </c:pt>
                <c:pt idx="88">
                  <c:v>44208</c:v>
                </c:pt>
                <c:pt idx="89">
                  <c:v>44207</c:v>
                </c:pt>
                <c:pt idx="90">
                  <c:v>44204</c:v>
                </c:pt>
                <c:pt idx="91">
                  <c:v>44203</c:v>
                </c:pt>
                <c:pt idx="92">
                  <c:v>44202</c:v>
                </c:pt>
                <c:pt idx="93">
                  <c:v>44201</c:v>
                </c:pt>
                <c:pt idx="94">
                  <c:v>44200</c:v>
                </c:pt>
                <c:pt idx="95">
                  <c:v>44196</c:v>
                </c:pt>
                <c:pt idx="96">
                  <c:v>44195</c:v>
                </c:pt>
                <c:pt idx="97">
                  <c:v>44194</c:v>
                </c:pt>
                <c:pt idx="98">
                  <c:v>44189</c:v>
                </c:pt>
                <c:pt idx="99">
                  <c:v>44188</c:v>
                </c:pt>
                <c:pt idx="100">
                  <c:v>44187</c:v>
                </c:pt>
                <c:pt idx="101">
                  <c:v>44186</c:v>
                </c:pt>
                <c:pt idx="102">
                  <c:v>44183</c:v>
                </c:pt>
                <c:pt idx="103">
                  <c:v>44182</c:v>
                </c:pt>
                <c:pt idx="104">
                  <c:v>44181</c:v>
                </c:pt>
                <c:pt idx="105">
                  <c:v>44180</c:v>
                </c:pt>
                <c:pt idx="106">
                  <c:v>44179</c:v>
                </c:pt>
                <c:pt idx="107">
                  <c:v>44176</c:v>
                </c:pt>
                <c:pt idx="108">
                  <c:v>44175</c:v>
                </c:pt>
                <c:pt idx="109">
                  <c:v>44174</c:v>
                </c:pt>
                <c:pt idx="110">
                  <c:v>44173</c:v>
                </c:pt>
                <c:pt idx="111">
                  <c:v>44172</c:v>
                </c:pt>
                <c:pt idx="112">
                  <c:v>44169</c:v>
                </c:pt>
                <c:pt idx="113">
                  <c:v>44168</c:v>
                </c:pt>
                <c:pt idx="114">
                  <c:v>44167</c:v>
                </c:pt>
                <c:pt idx="115">
                  <c:v>44166</c:v>
                </c:pt>
                <c:pt idx="116">
                  <c:v>44165</c:v>
                </c:pt>
                <c:pt idx="117">
                  <c:v>44162</c:v>
                </c:pt>
                <c:pt idx="118">
                  <c:v>44161</c:v>
                </c:pt>
                <c:pt idx="119">
                  <c:v>44160</c:v>
                </c:pt>
                <c:pt idx="120">
                  <c:v>44159</c:v>
                </c:pt>
                <c:pt idx="121">
                  <c:v>44158</c:v>
                </c:pt>
                <c:pt idx="122">
                  <c:v>44155</c:v>
                </c:pt>
                <c:pt idx="123">
                  <c:v>44154</c:v>
                </c:pt>
                <c:pt idx="124">
                  <c:v>44153</c:v>
                </c:pt>
                <c:pt idx="125">
                  <c:v>44152</c:v>
                </c:pt>
                <c:pt idx="126">
                  <c:v>44151</c:v>
                </c:pt>
                <c:pt idx="127">
                  <c:v>44148</c:v>
                </c:pt>
                <c:pt idx="128">
                  <c:v>44147</c:v>
                </c:pt>
                <c:pt idx="129">
                  <c:v>44146</c:v>
                </c:pt>
                <c:pt idx="130">
                  <c:v>44145</c:v>
                </c:pt>
                <c:pt idx="131">
                  <c:v>44144</c:v>
                </c:pt>
                <c:pt idx="132">
                  <c:v>44141</c:v>
                </c:pt>
                <c:pt idx="133">
                  <c:v>44140</c:v>
                </c:pt>
                <c:pt idx="134">
                  <c:v>44139</c:v>
                </c:pt>
                <c:pt idx="135">
                  <c:v>44138</c:v>
                </c:pt>
                <c:pt idx="136">
                  <c:v>44137</c:v>
                </c:pt>
                <c:pt idx="137">
                  <c:v>44134</c:v>
                </c:pt>
                <c:pt idx="138">
                  <c:v>44133</c:v>
                </c:pt>
                <c:pt idx="139">
                  <c:v>44132</c:v>
                </c:pt>
                <c:pt idx="140">
                  <c:v>44131</c:v>
                </c:pt>
                <c:pt idx="141">
                  <c:v>44130</c:v>
                </c:pt>
                <c:pt idx="142">
                  <c:v>44127</c:v>
                </c:pt>
                <c:pt idx="143">
                  <c:v>44126</c:v>
                </c:pt>
                <c:pt idx="144">
                  <c:v>44125</c:v>
                </c:pt>
                <c:pt idx="145">
                  <c:v>44124</c:v>
                </c:pt>
                <c:pt idx="146">
                  <c:v>44123</c:v>
                </c:pt>
                <c:pt idx="147">
                  <c:v>44120</c:v>
                </c:pt>
                <c:pt idx="148">
                  <c:v>44119</c:v>
                </c:pt>
                <c:pt idx="149">
                  <c:v>44118</c:v>
                </c:pt>
                <c:pt idx="150">
                  <c:v>44117</c:v>
                </c:pt>
                <c:pt idx="151">
                  <c:v>44116</c:v>
                </c:pt>
                <c:pt idx="152">
                  <c:v>44113</c:v>
                </c:pt>
                <c:pt idx="153">
                  <c:v>44112</c:v>
                </c:pt>
                <c:pt idx="154">
                  <c:v>44111</c:v>
                </c:pt>
                <c:pt idx="155">
                  <c:v>44110</c:v>
                </c:pt>
                <c:pt idx="156">
                  <c:v>44109</c:v>
                </c:pt>
                <c:pt idx="157">
                  <c:v>44106</c:v>
                </c:pt>
                <c:pt idx="158">
                  <c:v>44105</c:v>
                </c:pt>
                <c:pt idx="159">
                  <c:v>44104</c:v>
                </c:pt>
                <c:pt idx="160">
                  <c:v>44103</c:v>
                </c:pt>
                <c:pt idx="161">
                  <c:v>44102</c:v>
                </c:pt>
                <c:pt idx="162">
                  <c:v>44099</c:v>
                </c:pt>
                <c:pt idx="163">
                  <c:v>44098</c:v>
                </c:pt>
                <c:pt idx="164">
                  <c:v>44097</c:v>
                </c:pt>
                <c:pt idx="165">
                  <c:v>44096</c:v>
                </c:pt>
                <c:pt idx="166">
                  <c:v>44095</c:v>
                </c:pt>
                <c:pt idx="167">
                  <c:v>44092</c:v>
                </c:pt>
                <c:pt idx="168">
                  <c:v>44091</c:v>
                </c:pt>
                <c:pt idx="169">
                  <c:v>44090</c:v>
                </c:pt>
                <c:pt idx="170">
                  <c:v>44089</c:v>
                </c:pt>
                <c:pt idx="171">
                  <c:v>44088</c:v>
                </c:pt>
                <c:pt idx="172">
                  <c:v>44085</c:v>
                </c:pt>
                <c:pt idx="173">
                  <c:v>44084</c:v>
                </c:pt>
                <c:pt idx="174">
                  <c:v>44083</c:v>
                </c:pt>
                <c:pt idx="175">
                  <c:v>44082</c:v>
                </c:pt>
                <c:pt idx="176">
                  <c:v>44081</c:v>
                </c:pt>
                <c:pt idx="177">
                  <c:v>44078</c:v>
                </c:pt>
                <c:pt idx="178">
                  <c:v>44077</c:v>
                </c:pt>
                <c:pt idx="179">
                  <c:v>44076</c:v>
                </c:pt>
                <c:pt idx="180">
                  <c:v>44075</c:v>
                </c:pt>
                <c:pt idx="181">
                  <c:v>44071</c:v>
                </c:pt>
                <c:pt idx="182">
                  <c:v>44070</c:v>
                </c:pt>
                <c:pt idx="183">
                  <c:v>44069</c:v>
                </c:pt>
                <c:pt idx="184">
                  <c:v>44068</c:v>
                </c:pt>
                <c:pt idx="185">
                  <c:v>44067</c:v>
                </c:pt>
                <c:pt idx="186">
                  <c:v>44064</c:v>
                </c:pt>
                <c:pt idx="187">
                  <c:v>44063</c:v>
                </c:pt>
                <c:pt idx="188">
                  <c:v>44062</c:v>
                </c:pt>
                <c:pt idx="189">
                  <c:v>44061</c:v>
                </c:pt>
                <c:pt idx="190">
                  <c:v>44060</c:v>
                </c:pt>
                <c:pt idx="191">
                  <c:v>44057</c:v>
                </c:pt>
                <c:pt idx="192">
                  <c:v>44056</c:v>
                </c:pt>
                <c:pt idx="193">
                  <c:v>44055</c:v>
                </c:pt>
                <c:pt idx="194">
                  <c:v>44054</c:v>
                </c:pt>
                <c:pt idx="195">
                  <c:v>44053</c:v>
                </c:pt>
                <c:pt idx="196">
                  <c:v>44050</c:v>
                </c:pt>
                <c:pt idx="197">
                  <c:v>44049</c:v>
                </c:pt>
                <c:pt idx="198">
                  <c:v>44048</c:v>
                </c:pt>
                <c:pt idx="199">
                  <c:v>44047</c:v>
                </c:pt>
                <c:pt idx="200">
                  <c:v>44046</c:v>
                </c:pt>
                <c:pt idx="201">
                  <c:v>44043</c:v>
                </c:pt>
                <c:pt idx="202">
                  <c:v>44042</c:v>
                </c:pt>
                <c:pt idx="203">
                  <c:v>44041</c:v>
                </c:pt>
                <c:pt idx="204">
                  <c:v>44040</c:v>
                </c:pt>
                <c:pt idx="205">
                  <c:v>44039</c:v>
                </c:pt>
                <c:pt idx="206">
                  <c:v>44036</c:v>
                </c:pt>
                <c:pt idx="207">
                  <c:v>44035</c:v>
                </c:pt>
                <c:pt idx="208">
                  <c:v>44034</c:v>
                </c:pt>
                <c:pt idx="209">
                  <c:v>44033</c:v>
                </c:pt>
                <c:pt idx="210">
                  <c:v>44032</c:v>
                </c:pt>
                <c:pt idx="211">
                  <c:v>44029</c:v>
                </c:pt>
                <c:pt idx="212">
                  <c:v>44028</c:v>
                </c:pt>
                <c:pt idx="213">
                  <c:v>44027</c:v>
                </c:pt>
                <c:pt idx="214">
                  <c:v>44026</c:v>
                </c:pt>
                <c:pt idx="215">
                  <c:v>44025</c:v>
                </c:pt>
                <c:pt idx="216">
                  <c:v>44022</c:v>
                </c:pt>
                <c:pt idx="217">
                  <c:v>44021</c:v>
                </c:pt>
                <c:pt idx="218">
                  <c:v>44020</c:v>
                </c:pt>
                <c:pt idx="219">
                  <c:v>44019</c:v>
                </c:pt>
                <c:pt idx="220">
                  <c:v>44018</c:v>
                </c:pt>
                <c:pt idx="221">
                  <c:v>44015</c:v>
                </c:pt>
                <c:pt idx="222">
                  <c:v>44014</c:v>
                </c:pt>
                <c:pt idx="223">
                  <c:v>44013</c:v>
                </c:pt>
                <c:pt idx="224">
                  <c:v>44012</c:v>
                </c:pt>
                <c:pt idx="225">
                  <c:v>44011</c:v>
                </c:pt>
                <c:pt idx="226">
                  <c:v>44008</c:v>
                </c:pt>
                <c:pt idx="227">
                  <c:v>44007</c:v>
                </c:pt>
                <c:pt idx="228">
                  <c:v>44006</c:v>
                </c:pt>
                <c:pt idx="229">
                  <c:v>44005</c:v>
                </c:pt>
                <c:pt idx="230">
                  <c:v>44004</c:v>
                </c:pt>
                <c:pt idx="231">
                  <c:v>44001</c:v>
                </c:pt>
                <c:pt idx="232">
                  <c:v>44000</c:v>
                </c:pt>
                <c:pt idx="233">
                  <c:v>43999</c:v>
                </c:pt>
                <c:pt idx="234">
                  <c:v>43998</c:v>
                </c:pt>
                <c:pt idx="235">
                  <c:v>43997</c:v>
                </c:pt>
                <c:pt idx="236">
                  <c:v>43994</c:v>
                </c:pt>
                <c:pt idx="237">
                  <c:v>43993</c:v>
                </c:pt>
                <c:pt idx="238">
                  <c:v>43992</c:v>
                </c:pt>
                <c:pt idx="239">
                  <c:v>43991</c:v>
                </c:pt>
                <c:pt idx="240">
                  <c:v>43990</c:v>
                </c:pt>
                <c:pt idx="241">
                  <c:v>43987</c:v>
                </c:pt>
                <c:pt idx="242">
                  <c:v>43986</c:v>
                </c:pt>
                <c:pt idx="243">
                  <c:v>43985</c:v>
                </c:pt>
                <c:pt idx="244">
                  <c:v>43984</c:v>
                </c:pt>
                <c:pt idx="245">
                  <c:v>43983</c:v>
                </c:pt>
                <c:pt idx="246">
                  <c:v>43980</c:v>
                </c:pt>
                <c:pt idx="247">
                  <c:v>43979</c:v>
                </c:pt>
                <c:pt idx="248">
                  <c:v>43978</c:v>
                </c:pt>
                <c:pt idx="249">
                  <c:v>43977</c:v>
                </c:pt>
                <c:pt idx="250">
                  <c:v>43973</c:v>
                </c:pt>
                <c:pt idx="251">
                  <c:v>43972</c:v>
                </c:pt>
                <c:pt idx="252">
                  <c:v>43971</c:v>
                </c:pt>
                <c:pt idx="253">
                  <c:v>43970</c:v>
                </c:pt>
              </c:numCache>
            </c:numRef>
          </c:cat>
          <c:val>
            <c:numRef>
              <c:f>evebitda!$Q$5:$Q$258</c:f>
              <c:numCache>
                <c:formatCode>0.00%</c:formatCode>
                <c:ptCount val="254"/>
                <c:pt idx="0">
                  <c:v>0.11158533728627432</c:v>
                </c:pt>
                <c:pt idx="1">
                  <c:v>0.11158533728627432</c:v>
                </c:pt>
                <c:pt idx="2">
                  <c:v>0.11158533728627432</c:v>
                </c:pt>
                <c:pt idx="3">
                  <c:v>0.11158533728627432</c:v>
                </c:pt>
                <c:pt idx="4">
                  <c:v>0.11158533728627432</c:v>
                </c:pt>
                <c:pt idx="5">
                  <c:v>0.11158533728627432</c:v>
                </c:pt>
                <c:pt idx="6">
                  <c:v>0.11158533728627432</c:v>
                </c:pt>
                <c:pt idx="7">
                  <c:v>0.11158533728627432</c:v>
                </c:pt>
                <c:pt idx="8">
                  <c:v>0.11158533728627432</c:v>
                </c:pt>
                <c:pt idx="9">
                  <c:v>0.11158533728627432</c:v>
                </c:pt>
                <c:pt idx="10">
                  <c:v>0.11158533728627432</c:v>
                </c:pt>
                <c:pt idx="11">
                  <c:v>0.11158533728627432</c:v>
                </c:pt>
                <c:pt idx="12">
                  <c:v>0.11158533728627432</c:v>
                </c:pt>
                <c:pt idx="13">
                  <c:v>0.11158533728627432</c:v>
                </c:pt>
                <c:pt idx="14">
                  <c:v>0.11158533728627432</c:v>
                </c:pt>
                <c:pt idx="15">
                  <c:v>0.11158533728627432</c:v>
                </c:pt>
                <c:pt idx="16">
                  <c:v>0.11158533728627432</c:v>
                </c:pt>
                <c:pt idx="17">
                  <c:v>0.11158533728627432</c:v>
                </c:pt>
                <c:pt idx="18">
                  <c:v>0.11158533728627432</c:v>
                </c:pt>
                <c:pt idx="19">
                  <c:v>0.11158533728627432</c:v>
                </c:pt>
                <c:pt idx="20">
                  <c:v>0.11158533728627432</c:v>
                </c:pt>
                <c:pt idx="21">
                  <c:v>0.11158533728627432</c:v>
                </c:pt>
                <c:pt idx="22">
                  <c:v>0.11158533728627432</c:v>
                </c:pt>
                <c:pt idx="23">
                  <c:v>0.11158533728627432</c:v>
                </c:pt>
                <c:pt idx="24">
                  <c:v>0.11158533728627432</c:v>
                </c:pt>
                <c:pt idx="25">
                  <c:v>0.11158533728627432</c:v>
                </c:pt>
                <c:pt idx="26">
                  <c:v>0.11158533728627432</c:v>
                </c:pt>
                <c:pt idx="27">
                  <c:v>0.11158533728627432</c:v>
                </c:pt>
                <c:pt idx="28">
                  <c:v>0.11158533728627432</c:v>
                </c:pt>
                <c:pt idx="29">
                  <c:v>0.11158533728627432</c:v>
                </c:pt>
                <c:pt idx="30">
                  <c:v>0.11158533728627432</c:v>
                </c:pt>
                <c:pt idx="31">
                  <c:v>0.11158533728627432</c:v>
                </c:pt>
                <c:pt idx="32">
                  <c:v>0.11158533728627432</c:v>
                </c:pt>
                <c:pt idx="33">
                  <c:v>0.11158533728627432</c:v>
                </c:pt>
                <c:pt idx="34">
                  <c:v>0.11158533728627432</c:v>
                </c:pt>
                <c:pt idx="35">
                  <c:v>0.11158533728627432</c:v>
                </c:pt>
                <c:pt idx="36">
                  <c:v>0.11158533728627432</c:v>
                </c:pt>
                <c:pt idx="37">
                  <c:v>0.11158533728627432</c:v>
                </c:pt>
                <c:pt idx="38">
                  <c:v>0.11158533728627432</c:v>
                </c:pt>
                <c:pt idx="39">
                  <c:v>0.11158533728627432</c:v>
                </c:pt>
                <c:pt idx="40">
                  <c:v>0.11158533728627432</c:v>
                </c:pt>
                <c:pt idx="41">
                  <c:v>0.11158533728627432</c:v>
                </c:pt>
                <c:pt idx="42">
                  <c:v>0.11158533728627432</c:v>
                </c:pt>
                <c:pt idx="43">
                  <c:v>0.11158533728627432</c:v>
                </c:pt>
                <c:pt idx="44">
                  <c:v>0.11158533728627432</c:v>
                </c:pt>
                <c:pt idx="45">
                  <c:v>0.11158533728627432</c:v>
                </c:pt>
                <c:pt idx="46">
                  <c:v>0.11158533728627432</c:v>
                </c:pt>
                <c:pt idx="47">
                  <c:v>0.11158533728627432</c:v>
                </c:pt>
                <c:pt idx="48">
                  <c:v>0.11158533728627432</c:v>
                </c:pt>
                <c:pt idx="49">
                  <c:v>0.11158533728627432</c:v>
                </c:pt>
                <c:pt idx="50">
                  <c:v>0.11158533728627432</c:v>
                </c:pt>
                <c:pt idx="51">
                  <c:v>0.11158533728627432</c:v>
                </c:pt>
                <c:pt idx="52">
                  <c:v>0.11158533728627432</c:v>
                </c:pt>
                <c:pt idx="53">
                  <c:v>0.11158533728627432</c:v>
                </c:pt>
                <c:pt idx="54">
                  <c:v>0.11158533728627432</c:v>
                </c:pt>
                <c:pt idx="55">
                  <c:v>0.11158533728627432</c:v>
                </c:pt>
                <c:pt idx="56">
                  <c:v>0.11158533728627432</c:v>
                </c:pt>
                <c:pt idx="57">
                  <c:v>0.11158533728627432</c:v>
                </c:pt>
                <c:pt idx="58">
                  <c:v>0.11158533728627432</c:v>
                </c:pt>
                <c:pt idx="59">
                  <c:v>0.11158533728627432</c:v>
                </c:pt>
                <c:pt idx="60">
                  <c:v>0.11158533728627432</c:v>
                </c:pt>
                <c:pt idx="61">
                  <c:v>0.11158533728627432</c:v>
                </c:pt>
                <c:pt idx="62">
                  <c:v>0.11158533728627432</c:v>
                </c:pt>
                <c:pt idx="63">
                  <c:v>0.11158533728627432</c:v>
                </c:pt>
                <c:pt idx="64">
                  <c:v>0.11158533728627432</c:v>
                </c:pt>
                <c:pt idx="65">
                  <c:v>0.11158533728627432</c:v>
                </c:pt>
                <c:pt idx="66">
                  <c:v>0.11158533728627432</c:v>
                </c:pt>
                <c:pt idx="67">
                  <c:v>0.11158533728627432</c:v>
                </c:pt>
                <c:pt idx="68">
                  <c:v>0.11158533728627432</c:v>
                </c:pt>
                <c:pt idx="69">
                  <c:v>0.11158533728627432</c:v>
                </c:pt>
                <c:pt idx="70">
                  <c:v>0.11158533728627432</c:v>
                </c:pt>
                <c:pt idx="71">
                  <c:v>0.11158533728627432</c:v>
                </c:pt>
                <c:pt idx="72">
                  <c:v>0.11158533728627432</c:v>
                </c:pt>
                <c:pt idx="73">
                  <c:v>0.11158533728627432</c:v>
                </c:pt>
                <c:pt idx="74">
                  <c:v>0.11158533728627432</c:v>
                </c:pt>
                <c:pt idx="75">
                  <c:v>0.11158533728627432</c:v>
                </c:pt>
                <c:pt idx="76">
                  <c:v>0.11158533728627432</c:v>
                </c:pt>
                <c:pt idx="77">
                  <c:v>0.11158533728627432</c:v>
                </c:pt>
                <c:pt idx="78">
                  <c:v>0.11158533728627432</c:v>
                </c:pt>
                <c:pt idx="79">
                  <c:v>0.11158533728627432</c:v>
                </c:pt>
                <c:pt idx="80">
                  <c:v>0.11158533728627432</c:v>
                </c:pt>
                <c:pt idx="81">
                  <c:v>0.11158533728627432</c:v>
                </c:pt>
                <c:pt idx="82">
                  <c:v>0.11158533728627432</c:v>
                </c:pt>
                <c:pt idx="83">
                  <c:v>0.11158533728627432</c:v>
                </c:pt>
                <c:pt idx="84">
                  <c:v>0.11158533728627432</c:v>
                </c:pt>
                <c:pt idx="85">
                  <c:v>0.11158533728627432</c:v>
                </c:pt>
                <c:pt idx="86">
                  <c:v>0.11158533728627432</c:v>
                </c:pt>
                <c:pt idx="87">
                  <c:v>0.11158533728627432</c:v>
                </c:pt>
                <c:pt idx="88">
                  <c:v>0.11158533728627432</c:v>
                </c:pt>
                <c:pt idx="89">
                  <c:v>0.11158533728627432</c:v>
                </c:pt>
                <c:pt idx="90">
                  <c:v>0.11158533728627432</c:v>
                </c:pt>
                <c:pt idx="91">
                  <c:v>0.11158533728627432</c:v>
                </c:pt>
                <c:pt idx="92">
                  <c:v>0.11158533728627432</c:v>
                </c:pt>
                <c:pt idx="93">
                  <c:v>0.11158533728627432</c:v>
                </c:pt>
                <c:pt idx="94">
                  <c:v>0.11158533728627432</c:v>
                </c:pt>
                <c:pt idx="95">
                  <c:v>0.11158533728627432</c:v>
                </c:pt>
                <c:pt idx="96">
                  <c:v>0.11158533728627432</c:v>
                </c:pt>
                <c:pt idx="97">
                  <c:v>0.11158533728627432</c:v>
                </c:pt>
                <c:pt idx="98">
                  <c:v>0.11158533728627432</c:v>
                </c:pt>
                <c:pt idx="99">
                  <c:v>0.11158533728627432</c:v>
                </c:pt>
                <c:pt idx="100">
                  <c:v>0.11158533728627432</c:v>
                </c:pt>
                <c:pt idx="101">
                  <c:v>0.11158533728627432</c:v>
                </c:pt>
                <c:pt idx="102">
                  <c:v>0.11158533728627432</c:v>
                </c:pt>
                <c:pt idx="103">
                  <c:v>0.11158533728627432</c:v>
                </c:pt>
                <c:pt idx="104">
                  <c:v>0.11158533728627432</c:v>
                </c:pt>
                <c:pt idx="105">
                  <c:v>0.11158533728627432</c:v>
                </c:pt>
                <c:pt idx="106">
                  <c:v>0.11158533728627432</c:v>
                </c:pt>
                <c:pt idx="107">
                  <c:v>0.11158533728627432</c:v>
                </c:pt>
                <c:pt idx="108">
                  <c:v>0.11158533728627432</c:v>
                </c:pt>
                <c:pt idx="109">
                  <c:v>0.11158533728627432</c:v>
                </c:pt>
                <c:pt idx="110">
                  <c:v>0.11158533728627432</c:v>
                </c:pt>
                <c:pt idx="111">
                  <c:v>0.11158533728627432</c:v>
                </c:pt>
                <c:pt idx="112">
                  <c:v>0.11158533728627432</c:v>
                </c:pt>
                <c:pt idx="113">
                  <c:v>0.11158533728627432</c:v>
                </c:pt>
                <c:pt idx="114">
                  <c:v>0.11158533728627432</c:v>
                </c:pt>
                <c:pt idx="115">
                  <c:v>0.11158533728627432</c:v>
                </c:pt>
                <c:pt idx="116">
                  <c:v>0.11158533728627432</c:v>
                </c:pt>
                <c:pt idx="117">
                  <c:v>0.11158533728627432</c:v>
                </c:pt>
                <c:pt idx="118">
                  <c:v>0.11158533728627432</c:v>
                </c:pt>
                <c:pt idx="119">
                  <c:v>0.11158533728627432</c:v>
                </c:pt>
                <c:pt idx="120">
                  <c:v>0.11158533728627432</c:v>
                </c:pt>
                <c:pt idx="121">
                  <c:v>0.11158533728627432</c:v>
                </c:pt>
                <c:pt idx="122">
                  <c:v>0.11158533728627432</c:v>
                </c:pt>
                <c:pt idx="123">
                  <c:v>0.11158533728627432</c:v>
                </c:pt>
                <c:pt idx="124">
                  <c:v>0.11158533728627432</c:v>
                </c:pt>
                <c:pt idx="125">
                  <c:v>0.11158533728627432</c:v>
                </c:pt>
                <c:pt idx="126">
                  <c:v>0.11158533728627432</c:v>
                </c:pt>
                <c:pt idx="127">
                  <c:v>0.11158533728627432</c:v>
                </c:pt>
                <c:pt idx="128">
                  <c:v>0.11158533728627432</c:v>
                </c:pt>
                <c:pt idx="129">
                  <c:v>0.11158533728627432</c:v>
                </c:pt>
                <c:pt idx="130">
                  <c:v>0.11158533728627432</c:v>
                </c:pt>
                <c:pt idx="131">
                  <c:v>0.11158533728627432</c:v>
                </c:pt>
                <c:pt idx="132">
                  <c:v>0.11158533728627432</c:v>
                </c:pt>
                <c:pt idx="133">
                  <c:v>0.11158533728627432</c:v>
                </c:pt>
                <c:pt idx="134">
                  <c:v>0.11158533728627432</c:v>
                </c:pt>
                <c:pt idx="135">
                  <c:v>0.11158533728627432</c:v>
                </c:pt>
                <c:pt idx="136">
                  <c:v>0.11158533728627432</c:v>
                </c:pt>
                <c:pt idx="137">
                  <c:v>0.11158533728627432</c:v>
                </c:pt>
                <c:pt idx="138">
                  <c:v>0.11158533728627432</c:v>
                </c:pt>
                <c:pt idx="139">
                  <c:v>0.11158533728627432</c:v>
                </c:pt>
                <c:pt idx="140">
                  <c:v>0.11158533728627432</c:v>
                </c:pt>
                <c:pt idx="141">
                  <c:v>0.11158533728627432</c:v>
                </c:pt>
                <c:pt idx="142">
                  <c:v>0.11158533728627432</c:v>
                </c:pt>
                <c:pt idx="143">
                  <c:v>0.11158533728627432</c:v>
                </c:pt>
                <c:pt idx="144">
                  <c:v>0.11158533728627432</c:v>
                </c:pt>
                <c:pt idx="145">
                  <c:v>0.11158533728627432</c:v>
                </c:pt>
                <c:pt idx="146">
                  <c:v>0.11158533728627432</c:v>
                </c:pt>
                <c:pt idx="147">
                  <c:v>0.11158533728627432</c:v>
                </c:pt>
                <c:pt idx="148">
                  <c:v>0.11158533728627432</c:v>
                </c:pt>
                <c:pt idx="149">
                  <c:v>0.11158533728627432</c:v>
                </c:pt>
                <c:pt idx="150">
                  <c:v>0.11158533728627432</c:v>
                </c:pt>
                <c:pt idx="151">
                  <c:v>0.11158533728627432</c:v>
                </c:pt>
                <c:pt idx="152">
                  <c:v>0.11158533728627432</c:v>
                </c:pt>
                <c:pt idx="153">
                  <c:v>0.11158533728627432</c:v>
                </c:pt>
                <c:pt idx="154">
                  <c:v>0.11158533728627432</c:v>
                </c:pt>
                <c:pt idx="155">
                  <c:v>0.11158533728627432</c:v>
                </c:pt>
                <c:pt idx="156">
                  <c:v>0.11158533728627432</c:v>
                </c:pt>
                <c:pt idx="157">
                  <c:v>0.11158533728627432</c:v>
                </c:pt>
                <c:pt idx="158">
                  <c:v>0.11158533728627432</c:v>
                </c:pt>
                <c:pt idx="159">
                  <c:v>0.11158533728627432</c:v>
                </c:pt>
                <c:pt idx="160">
                  <c:v>0.11158533728627432</c:v>
                </c:pt>
                <c:pt idx="161">
                  <c:v>0.11158533728627432</c:v>
                </c:pt>
                <c:pt idx="162">
                  <c:v>0.11158533728627432</c:v>
                </c:pt>
                <c:pt idx="163">
                  <c:v>0.11158533728627432</c:v>
                </c:pt>
                <c:pt idx="164">
                  <c:v>0.11158533728627432</c:v>
                </c:pt>
                <c:pt idx="165">
                  <c:v>0.11158533728627432</c:v>
                </c:pt>
                <c:pt idx="166">
                  <c:v>0.11158533728627432</c:v>
                </c:pt>
                <c:pt idx="167">
                  <c:v>0.11158533728627432</c:v>
                </c:pt>
                <c:pt idx="168">
                  <c:v>0.11158533728627432</c:v>
                </c:pt>
                <c:pt idx="169">
                  <c:v>0.11158533728627432</c:v>
                </c:pt>
                <c:pt idx="170">
                  <c:v>0.11158533728627432</c:v>
                </c:pt>
                <c:pt idx="171">
                  <c:v>0.11158533728627432</c:v>
                </c:pt>
                <c:pt idx="172">
                  <c:v>0.11158533728627432</c:v>
                </c:pt>
                <c:pt idx="173">
                  <c:v>0.11158533728627432</c:v>
                </c:pt>
                <c:pt idx="174">
                  <c:v>0.11158533728627432</c:v>
                </c:pt>
                <c:pt idx="175">
                  <c:v>0.11158533728627432</c:v>
                </c:pt>
                <c:pt idx="176">
                  <c:v>0.11158533728627432</c:v>
                </c:pt>
                <c:pt idx="177">
                  <c:v>0.11158533728627432</c:v>
                </c:pt>
                <c:pt idx="178">
                  <c:v>0.11158533728627432</c:v>
                </c:pt>
                <c:pt idx="179">
                  <c:v>0.11158533728627432</c:v>
                </c:pt>
                <c:pt idx="180">
                  <c:v>0.11158533728627432</c:v>
                </c:pt>
                <c:pt idx="181">
                  <c:v>0.11158533728627432</c:v>
                </c:pt>
                <c:pt idx="182">
                  <c:v>0.11158533728627432</c:v>
                </c:pt>
                <c:pt idx="183">
                  <c:v>0.11158533728627432</c:v>
                </c:pt>
                <c:pt idx="184">
                  <c:v>0.11158533728627432</c:v>
                </c:pt>
                <c:pt idx="185">
                  <c:v>0.11158533728627432</c:v>
                </c:pt>
                <c:pt idx="186">
                  <c:v>0.11158533728627432</c:v>
                </c:pt>
                <c:pt idx="187">
                  <c:v>0.11158533728627432</c:v>
                </c:pt>
                <c:pt idx="188">
                  <c:v>0.11158533728627432</c:v>
                </c:pt>
                <c:pt idx="189">
                  <c:v>0.11158533728627432</c:v>
                </c:pt>
                <c:pt idx="190">
                  <c:v>0.11158533728627432</c:v>
                </c:pt>
                <c:pt idx="191">
                  <c:v>0.11158533728627432</c:v>
                </c:pt>
                <c:pt idx="192">
                  <c:v>0.11158533728627432</c:v>
                </c:pt>
                <c:pt idx="193">
                  <c:v>0.11158533728627432</c:v>
                </c:pt>
                <c:pt idx="194">
                  <c:v>0.11158533728627432</c:v>
                </c:pt>
                <c:pt idx="195">
                  <c:v>0.11158533728627432</c:v>
                </c:pt>
                <c:pt idx="196">
                  <c:v>0.11158533728627432</c:v>
                </c:pt>
                <c:pt idx="197">
                  <c:v>0.11158533728627432</c:v>
                </c:pt>
                <c:pt idx="198">
                  <c:v>0.11158533728627432</c:v>
                </c:pt>
                <c:pt idx="199">
                  <c:v>0.11158533728627432</c:v>
                </c:pt>
                <c:pt idx="200">
                  <c:v>0.11158533728627432</c:v>
                </c:pt>
                <c:pt idx="201">
                  <c:v>0.11158533728627432</c:v>
                </c:pt>
                <c:pt idx="202">
                  <c:v>0.11158533728627432</c:v>
                </c:pt>
                <c:pt idx="203">
                  <c:v>0.11158533728627432</c:v>
                </c:pt>
                <c:pt idx="204">
                  <c:v>0.11158533728627432</c:v>
                </c:pt>
                <c:pt idx="205">
                  <c:v>0.11158533728627432</c:v>
                </c:pt>
                <c:pt idx="206">
                  <c:v>0.11158533728627432</c:v>
                </c:pt>
                <c:pt idx="207">
                  <c:v>0.11158533728627432</c:v>
                </c:pt>
                <c:pt idx="208">
                  <c:v>0.11158533728627432</c:v>
                </c:pt>
                <c:pt idx="209">
                  <c:v>0.11158533728627432</c:v>
                </c:pt>
                <c:pt idx="210">
                  <c:v>0.11158533728627432</c:v>
                </c:pt>
                <c:pt idx="211">
                  <c:v>0.11158533728627432</c:v>
                </c:pt>
                <c:pt idx="212">
                  <c:v>0.11158533728627432</c:v>
                </c:pt>
                <c:pt idx="213">
                  <c:v>0.11158533728627432</c:v>
                </c:pt>
                <c:pt idx="214">
                  <c:v>0.11158533728627432</c:v>
                </c:pt>
                <c:pt idx="215">
                  <c:v>0.11158533728627432</c:v>
                </c:pt>
                <c:pt idx="216">
                  <c:v>0.11158533728627432</c:v>
                </c:pt>
                <c:pt idx="217">
                  <c:v>0.11158533728627432</c:v>
                </c:pt>
                <c:pt idx="218">
                  <c:v>0.11158533728627432</c:v>
                </c:pt>
                <c:pt idx="219">
                  <c:v>0.11158533728627432</c:v>
                </c:pt>
                <c:pt idx="220">
                  <c:v>0.11158533728627432</c:v>
                </c:pt>
                <c:pt idx="221">
                  <c:v>0.11158533728627432</c:v>
                </c:pt>
                <c:pt idx="222">
                  <c:v>0.11158533728627432</c:v>
                </c:pt>
                <c:pt idx="223">
                  <c:v>0.11158533728627432</c:v>
                </c:pt>
                <c:pt idx="224">
                  <c:v>0.11158533728627432</c:v>
                </c:pt>
                <c:pt idx="225">
                  <c:v>0.11158533728627432</c:v>
                </c:pt>
                <c:pt idx="226">
                  <c:v>0.11158533728627432</c:v>
                </c:pt>
                <c:pt idx="227">
                  <c:v>0.11158533728627432</c:v>
                </c:pt>
                <c:pt idx="228">
                  <c:v>0.11158533728627432</c:v>
                </c:pt>
                <c:pt idx="229">
                  <c:v>0.11158533728627432</c:v>
                </c:pt>
                <c:pt idx="230">
                  <c:v>0.11158533728627432</c:v>
                </c:pt>
                <c:pt idx="231">
                  <c:v>0.11158533728627432</c:v>
                </c:pt>
                <c:pt idx="232">
                  <c:v>0.11158533728627432</c:v>
                </c:pt>
                <c:pt idx="233">
                  <c:v>0.11158533728627432</c:v>
                </c:pt>
                <c:pt idx="234">
                  <c:v>0.11158533728627432</c:v>
                </c:pt>
                <c:pt idx="235">
                  <c:v>0.11158533728627432</c:v>
                </c:pt>
                <c:pt idx="236">
                  <c:v>0.11158533728627432</c:v>
                </c:pt>
                <c:pt idx="237">
                  <c:v>0.11158533728627432</c:v>
                </c:pt>
                <c:pt idx="238">
                  <c:v>0.11158533728627432</c:v>
                </c:pt>
                <c:pt idx="239">
                  <c:v>0.11158533728627432</c:v>
                </c:pt>
                <c:pt idx="240">
                  <c:v>0.11158533728627432</c:v>
                </c:pt>
                <c:pt idx="241">
                  <c:v>0.11158533728627432</c:v>
                </c:pt>
                <c:pt idx="242">
                  <c:v>0.11158533728627432</c:v>
                </c:pt>
                <c:pt idx="243">
                  <c:v>0.11158533728627432</c:v>
                </c:pt>
                <c:pt idx="244">
                  <c:v>0.11158533728627432</c:v>
                </c:pt>
                <c:pt idx="245">
                  <c:v>0.11158533728627432</c:v>
                </c:pt>
                <c:pt idx="246">
                  <c:v>0.11158533728627432</c:v>
                </c:pt>
                <c:pt idx="247">
                  <c:v>0.11158533728627432</c:v>
                </c:pt>
                <c:pt idx="248">
                  <c:v>0.11158533728627432</c:v>
                </c:pt>
                <c:pt idx="249">
                  <c:v>0.11158533728627432</c:v>
                </c:pt>
                <c:pt idx="250">
                  <c:v>0.11158533728627432</c:v>
                </c:pt>
                <c:pt idx="251">
                  <c:v>0.11158533728627432</c:v>
                </c:pt>
                <c:pt idx="252">
                  <c:v>0.11158533728627432</c:v>
                </c:pt>
                <c:pt idx="253">
                  <c:v>0.11158533728627432</c:v>
                </c:pt>
              </c:numCache>
            </c:numRef>
          </c:val>
          <c:smooth val="0"/>
          <c:extLst>
            <c:ext xmlns:c16="http://schemas.microsoft.com/office/drawing/2014/chart" uri="{C3380CC4-5D6E-409C-BE32-E72D297353CC}">
              <c16:uniqueId val="{00000003-D8A5-45F1-BDF7-50F9D9BECFDB}"/>
            </c:ext>
          </c:extLst>
        </c:ser>
        <c:ser>
          <c:idx val="3"/>
          <c:order val="3"/>
          <c:tx>
            <c:strRef>
              <c:f>evebitda!$I$4</c:f>
              <c:strCache>
                <c:ptCount val="1"/>
                <c:pt idx="0">
                  <c:v>Premium / Discount</c:v>
                </c:pt>
              </c:strCache>
            </c:strRef>
          </c:tx>
          <c:spPr>
            <a:ln w="28575" cap="rnd">
              <a:solidFill>
                <a:schemeClr val="tx2"/>
              </a:solidFill>
              <a:round/>
            </a:ln>
            <a:effectLst/>
          </c:spPr>
          <c:marker>
            <c:symbol val="none"/>
          </c:marker>
          <c:cat>
            <c:numRef>
              <c:f>evebitda!$B$5:$B$258</c:f>
              <c:numCache>
                <c:formatCode>m/d/yyyy</c:formatCode>
                <c:ptCount val="254"/>
                <c:pt idx="0">
                  <c:v>44335</c:v>
                </c:pt>
                <c:pt idx="1">
                  <c:v>44334</c:v>
                </c:pt>
                <c:pt idx="2">
                  <c:v>44333</c:v>
                </c:pt>
                <c:pt idx="3">
                  <c:v>44330</c:v>
                </c:pt>
                <c:pt idx="4">
                  <c:v>44329</c:v>
                </c:pt>
                <c:pt idx="5">
                  <c:v>44328</c:v>
                </c:pt>
                <c:pt idx="6">
                  <c:v>44327</c:v>
                </c:pt>
                <c:pt idx="7">
                  <c:v>44326</c:v>
                </c:pt>
                <c:pt idx="8">
                  <c:v>44323</c:v>
                </c:pt>
                <c:pt idx="9">
                  <c:v>44322</c:v>
                </c:pt>
                <c:pt idx="10">
                  <c:v>44321</c:v>
                </c:pt>
                <c:pt idx="11">
                  <c:v>44320</c:v>
                </c:pt>
                <c:pt idx="12">
                  <c:v>44316</c:v>
                </c:pt>
                <c:pt idx="13">
                  <c:v>44315</c:v>
                </c:pt>
                <c:pt idx="14">
                  <c:v>44314</c:v>
                </c:pt>
                <c:pt idx="15">
                  <c:v>44313</c:v>
                </c:pt>
                <c:pt idx="16">
                  <c:v>44312</c:v>
                </c:pt>
                <c:pt idx="17">
                  <c:v>44309</c:v>
                </c:pt>
                <c:pt idx="18">
                  <c:v>44308</c:v>
                </c:pt>
                <c:pt idx="19">
                  <c:v>44307</c:v>
                </c:pt>
                <c:pt idx="20">
                  <c:v>44306</c:v>
                </c:pt>
                <c:pt idx="21">
                  <c:v>44305</c:v>
                </c:pt>
                <c:pt idx="22">
                  <c:v>44302</c:v>
                </c:pt>
                <c:pt idx="23">
                  <c:v>44301</c:v>
                </c:pt>
                <c:pt idx="24">
                  <c:v>44300</c:v>
                </c:pt>
                <c:pt idx="25">
                  <c:v>44299</c:v>
                </c:pt>
                <c:pt idx="26">
                  <c:v>44298</c:v>
                </c:pt>
                <c:pt idx="27">
                  <c:v>44295</c:v>
                </c:pt>
                <c:pt idx="28">
                  <c:v>44294</c:v>
                </c:pt>
                <c:pt idx="29">
                  <c:v>44293</c:v>
                </c:pt>
                <c:pt idx="30">
                  <c:v>44292</c:v>
                </c:pt>
                <c:pt idx="31">
                  <c:v>44287</c:v>
                </c:pt>
                <c:pt idx="32">
                  <c:v>44286</c:v>
                </c:pt>
                <c:pt idx="33">
                  <c:v>44285</c:v>
                </c:pt>
                <c:pt idx="34">
                  <c:v>44284</c:v>
                </c:pt>
                <c:pt idx="35">
                  <c:v>44281</c:v>
                </c:pt>
                <c:pt idx="36">
                  <c:v>44280</c:v>
                </c:pt>
                <c:pt idx="37">
                  <c:v>44279</c:v>
                </c:pt>
                <c:pt idx="38">
                  <c:v>44278</c:v>
                </c:pt>
                <c:pt idx="39">
                  <c:v>44277</c:v>
                </c:pt>
                <c:pt idx="40">
                  <c:v>44274</c:v>
                </c:pt>
                <c:pt idx="41">
                  <c:v>44273</c:v>
                </c:pt>
                <c:pt idx="42">
                  <c:v>44272</c:v>
                </c:pt>
                <c:pt idx="43">
                  <c:v>44271</c:v>
                </c:pt>
                <c:pt idx="44">
                  <c:v>44270</c:v>
                </c:pt>
                <c:pt idx="45">
                  <c:v>44267</c:v>
                </c:pt>
                <c:pt idx="46">
                  <c:v>44266</c:v>
                </c:pt>
                <c:pt idx="47">
                  <c:v>44265</c:v>
                </c:pt>
                <c:pt idx="48">
                  <c:v>44264</c:v>
                </c:pt>
                <c:pt idx="49">
                  <c:v>44263</c:v>
                </c:pt>
                <c:pt idx="50">
                  <c:v>44260</c:v>
                </c:pt>
                <c:pt idx="51">
                  <c:v>44259</c:v>
                </c:pt>
                <c:pt idx="52">
                  <c:v>44258</c:v>
                </c:pt>
                <c:pt idx="53">
                  <c:v>44257</c:v>
                </c:pt>
                <c:pt idx="54">
                  <c:v>44256</c:v>
                </c:pt>
                <c:pt idx="55">
                  <c:v>44253</c:v>
                </c:pt>
                <c:pt idx="56">
                  <c:v>44252</c:v>
                </c:pt>
                <c:pt idx="57">
                  <c:v>44251</c:v>
                </c:pt>
                <c:pt idx="58">
                  <c:v>44250</c:v>
                </c:pt>
                <c:pt idx="59">
                  <c:v>44249</c:v>
                </c:pt>
                <c:pt idx="60">
                  <c:v>44246</c:v>
                </c:pt>
                <c:pt idx="61">
                  <c:v>44245</c:v>
                </c:pt>
                <c:pt idx="62">
                  <c:v>44244</c:v>
                </c:pt>
                <c:pt idx="63">
                  <c:v>44243</c:v>
                </c:pt>
                <c:pt idx="64">
                  <c:v>44242</c:v>
                </c:pt>
                <c:pt idx="65">
                  <c:v>44239</c:v>
                </c:pt>
                <c:pt idx="66">
                  <c:v>44238</c:v>
                </c:pt>
                <c:pt idx="67">
                  <c:v>44237</c:v>
                </c:pt>
                <c:pt idx="68">
                  <c:v>44236</c:v>
                </c:pt>
                <c:pt idx="69">
                  <c:v>44235</c:v>
                </c:pt>
                <c:pt idx="70">
                  <c:v>44232</c:v>
                </c:pt>
                <c:pt idx="71">
                  <c:v>44231</c:v>
                </c:pt>
                <c:pt idx="72">
                  <c:v>44230</c:v>
                </c:pt>
                <c:pt idx="73">
                  <c:v>44229</c:v>
                </c:pt>
                <c:pt idx="74">
                  <c:v>44228</c:v>
                </c:pt>
                <c:pt idx="75">
                  <c:v>44225</c:v>
                </c:pt>
                <c:pt idx="76">
                  <c:v>44224</c:v>
                </c:pt>
                <c:pt idx="77">
                  <c:v>44223</c:v>
                </c:pt>
                <c:pt idx="78">
                  <c:v>44222</c:v>
                </c:pt>
                <c:pt idx="79">
                  <c:v>44221</c:v>
                </c:pt>
                <c:pt idx="80">
                  <c:v>44218</c:v>
                </c:pt>
                <c:pt idx="81">
                  <c:v>44217</c:v>
                </c:pt>
                <c:pt idx="82">
                  <c:v>44216</c:v>
                </c:pt>
                <c:pt idx="83">
                  <c:v>44215</c:v>
                </c:pt>
                <c:pt idx="84">
                  <c:v>44214</c:v>
                </c:pt>
                <c:pt idx="85">
                  <c:v>44211</c:v>
                </c:pt>
                <c:pt idx="86">
                  <c:v>44210</c:v>
                </c:pt>
                <c:pt idx="87">
                  <c:v>44209</c:v>
                </c:pt>
                <c:pt idx="88">
                  <c:v>44208</c:v>
                </c:pt>
                <c:pt idx="89">
                  <c:v>44207</c:v>
                </c:pt>
                <c:pt idx="90">
                  <c:v>44204</c:v>
                </c:pt>
                <c:pt idx="91">
                  <c:v>44203</c:v>
                </c:pt>
                <c:pt idx="92">
                  <c:v>44202</c:v>
                </c:pt>
                <c:pt idx="93">
                  <c:v>44201</c:v>
                </c:pt>
                <c:pt idx="94">
                  <c:v>44200</c:v>
                </c:pt>
                <c:pt idx="95">
                  <c:v>44196</c:v>
                </c:pt>
                <c:pt idx="96">
                  <c:v>44195</c:v>
                </c:pt>
                <c:pt idx="97">
                  <c:v>44194</c:v>
                </c:pt>
                <c:pt idx="98">
                  <c:v>44189</c:v>
                </c:pt>
                <c:pt idx="99">
                  <c:v>44188</c:v>
                </c:pt>
                <c:pt idx="100">
                  <c:v>44187</c:v>
                </c:pt>
                <c:pt idx="101">
                  <c:v>44186</c:v>
                </c:pt>
                <c:pt idx="102">
                  <c:v>44183</c:v>
                </c:pt>
                <c:pt idx="103">
                  <c:v>44182</c:v>
                </c:pt>
                <c:pt idx="104">
                  <c:v>44181</c:v>
                </c:pt>
                <c:pt idx="105">
                  <c:v>44180</c:v>
                </c:pt>
                <c:pt idx="106">
                  <c:v>44179</c:v>
                </c:pt>
                <c:pt idx="107">
                  <c:v>44176</c:v>
                </c:pt>
                <c:pt idx="108">
                  <c:v>44175</c:v>
                </c:pt>
                <c:pt idx="109">
                  <c:v>44174</c:v>
                </c:pt>
                <c:pt idx="110">
                  <c:v>44173</c:v>
                </c:pt>
                <c:pt idx="111">
                  <c:v>44172</c:v>
                </c:pt>
                <c:pt idx="112">
                  <c:v>44169</c:v>
                </c:pt>
                <c:pt idx="113">
                  <c:v>44168</c:v>
                </c:pt>
                <c:pt idx="114">
                  <c:v>44167</c:v>
                </c:pt>
                <c:pt idx="115">
                  <c:v>44166</c:v>
                </c:pt>
                <c:pt idx="116">
                  <c:v>44165</c:v>
                </c:pt>
                <c:pt idx="117">
                  <c:v>44162</c:v>
                </c:pt>
                <c:pt idx="118">
                  <c:v>44161</c:v>
                </c:pt>
                <c:pt idx="119">
                  <c:v>44160</c:v>
                </c:pt>
                <c:pt idx="120">
                  <c:v>44159</c:v>
                </c:pt>
                <c:pt idx="121">
                  <c:v>44158</c:v>
                </c:pt>
                <c:pt idx="122">
                  <c:v>44155</c:v>
                </c:pt>
                <c:pt idx="123">
                  <c:v>44154</c:v>
                </c:pt>
                <c:pt idx="124">
                  <c:v>44153</c:v>
                </c:pt>
                <c:pt idx="125">
                  <c:v>44152</c:v>
                </c:pt>
                <c:pt idx="126">
                  <c:v>44151</c:v>
                </c:pt>
                <c:pt idx="127">
                  <c:v>44148</c:v>
                </c:pt>
                <c:pt idx="128">
                  <c:v>44147</c:v>
                </c:pt>
                <c:pt idx="129">
                  <c:v>44146</c:v>
                </c:pt>
                <c:pt idx="130">
                  <c:v>44145</c:v>
                </c:pt>
                <c:pt idx="131">
                  <c:v>44144</c:v>
                </c:pt>
                <c:pt idx="132">
                  <c:v>44141</c:v>
                </c:pt>
                <c:pt idx="133">
                  <c:v>44140</c:v>
                </c:pt>
                <c:pt idx="134">
                  <c:v>44139</c:v>
                </c:pt>
                <c:pt idx="135">
                  <c:v>44138</c:v>
                </c:pt>
                <c:pt idx="136">
                  <c:v>44137</c:v>
                </c:pt>
                <c:pt idx="137">
                  <c:v>44134</c:v>
                </c:pt>
                <c:pt idx="138">
                  <c:v>44133</c:v>
                </c:pt>
                <c:pt idx="139">
                  <c:v>44132</c:v>
                </c:pt>
                <c:pt idx="140">
                  <c:v>44131</c:v>
                </c:pt>
                <c:pt idx="141">
                  <c:v>44130</c:v>
                </c:pt>
                <c:pt idx="142">
                  <c:v>44127</c:v>
                </c:pt>
                <c:pt idx="143">
                  <c:v>44126</c:v>
                </c:pt>
                <c:pt idx="144">
                  <c:v>44125</c:v>
                </c:pt>
                <c:pt idx="145">
                  <c:v>44124</c:v>
                </c:pt>
                <c:pt idx="146">
                  <c:v>44123</c:v>
                </c:pt>
                <c:pt idx="147">
                  <c:v>44120</c:v>
                </c:pt>
                <c:pt idx="148">
                  <c:v>44119</c:v>
                </c:pt>
                <c:pt idx="149">
                  <c:v>44118</c:v>
                </c:pt>
                <c:pt idx="150">
                  <c:v>44117</c:v>
                </c:pt>
                <c:pt idx="151">
                  <c:v>44116</c:v>
                </c:pt>
                <c:pt idx="152">
                  <c:v>44113</c:v>
                </c:pt>
                <c:pt idx="153">
                  <c:v>44112</c:v>
                </c:pt>
                <c:pt idx="154">
                  <c:v>44111</c:v>
                </c:pt>
                <c:pt idx="155">
                  <c:v>44110</c:v>
                </c:pt>
                <c:pt idx="156">
                  <c:v>44109</c:v>
                </c:pt>
                <c:pt idx="157">
                  <c:v>44106</c:v>
                </c:pt>
                <c:pt idx="158">
                  <c:v>44105</c:v>
                </c:pt>
                <c:pt idx="159">
                  <c:v>44104</c:v>
                </c:pt>
                <c:pt idx="160">
                  <c:v>44103</c:v>
                </c:pt>
                <c:pt idx="161">
                  <c:v>44102</c:v>
                </c:pt>
                <c:pt idx="162">
                  <c:v>44099</c:v>
                </c:pt>
                <c:pt idx="163">
                  <c:v>44098</c:v>
                </c:pt>
                <c:pt idx="164">
                  <c:v>44097</c:v>
                </c:pt>
                <c:pt idx="165">
                  <c:v>44096</c:v>
                </c:pt>
                <c:pt idx="166">
                  <c:v>44095</c:v>
                </c:pt>
                <c:pt idx="167">
                  <c:v>44092</c:v>
                </c:pt>
                <c:pt idx="168">
                  <c:v>44091</c:v>
                </c:pt>
                <c:pt idx="169">
                  <c:v>44090</c:v>
                </c:pt>
                <c:pt idx="170">
                  <c:v>44089</c:v>
                </c:pt>
                <c:pt idx="171">
                  <c:v>44088</c:v>
                </c:pt>
                <c:pt idx="172">
                  <c:v>44085</c:v>
                </c:pt>
                <c:pt idx="173">
                  <c:v>44084</c:v>
                </c:pt>
                <c:pt idx="174">
                  <c:v>44083</c:v>
                </c:pt>
                <c:pt idx="175">
                  <c:v>44082</c:v>
                </c:pt>
                <c:pt idx="176">
                  <c:v>44081</c:v>
                </c:pt>
                <c:pt idx="177">
                  <c:v>44078</c:v>
                </c:pt>
                <c:pt idx="178">
                  <c:v>44077</c:v>
                </c:pt>
                <c:pt idx="179">
                  <c:v>44076</c:v>
                </c:pt>
                <c:pt idx="180">
                  <c:v>44075</c:v>
                </c:pt>
                <c:pt idx="181">
                  <c:v>44071</c:v>
                </c:pt>
                <c:pt idx="182">
                  <c:v>44070</c:v>
                </c:pt>
                <c:pt idx="183">
                  <c:v>44069</c:v>
                </c:pt>
                <c:pt idx="184">
                  <c:v>44068</c:v>
                </c:pt>
                <c:pt idx="185">
                  <c:v>44067</c:v>
                </c:pt>
                <c:pt idx="186">
                  <c:v>44064</c:v>
                </c:pt>
                <c:pt idx="187">
                  <c:v>44063</c:v>
                </c:pt>
                <c:pt idx="188">
                  <c:v>44062</c:v>
                </c:pt>
                <c:pt idx="189">
                  <c:v>44061</c:v>
                </c:pt>
                <c:pt idx="190">
                  <c:v>44060</c:v>
                </c:pt>
                <c:pt idx="191">
                  <c:v>44057</c:v>
                </c:pt>
                <c:pt idx="192">
                  <c:v>44056</c:v>
                </c:pt>
                <c:pt idx="193">
                  <c:v>44055</c:v>
                </c:pt>
                <c:pt idx="194">
                  <c:v>44054</c:v>
                </c:pt>
                <c:pt idx="195">
                  <c:v>44053</c:v>
                </c:pt>
                <c:pt idx="196">
                  <c:v>44050</c:v>
                </c:pt>
                <c:pt idx="197">
                  <c:v>44049</c:v>
                </c:pt>
                <c:pt idx="198">
                  <c:v>44048</c:v>
                </c:pt>
                <c:pt idx="199">
                  <c:v>44047</c:v>
                </c:pt>
                <c:pt idx="200">
                  <c:v>44046</c:v>
                </c:pt>
                <c:pt idx="201">
                  <c:v>44043</c:v>
                </c:pt>
                <c:pt idx="202">
                  <c:v>44042</c:v>
                </c:pt>
                <c:pt idx="203">
                  <c:v>44041</c:v>
                </c:pt>
                <c:pt idx="204">
                  <c:v>44040</c:v>
                </c:pt>
                <c:pt idx="205">
                  <c:v>44039</c:v>
                </c:pt>
                <c:pt idx="206">
                  <c:v>44036</c:v>
                </c:pt>
                <c:pt idx="207">
                  <c:v>44035</c:v>
                </c:pt>
                <c:pt idx="208">
                  <c:v>44034</c:v>
                </c:pt>
                <c:pt idx="209">
                  <c:v>44033</c:v>
                </c:pt>
                <c:pt idx="210">
                  <c:v>44032</c:v>
                </c:pt>
                <c:pt idx="211">
                  <c:v>44029</c:v>
                </c:pt>
                <c:pt idx="212">
                  <c:v>44028</c:v>
                </c:pt>
                <c:pt idx="213">
                  <c:v>44027</c:v>
                </c:pt>
                <c:pt idx="214">
                  <c:v>44026</c:v>
                </c:pt>
                <c:pt idx="215">
                  <c:v>44025</c:v>
                </c:pt>
                <c:pt idx="216">
                  <c:v>44022</c:v>
                </c:pt>
                <c:pt idx="217">
                  <c:v>44021</c:v>
                </c:pt>
                <c:pt idx="218">
                  <c:v>44020</c:v>
                </c:pt>
                <c:pt idx="219">
                  <c:v>44019</c:v>
                </c:pt>
                <c:pt idx="220">
                  <c:v>44018</c:v>
                </c:pt>
                <c:pt idx="221">
                  <c:v>44015</c:v>
                </c:pt>
                <c:pt idx="222">
                  <c:v>44014</c:v>
                </c:pt>
                <c:pt idx="223">
                  <c:v>44013</c:v>
                </c:pt>
                <c:pt idx="224">
                  <c:v>44012</c:v>
                </c:pt>
                <c:pt idx="225">
                  <c:v>44011</c:v>
                </c:pt>
                <c:pt idx="226">
                  <c:v>44008</c:v>
                </c:pt>
                <c:pt idx="227">
                  <c:v>44007</c:v>
                </c:pt>
                <c:pt idx="228">
                  <c:v>44006</c:v>
                </c:pt>
                <c:pt idx="229">
                  <c:v>44005</c:v>
                </c:pt>
                <c:pt idx="230">
                  <c:v>44004</c:v>
                </c:pt>
                <c:pt idx="231">
                  <c:v>44001</c:v>
                </c:pt>
                <c:pt idx="232">
                  <c:v>44000</c:v>
                </c:pt>
                <c:pt idx="233">
                  <c:v>43999</c:v>
                </c:pt>
                <c:pt idx="234">
                  <c:v>43998</c:v>
                </c:pt>
                <c:pt idx="235">
                  <c:v>43997</c:v>
                </c:pt>
                <c:pt idx="236">
                  <c:v>43994</c:v>
                </c:pt>
                <c:pt idx="237">
                  <c:v>43993</c:v>
                </c:pt>
                <c:pt idx="238">
                  <c:v>43992</c:v>
                </c:pt>
                <c:pt idx="239">
                  <c:v>43991</c:v>
                </c:pt>
                <c:pt idx="240">
                  <c:v>43990</c:v>
                </c:pt>
                <c:pt idx="241">
                  <c:v>43987</c:v>
                </c:pt>
                <c:pt idx="242">
                  <c:v>43986</c:v>
                </c:pt>
                <c:pt idx="243">
                  <c:v>43985</c:v>
                </c:pt>
                <c:pt idx="244">
                  <c:v>43984</c:v>
                </c:pt>
                <c:pt idx="245">
                  <c:v>43983</c:v>
                </c:pt>
                <c:pt idx="246">
                  <c:v>43980</c:v>
                </c:pt>
                <c:pt idx="247">
                  <c:v>43979</c:v>
                </c:pt>
                <c:pt idx="248">
                  <c:v>43978</c:v>
                </c:pt>
                <c:pt idx="249">
                  <c:v>43977</c:v>
                </c:pt>
                <c:pt idx="250">
                  <c:v>43973</c:v>
                </c:pt>
                <c:pt idx="251">
                  <c:v>43972</c:v>
                </c:pt>
                <c:pt idx="252">
                  <c:v>43971</c:v>
                </c:pt>
                <c:pt idx="253">
                  <c:v>43970</c:v>
                </c:pt>
              </c:numCache>
            </c:numRef>
          </c:cat>
          <c:val>
            <c:numRef>
              <c:f>evebitda!$I$5:$I$258</c:f>
              <c:numCache>
                <c:formatCode>0.00%</c:formatCode>
                <c:ptCount val="254"/>
                <c:pt idx="0">
                  <c:v>2.9815879140251633E-2</c:v>
                </c:pt>
                <c:pt idx="1">
                  <c:v>2.1152162465628788E-2</c:v>
                </c:pt>
                <c:pt idx="2">
                  <c:v>2.1382844178581717E-2</c:v>
                </c:pt>
                <c:pt idx="3">
                  <c:v>1.7237409609648813E-2</c:v>
                </c:pt>
                <c:pt idx="4">
                  <c:v>1.7466853221842937E-2</c:v>
                </c:pt>
                <c:pt idx="5">
                  <c:v>1.4579443332906949E-2</c:v>
                </c:pt>
                <c:pt idx="6">
                  <c:v>1.4807892476068174E-2</c:v>
                </c:pt>
                <c:pt idx="7">
                  <c:v>1.503644269756621E-2</c:v>
                </c:pt>
                <c:pt idx="8">
                  <c:v>1.5722700498757236E-2</c:v>
                </c:pt>
                <c:pt idx="9">
                  <c:v>2.5010125466168098E-2</c:v>
                </c:pt>
                <c:pt idx="10">
                  <c:v>3.0444134192001426E-2</c:v>
                </c:pt>
                <c:pt idx="11">
                  <c:v>3.0699498593267593E-2</c:v>
                </c:pt>
                <c:pt idx="12">
                  <c:v>3.815575197024712E-2</c:v>
                </c:pt>
                <c:pt idx="13">
                  <c:v>3.8272339566817637E-2</c:v>
                </c:pt>
                <c:pt idx="14">
                  <c:v>3.791038430307303E-2</c:v>
                </c:pt>
                <c:pt idx="15">
                  <c:v>2.6061099685076972E-2</c:v>
                </c:pt>
                <c:pt idx="16">
                  <c:v>2.6169958014292893E-2</c:v>
                </c:pt>
                <c:pt idx="17">
                  <c:v>2.2746512276492936E-2</c:v>
                </c:pt>
                <c:pt idx="18">
                  <c:v>2.2845981971338691E-2</c:v>
                </c:pt>
                <c:pt idx="19">
                  <c:v>2.2945500335021407E-2</c:v>
                </c:pt>
                <c:pt idx="20">
                  <c:v>2.3045067400836894E-2</c:v>
                </c:pt>
                <c:pt idx="21">
                  <c:v>2.3144683202113381E-2</c:v>
                </c:pt>
                <c:pt idx="22">
                  <c:v>2.3443823352436111E-2</c:v>
                </c:pt>
                <c:pt idx="23">
                  <c:v>2.3543634429438853E-2</c:v>
                </c:pt>
                <c:pt idx="24">
                  <c:v>2.3643494408997157E-2</c:v>
                </c:pt>
                <c:pt idx="25">
                  <c:v>2.374340332462288E-2</c:v>
                </c:pt>
                <c:pt idx="26">
                  <c:v>2.384336120985675E-2</c:v>
                </c:pt>
                <c:pt idx="27">
                  <c:v>2.4143529019096777E-2</c:v>
                </c:pt>
                <c:pt idx="28">
                  <c:v>3.2106237624494716E-2</c:v>
                </c:pt>
                <c:pt idx="29">
                  <c:v>3.2207483866196984E-2</c:v>
                </c:pt>
                <c:pt idx="30">
                  <c:v>3.2308779760841233E-2</c:v>
                </c:pt>
                <c:pt idx="31">
                  <c:v>3.281600522238004E-2</c:v>
                </c:pt>
                <c:pt idx="32">
                  <c:v>3.5297705136458912E-2</c:v>
                </c:pt>
                <c:pt idx="33">
                  <c:v>3.2993628969450794E-2</c:v>
                </c:pt>
                <c:pt idx="34">
                  <c:v>3.0390292458690737E-2</c:v>
                </c:pt>
                <c:pt idx="35">
                  <c:v>3.6039219486705187E-2</c:v>
                </c:pt>
                <c:pt idx="36">
                  <c:v>2.3606042723061327E-2</c:v>
                </c:pt>
                <c:pt idx="37">
                  <c:v>3.1464824259282542E-2</c:v>
                </c:pt>
                <c:pt idx="38">
                  <c:v>3.160111479652139E-2</c:v>
                </c:pt>
                <c:pt idx="39">
                  <c:v>3.1737470834209969E-2</c:v>
                </c:pt>
                <c:pt idx="40">
                  <c:v>3.1705278243813861E-2</c:v>
                </c:pt>
                <c:pt idx="41">
                  <c:v>3.0139303279075991E-2</c:v>
                </c:pt>
                <c:pt idx="42">
                  <c:v>3.0275630443863166E-2</c:v>
                </c:pt>
                <c:pt idx="43">
                  <c:v>5.3797659326192848E-2</c:v>
                </c:pt>
                <c:pt idx="44">
                  <c:v>5.3937492555685029E-2</c:v>
                </c:pt>
                <c:pt idx="45">
                  <c:v>5.4357396065932706E-2</c:v>
                </c:pt>
                <c:pt idx="46">
                  <c:v>5.4497498664435984E-2</c:v>
                </c:pt>
                <c:pt idx="47">
                  <c:v>5.4637668721170041E-2</c:v>
                </c:pt>
                <c:pt idx="48">
                  <c:v>5.8290748923299329E-2</c:v>
                </c:pt>
                <c:pt idx="49">
                  <c:v>5.3852289367220196E-2</c:v>
                </c:pt>
                <c:pt idx="50">
                  <c:v>5.4284557253078791E-2</c:v>
                </c:pt>
                <c:pt idx="51">
                  <c:v>5.9556992383094753E-2</c:v>
                </c:pt>
                <c:pt idx="52">
                  <c:v>5.9565537902984245E-2</c:v>
                </c:pt>
                <c:pt idx="53">
                  <c:v>5.9709843583942046E-2</c:v>
                </c:pt>
                <c:pt idx="54">
                  <c:v>9.9461654365922803E-2</c:v>
                </c:pt>
                <c:pt idx="55">
                  <c:v>9.9911108051170983E-2</c:v>
                </c:pt>
                <c:pt idx="56">
                  <c:v>0.10006107224408578</c:v>
                </c:pt>
                <c:pt idx="57">
                  <c:v>0.10021110967130298</c:v>
                </c:pt>
                <c:pt idx="58">
                  <c:v>0.10036122038412643</c:v>
                </c:pt>
                <c:pt idx="59">
                  <c:v>0.10183900672466573</c:v>
                </c:pt>
                <c:pt idx="60">
                  <c:v>-9.0570117068475842E-3</c:v>
                </c:pt>
                <c:pt idx="61">
                  <c:v>-8.6788765143627211E-3</c:v>
                </c:pt>
                <c:pt idx="62">
                  <c:v>-8.3004844603693506E-3</c:v>
                </c:pt>
                <c:pt idx="63">
                  <c:v>-7.9218353032413091E-3</c:v>
                </c:pt>
                <c:pt idx="64">
                  <c:v>-7.5429288010609996E-3</c:v>
                </c:pt>
                <c:pt idx="65">
                  <c:v>-6.4046628006996231E-3</c:v>
                </c:pt>
                <c:pt idx="66">
                  <c:v>-8.4433289827577918E-3</c:v>
                </c:pt>
                <c:pt idx="67">
                  <c:v>-8.0611379582731235E-3</c:v>
                </c:pt>
                <c:pt idx="68">
                  <c:v>-7.6786851442969262E-3</c:v>
                </c:pt>
                <c:pt idx="69">
                  <c:v>-7.2959702926219672E-3</c:v>
                </c:pt>
                <c:pt idx="70">
                  <c:v>-6.1462510248173619E-3</c:v>
                </c:pt>
                <c:pt idx="71">
                  <c:v>-3.9083210574094585E-3</c:v>
                </c:pt>
                <c:pt idx="72">
                  <c:v>-1.6644712772982406E-2</c:v>
                </c:pt>
                <c:pt idx="73">
                  <c:v>-1.2832813216138383E-2</c:v>
                </c:pt>
                <c:pt idx="74">
                  <c:v>-1.24787025278007E-2</c:v>
                </c:pt>
                <c:pt idx="75">
                  <c:v>-1.1415016219997187E-2</c:v>
                </c:pt>
                <c:pt idx="76">
                  <c:v>-1.1060002041316408E-2</c:v>
                </c:pt>
                <c:pt idx="77">
                  <c:v>-1.0704761493132375E-2</c:v>
                </c:pt>
                <c:pt idx="78">
                  <c:v>-1.0349294376236329E-2</c:v>
                </c:pt>
                <c:pt idx="79">
                  <c:v>-9.9936004911947984E-3</c:v>
                </c:pt>
                <c:pt idx="80">
                  <c:v>-8.9251562295282749E-3</c:v>
                </c:pt>
                <c:pt idx="81">
                  <c:v>-8.5685532731197833E-3</c:v>
                </c:pt>
                <c:pt idx="82">
                  <c:v>-8.211722548056577E-3</c:v>
                </c:pt>
                <c:pt idx="83">
                  <c:v>-7.8546638535643698E-3</c:v>
                </c:pt>
                <c:pt idx="84">
                  <c:v>-7.4973769886468311E-3</c:v>
                </c:pt>
                <c:pt idx="85">
                  <c:v>-6.4241453579868546E-3</c:v>
                </c:pt>
                <c:pt idx="86">
                  <c:v>-6.0659437968871854E-3</c:v>
                </c:pt>
                <c:pt idx="87">
                  <c:v>-5.7075130569942401E-3</c:v>
                </c:pt>
                <c:pt idx="88">
                  <c:v>-5.3488529359582149E-3</c:v>
                </c:pt>
                <c:pt idx="89">
                  <c:v>-3.1197146609607262E-3</c:v>
                </c:pt>
                <c:pt idx="90">
                  <c:v>-2.3609871901367763E-3</c:v>
                </c:pt>
                <c:pt idx="91">
                  <c:v>2.6082908561331219E-3</c:v>
                </c:pt>
                <c:pt idx="92">
                  <c:v>1.155139417613249E-3</c:v>
                </c:pt>
                <c:pt idx="93">
                  <c:v>-9.8968043697627017E-3</c:v>
                </c:pt>
                <c:pt idx="94">
                  <c:v>-8.698760193015187E-3</c:v>
                </c:pt>
                <c:pt idx="95">
                  <c:v>-7.1908744930485602E-3</c:v>
                </c:pt>
                <c:pt idx="96">
                  <c:v>-6.8132714167092878E-3</c:v>
                </c:pt>
                <c:pt idx="97">
                  <c:v>-6.4354152120423835E-3</c:v>
                </c:pt>
                <c:pt idx="98">
                  <c:v>-4.5423290510010483E-3</c:v>
                </c:pt>
                <c:pt idx="99">
                  <c:v>-4.1629491448278433E-3</c:v>
                </c:pt>
                <c:pt idx="100">
                  <c:v>-3.7833144638993454E-3</c:v>
                </c:pt>
                <c:pt idx="101">
                  <c:v>-3.4034247719046951E-3</c:v>
                </c:pt>
                <c:pt idx="102">
                  <c:v>-2.2622232622230287E-3</c:v>
                </c:pt>
                <c:pt idx="103">
                  <c:v>-1.8813111572705266E-3</c:v>
                </c:pt>
                <c:pt idx="104">
                  <c:v>-8.644308840366266E-3</c:v>
                </c:pt>
                <c:pt idx="105">
                  <c:v>-8.2637449866788115E-3</c:v>
                </c:pt>
                <c:pt idx="106">
                  <c:v>-7.8829238179390915E-3</c:v>
                </c:pt>
                <c:pt idx="107">
                  <c:v>7.6506594887260082E-3</c:v>
                </c:pt>
                <c:pt idx="108">
                  <c:v>3.3203363198313074E-3</c:v>
                </c:pt>
                <c:pt idx="109">
                  <c:v>3.7096662261295599E-3</c:v>
                </c:pt>
                <c:pt idx="110">
                  <c:v>4.0992667462009802E-3</c:v>
                </c:pt>
                <c:pt idx="111">
                  <c:v>4.4891381410705478E-3</c:v>
                </c:pt>
                <c:pt idx="112">
                  <c:v>5.66038018954651E-3</c:v>
                </c:pt>
                <c:pt idx="113">
                  <c:v>6.0513377002942015E-3</c:v>
                </c:pt>
                <c:pt idx="114">
                  <c:v>1.3309717068243021E-2</c:v>
                </c:pt>
                <c:pt idx="115">
                  <c:v>1.370592045572816E-2</c:v>
                </c:pt>
                <c:pt idx="116">
                  <c:v>1.7338697921547297E-2</c:v>
                </c:pt>
                <c:pt idx="117">
                  <c:v>-1.3916405140066201E-2</c:v>
                </c:pt>
                <c:pt idx="118">
                  <c:v>-1.707861535639299E-2</c:v>
                </c:pt>
                <c:pt idx="119">
                  <c:v>-9.0881745719501028E-3</c:v>
                </c:pt>
                <c:pt idx="120">
                  <c:v>2.6825879715430823E-4</c:v>
                </c:pt>
                <c:pt idx="121">
                  <c:v>-0.10242204811047617</c:v>
                </c:pt>
                <c:pt idx="122">
                  <c:v>-0.10255108939138124</c:v>
                </c:pt>
                <c:pt idx="123">
                  <c:v>-0.10562666986786329</c:v>
                </c:pt>
                <c:pt idx="124">
                  <c:v>-0.10494418056556454</c:v>
                </c:pt>
                <c:pt idx="125">
                  <c:v>-0.13120575884312702</c:v>
                </c:pt>
                <c:pt idx="126">
                  <c:v>-0.13946638250082166</c:v>
                </c:pt>
                <c:pt idx="127">
                  <c:v>-0.13628274963716513</c:v>
                </c:pt>
                <c:pt idx="128">
                  <c:v>-0.13591275588874319</c:v>
                </c:pt>
                <c:pt idx="129">
                  <c:v>-0.13554247948147824</c:v>
                </c:pt>
                <c:pt idx="130">
                  <c:v>-0.13517192011297841</c:v>
                </c:pt>
                <c:pt idx="131">
                  <c:v>-0.13480107748043701</c:v>
                </c:pt>
                <c:pt idx="132">
                  <c:v>-0.13368684696422906</c:v>
                </c:pt>
                <c:pt idx="133">
                  <c:v>-0.13331486823909766</c:v>
                </c:pt>
                <c:pt idx="134">
                  <c:v>-0.13078336956298453</c:v>
                </c:pt>
                <c:pt idx="135">
                  <c:v>-0.1304091777981401</c:v>
                </c:pt>
                <c:pt idx="136">
                  <c:v>-0.12483580870318267</c:v>
                </c:pt>
                <c:pt idx="137">
                  <c:v>-0.12267565709552852</c:v>
                </c:pt>
                <c:pt idx="138">
                  <c:v>-0.12231143583219084</c:v>
                </c:pt>
                <c:pt idx="139">
                  <c:v>-0.12194693797063716</c:v>
                </c:pt>
                <c:pt idx="140">
                  <c:v>-0.1257777815044443</c:v>
                </c:pt>
                <c:pt idx="141">
                  <c:v>-0.1254158314306153</c:v>
                </c:pt>
                <c:pt idx="142">
                  <c:v>-0.12432833518322706</c:v>
                </c:pt>
                <c:pt idx="143">
                  <c:v>-0.12396528678194274</c:v>
                </c:pt>
                <c:pt idx="144">
                  <c:v>-0.12360196306514382</c:v>
                </c:pt>
                <c:pt idx="145">
                  <c:v>-0.12323836373856012</c:v>
                </c:pt>
                <c:pt idx="146">
                  <c:v>-0.12287448850751526</c:v>
                </c:pt>
                <c:pt idx="147">
                  <c:v>-0.12178120443474982</c:v>
                </c:pt>
                <c:pt idx="148">
                  <c:v>-0.12134420364637477</c:v>
                </c:pt>
                <c:pt idx="149">
                  <c:v>-0.1209788911076829</c:v>
                </c:pt>
                <c:pt idx="150">
                  <c:v>-0.12061330083026267</c:v>
                </c:pt>
                <c:pt idx="151">
                  <c:v>-0.11593514816105943</c:v>
                </c:pt>
                <c:pt idx="152">
                  <c:v>-0.11483772692612404</c:v>
                </c:pt>
                <c:pt idx="153">
                  <c:v>-0.11447136728996532</c:v>
                </c:pt>
                <c:pt idx="154">
                  <c:v>-0.11410473088518158</c:v>
                </c:pt>
                <c:pt idx="155">
                  <c:v>-0.11373781741734634</c:v>
                </c:pt>
                <c:pt idx="156">
                  <c:v>-0.11337062659163</c:v>
                </c:pt>
                <c:pt idx="157">
                  <c:v>-0.11220802164327348</c:v>
                </c:pt>
                <c:pt idx="158">
                  <c:v>-7.9354483283648469E-2</c:v>
                </c:pt>
                <c:pt idx="159">
                  <c:v>-7.7880412878324368E-2</c:v>
                </c:pt>
                <c:pt idx="160">
                  <c:v>-7.7676566287997795E-2</c:v>
                </c:pt>
                <c:pt idx="161">
                  <c:v>-7.9562091048580807E-2</c:v>
                </c:pt>
                <c:pt idx="162">
                  <c:v>-7.8951015934799473E-2</c:v>
                </c:pt>
                <c:pt idx="163">
                  <c:v>-0.10127930680520747</c:v>
                </c:pt>
                <c:pt idx="164">
                  <c:v>-0.10458594795359621</c:v>
                </c:pt>
                <c:pt idx="165">
                  <c:v>-0.10450171285062115</c:v>
                </c:pt>
                <c:pt idx="166">
                  <c:v>-0.10441743890424171</c:v>
                </c:pt>
                <c:pt idx="167">
                  <c:v>-0.10416438376204495</c:v>
                </c:pt>
                <c:pt idx="168">
                  <c:v>-0.10895771573957025</c:v>
                </c:pt>
                <c:pt idx="169">
                  <c:v>-0.10945369638749991</c:v>
                </c:pt>
                <c:pt idx="170">
                  <c:v>-0.10862490837840277</c:v>
                </c:pt>
                <c:pt idx="171">
                  <c:v>-0.10855250560191332</c:v>
                </c:pt>
                <c:pt idx="172">
                  <c:v>-0.1083351096771763</c:v>
                </c:pt>
                <c:pt idx="173">
                  <c:v>-0.10727891819475943</c:v>
                </c:pt>
                <c:pt idx="174">
                  <c:v>-0.10721348060903957</c:v>
                </c:pt>
                <c:pt idx="175">
                  <c:v>-0.10714801477441305</c:v>
                </c:pt>
                <c:pt idx="176">
                  <c:v>-0.10708252067479784</c:v>
                </c:pt>
                <c:pt idx="177">
                  <c:v>-7.5987850446550431E-2</c:v>
                </c:pt>
                <c:pt idx="178">
                  <c:v>-7.5918691291229412E-2</c:v>
                </c:pt>
                <c:pt idx="179">
                  <c:v>-9.1673790296734392E-2</c:v>
                </c:pt>
                <c:pt idx="180">
                  <c:v>-9.1606441325482568E-2</c:v>
                </c:pt>
                <c:pt idx="181">
                  <c:v>-9.1336755972540429E-2</c:v>
                </c:pt>
                <c:pt idx="182">
                  <c:v>-9.1269262184793587E-2</c:v>
                </c:pt>
                <c:pt idx="183">
                  <c:v>-9.1201739384188407E-2</c:v>
                </c:pt>
                <c:pt idx="184">
                  <c:v>-9.1134187554174573E-2</c:v>
                </c:pt>
                <c:pt idx="185">
                  <c:v>-9.1066606678189999E-2</c:v>
                </c:pt>
                <c:pt idx="186">
                  <c:v>-9.0863689608600917E-2</c:v>
                </c:pt>
                <c:pt idx="187">
                  <c:v>-9.0795992382859181E-2</c:v>
                </c:pt>
                <c:pt idx="188">
                  <c:v>-9.0728266028145543E-2</c:v>
                </c:pt>
                <c:pt idx="189">
                  <c:v>-9.066051052782309E-2</c:v>
                </c:pt>
                <c:pt idx="190">
                  <c:v>-9.0592725865239254E-2</c:v>
                </c:pt>
                <c:pt idx="191">
                  <c:v>-9.0389196737224897E-2</c:v>
                </c:pt>
                <c:pt idx="192">
                  <c:v>-9.0321295258834589E-2</c:v>
                </c:pt>
                <c:pt idx="193">
                  <c:v>-9.0253364534737535E-2</c:v>
                </c:pt>
                <c:pt idx="194">
                  <c:v>5.5830338472286245E-2</c:v>
                </c:pt>
                <c:pt idx="195">
                  <c:v>5.5914743210609075E-2</c:v>
                </c:pt>
                <c:pt idx="196">
                  <c:v>5.6941550165180654E-2</c:v>
                </c:pt>
                <c:pt idx="197">
                  <c:v>4.5562180113119854E-2</c:v>
                </c:pt>
                <c:pt idx="198">
                  <c:v>5.2938821790191826E-2</c:v>
                </c:pt>
                <c:pt idx="199">
                  <c:v>5.3019616263501934E-2</c:v>
                </c:pt>
                <c:pt idx="200">
                  <c:v>5.3100445822798159E-2</c:v>
                </c:pt>
                <c:pt idx="201">
                  <c:v>5.3343145221143473E-2</c:v>
                </c:pt>
                <c:pt idx="202">
                  <c:v>5.3424115329005373E-2</c:v>
                </c:pt>
                <c:pt idx="203">
                  <c:v>5.3505120625243707E-2</c:v>
                </c:pt>
                <c:pt idx="204">
                  <c:v>5.3586161130385168E-2</c:v>
                </c:pt>
                <c:pt idx="205">
                  <c:v>5.3667236864971546E-2</c:v>
                </c:pt>
                <c:pt idx="206">
                  <c:v>5.3910675651065887E-2</c:v>
                </c:pt>
                <c:pt idx="207">
                  <c:v>5.3991892509176465E-2</c:v>
                </c:pt>
                <c:pt idx="208">
                  <c:v>5.4912297913560781E-2</c:v>
                </c:pt>
                <c:pt idx="209">
                  <c:v>5.4983454939355525E-2</c:v>
                </c:pt>
                <c:pt idx="210">
                  <c:v>5.5054641946847394E-2</c:v>
                </c:pt>
                <c:pt idx="211">
                  <c:v>5.5268383025645518E-2</c:v>
                </c:pt>
                <c:pt idx="212">
                  <c:v>0.15391029952917656</c:v>
                </c:pt>
                <c:pt idx="213">
                  <c:v>0.15396390143885408</c:v>
                </c:pt>
                <c:pt idx="214">
                  <c:v>0.15199481193237108</c:v>
                </c:pt>
                <c:pt idx="215">
                  <c:v>0.15205733987287218</c:v>
                </c:pt>
                <c:pt idx="216">
                  <c:v>0.14948439603575592</c:v>
                </c:pt>
                <c:pt idx="217">
                  <c:v>0.14954171089112966</c:v>
                </c:pt>
                <c:pt idx="218">
                  <c:v>0.14959905296927167</c:v>
                </c:pt>
                <c:pt idx="219">
                  <c:v>0.13990716786576063</c:v>
                </c:pt>
                <c:pt idx="220">
                  <c:v>0.22217187357431301</c:v>
                </c:pt>
                <c:pt idx="221">
                  <c:v>0.22227757349643107</c:v>
                </c:pt>
                <c:pt idx="222">
                  <c:v>0.22231284351608371</c:v>
                </c:pt>
                <c:pt idx="223">
                  <c:v>0.21671259193774683</c:v>
                </c:pt>
                <c:pt idx="224">
                  <c:v>0.21674772308816737</c:v>
                </c:pt>
                <c:pt idx="225">
                  <c:v>0.21678287257309981</c:v>
                </c:pt>
                <c:pt idx="226">
                  <c:v>0.21688843113843403</c:v>
                </c:pt>
                <c:pt idx="227">
                  <c:v>0.2169236540649162</c:v>
                </c:pt>
                <c:pt idx="228">
                  <c:v>0.21695889537769952</c:v>
                </c:pt>
                <c:pt idx="229">
                  <c:v>0.21699415508716302</c:v>
                </c:pt>
                <c:pt idx="230">
                  <c:v>0.25082696815844785</c:v>
                </c:pt>
                <c:pt idx="231">
                  <c:v>0.25091562315099081</c:v>
                </c:pt>
                <c:pt idx="232">
                  <c:v>0.25094520683068011</c:v>
                </c:pt>
                <c:pt idx="233">
                  <c:v>0.25097480653265691</c:v>
                </c:pt>
                <c:pt idx="234">
                  <c:v>0.25100442226565045</c:v>
                </c:pt>
                <c:pt idx="235">
                  <c:v>0.26226389755655832</c:v>
                </c:pt>
                <c:pt idx="236">
                  <c:v>0.29271068921632204</c:v>
                </c:pt>
                <c:pt idx="237">
                  <c:v>0.2927534116507029</c:v>
                </c:pt>
                <c:pt idx="238">
                  <c:v>0.28004545982938089</c:v>
                </c:pt>
                <c:pt idx="239">
                  <c:v>0.28010460644503166</c:v>
                </c:pt>
                <c:pt idx="240">
                  <c:v>0.27001515711829049</c:v>
                </c:pt>
                <c:pt idx="241">
                  <c:v>0.27009787172095234</c:v>
                </c:pt>
                <c:pt idx="242">
                  <c:v>0.27012545625786211</c:v>
                </c:pt>
                <c:pt idx="243">
                  <c:v>2.2896228879822011E-2</c:v>
                </c:pt>
                <c:pt idx="244">
                  <c:v>2.2896228879822011E-2</c:v>
                </c:pt>
                <c:pt idx="245">
                  <c:v>2.2896228879822011E-2</c:v>
                </c:pt>
                <c:pt idx="246">
                  <c:v>3.6321488678149105E-2</c:v>
                </c:pt>
                <c:pt idx="247">
                  <c:v>3.630853171213011E-2</c:v>
                </c:pt>
                <c:pt idx="248">
                  <c:v>3.6295566396830292E-2</c:v>
                </c:pt>
                <c:pt idx="249">
                  <c:v>3.6282592727744145E-2</c:v>
                </c:pt>
                <c:pt idx="250">
                  <c:v>3.200305916742896E-2</c:v>
                </c:pt>
                <c:pt idx="251">
                  <c:v>2.2956937779339048E-2</c:v>
                </c:pt>
                <c:pt idx="252">
                  <c:v>2.2944131226971143E-2</c:v>
                </c:pt>
                <c:pt idx="253">
                  <c:v>3.1627908593653054E-2</c:v>
                </c:pt>
              </c:numCache>
            </c:numRef>
          </c:val>
          <c:smooth val="0"/>
          <c:extLst>
            <c:ext xmlns:c16="http://schemas.microsoft.com/office/drawing/2014/chart" uri="{C3380CC4-5D6E-409C-BE32-E72D297353CC}">
              <c16:uniqueId val="{00000004-D8A5-45F1-BDF7-50F9D9BECFDB}"/>
            </c:ext>
          </c:extLst>
        </c:ser>
        <c:dLbls>
          <c:showLegendKey val="0"/>
          <c:showVal val="0"/>
          <c:showCatName val="0"/>
          <c:showSerName val="0"/>
          <c:showPercent val="0"/>
          <c:showBubbleSize val="0"/>
        </c:dLbls>
        <c:smooth val="0"/>
        <c:axId val="741690544"/>
        <c:axId val="741689232"/>
      </c:lineChart>
      <c:dateAx>
        <c:axId val="741690544"/>
        <c:scaling>
          <c:orientation val="minMax"/>
        </c:scaling>
        <c:delete val="0"/>
        <c:axPos val="b"/>
        <c:numFmt formatCode="[$-409]mmm\-yy;@" sourceLinked="0"/>
        <c:majorTickMark val="none"/>
        <c:minorTickMark val="none"/>
        <c:tickLblPos val="low"/>
        <c:spPr>
          <a:noFill/>
          <a:ln w="9525" cap="flat" cmpd="sng" algn="ctr">
            <a:no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741689232"/>
        <c:crosses val="autoZero"/>
        <c:auto val="1"/>
        <c:lblOffset val="100"/>
        <c:baseTimeUnit val="days"/>
        <c:majorUnit val="2"/>
        <c:majorTimeUnit val="months"/>
      </c:dateAx>
      <c:valAx>
        <c:axId val="741689232"/>
        <c:scaling>
          <c:orientation val="minMax"/>
          <c:max val="0.4"/>
        </c:scaling>
        <c:delete val="0"/>
        <c:axPos val="l"/>
        <c:numFmt formatCode="0%" sourceLinked="0"/>
        <c:majorTickMark val="none"/>
        <c:minorTickMark val="none"/>
        <c:tickLblPos val="high"/>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74169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Roboto Condensed" panose="02000000000000000000" pitchFamily="2" charset="0"/>
          <a:ea typeface="Roboto Condensed" panose="02000000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337165715653987E-2"/>
          <c:y val="5.0925925925925923E-2"/>
          <c:w val="0.87338698363941369"/>
          <c:h val="0.78410211009067698"/>
        </c:manualLayout>
      </c:layout>
      <c:lineChart>
        <c:grouping val="standard"/>
        <c:varyColors val="0"/>
        <c:ser>
          <c:idx val="0"/>
          <c:order val="0"/>
          <c:tx>
            <c:strRef>
              <c:f>evebitda!$H$4</c:f>
              <c:strCache>
                <c:ptCount val="1"/>
                <c:pt idx="0">
                  <c:v>Comps</c:v>
                </c:pt>
              </c:strCache>
            </c:strRef>
          </c:tx>
          <c:spPr>
            <a:ln w="19050" cap="rnd">
              <a:solidFill>
                <a:schemeClr val="bg1">
                  <a:lumMod val="50000"/>
                </a:schemeClr>
              </a:solidFill>
              <a:round/>
            </a:ln>
            <a:effectLst/>
          </c:spPr>
          <c:marker>
            <c:symbol val="none"/>
          </c:marker>
          <c:cat>
            <c:numRef>
              <c:f>evebitda!$B$5:$B$258</c:f>
              <c:numCache>
                <c:formatCode>m/d/yyyy</c:formatCode>
                <c:ptCount val="254"/>
                <c:pt idx="0">
                  <c:v>44335</c:v>
                </c:pt>
                <c:pt idx="1">
                  <c:v>44334</c:v>
                </c:pt>
                <c:pt idx="2">
                  <c:v>44333</c:v>
                </c:pt>
                <c:pt idx="3">
                  <c:v>44330</c:v>
                </c:pt>
                <c:pt idx="4">
                  <c:v>44329</c:v>
                </c:pt>
                <c:pt idx="5">
                  <c:v>44328</c:v>
                </c:pt>
                <c:pt idx="6">
                  <c:v>44327</c:v>
                </c:pt>
                <c:pt idx="7">
                  <c:v>44326</c:v>
                </c:pt>
                <c:pt idx="8">
                  <c:v>44323</c:v>
                </c:pt>
                <c:pt idx="9">
                  <c:v>44322</c:v>
                </c:pt>
                <c:pt idx="10">
                  <c:v>44321</c:v>
                </c:pt>
                <c:pt idx="11">
                  <c:v>44320</c:v>
                </c:pt>
                <c:pt idx="12">
                  <c:v>44316</c:v>
                </c:pt>
                <c:pt idx="13">
                  <c:v>44315</c:v>
                </c:pt>
                <c:pt idx="14">
                  <c:v>44314</c:v>
                </c:pt>
                <c:pt idx="15">
                  <c:v>44313</c:v>
                </c:pt>
                <c:pt idx="16">
                  <c:v>44312</c:v>
                </c:pt>
                <c:pt idx="17">
                  <c:v>44309</c:v>
                </c:pt>
                <c:pt idx="18">
                  <c:v>44308</c:v>
                </c:pt>
                <c:pt idx="19">
                  <c:v>44307</c:v>
                </c:pt>
                <c:pt idx="20">
                  <c:v>44306</c:v>
                </c:pt>
                <c:pt idx="21">
                  <c:v>44305</c:v>
                </c:pt>
                <c:pt idx="22">
                  <c:v>44302</c:v>
                </c:pt>
                <c:pt idx="23">
                  <c:v>44301</c:v>
                </c:pt>
                <c:pt idx="24">
                  <c:v>44300</c:v>
                </c:pt>
                <c:pt idx="25">
                  <c:v>44299</c:v>
                </c:pt>
                <c:pt idx="26">
                  <c:v>44298</c:v>
                </c:pt>
                <c:pt idx="27">
                  <c:v>44295</c:v>
                </c:pt>
                <c:pt idx="28">
                  <c:v>44294</c:v>
                </c:pt>
                <c:pt idx="29">
                  <c:v>44293</c:v>
                </c:pt>
                <c:pt idx="30">
                  <c:v>44292</c:v>
                </c:pt>
                <c:pt idx="31">
                  <c:v>44287</c:v>
                </c:pt>
                <c:pt idx="32">
                  <c:v>44286</c:v>
                </c:pt>
                <c:pt idx="33">
                  <c:v>44285</c:v>
                </c:pt>
                <c:pt idx="34">
                  <c:v>44284</c:v>
                </c:pt>
                <c:pt idx="35">
                  <c:v>44281</c:v>
                </c:pt>
                <c:pt idx="36">
                  <c:v>44280</c:v>
                </c:pt>
                <c:pt idx="37">
                  <c:v>44279</c:v>
                </c:pt>
                <c:pt idx="38">
                  <c:v>44278</c:v>
                </c:pt>
                <c:pt idx="39">
                  <c:v>44277</c:v>
                </c:pt>
                <c:pt idx="40">
                  <c:v>44274</c:v>
                </c:pt>
                <c:pt idx="41">
                  <c:v>44273</c:v>
                </c:pt>
                <c:pt idx="42">
                  <c:v>44272</c:v>
                </c:pt>
                <c:pt idx="43">
                  <c:v>44271</c:v>
                </c:pt>
                <c:pt idx="44">
                  <c:v>44270</c:v>
                </c:pt>
                <c:pt idx="45">
                  <c:v>44267</c:v>
                </c:pt>
                <c:pt idx="46">
                  <c:v>44266</c:v>
                </c:pt>
                <c:pt idx="47">
                  <c:v>44265</c:v>
                </c:pt>
                <c:pt idx="48">
                  <c:v>44264</c:v>
                </c:pt>
                <c:pt idx="49">
                  <c:v>44263</c:v>
                </c:pt>
                <c:pt idx="50">
                  <c:v>44260</c:v>
                </c:pt>
                <c:pt idx="51">
                  <c:v>44259</c:v>
                </c:pt>
                <c:pt idx="52">
                  <c:v>44258</c:v>
                </c:pt>
                <c:pt idx="53">
                  <c:v>44257</c:v>
                </c:pt>
                <c:pt idx="54">
                  <c:v>44256</c:v>
                </c:pt>
                <c:pt idx="55">
                  <c:v>44253</c:v>
                </c:pt>
                <c:pt idx="56">
                  <c:v>44252</c:v>
                </c:pt>
                <c:pt idx="57">
                  <c:v>44251</c:v>
                </c:pt>
                <c:pt idx="58">
                  <c:v>44250</c:v>
                </c:pt>
                <c:pt idx="59">
                  <c:v>44249</c:v>
                </c:pt>
                <c:pt idx="60">
                  <c:v>44246</c:v>
                </c:pt>
                <c:pt idx="61">
                  <c:v>44245</c:v>
                </c:pt>
                <c:pt idx="62">
                  <c:v>44244</c:v>
                </c:pt>
                <c:pt idx="63">
                  <c:v>44243</c:v>
                </c:pt>
                <c:pt idx="64">
                  <c:v>44242</c:v>
                </c:pt>
                <c:pt idx="65">
                  <c:v>44239</c:v>
                </c:pt>
                <c:pt idx="66">
                  <c:v>44238</c:v>
                </c:pt>
                <c:pt idx="67">
                  <c:v>44237</c:v>
                </c:pt>
                <c:pt idx="68">
                  <c:v>44236</c:v>
                </c:pt>
                <c:pt idx="69">
                  <c:v>44235</c:v>
                </c:pt>
                <c:pt idx="70">
                  <c:v>44232</c:v>
                </c:pt>
                <c:pt idx="71">
                  <c:v>44231</c:v>
                </c:pt>
                <c:pt idx="72">
                  <c:v>44230</c:v>
                </c:pt>
                <c:pt idx="73">
                  <c:v>44229</c:v>
                </c:pt>
                <c:pt idx="74">
                  <c:v>44228</c:v>
                </c:pt>
                <c:pt idx="75">
                  <c:v>44225</c:v>
                </c:pt>
                <c:pt idx="76">
                  <c:v>44224</c:v>
                </c:pt>
                <c:pt idx="77">
                  <c:v>44223</c:v>
                </c:pt>
                <c:pt idx="78">
                  <c:v>44222</c:v>
                </c:pt>
                <c:pt idx="79">
                  <c:v>44221</c:v>
                </c:pt>
                <c:pt idx="80">
                  <c:v>44218</c:v>
                </c:pt>
                <c:pt idx="81">
                  <c:v>44217</c:v>
                </c:pt>
                <c:pt idx="82">
                  <c:v>44216</c:v>
                </c:pt>
                <c:pt idx="83">
                  <c:v>44215</c:v>
                </c:pt>
                <c:pt idx="84">
                  <c:v>44214</c:v>
                </c:pt>
                <c:pt idx="85">
                  <c:v>44211</c:v>
                </c:pt>
                <c:pt idx="86">
                  <c:v>44210</c:v>
                </c:pt>
                <c:pt idx="87">
                  <c:v>44209</c:v>
                </c:pt>
                <c:pt idx="88">
                  <c:v>44208</c:v>
                </c:pt>
                <c:pt idx="89">
                  <c:v>44207</c:v>
                </c:pt>
                <c:pt idx="90">
                  <c:v>44204</c:v>
                </c:pt>
                <c:pt idx="91">
                  <c:v>44203</c:v>
                </c:pt>
                <c:pt idx="92">
                  <c:v>44202</c:v>
                </c:pt>
                <c:pt idx="93">
                  <c:v>44201</c:v>
                </c:pt>
                <c:pt idx="94">
                  <c:v>44200</c:v>
                </c:pt>
                <c:pt idx="95">
                  <c:v>44196</c:v>
                </c:pt>
                <c:pt idx="96">
                  <c:v>44195</c:v>
                </c:pt>
                <c:pt idx="97">
                  <c:v>44194</c:v>
                </c:pt>
                <c:pt idx="98">
                  <c:v>44189</c:v>
                </c:pt>
                <c:pt idx="99">
                  <c:v>44188</c:v>
                </c:pt>
                <c:pt idx="100">
                  <c:v>44187</c:v>
                </c:pt>
                <c:pt idx="101">
                  <c:v>44186</c:v>
                </c:pt>
                <c:pt idx="102">
                  <c:v>44183</c:v>
                </c:pt>
                <c:pt idx="103">
                  <c:v>44182</c:v>
                </c:pt>
                <c:pt idx="104">
                  <c:v>44181</c:v>
                </c:pt>
                <c:pt idx="105">
                  <c:v>44180</c:v>
                </c:pt>
                <c:pt idx="106">
                  <c:v>44179</c:v>
                </c:pt>
                <c:pt idx="107">
                  <c:v>44176</c:v>
                </c:pt>
                <c:pt idx="108">
                  <c:v>44175</c:v>
                </c:pt>
                <c:pt idx="109">
                  <c:v>44174</c:v>
                </c:pt>
                <c:pt idx="110">
                  <c:v>44173</c:v>
                </c:pt>
                <c:pt idx="111">
                  <c:v>44172</c:v>
                </c:pt>
                <c:pt idx="112">
                  <c:v>44169</c:v>
                </c:pt>
                <c:pt idx="113">
                  <c:v>44168</c:v>
                </c:pt>
                <c:pt idx="114">
                  <c:v>44167</c:v>
                </c:pt>
                <c:pt idx="115">
                  <c:v>44166</c:v>
                </c:pt>
                <c:pt idx="116">
                  <c:v>44165</c:v>
                </c:pt>
                <c:pt idx="117">
                  <c:v>44162</c:v>
                </c:pt>
                <c:pt idx="118">
                  <c:v>44161</c:v>
                </c:pt>
                <c:pt idx="119">
                  <c:v>44160</c:v>
                </c:pt>
                <c:pt idx="120">
                  <c:v>44159</c:v>
                </c:pt>
                <c:pt idx="121">
                  <c:v>44158</c:v>
                </c:pt>
                <c:pt idx="122">
                  <c:v>44155</c:v>
                </c:pt>
                <c:pt idx="123">
                  <c:v>44154</c:v>
                </c:pt>
                <c:pt idx="124">
                  <c:v>44153</c:v>
                </c:pt>
                <c:pt idx="125">
                  <c:v>44152</c:v>
                </c:pt>
                <c:pt idx="126">
                  <c:v>44151</c:v>
                </c:pt>
                <c:pt idx="127">
                  <c:v>44148</c:v>
                </c:pt>
                <c:pt idx="128">
                  <c:v>44147</c:v>
                </c:pt>
                <c:pt idx="129">
                  <c:v>44146</c:v>
                </c:pt>
                <c:pt idx="130">
                  <c:v>44145</c:v>
                </c:pt>
                <c:pt idx="131">
                  <c:v>44144</c:v>
                </c:pt>
                <c:pt idx="132">
                  <c:v>44141</c:v>
                </c:pt>
                <c:pt idx="133">
                  <c:v>44140</c:v>
                </c:pt>
                <c:pt idx="134">
                  <c:v>44139</c:v>
                </c:pt>
                <c:pt idx="135">
                  <c:v>44138</c:v>
                </c:pt>
                <c:pt idx="136">
                  <c:v>44137</c:v>
                </c:pt>
                <c:pt idx="137">
                  <c:v>44134</c:v>
                </c:pt>
                <c:pt idx="138">
                  <c:v>44133</c:v>
                </c:pt>
                <c:pt idx="139">
                  <c:v>44132</c:v>
                </c:pt>
                <c:pt idx="140">
                  <c:v>44131</c:v>
                </c:pt>
                <c:pt idx="141">
                  <c:v>44130</c:v>
                </c:pt>
                <c:pt idx="142">
                  <c:v>44127</c:v>
                </c:pt>
                <c:pt idx="143">
                  <c:v>44126</c:v>
                </c:pt>
                <c:pt idx="144">
                  <c:v>44125</c:v>
                </c:pt>
                <c:pt idx="145">
                  <c:v>44124</c:v>
                </c:pt>
                <c:pt idx="146">
                  <c:v>44123</c:v>
                </c:pt>
                <c:pt idx="147">
                  <c:v>44120</c:v>
                </c:pt>
                <c:pt idx="148">
                  <c:v>44119</c:v>
                </c:pt>
                <c:pt idx="149">
                  <c:v>44118</c:v>
                </c:pt>
                <c:pt idx="150">
                  <c:v>44117</c:v>
                </c:pt>
                <c:pt idx="151">
                  <c:v>44116</c:v>
                </c:pt>
                <c:pt idx="152">
                  <c:v>44113</c:v>
                </c:pt>
                <c:pt idx="153">
                  <c:v>44112</c:v>
                </c:pt>
                <c:pt idx="154">
                  <c:v>44111</c:v>
                </c:pt>
                <c:pt idx="155">
                  <c:v>44110</c:v>
                </c:pt>
                <c:pt idx="156">
                  <c:v>44109</c:v>
                </c:pt>
                <c:pt idx="157">
                  <c:v>44106</c:v>
                </c:pt>
                <c:pt idx="158">
                  <c:v>44105</c:v>
                </c:pt>
                <c:pt idx="159">
                  <c:v>44104</c:v>
                </c:pt>
                <c:pt idx="160">
                  <c:v>44103</c:v>
                </c:pt>
                <c:pt idx="161">
                  <c:v>44102</c:v>
                </c:pt>
                <c:pt idx="162">
                  <c:v>44099</c:v>
                </c:pt>
                <c:pt idx="163">
                  <c:v>44098</c:v>
                </c:pt>
                <c:pt idx="164">
                  <c:v>44097</c:v>
                </c:pt>
                <c:pt idx="165">
                  <c:v>44096</c:v>
                </c:pt>
                <c:pt idx="166">
                  <c:v>44095</c:v>
                </c:pt>
                <c:pt idx="167">
                  <c:v>44092</c:v>
                </c:pt>
                <c:pt idx="168">
                  <c:v>44091</c:v>
                </c:pt>
                <c:pt idx="169">
                  <c:v>44090</c:v>
                </c:pt>
                <c:pt idx="170">
                  <c:v>44089</c:v>
                </c:pt>
                <c:pt idx="171">
                  <c:v>44088</c:v>
                </c:pt>
                <c:pt idx="172">
                  <c:v>44085</c:v>
                </c:pt>
                <c:pt idx="173">
                  <c:v>44084</c:v>
                </c:pt>
                <c:pt idx="174">
                  <c:v>44083</c:v>
                </c:pt>
                <c:pt idx="175">
                  <c:v>44082</c:v>
                </c:pt>
                <c:pt idx="176">
                  <c:v>44081</c:v>
                </c:pt>
                <c:pt idx="177">
                  <c:v>44078</c:v>
                </c:pt>
                <c:pt idx="178">
                  <c:v>44077</c:v>
                </c:pt>
                <c:pt idx="179">
                  <c:v>44076</c:v>
                </c:pt>
                <c:pt idx="180">
                  <c:v>44075</c:v>
                </c:pt>
                <c:pt idx="181">
                  <c:v>44071</c:v>
                </c:pt>
                <c:pt idx="182">
                  <c:v>44070</c:v>
                </c:pt>
                <c:pt idx="183">
                  <c:v>44069</c:v>
                </c:pt>
                <c:pt idx="184">
                  <c:v>44068</c:v>
                </c:pt>
                <c:pt idx="185">
                  <c:v>44067</c:v>
                </c:pt>
                <c:pt idx="186">
                  <c:v>44064</c:v>
                </c:pt>
                <c:pt idx="187">
                  <c:v>44063</c:v>
                </c:pt>
                <c:pt idx="188">
                  <c:v>44062</c:v>
                </c:pt>
                <c:pt idx="189">
                  <c:v>44061</c:v>
                </c:pt>
                <c:pt idx="190">
                  <c:v>44060</c:v>
                </c:pt>
                <c:pt idx="191">
                  <c:v>44057</c:v>
                </c:pt>
                <c:pt idx="192">
                  <c:v>44056</c:v>
                </c:pt>
                <c:pt idx="193">
                  <c:v>44055</c:v>
                </c:pt>
                <c:pt idx="194">
                  <c:v>44054</c:v>
                </c:pt>
                <c:pt idx="195">
                  <c:v>44053</c:v>
                </c:pt>
                <c:pt idx="196">
                  <c:v>44050</c:v>
                </c:pt>
                <c:pt idx="197">
                  <c:v>44049</c:v>
                </c:pt>
                <c:pt idx="198">
                  <c:v>44048</c:v>
                </c:pt>
                <c:pt idx="199">
                  <c:v>44047</c:v>
                </c:pt>
                <c:pt idx="200">
                  <c:v>44046</c:v>
                </c:pt>
                <c:pt idx="201">
                  <c:v>44043</c:v>
                </c:pt>
                <c:pt idx="202">
                  <c:v>44042</c:v>
                </c:pt>
                <c:pt idx="203">
                  <c:v>44041</c:v>
                </c:pt>
                <c:pt idx="204">
                  <c:v>44040</c:v>
                </c:pt>
                <c:pt idx="205">
                  <c:v>44039</c:v>
                </c:pt>
                <c:pt idx="206">
                  <c:v>44036</c:v>
                </c:pt>
                <c:pt idx="207">
                  <c:v>44035</c:v>
                </c:pt>
                <c:pt idx="208">
                  <c:v>44034</c:v>
                </c:pt>
                <c:pt idx="209">
                  <c:v>44033</c:v>
                </c:pt>
                <c:pt idx="210">
                  <c:v>44032</c:v>
                </c:pt>
                <c:pt idx="211">
                  <c:v>44029</c:v>
                </c:pt>
                <c:pt idx="212">
                  <c:v>44028</c:v>
                </c:pt>
                <c:pt idx="213">
                  <c:v>44027</c:v>
                </c:pt>
                <c:pt idx="214">
                  <c:v>44026</c:v>
                </c:pt>
                <c:pt idx="215">
                  <c:v>44025</c:v>
                </c:pt>
                <c:pt idx="216">
                  <c:v>44022</c:v>
                </c:pt>
                <c:pt idx="217">
                  <c:v>44021</c:v>
                </c:pt>
                <c:pt idx="218">
                  <c:v>44020</c:v>
                </c:pt>
                <c:pt idx="219">
                  <c:v>44019</c:v>
                </c:pt>
                <c:pt idx="220">
                  <c:v>44018</c:v>
                </c:pt>
                <c:pt idx="221">
                  <c:v>44015</c:v>
                </c:pt>
                <c:pt idx="222">
                  <c:v>44014</c:v>
                </c:pt>
                <c:pt idx="223">
                  <c:v>44013</c:v>
                </c:pt>
                <c:pt idx="224">
                  <c:v>44012</c:v>
                </c:pt>
                <c:pt idx="225">
                  <c:v>44011</c:v>
                </c:pt>
                <c:pt idx="226">
                  <c:v>44008</c:v>
                </c:pt>
                <c:pt idx="227">
                  <c:v>44007</c:v>
                </c:pt>
                <c:pt idx="228">
                  <c:v>44006</c:v>
                </c:pt>
                <c:pt idx="229">
                  <c:v>44005</c:v>
                </c:pt>
                <c:pt idx="230">
                  <c:v>44004</c:v>
                </c:pt>
                <c:pt idx="231">
                  <c:v>44001</c:v>
                </c:pt>
                <c:pt idx="232">
                  <c:v>44000</c:v>
                </c:pt>
                <c:pt idx="233">
                  <c:v>43999</c:v>
                </c:pt>
                <c:pt idx="234">
                  <c:v>43998</c:v>
                </c:pt>
                <c:pt idx="235">
                  <c:v>43997</c:v>
                </c:pt>
                <c:pt idx="236">
                  <c:v>43994</c:v>
                </c:pt>
                <c:pt idx="237">
                  <c:v>43993</c:v>
                </c:pt>
                <c:pt idx="238">
                  <c:v>43992</c:v>
                </c:pt>
                <c:pt idx="239">
                  <c:v>43991</c:v>
                </c:pt>
                <c:pt idx="240">
                  <c:v>43990</c:v>
                </c:pt>
                <c:pt idx="241">
                  <c:v>43987</c:v>
                </c:pt>
                <c:pt idx="242">
                  <c:v>43986</c:v>
                </c:pt>
                <c:pt idx="243">
                  <c:v>43985</c:v>
                </c:pt>
                <c:pt idx="244">
                  <c:v>43984</c:v>
                </c:pt>
                <c:pt idx="245">
                  <c:v>43983</c:v>
                </c:pt>
                <c:pt idx="246">
                  <c:v>43980</c:v>
                </c:pt>
                <c:pt idx="247">
                  <c:v>43979</c:v>
                </c:pt>
                <c:pt idx="248">
                  <c:v>43978</c:v>
                </c:pt>
                <c:pt idx="249">
                  <c:v>43977</c:v>
                </c:pt>
                <c:pt idx="250">
                  <c:v>43973</c:v>
                </c:pt>
                <c:pt idx="251">
                  <c:v>43972</c:v>
                </c:pt>
                <c:pt idx="252">
                  <c:v>43971</c:v>
                </c:pt>
                <c:pt idx="253">
                  <c:v>43970</c:v>
                </c:pt>
              </c:numCache>
            </c:numRef>
          </c:cat>
          <c:val>
            <c:numRef>
              <c:f>evebitda!$H$5:$H$258</c:f>
              <c:numCache>
                <c:formatCode>#,##0.00\x</c:formatCode>
                <c:ptCount val="254"/>
                <c:pt idx="0">
                  <c:v>13.039695639411239</c:v>
                </c:pt>
                <c:pt idx="1">
                  <c:v>13.12661697976127</c:v>
                </c:pt>
                <c:pt idx="2">
                  <c:v>13.126256527151178</c:v>
                </c:pt>
                <c:pt idx="3">
                  <c:v>13.227731201201934</c:v>
                </c:pt>
                <c:pt idx="4">
                  <c:v>13.227377053912845</c:v>
                </c:pt>
                <c:pt idx="5">
                  <c:v>13.267658589006093</c:v>
                </c:pt>
                <c:pt idx="6">
                  <c:v>13.267309997565629</c:v>
                </c:pt>
                <c:pt idx="7">
                  <c:v>13.266961497676689</c:v>
                </c:pt>
                <c:pt idx="8">
                  <c:v>13.265916548002703</c:v>
                </c:pt>
                <c:pt idx="9">
                  <c:v>13.08033519633176</c:v>
                </c:pt>
                <c:pt idx="10">
                  <c:v>13.014109900205622</c:v>
                </c:pt>
                <c:pt idx="11">
                  <c:v>13.013639540057621</c:v>
                </c:pt>
                <c:pt idx="12">
                  <c:v>12.836237745139853</c:v>
                </c:pt>
                <c:pt idx="13">
                  <c:v>12.837509629831967</c:v>
                </c:pt>
                <c:pt idx="14">
                  <c:v>12.8965208839181</c:v>
                </c:pt>
                <c:pt idx="15">
                  <c:v>12.987283718223434</c:v>
                </c:pt>
                <c:pt idx="16">
                  <c:v>12.988649830641304</c:v>
                </c:pt>
                <c:pt idx="17">
                  <c:v>12.706353807046806</c:v>
                </c:pt>
                <c:pt idx="18">
                  <c:v>12.707683774385361</c:v>
                </c:pt>
                <c:pt idx="19">
                  <c:v>12.709014061899548</c:v>
                </c:pt>
                <c:pt idx="20">
                  <c:v>12.71034466971148</c:v>
                </c:pt>
                <c:pt idx="21">
                  <c:v>12.711675597943302</c:v>
                </c:pt>
                <c:pt idx="22">
                  <c:v>12.715670306380733</c:v>
                </c:pt>
                <c:pt idx="23">
                  <c:v>12.717002517515045</c:v>
                </c:pt>
                <c:pt idx="24">
                  <c:v>12.718335049681034</c:v>
                </c:pt>
                <c:pt idx="25">
                  <c:v>12.719667903001241</c:v>
                </c:pt>
                <c:pt idx="26">
                  <c:v>12.721001077598295</c:v>
                </c:pt>
                <c:pt idx="27">
                  <c:v>12.725002530277564</c:v>
                </c:pt>
                <c:pt idx="28">
                  <c:v>12.629388135942829</c:v>
                </c:pt>
                <c:pt idx="29">
                  <c:v>12.630709400058333</c:v>
                </c:pt>
                <c:pt idx="30">
                  <c:v>12.632030982417056</c:v>
                </c:pt>
                <c:pt idx="31">
                  <c:v>12.638643672113297</c:v>
                </c:pt>
                <c:pt idx="32">
                  <c:v>12.589302284224509</c:v>
                </c:pt>
                <c:pt idx="33">
                  <c:v>12.589842147091272</c:v>
                </c:pt>
                <c:pt idx="34">
                  <c:v>12.624254394787769</c:v>
                </c:pt>
                <c:pt idx="35">
                  <c:v>12.562351400204594</c:v>
                </c:pt>
                <c:pt idx="36">
                  <c:v>12.477816997225954</c:v>
                </c:pt>
                <c:pt idx="37">
                  <c:v>12.385109920274806</c:v>
                </c:pt>
                <c:pt idx="38">
                  <c:v>12.385836449691123</c:v>
                </c:pt>
                <c:pt idx="39">
                  <c:v>12.386563080145258</c:v>
                </c:pt>
                <c:pt idx="40">
                  <c:v>12.394046972441018</c:v>
                </c:pt>
                <c:pt idx="41">
                  <c:v>12.392785463880823</c:v>
                </c:pt>
                <c:pt idx="42">
                  <c:v>12.393512829431565</c:v>
                </c:pt>
                <c:pt idx="43">
                  <c:v>12.124074485692809</c:v>
                </c:pt>
                <c:pt idx="44">
                  <c:v>12.124783182182165</c:v>
                </c:pt>
                <c:pt idx="45">
                  <c:v>12.126909863343673</c:v>
                </c:pt>
                <c:pt idx="46">
                  <c:v>12.127618954363935</c:v>
                </c:pt>
                <c:pt idx="47">
                  <c:v>12.128328144068401</c:v>
                </c:pt>
                <c:pt idx="48">
                  <c:v>12.08877685198347</c:v>
                </c:pt>
                <c:pt idx="49">
                  <c:v>12.132829956271429</c:v>
                </c:pt>
                <c:pt idx="50">
                  <c:v>12.134897123271962</c:v>
                </c:pt>
                <c:pt idx="51">
                  <c:v>12.076850687891557</c:v>
                </c:pt>
                <c:pt idx="52">
                  <c:v>12.079092068466156</c:v>
                </c:pt>
                <c:pt idx="53">
                  <c:v>12.079786742531146</c:v>
                </c:pt>
                <c:pt idx="54">
                  <c:v>11.843953405730051</c:v>
                </c:pt>
                <c:pt idx="55">
                  <c:v>11.846101628584581</c:v>
                </c:pt>
                <c:pt idx="56">
                  <c:v>11.846817907052948</c:v>
                </c:pt>
                <c:pt idx="57">
                  <c:v>11.847534287649477</c:v>
                </c:pt>
                <c:pt idx="58">
                  <c:v>11.84825077039601</c:v>
                </c:pt>
                <c:pt idx="59">
                  <c:v>11.8346905724922</c:v>
                </c:pt>
                <c:pt idx="60">
                  <c:v>13.166887632639376</c:v>
                </c:pt>
                <c:pt idx="61">
                  <c:v>13.164460527082868</c:v>
                </c:pt>
                <c:pt idx="62">
                  <c:v>13.162033074074499</c:v>
                </c:pt>
                <c:pt idx="63">
                  <c:v>13.159605273539672</c:v>
                </c:pt>
                <c:pt idx="64">
                  <c:v>13.157177125403736</c:v>
                </c:pt>
                <c:pt idx="65">
                  <c:v>13.149890594642677</c:v>
                </c:pt>
                <c:pt idx="66">
                  <c:v>13.147461055355569</c:v>
                </c:pt>
                <c:pt idx="67">
                  <c:v>13.145031168093873</c:v>
                </c:pt>
                <c:pt idx="68">
                  <c:v>13.142600932782809</c:v>
                </c:pt>
                <c:pt idx="69">
                  <c:v>13.140170349347615</c:v>
                </c:pt>
                <c:pt idx="70">
                  <c:v>13.132876509548993</c:v>
                </c:pt>
                <c:pt idx="71">
                  <c:v>13.37482049920753</c:v>
                </c:pt>
                <c:pt idx="72">
                  <c:v>13.446576962183524</c:v>
                </c:pt>
                <c:pt idx="73">
                  <c:v>13.39726409548021</c:v>
                </c:pt>
                <c:pt idx="74">
                  <c:v>13.395070779432167</c:v>
                </c:pt>
                <c:pt idx="75">
                  <c:v>13.388489278361973</c:v>
                </c:pt>
                <c:pt idx="76">
                  <c:v>13.386294926890979</c:v>
                </c:pt>
                <c:pt idx="77">
                  <c:v>13.384100316460032</c:v>
                </c:pt>
                <c:pt idx="78">
                  <c:v>13.381905447027457</c:v>
                </c:pt>
                <c:pt idx="79">
                  <c:v>13.379710318551538</c:v>
                </c:pt>
                <c:pt idx="80">
                  <c:v>13.373123378446596</c:v>
                </c:pt>
                <c:pt idx="81">
                  <c:v>13.370927213380138</c:v>
                </c:pt>
                <c:pt idx="82">
                  <c:v>13.368730789061726</c:v>
                </c:pt>
                <c:pt idx="83">
                  <c:v>13.366534105449599</c:v>
                </c:pt>
                <c:pt idx="84">
                  <c:v>13.364337162502022</c:v>
                </c:pt>
                <c:pt idx="85">
                  <c:v>13.357744777228906</c:v>
                </c:pt>
                <c:pt idx="86">
                  <c:v>13.355546796521825</c:v>
                </c:pt>
                <c:pt idx="87">
                  <c:v>13.353348556270415</c:v>
                </c:pt>
                <c:pt idx="88">
                  <c:v>13.351150056432891</c:v>
                </c:pt>
                <c:pt idx="89">
                  <c:v>13.377239892785354</c:v>
                </c:pt>
                <c:pt idx="90">
                  <c:v>13.375117341894047</c:v>
                </c:pt>
                <c:pt idx="91">
                  <c:v>13.337615746307037</c:v>
                </c:pt>
                <c:pt idx="92">
                  <c:v>13.359659229288049</c:v>
                </c:pt>
                <c:pt idx="93">
                  <c:v>13.305236202898362</c:v>
                </c:pt>
                <c:pt idx="94">
                  <c:v>13.302803615598917</c:v>
                </c:pt>
                <c:pt idx="95">
                  <c:v>13.29307011792044</c:v>
                </c:pt>
                <c:pt idx="96">
                  <c:v>13.290635956076224</c:v>
                </c:pt>
                <c:pt idx="97">
                  <c:v>13.288201479140348</c:v>
                </c:pt>
                <c:pt idx="98">
                  <c:v>13.276024365952633</c:v>
                </c:pt>
                <c:pt idx="99">
                  <c:v>13.273587997186523</c:v>
                </c:pt>
                <c:pt idx="100">
                  <c:v>13.271151312901839</c:v>
                </c:pt>
                <c:pt idx="101">
                  <c:v>13.268714313037549</c:v>
                </c:pt>
                <c:pt idx="102">
                  <c:v>13.261401419356261</c:v>
                </c:pt>
                <c:pt idx="103">
                  <c:v>13.258963156562714</c:v>
                </c:pt>
                <c:pt idx="104">
                  <c:v>13.256524577884065</c:v>
                </c:pt>
                <c:pt idx="105">
                  <c:v>13.254085683259186</c:v>
                </c:pt>
                <c:pt idx="106">
                  <c:v>13.251646472626909</c:v>
                </c:pt>
                <c:pt idx="107">
                  <c:v>13.415749583343528</c:v>
                </c:pt>
                <c:pt idx="108">
                  <c:v>13.47604149274091</c:v>
                </c:pt>
                <c:pt idx="109">
                  <c:v>13.473204030926427</c:v>
                </c:pt>
                <c:pt idx="110">
                  <c:v>13.470366206024085</c:v>
                </c:pt>
                <c:pt idx="111">
                  <c:v>13.467528017964911</c:v>
                </c:pt>
                <c:pt idx="112">
                  <c:v>13.459011274156161</c:v>
                </c:pt>
                <c:pt idx="113">
                  <c:v>13.456171632779366</c:v>
                </c:pt>
                <c:pt idx="114">
                  <c:v>13.36215906700847</c:v>
                </c:pt>
                <c:pt idx="115">
                  <c:v>13.359311195462974</c:v>
                </c:pt>
                <c:pt idx="116">
                  <c:v>13.313974181064308</c:v>
                </c:pt>
                <c:pt idx="117">
                  <c:v>13.889435362297307</c:v>
                </c:pt>
                <c:pt idx="118">
                  <c:v>13.936646261916005</c:v>
                </c:pt>
                <c:pt idx="119">
                  <c:v>13.944991914004916</c:v>
                </c:pt>
                <c:pt idx="120">
                  <c:v>13.817166470217442</c:v>
                </c:pt>
                <c:pt idx="121">
                  <c:v>15.400879535251995</c:v>
                </c:pt>
                <c:pt idx="122">
                  <c:v>15.411849754107358</c:v>
                </c:pt>
                <c:pt idx="123">
                  <c:v>15.420028914419269</c:v>
                </c:pt>
                <c:pt idx="124">
                  <c:v>15.410820881676766</c:v>
                </c:pt>
                <c:pt idx="125">
                  <c:v>15.879281316270188</c:v>
                </c:pt>
                <c:pt idx="126">
                  <c:v>16.034367603498165</c:v>
                </c:pt>
                <c:pt idx="127">
                  <c:v>16.021757365079118</c:v>
                </c:pt>
                <c:pt idx="128">
                  <c:v>16.017552885505143</c:v>
                </c:pt>
                <c:pt idx="129">
                  <c:v>16.013347872378173</c:v>
                </c:pt>
                <c:pt idx="130">
                  <c:v>16.00914232559666</c:v>
                </c:pt>
                <c:pt idx="131">
                  <c:v>16.004936245059039</c:v>
                </c:pt>
                <c:pt idx="132">
                  <c:v>15.992314799893368</c:v>
                </c:pt>
                <c:pt idx="133">
                  <c:v>15.988106583315041</c:v>
                </c:pt>
                <c:pt idx="134">
                  <c:v>15.944191971940846</c:v>
                </c:pt>
                <c:pt idx="135">
                  <c:v>15.939980029351798</c:v>
                </c:pt>
                <c:pt idx="136">
                  <c:v>15.915375863436751</c:v>
                </c:pt>
                <c:pt idx="137">
                  <c:v>15.883900469179597</c:v>
                </c:pt>
                <c:pt idx="138">
                  <c:v>15.879880535557222</c:v>
                </c:pt>
                <c:pt idx="139">
                  <c:v>15.875859984350505</c:v>
                </c:pt>
                <c:pt idx="140">
                  <c:v>15.948011870524034</c:v>
                </c:pt>
                <c:pt idx="141">
                  <c:v>15.943995543718728</c:v>
                </c:pt>
                <c:pt idx="142">
                  <c:v>15.931942859362813</c:v>
                </c:pt>
                <c:pt idx="143">
                  <c:v>15.927924062789906</c:v>
                </c:pt>
                <c:pt idx="144">
                  <c:v>15.923904648419299</c:v>
                </c:pt>
                <c:pt idx="145">
                  <c:v>15.919884616108572</c:v>
                </c:pt>
                <c:pt idx="146">
                  <c:v>15.915863965715278</c:v>
                </c:pt>
                <c:pt idx="147">
                  <c:v>15.903798304614741</c:v>
                </c:pt>
                <c:pt idx="148">
                  <c:v>15.89847195607647</c:v>
                </c:pt>
                <c:pt idx="149">
                  <c:v>15.894448119637914</c:v>
                </c:pt>
                <c:pt idx="150">
                  <c:v>15.890423664247725</c:v>
                </c:pt>
                <c:pt idx="151">
                  <c:v>15.808908043724163</c:v>
                </c:pt>
                <c:pt idx="152">
                  <c:v>15.797017287822445</c:v>
                </c:pt>
                <c:pt idx="153">
                  <c:v>15.793052501375094</c:v>
                </c:pt>
                <c:pt idx="154">
                  <c:v>15.789087114126868</c:v>
                </c:pt>
                <c:pt idx="155">
                  <c:v>15.785121125941201</c:v>
                </c:pt>
                <c:pt idx="156">
                  <c:v>15.781154536681488</c:v>
                </c:pt>
                <c:pt idx="157">
                  <c:v>15.82088145078068</c:v>
                </c:pt>
                <c:pt idx="158">
                  <c:v>15.084237630212748</c:v>
                </c:pt>
                <c:pt idx="159">
                  <c:v>15.062538074655688</c:v>
                </c:pt>
                <c:pt idx="160">
                  <c:v>15.061623123725388</c:v>
                </c:pt>
                <c:pt idx="161">
                  <c:v>15.071727423222463</c:v>
                </c:pt>
                <c:pt idx="162">
                  <c:v>15.068974888379238</c:v>
                </c:pt>
                <c:pt idx="163">
                  <c:v>15.445834147954731</c:v>
                </c:pt>
                <c:pt idx="164">
                  <c:v>15.50536137573442</c:v>
                </c:pt>
                <c:pt idx="165">
                  <c:v>15.506391545460552</c:v>
                </c:pt>
                <c:pt idx="166">
                  <c:v>15.507421882822554</c:v>
                </c:pt>
                <c:pt idx="167">
                  <c:v>15.510513901156354</c:v>
                </c:pt>
                <c:pt idx="168">
                  <c:v>15.337379641731959</c:v>
                </c:pt>
                <c:pt idx="169">
                  <c:v>15.348232124432808</c:v>
                </c:pt>
                <c:pt idx="170">
                  <c:v>15.336270778060719</c:v>
                </c:pt>
                <c:pt idx="171">
                  <c:v>15.337335098806196</c:v>
                </c:pt>
                <c:pt idx="172">
                  <c:v>15.340529118327236</c:v>
                </c:pt>
                <c:pt idx="173">
                  <c:v>15.324689684490281</c:v>
                </c:pt>
                <c:pt idx="174">
                  <c:v>15.325877338381838</c:v>
                </c:pt>
                <c:pt idx="175">
                  <c:v>15.327065221256536</c:v>
                </c:pt>
                <c:pt idx="176">
                  <c:v>15.328253333187146</c:v>
                </c:pt>
                <c:pt idx="177">
                  <c:v>15.308404123436601</c:v>
                </c:pt>
                <c:pt idx="178">
                  <c:v>15.309590308193098</c:v>
                </c:pt>
                <c:pt idx="179">
                  <c:v>15.577511441545049</c:v>
                </c:pt>
                <c:pt idx="180">
                  <c:v>15.578730491011488</c:v>
                </c:pt>
                <c:pt idx="181">
                  <c:v>15.58360905713716</c:v>
                </c:pt>
                <c:pt idx="182">
                  <c:v>15.584829291112062</c:v>
                </c:pt>
                <c:pt idx="183">
                  <c:v>15.586049762215886</c:v>
                </c:pt>
                <c:pt idx="184">
                  <c:v>15.587270470524453</c:v>
                </c:pt>
                <c:pt idx="185">
                  <c:v>15.588491416113614</c:v>
                </c:pt>
                <c:pt idx="186">
                  <c:v>15.592155677323744</c:v>
                </c:pt>
                <c:pt idx="187">
                  <c:v>15.593377572794534</c:v>
                </c:pt>
                <c:pt idx="188">
                  <c:v>15.59459970592571</c:v>
                </c:pt>
                <c:pt idx="189">
                  <c:v>15.595822076793347</c:v>
                </c:pt>
                <c:pt idx="190">
                  <c:v>15.597044685473527</c:v>
                </c:pt>
                <c:pt idx="191">
                  <c:v>15.600713939150861</c:v>
                </c:pt>
                <c:pt idx="192">
                  <c:v>15.601937499842897</c:v>
                </c:pt>
                <c:pt idx="193">
                  <c:v>15.603161298728494</c:v>
                </c:pt>
                <c:pt idx="194">
                  <c:v>13.137049694468214</c:v>
                </c:pt>
                <c:pt idx="195">
                  <c:v>13.138094194317667</c:v>
                </c:pt>
                <c:pt idx="196">
                  <c:v>13.131613335055988</c:v>
                </c:pt>
                <c:pt idx="197">
                  <c:v>13.132700388879821</c:v>
                </c:pt>
                <c:pt idx="198">
                  <c:v>13.042772409422016</c:v>
                </c:pt>
                <c:pt idx="199">
                  <c:v>13.04384896849707</c:v>
                </c:pt>
                <c:pt idx="200">
                  <c:v>13.04492574247751</c:v>
                </c:pt>
                <c:pt idx="201">
                  <c:v>13.04815735454147</c:v>
                </c:pt>
                <c:pt idx="202">
                  <c:v>13.049234988833934</c:v>
                </c:pt>
                <c:pt idx="203">
                  <c:v>13.050312838377177</c:v>
                </c:pt>
                <c:pt idx="204">
                  <c:v>13.051390903240375</c:v>
                </c:pt>
                <c:pt idx="205">
                  <c:v>13.052469183492727</c:v>
                </c:pt>
                <c:pt idx="206">
                  <c:v>13.055705317277193</c:v>
                </c:pt>
                <c:pt idx="207">
                  <c:v>13.056784459778811</c:v>
                </c:pt>
                <c:pt idx="208">
                  <c:v>13.057863818016063</c:v>
                </c:pt>
                <c:pt idx="209">
                  <c:v>13.058943392058344</c:v>
                </c:pt>
                <c:pt idx="210">
                  <c:v>13.060023181975067</c:v>
                </c:pt>
                <c:pt idx="211">
                  <c:v>13.063263847666585</c:v>
                </c:pt>
                <c:pt idx="212">
                  <c:v>12.109155410058044</c:v>
                </c:pt>
                <c:pt idx="213">
                  <c:v>12.110381754780484</c:v>
                </c:pt>
                <c:pt idx="214">
                  <c:v>12.132874416329198</c:v>
                </c:pt>
                <c:pt idx="215">
                  <c:v>12.134009023869467</c:v>
                </c:pt>
                <c:pt idx="216">
                  <c:v>12.166564572155913</c:v>
                </c:pt>
                <c:pt idx="217">
                  <c:v>12.167757697468865</c:v>
                </c:pt>
                <c:pt idx="218">
                  <c:v>12.168951089787189</c:v>
                </c:pt>
                <c:pt idx="219">
                  <c:v>12.274232030018165</c:v>
                </c:pt>
                <c:pt idx="220">
                  <c:v>11.449744976226125</c:v>
                </c:pt>
                <c:pt idx="221">
                  <c:v>11.453842259785446</c:v>
                </c:pt>
                <c:pt idx="222">
                  <c:v>11.45520879131813</c:v>
                </c:pt>
                <c:pt idx="223">
                  <c:v>11.509639998722893</c:v>
                </c:pt>
                <c:pt idx="224">
                  <c:v>11.511013755901105</c:v>
                </c:pt>
                <c:pt idx="225">
                  <c:v>11.512387900431563</c:v>
                </c:pt>
                <c:pt idx="226">
                  <c:v>11.516512659804986</c:v>
                </c:pt>
                <c:pt idx="227">
                  <c:v>11.517888355413515</c:v>
                </c:pt>
                <c:pt idx="228">
                  <c:v>11.519264439209319</c:v>
                </c:pt>
                <c:pt idx="229">
                  <c:v>11.52064091135972</c:v>
                </c:pt>
                <c:pt idx="230">
                  <c:v>10.983126188382206</c:v>
                </c:pt>
                <c:pt idx="231">
                  <c:v>10.987257019244451</c:v>
                </c:pt>
                <c:pt idx="232">
                  <c:v>10.988634790083093</c:v>
                </c:pt>
                <c:pt idx="233">
                  <c:v>10.990012974851989</c:v>
                </c:pt>
                <c:pt idx="234">
                  <c:v>10.991391573744107</c:v>
                </c:pt>
                <c:pt idx="235">
                  <c:v>10.894972421480562</c:v>
                </c:pt>
                <c:pt idx="236">
                  <c:v>10.83335494024624</c:v>
                </c:pt>
                <c:pt idx="237">
                  <c:v>10.834621819367632</c:v>
                </c:pt>
                <c:pt idx="238">
                  <c:v>10.943826720475666</c:v>
                </c:pt>
                <c:pt idx="239">
                  <c:v>10.944963262031816</c:v>
                </c:pt>
                <c:pt idx="240">
                  <c:v>10.898806052881774</c:v>
                </c:pt>
                <c:pt idx="241">
                  <c:v>10.901921188140026</c:v>
                </c:pt>
                <c:pt idx="242">
                  <c:v>10.902960162956152</c:v>
                </c:pt>
                <c:pt idx="243">
                  <c:v>13.042765240827034</c:v>
                </c:pt>
                <c:pt idx="244">
                  <c:v>13.042765240827034</c:v>
                </c:pt>
                <c:pt idx="245">
                  <c:v>13.042765240827034</c:v>
                </c:pt>
                <c:pt idx="246">
                  <c:v>12.876805126457894</c:v>
                </c:pt>
                <c:pt idx="247">
                  <c:v>12.877968311595861</c:v>
                </c:pt>
                <c:pt idx="248">
                  <c:v>12.879131829758474</c:v>
                </c:pt>
                <c:pt idx="249">
                  <c:v>12.880295681102329</c:v>
                </c:pt>
                <c:pt idx="250">
                  <c:v>12.937737071925191</c:v>
                </c:pt>
                <c:pt idx="251">
                  <c:v>13.05316360006689</c:v>
                </c:pt>
                <c:pt idx="252">
                  <c:v>13.054343920268394</c:v>
                </c:pt>
                <c:pt idx="253">
                  <c:v>13.055524577828461</c:v>
                </c:pt>
              </c:numCache>
            </c:numRef>
          </c:val>
          <c:smooth val="0"/>
          <c:extLst>
            <c:ext xmlns:c16="http://schemas.microsoft.com/office/drawing/2014/chart" uri="{C3380CC4-5D6E-409C-BE32-E72D297353CC}">
              <c16:uniqueId val="{00000000-67ED-4BC9-B6C3-7F1988982147}"/>
            </c:ext>
          </c:extLst>
        </c:ser>
        <c:ser>
          <c:idx val="3"/>
          <c:order val="1"/>
          <c:tx>
            <c:strRef>
              <c:f>evebitda!$D$4</c:f>
              <c:strCache>
                <c:ptCount val="1"/>
                <c:pt idx="0">
                  <c:v>SVT LN Equity</c:v>
                </c:pt>
              </c:strCache>
            </c:strRef>
          </c:tx>
          <c:spPr>
            <a:ln w="25400" cap="rnd">
              <a:solidFill>
                <a:schemeClr val="tx2"/>
              </a:solidFill>
              <a:round/>
            </a:ln>
            <a:effectLst/>
          </c:spPr>
          <c:marker>
            <c:symbol val="none"/>
          </c:marker>
          <c:cat>
            <c:numRef>
              <c:f>evebitda!$B$5:$B$258</c:f>
              <c:numCache>
                <c:formatCode>m/d/yyyy</c:formatCode>
                <c:ptCount val="254"/>
                <c:pt idx="0">
                  <c:v>44335</c:v>
                </c:pt>
                <c:pt idx="1">
                  <c:v>44334</c:v>
                </c:pt>
                <c:pt idx="2">
                  <c:v>44333</c:v>
                </c:pt>
                <c:pt idx="3">
                  <c:v>44330</c:v>
                </c:pt>
                <c:pt idx="4">
                  <c:v>44329</c:v>
                </c:pt>
                <c:pt idx="5">
                  <c:v>44328</c:v>
                </c:pt>
                <c:pt idx="6">
                  <c:v>44327</c:v>
                </c:pt>
                <c:pt idx="7">
                  <c:v>44326</c:v>
                </c:pt>
                <c:pt idx="8">
                  <c:v>44323</c:v>
                </c:pt>
                <c:pt idx="9">
                  <c:v>44322</c:v>
                </c:pt>
                <c:pt idx="10">
                  <c:v>44321</c:v>
                </c:pt>
                <c:pt idx="11">
                  <c:v>44320</c:v>
                </c:pt>
                <c:pt idx="12">
                  <c:v>44316</c:v>
                </c:pt>
                <c:pt idx="13">
                  <c:v>44315</c:v>
                </c:pt>
                <c:pt idx="14">
                  <c:v>44314</c:v>
                </c:pt>
                <c:pt idx="15">
                  <c:v>44313</c:v>
                </c:pt>
                <c:pt idx="16">
                  <c:v>44312</c:v>
                </c:pt>
                <c:pt idx="17">
                  <c:v>44309</c:v>
                </c:pt>
                <c:pt idx="18">
                  <c:v>44308</c:v>
                </c:pt>
                <c:pt idx="19">
                  <c:v>44307</c:v>
                </c:pt>
                <c:pt idx="20">
                  <c:v>44306</c:v>
                </c:pt>
                <c:pt idx="21">
                  <c:v>44305</c:v>
                </c:pt>
                <c:pt idx="22">
                  <c:v>44302</c:v>
                </c:pt>
                <c:pt idx="23">
                  <c:v>44301</c:v>
                </c:pt>
                <c:pt idx="24">
                  <c:v>44300</c:v>
                </c:pt>
                <c:pt idx="25">
                  <c:v>44299</c:v>
                </c:pt>
                <c:pt idx="26">
                  <c:v>44298</c:v>
                </c:pt>
                <c:pt idx="27">
                  <c:v>44295</c:v>
                </c:pt>
                <c:pt idx="28">
                  <c:v>44294</c:v>
                </c:pt>
                <c:pt idx="29">
                  <c:v>44293</c:v>
                </c:pt>
                <c:pt idx="30">
                  <c:v>44292</c:v>
                </c:pt>
                <c:pt idx="31">
                  <c:v>44287</c:v>
                </c:pt>
                <c:pt idx="32">
                  <c:v>44286</c:v>
                </c:pt>
                <c:pt idx="33">
                  <c:v>44285</c:v>
                </c:pt>
                <c:pt idx="34">
                  <c:v>44284</c:v>
                </c:pt>
                <c:pt idx="35">
                  <c:v>44281</c:v>
                </c:pt>
                <c:pt idx="36">
                  <c:v>44280</c:v>
                </c:pt>
                <c:pt idx="37">
                  <c:v>44279</c:v>
                </c:pt>
                <c:pt idx="38">
                  <c:v>44278</c:v>
                </c:pt>
                <c:pt idx="39">
                  <c:v>44277</c:v>
                </c:pt>
                <c:pt idx="40">
                  <c:v>44274</c:v>
                </c:pt>
                <c:pt idx="41">
                  <c:v>44273</c:v>
                </c:pt>
                <c:pt idx="42">
                  <c:v>44272</c:v>
                </c:pt>
                <c:pt idx="43">
                  <c:v>44271</c:v>
                </c:pt>
                <c:pt idx="44">
                  <c:v>44270</c:v>
                </c:pt>
                <c:pt idx="45">
                  <c:v>44267</c:v>
                </c:pt>
                <c:pt idx="46">
                  <c:v>44266</c:v>
                </c:pt>
                <c:pt idx="47">
                  <c:v>44265</c:v>
                </c:pt>
                <c:pt idx="48">
                  <c:v>44264</c:v>
                </c:pt>
                <c:pt idx="49">
                  <c:v>44263</c:v>
                </c:pt>
                <c:pt idx="50">
                  <c:v>44260</c:v>
                </c:pt>
                <c:pt idx="51">
                  <c:v>44259</c:v>
                </c:pt>
                <c:pt idx="52">
                  <c:v>44258</c:v>
                </c:pt>
                <c:pt idx="53">
                  <c:v>44257</c:v>
                </c:pt>
                <c:pt idx="54">
                  <c:v>44256</c:v>
                </c:pt>
                <c:pt idx="55">
                  <c:v>44253</c:v>
                </c:pt>
                <c:pt idx="56">
                  <c:v>44252</c:v>
                </c:pt>
                <c:pt idx="57">
                  <c:v>44251</c:v>
                </c:pt>
                <c:pt idx="58">
                  <c:v>44250</c:v>
                </c:pt>
                <c:pt idx="59">
                  <c:v>44249</c:v>
                </c:pt>
                <c:pt idx="60">
                  <c:v>44246</c:v>
                </c:pt>
                <c:pt idx="61">
                  <c:v>44245</c:v>
                </c:pt>
                <c:pt idx="62">
                  <c:v>44244</c:v>
                </c:pt>
                <c:pt idx="63">
                  <c:v>44243</c:v>
                </c:pt>
                <c:pt idx="64">
                  <c:v>44242</c:v>
                </c:pt>
                <c:pt idx="65">
                  <c:v>44239</c:v>
                </c:pt>
                <c:pt idx="66">
                  <c:v>44238</c:v>
                </c:pt>
                <c:pt idx="67">
                  <c:v>44237</c:v>
                </c:pt>
                <c:pt idx="68">
                  <c:v>44236</c:v>
                </c:pt>
                <c:pt idx="69">
                  <c:v>44235</c:v>
                </c:pt>
                <c:pt idx="70">
                  <c:v>44232</c:v>
                </c:pt>
                <c:pt idx="71">
                  <c:v>44231</c:v>
                </c:pt>
                <c:pt idx="72">
                  <c:v>44230</c:v>
                </c:pt>
                <c:pt idx="73">
                  <c:v>44229</c:v>
                </c:pt>
                <c:pt idx="74">
                  <c:v>44228</c:v>
                </c:pt>
                <c:pt idx="75">
                  <c:v>44225</c:v>
                </c:pt>
                <c:pt idx="76">
                  <c:v>44224</c:v>
                </c:pt>
                <c:pt idx="77">
                  <c:v>44223</c:v>
                </c:pt>
                <c:pt idx="78">
                  <c:v>44222</c:v>
                </c:pt>
                <c:pt idx="79">
                  <c:v>44221</c:v>
                </c:pt>
                <c:pt idx="80">
                  <c:v>44218</c:v>
                </c:pt>
                <c:pt idx="81">
                  <c:v>44217</c:v>
                </c:pt>
                <c:pt idx="82">
                  <c:v>44216</c:v>
                </c:pt>
                <c:pt idx="83">
                  <c:v>44215</c:v>
                </c:pt>
                <c:pt idx="84">
                  <c:v>44214</c:v>
                </c:pt>
                <c:pt idx="85">
                  <c:v>44211</c:v>
                </c:pt>
                <c:pt idx="86">
                  <c:v>44210</c:v>
                </c:pt>
                <c:pt idx="87">
                  <c:v>44209</c:v>
                </c:pt>
                <c:pt idx="88">
                  <c:v>44208</c:v>
                </c:pt>
                <c:pt idx="89">
                  <c:v>44207</c:v>
                </c:pt>
                <c:pt idx="90">
                  <c:v>44204</c:v>
                </c:pt>
                <c:pt idx="91">
                  <c:v>44203</c:v>
                </c:pt>
                <c:pt idx="92">
                  <c:v>44202</c:v>
                </c:pt>
                <c:pt idx="93">
                  <c:v>44201</c:v>
                </c:pt>
                <c:pt idx="94">
                  <c:v>44200</c:v>
                </c:pt>
                <c:pt idx="95">
                  <c:v>44196</c:v>
                </c:pt>
                <c:pt idx="96">
                  <c:v>44195</c:v>
                </c:pt>
                <c:pt idx="97">
                  <c:v>44194</c:v>
                </c:pt>
                <c:pt idx="98">
                  <c:v>44189</c:v>
                </c:pt>
                <c:pt idx="99">
                  <c:v>44188</c:v>
                </c:pt>
                <c:pt idx="100">
                  <c:v>44187</c:v>
                </c:pt>
                <c:pt idx="101">
                  <c:v>44186</c:v>
                </c:pt>
                <c:pt idx="102">
                  <c:v>44183</c:v>
                </c:pt>
                <c:pt idx="103">
                  <c:v>44182</c:v>
                </c:pt>
                <c:pt idx="104">
                  <c:v>44181</c:v>
                </c:pt>
                <c:pt idx="105">
                  <c:v>44180</c:v>
                </c:pt>
                <c:pt idx="106">
                  <c:v>44179</c:v>
                </c:pt>
                <c:pt idx="107">
                  <c:v>44176</c:v>
                </c:pt>
                <c:pt idx="108">
                  <c:v>44175</c:v>
                </c:pt>
                <c:pt idx="109">
                  <c:v>44174</c:v>
                </c:pt>
                <c:pt idx="110">
                  <c:v>44173</c:v>
                </c:pt>
                <c:pt idx="111">
                  <c:v>44172</c:v>
                </c:pt>
                <c:pt idx="112">
                  <c:v>44169</c:v>
                </c:pt>
                <c:pt idx="113">
                  <c:v>44168</c:v>
                </c:pt>
                <c:pt idx="114">
                  <c:v>44167</c:v>
                </c:pt>
                <c:pt idx="115">
                  <c:v>44166</c:v>
                </c:pt>
                <c:pt idx="116">
                  <c:v>44165</c:v>
                </c:pt>
                <c:pt idx="117">
                  <c:v>44162</c:v>
                </c:pt>
                <c:pt idx="118">
                  <c:v>44161</c:v>
                </c:pt>
                <c:pt idx="119">
                  <c:v>44160</c:v>
                </c:pt>
                <c:pt idx="120">
                  <c:v>44159</c:v>
                </c:pt>
                <c:pt idx="121">
                  <c:v>44158</c:v>
                </c:pt>
                <c:pt idx="122">
                  <c:v>44155</c:v>
                </c:pt>
                <c:pt idx="123">
                  <c:v>44154</c:v>
                </c:pt>
                <c:pt idx="124">
                  <c:v>44153</c:v>
                </c:pt>
                <c:pt idx="125">
                  <c:v>44152</c:v>
                </c:pt>
                <c:pt idx="126">
                  <c:v>44151</c:v>
                </c:pt>
                <c:pt idx="127">
                  <c:v>44148</c:v>
                </c:pt>
                <c:pt idx="128">
                  <c:v>44147</c:v>
                </c:pt>
                <c:pt idx="129">
                  <c:v>44146</c:v>
                </c:pt>
                <c:pt idx="130">
                  <c:v>44145</c:v>
                </c:pt>
                <c:pt idx="131">
                  <c:v>44144</c:v>
                </c:pt>
                <c:pt idx="132">
                  <c:v>44141</c:v>
                </c:pt>
                <c:pt idx="133">
                  <c:v>44140</c:v>
                </c:pt>
                <c:pt idx="134">
                  <c:v>44139</c:v>
                </c:pt>
                <c:pt idx="135">
                  <c:v>44138</c:v>
                </c:pt>
                <c:pt idx="136">
                  <c:v>44137</c:v>
                </c:pt>
                <c:pt idx="137">
                  <c:v>44134</c:v>
                </c:pt>
                <c:pt idx="138">
                  <c:v>44133</c:v>
                </c:pt>
                <c:pt idx="139">
                  <c:v>44132</c:v>
                </c:pt>
                <c:pt idx="140">
                  <c:v>44131</c:v>
                </c:pt>
                <c:pt idx="141">
                  <c:v>44130</c:v>
                </c:pt>
                <c:pt idx="142">
                  <c:v>44127</c:v>
                </c:pt>
                <c:pt idx="143">
                  <c:v>44126</c:v>
                </c:pt>
                <c:pt idx="144">
                  <c:v>44125</c:v>
                </c:pt>
                <c:pt idx="145">
                  <c:v>44124</c:v>
                </c:pt>
                <c:pt idx="146">
                  <c:v>44123</c:v>
                </c:pt>
                <c:pt idx="147">
                  <c:v>44120</c:v>
                </c:pt>
                <c:pt idx="148">
                  <c:v>44119</c:v>
                </c:pt>
                <c:pt idx="149">
                  <c:v>44118</c:v>
                </c:pt>
                <c:pt idx="150">
                  <c:v>44117</c:v>
                </c:pt>
                <c:pt idx="151">
                  <c:v>44116</c:v>
                </c:pt>
                <c:pt idx="152">
                  <c:v>44113</c:v>
                </c:pt>
                <c:pt idx="153">
                  <c:v>44112</c:v>
                </c:pt>
                <c:pt idx="154">
                  <c:v>44111</c:v>
                </c:pt>
                <c:pt idx="155">
                  <c:v>44110</c:v>
                </c:pt>
                <c:pt idx="156">
                  <c:v>44109</c:v>
                </c:pt>
                <c:pt idx="157">
                  <c:v>44106</c:v>
                </c:pt>
                <c:pt idx="158">
                  <c:v>44105</c:v>
                </c:pt>
                <c:pt idx="159">
                  <c:v>44104</c:v>
                </c:pt>
                <c:pt idx="160">
                  <c:v>44103</c:v>
                </c:pt>
                <c:pt idx="161">
                  <c:v>44102</c:v>
                </c:pt>
                <c:pt idx="162">
                  <c:v>44099</c:v>
                </c:pt>
                <c:pt idx="163">
                  <c:v>44098</c:v>
                </c:pt>
                <c:pt idx="164">
                  <c:v>44097</c:v>
                </c:pt>
                <c:pt idx="165">
                  <c:v>44096</c:v>
                </c:pt>
                <c:pt idx="166">
                  <c:v>44095</c:v>
                </c:pt>
                <c:pt idx="167">
                  <c:v>44092</c:v>
                </c:pt>
                <c:pt idx="168">
                  <c:v>44091</c:v>
                </c:pt>
                <c:pt idx="169">
                  <c:v>44090</c:v>
                </c:pt>
                <c:pt idx="170">
                  <c:v>44089</c:v>
                </c:pt>
                <c:pt idx="171">
                  <c:v>44088</c:v>
                </c:pt>
                <c:pt idx="172">
                  <c:v>44085</c:v>
                </c:pt>
                <c:pt idx="173">
                  <c:v>44084</c:v>
                </c:pt>
                <c:pt idx="174">
                  <c:v>44083</c:v>
                </c:pt>
                <c:pt idx="175">
                  <c:v>44082</c:v>
                </c:pt>
                <c:pt idx="176">
                  <c:v>44081</c:v>
                </c:pt>
                <c:pt idx="177">
                  <c:v>44078</c:v>
                </c:pt>
                <c:pt idx="178">
                  <c:v>44077</c:v>
                </c:pt>
                <c:pt idx="179">
                  <c:v>44076</c:v>
                </c:pt>
                <c:pt idx="180">
                  <c:v>44075</c:v>
                </c:pt>
                <c:pt idx="181">
                  <c:v>44071</c:v>
                </c:pt>
                <c:pt idx="182">
                  <c:v>44070</c:v>
                </c:pt>
                <c:pt idx="183">
                  <c:v>44069</c:v>
                </c:pt>
                <c:pt idx="184">
                  <c:v>44068</c:v>
                </c:pt>
                <c:pt idx="185">
                  <c:v>44067</c:v>
                </c:pt>
                <c:pt idx="186">
                  <c:v>44064</c:v>
                </c:pt>
                <c:pt idx="187">
                  <c:v>44063</c:v>
                </c:pt>
                <c:pt idx="188">
                  <c:v>44062</c:v>
                </c:pt>
                <c:pt idx="189">
                  <c:v>44061</c:v>
                </c:pt>
                <c:pt idx="190">
                  <c:v>44060</c:v>
                </c:pt>
                <c:pt idx="191">
                  <c:v>44057</c:v>
                </c:pt>
                <c:pt idx="192">
                  <c:v>44056</c:v>
                </c:pt>
                <c:pt idx="193">
                  <c:v>44055</c:v>
                </c:pt>
                <c:pt idx="194">
                  <c:v>44054</c:v>
                </c:pt>
                <c:pt idx="195">
                  <c:v>44053</c:v>
                </c:pt>
                <c:pt idx="196">
                  <c:v>44050</c:v>
                </c:pt>
                <c:pt idx="197">
                  <c:v>44049</c:v>
                </c:pt>
                <c:pt idx="198">
                  <c:v>44048</c:v>
                </c:pt>
                <c:pt idx="199">
                  <c:v>44047</c:v>
                </c:pt>
                <c:pt idx="200">
                  <c:v>44046</c:v>
                </c:pt>
                <c:pt idx="201">
                  <c:v>44043</c:v>
                </c:pt>
                <c:pt idx="202">
                  <c:v>44042</c:v>
                </c:pt>
                <c:pt idx="203">
                  <c:v>44041</c:v>
                </c:pt>
                <c:pt idx="204">
                  <c:v>44040</c:v>
                </c:pt>
                <c:pt idx="205">
                  <c:v>44039</c:v>
                </c:pt>
                <c:pt idx="206">
                  <c:v>44036</c:v>
                </c:pt>
                <c:pt idx="207">
                  <c:v>44035</c:v>
                </c:pt>
                <c:pt idx="208">
                  <c:v>44034</c:v>
                </c:pt>
                <c:pt idx="209">
                  <c:v>44033</c:v>
                </c:pt>
                <c:pt idx="210">
                  <c:v>44032</c:v>
                </c:pt>
                <c:pt idx="211">
                  <c:v>44029</c:v>
                </c:pt>
                <c:pt idx="212">
                  <c:v>44028</c:v>
                </c:pt>
                <c:pt idx="213">
                  <c:v>44027</c:v>
                </c:pt>
                <c:pt idx="214">
                  <c:v>44026</c:v>
                </c:pt>
                <c:pt idx="215">
                  <c:v>44025</c:v>
                </c:pt>
                <c:pt idx="216">
                  <c:v>44022</c:v>
                </c:pt>
                <c:pt idx="217">
                  <c:v>44021</c:v>
                </c:pt>
                <c:pt idx="218">
                  <c:v>44020</c:v>
                </c:pt>
                <c:pt idx="219">
                  <c:v>44019</c:v>
                </c:pt>
                <c:pt idx="220">
                  <c:v>44018</c:v>
                </c:pt>
                <c:pt idx="221">
                  <c:v>44015</c:v>
                </c:pt>
                <c:pt idx="222">
                  <c:v>44014</c:v>
                </c:pt>
                <c:pt idx="223">
                  <c:v>44013</c:v>
                </c:pt>
                <c:pt idx="224">
                  <c:v>44012</c:v>
                </c:pt>
                <c:pt idx="225">
                  <c:v>44011</c:v>
                </c:pt>
                <c:pt idx="226">
                  <c:v>44008</c:v>
                </c:pt>
                <c:pt idx="227">
                  <c:v>44007</c:v>
                </c:pt>
                <c:pt idx="228">
                  <c:v>44006</c:v>
                </c:pt>
                <c:pt idx="229">
                  <c:v>44005</c:v>
                </c:pt>
                <c:pt idx="230">
                  <c:v>44004</c:v>
                </c:pt>
                <c:pt idx="231">
                  <c:v>44001</c:v>
                </c:pt>
                <c:pt idx="232">
                  <c:v>44000</c:v>
                </c:pt>
                <c:pt idx="233">
                  <c:v>43999</c:v>
                </c:pt>
                <c:pt idx="234">
                  <c:v>43998</c:v>
                </c:pt>
                <c:pt idx="235">
                  <c:v>43997</c:v>
                </c:pt>
                <c:pt idx="236">
                  <c:v>43994</c:v>
                </c:pt>
                <c:pt idx="237">
                  <c:v>43993</c:v>
                </c:pt>
                <c:pt idx="238">
                  <c:v>43992</c:v>
                </c:pt>
                <c:pt idx="239">
                  <c:v>43991</c:v>
                </c:pt>
                <c:pt idx="240">
                  <c:v>43990</c:v>
                </c:pt>
                <c:pt idx="241">
                  <c:v>43987</c:v>
                </c:pt>
                <c:pt idx="242">
                  <c:v>43986</c:v>
                </c:pt>
                <c:pt idx="243">
                  <c:v>43985</c:v>
                </c:pt>
                <c:pt idx="244">
                  <c:v>43984</c:v>
                </c:pt>
                <c:pt idx="245">
                  <c:v>43983</c:v>
                </c:pt>
                <c:pt idx="246">
                  <c:v>43980</c:v>
                </c:pt>
                <c:pt idx="247">
                  <c:v>43979</c:v>
                </c:pt>
                <c:pt idx="248">
                  <c:v>43978</c:v>
                </c:pt>
                <c:pt idx="249">
                  <c:v>43977</c:v>
                </c:pt>
                <c:pt idx="250">
                  <c:v>43973</c:v>
                </c:pt>
                <c:pt idx="251">
                  <c:v>43972</c:v>
                </c:pt>
                <c:pt idx="252">
                  <c:v>43971</c:v>
                </c:pt>
                <c:pt idx="253">
                  <c:v>43970</c:v>
                </c:pt>
              </c:numCache>
            </c:numRef>
          </c:cat>
          <c:val>
            <c:numRef>
              <c:f>evebitda!$D$5:$D$258</c:f>
              <c:numCache>
                <c:formatCode>#,##0.00\x</c:formatCode>
                <c:ptCount val="254"/>
                <c:pt idx="0">
                  <c:v>13.428485628621591</c:v>
                </c:pt>
                <c:pt idx="1">
                  <c:v>13.404273314741262</c:v>
                </c:pt>
                <c:pt idx="2">
                  <c:v>13.406933225119342</c:v>
                </c:pt>
                <c:pt idx="3">
                  <c:v>13.455743022123384</c:v>
                </c:pt>
                <c:pt idx="4">
                  <c:v>13.458417707423513</c:v>
                </c:pt>
                <c:pt idx="5">
                  <c:v>13.461093665564862</c:v>
                </c:pt>
                <c:pt idx="6">
                  <c:v>13.463770897456245</c:v>
                </c:pt>
                <c:pt idx="7">
                  <c:v>13.466449404007321</c:v>
                </c:pt>
                <c:pt idx="8">
                  <c:v>13.474492580728459</c:v>
                </c:pt>
                <c:pt idx="9">
                  <c:v>13.407476020731551</c:v>
                </c:pt>
                <c:pt idx="10">
                  <c:v>13.410313208396936</c:v>
                </c:pt>
                <c:pt idx="11">
                  <c:v>13.413151748810913</c:v>
                </c:pt>
                <c:pt idx="12">
                  <c:v>13.326014048774532</c:v>
                </c:pt>
                <c:pt idx="13">
                  <c:v>13.328831157577188</c:v>
                </c:pt>
                <c:pt idx="14">
                  <c:v>13.385432946800043</c:v>
                </c:pt>
                <c:pt idx="15">
                  <c:v>13.325746613842432</c:v>
                </c:pt>
                <c:pt idx="16">
                  <c:v>13.328562251371538</c:v>
                </c:pt>
                <c:pt idx="17">
                  <c:v>12.995379039908258</c:v>
                </c:pt>
                <c:pt idx="18">
                  <c:v>12.998003288792443</c:v>
                </c:pt>
                <c:pt idx="19">
                  <c:v>13.000628748314657</c:v>
                </c:pt>
                <c:pt idx="20">
                  <c:v>13.00325541931285</c:v>
                </c:pt>
                <c:pt idx="21">
                  <c:v>13.005883302625733</c:v>
                </c:pt>
                <c:pt idx="22">
                  <c:v>13.01377423485134</c:v>
                </c:pt>
                <c:pt idx="23">
                  <c:v>13.016406975825673</c:v>
                </c:pt>
                <c:pt idx="24">
                  <c:v>13.01904093331992</c:v>
                </c:pt>
                <c:pt idx="25">
                  <c:v>13.021676108177461</c:v>
                </c:pt>
                <c:pt idx="26">
                  <c:v>13.024312501242449</c:v>
                </c:pt>
                <c:pt idx="27">
                  <c:v>13.0322289981354</c:v>
                </c:pt>
                <c:pt idx="28">
                  <c:v>13.034870272487385</c:v>
                </c:pt>
                <c:pt idx="29">
                  <c:v>13.037512769279333</c:v>
                </c:pt>
                <c:pt idx="30">
                  <c:v>13.040156489360093</c:v>
                </c:pt>
                <c:pt idx="31">
                  <c:v>13.053393468861168</c:v>
                </c:pt>
                <c:pt idx="32">
                  <c:v>13.033675764126814</c:v>
                </c:pt>
                <c:pt idx="33">
                  <c:v>13.005226727676355</c:v>
                </c:pt>
                <c:pt idx="34">
                  <c:v>13.007909177918281</c:v>
                </c:pt>
                <c:pt idx="35">
                  <c:v>13.015088739585686</c:v>
                </c:pt>
                <c:pt idx="36">
                  <c:v>12.77236887835301</c:v>
                </c:pt>
                <c:pt idx="37">
                  <c:v>12.774805227348148</c:v>
                </c:pt>
                <c:pt idx="38">
                  <c:v>12.777242689188752</c:v>
                </c:pt>
                <c:pt idx="39">
                  <c:v>12.779681264637469</c:v>
                </c:pt>
                <c:pt idx="40">
                  <c:v>12.78700368026916</c:v>
                </c:pt>
                <c:pt idx="41">
                  <c:v>12.766295383449252</c:v>
                </c:pt>
                <c:pt idx="42">
                  <c:v>12.768734243756711</c:v>
                </c:pt>
                <c:pt idx="43">
                  <c:v>12.776321314519496</c:v>
                </c:pt>
                <c:pt idx="44">
                  <c:v>12.77876358481041</c:v>
                </c:pt>
                <c:pt idx="45">
                  <c:v>12.786097105841312</c:v>
                </c:pt>
                <c:pt idx="46">
                  <c:v>12.788543852132172</c:v>
                </c:pt>
                <c:pt idx="47">
                  <c:v>12.790991719345655</c:v>
                </c:pt>
                <c:pt idx="48">
                  <c:v>12.793440708252231</c:v>
                </c:pt>
                <c:pt idx="49">
                  <c:v>12.786210625919836</c:v>
                </c:pt>
                <c:pt idx="50">
                  <c:v>12.793634640920441</c:v>
                </c:pt>
                <c:pt idx="51">
                  <c:v>12.796111592322086</c:v>
                </c:pt>
                <c:pt idx="52">
                  <c:v>12.798589684904012</c:v>
                </c:pt>
                <c:pt idx="53">
                  <c:v>12.801068919455057</c:v>
                </c:pt>
                <c:pt idx="54">
                  <c:v>13.021972605696867</c:v>
                </c:pt>
                <c:pt idx="55">
                  <c:v>13.029658768383246</c:v>
                </c:pt>
                <c:pt idx="56">
                  <c:v>13.032223209513102</c:v>
                </c:pt>
                <c:pt idx="57">
                  <c:v>13.034788845483641</c:v>
                </c:pt>
                <c:pt idx="58">
                  <c:v>13.037355677130121</c:v>
                </c:pt>
                <c:pt idx="59">
                  <c:v>13.039923705288571</c:v>
                </c:pt>
                <c:pt idx="60">
                  <c:v>13.047634977207816</c:v>
                </c:pt>
                <c:pt idx="61">
                  <c:v>13.050207799790114</c:v>
                </c:pt>
                <c:pt idx="62">
                  <c:v>13.052781823076275</c:v>
                </c:pt>
                <c:pt idx="63">
                  <c:v>13.055357047907025</c:v>
                </c:pt>
                <c:pt idx="64">
                  <c:v>13.057933475123868</c:v>
                </c:pt>
                <c:pt idx="65">
                  <c:v>13.065669979517899</c:v>
                </c:pt>
                <c:pt idx="66">
                  <c:v>13.036452716377205</c:v>
                </c:pt>
                <c:pt idx="67">
                  <c:v>13.039067258382067</c:v>
                </c:pt>
                <c:pt idx="68">
                  <c:v>13.041683038242827</c:v>
                </c:pt>
                <c:pt idx="69">
                  <c:v>13.044300056838782</c:v>
                </c:pt>
                <c:pt idx="70">
                  <c:v>13.052158553843377</c:v>
                </c:pt>
                <c:pt idx="71">
                  <c:v>13.322547406611406</c:v>
                </c:pt>
                <c:pt idx="72">
                  <c:v>13.222762550868177</c:v>
                </c:pt>
                <c:pt idx="73">
                  <c:v>13.225339507735635</c:v>
                </c:pt>
                <c:pt idx="74">
                  <c:v>13.227917675836798</c:v>
                </c:pt>
                <c:pt idx="75">
                  <c:v>13.235659456088213</c:v>
                </c:pt>
                <c:pt idx="76">
                  <c:v>13.238242477673902</c:v>
                </c:pt>
                <c:pt idx="77">
                  <c:v>13.240826714772169</c:v>
                </c:pt>
                <c:pt idx="78">
                  <c:v>13.243412168241209</c:v>
                </c:pt>
                <c:pt idx="79">
                  <c:v>13.245998838940018</c:v>
                </c:pt>
                <c:pt idx="80">
                  <c:v>13.253766163017204</c:v>
                </c:pt>
                <c:pt idx="81">
                  <c:v>13.256357711241284</c:v>
                </c:pt>
                <c:pt idx="82">
                  <c:v>13.258950481002289</c:v>
                </c:pt>
                <c:pt idx="83">
                  <c:v>13.261544473164088</c:v>
                </c:pt>
                <c:pt idx="84">
                  <c:v>13.264139688591362</c:v>
                </c:pt>
                <c:pt idx="85">
                  <c:v>13.271932683125097</c:v>
                </c:pt>
                <c:pt idx="86">
                  <c:v>13.274532800277427</c:v>
                </c:pt>
                <c:pt idx="87">
                  <c:v>13.277134145030907</c:v>
                </c:pt>
                <c:pt idx="88">
                  <c:v>13.279736718255121</c:v>
                </c:pt>
                <c:pt idx="89">
                  <c:v>13.335506721368644</c:v>
                </c:pt>
                <c:pt idx="90">
                  <c:v>13.343538861183259</c:v>
                </c:pt>
                <c:pt idx="91">
                  <c:v>13.372404127500747</c:v>
                </c:pt>
                <c:pt idx="92">
                  <c:v>13.375091498269681</c:v>
                </c:pt>
                <c:pt idx="93">
                  <c:v>13.173556883104792</c:v>
                </c:pt>
                <c:pt idx="94">
                  <c:v>13.187085717052046</c:v>
                </c:pt>
                <c:pt idx="95">
                  <c:v>13.19748131907518</c:v>
                </c:pt>
                <c:pt idx="96">
                  <c:v>13.200083246006802</c:v>
                </c:pt>
                <c:pt idx="97">
                  <c:v>13.202686385200805</c:v>
                </c:pt>
                <c:pt idx="98">
                  <c:v>13.215720294793369</c:v>
                </c:pt>
                <c:pt idx="99">
                  <c:v>13.218330725384838</c:v>
                </c:pt>
                <c:pt idx="100">
                  <c:v>13.220942374187141</c:v>
                </c:pt>
                <c:pt idx="101">
                  <c:v>13.22355524205323</c:v>
                </c:pt>
                <c:pt idx="102">
                  <c:v>13.231401168575715</c:v>
                </c:pt>
                <c:pt idx="103">
                  <c:v>13.234018921242434</c:v>
                </c:pt>
                <c:pt idx="104">
                  <c:v>13.141931085282929</c:v>
                </c:pt>
                <c:pt idx="105">
                  <c:v>13.144557299141141</c:v>
                </c:pt>
                <c:pt idx="106">
                  <c:v>13.14718475302093</c:v>
                </c:pt>
                <c:pt idx="107">
                  <c:v>13.518388915191707</c:v>
                </c:pt>
                <c:pt idx="108">
                  <c:v>13.52078648275681</c:v>
                </c:pt>
                <c:pt idx="109">
                  <c:v>13.523185120877708</c:v>
                </c:pt>
                <c:pt idx="110">
                  <c:v>13.52558483027159</c:v>
                </c:pt>
                <c:pt idx="111">
                  <c:v>13.527985611656293</c:v>
                </c:pt>
                <c:pt idx="112">
                  <c:v>13.535194394943279</c:v>
                </c:pt>
                <c:pt idx="113">
                  <c:v>13.537599471482432</c:v>
                </c:pt>
                <c:pt idx="114">
                  <c:v>13.540005623611211</c:v>
                </c:pt>
                <c:pt idx="115">
                  <c:v>13.542412852051307</c:v>
                </c:pt>
                <c:pt idx="116">
                  <c:v>13.544821157525062</c:v>
                </c:pt>
                <c:pt idx="117">
                  <c:v>13.696144352628815</c:v>
                </c:pt>
                <c:pt idx="118">
                  <c:v>13.69862764105063</c:v>
                </c:pt>
                <c:pt idx="119">
                  <c:v>13.818257393086007</c:v>
                </c:pt>
                <c:pt idx="120">
                  <c:v>13.820873046674825</c:v>
                </c:pt>
                <c:pt idx="121">
                  <c:v>13.823489910548767</c:v>
                </c:pt>
                <c:pt idx="122">
                  <c:v>13.831347772287357</c:v>
                </c:pt>
                <c:pt idx="123">
                  <c:v>13.791262610922999</c:v>
                </c:pt>
                <c:pt idx="124">
                  <c:v>13.793544912406507</c:v>
                </c:pt>
                <c:pt idx="125">
                  <c:v>13.795828161285469</c:v>
                </c:pt>
                <c:pt idx="126">
                  <c:v>13.798112358149906</c:v>
                </c:pt>
                <c:pt idx="127">
                  <c:v>13.838268217346634</c:v>
                </c:pt>
                <c:pt idx="128">
                  <c:v>13.840563130242449</c:v>
                </c:pt>
                <c:pt idx="129">
                  <c:v>13.842858996956581</c:v>
                </c:pt>
                <c:pt idx="130">
                  <c:v>13.845155818083807</c:v>
                </c:pt>
                <c:pt idx="131">
                  <c:v>13.847453594219381</c:v>
                </c:pt>
                <c:pt idx="132">
                  <c:v>13.854352658636248</c:v>
                </c:pt>
                <c:pt idx="133">
                  <c:v>13.856654260767746</c:v>
                </c:pt>
                <c:pt idx="134">
                  <c:v>13.858956820891335</c:v>
                </c:pt>
                <c:pt idx="135">
                  <c:v>13.861260339605257</c:v>
                </c:pt>
                <c:pt idx="136">
                  <c:v>13.92856704670951</c:v>
                </c:pt>
                <c:pt idx="137">
                  <c:v>13.935332541883016</c:v>
                </c:pt>
                <c:pt idx="138">
                  <c:v>13.937589546409558</c:v>
                </c:pt>
                <c:pt idx="139">
                  <c:v>13.939847471608394</c:v>
                </c:pt>
                <c:pt idx="140">
                  <c:v>13.942106318042978</c:v>
                </c:pt>
                <c:pt idx="141">
                  <c:v>13.944366086277219</c:v>
                </c:pt>
                <c:pt idx="142">
                  <c:v>13.951150927423932</c:v>
                </c:pt>
                <c:pt idx="143">
                  <c:v>13.953414388505148</c:v>
                </c:pt>
                <c:pt idx="144">
                  <c:v>13.955678774212505</c:v>
                </c:pt>
                <c:pt idx="145">
                  <c:v>13.957944085112675</c:v>
                </c:pt>
                <c:pt idx="146">
                  <c:v>13.96021032177282</c:v>
                </c:pt>
                <c:pt idx="147">
                  <c:v>13.967014591991425</c:v>
                </c:pt>
                <c:pt idx="148">
                  <c:v>13.969284537372149</c:v>
                </c:pt>
                <c:pt idx="149">
                  <c:v>13.971555411355524</c:v>
                </c:pt>
                <c:pt idx="150">
                  <c:v>13.973827214511489</c:v>
                </c:pt>
                <c:pt idx="151">
                  <c:v>13.976099947410438</c:v>
                </c:pt>
                <c:pt idx="152">
                  <c:v>13.98292373027623</c:v>
                </c:pt>
                <c:pt idx="153">
                  <c:v>13.98520018786048</c:v>
                </c:pt>
                <c:pt idx="154">
                  <c:v>13.987477578046734</c:v>
                </c:pt>
                <c:pt idx="155">
                  <c:v>13.989755901408204</c:v>
                </c:pt>
                <c:pt idx="156">
                  <c:v>13.992035158518563</c:v>
                </c:pt>
                <c:pt idx="157">
                  <c:v>14.045651642535818</c:v>
                </c:pt>
                <c:pt idx="158">
                  <c:v>13.887235747339449</c:v>
                </c:pt>
                <c:pt idx="159">
                  <c:v>13.889461390406021</c:v>
                </c:pt>
                <c:pt idx="160">
                  <c:v>13.891687956750493</c:v>
                </c:pt>
                <c:pt idx="161">
                  <c:v>13.872589273716645</c:v>
                </c:pt>
                <c:pt idx="162">
                  <c:v>13.879264011845715</c:v>
                </c:pt>
                <c:pt idx="163">
                  <c:v>13.881490772421673</c:v>
                </c:pt>
                <c:pt idx="164">
                  <c:v>13.88371845789016</c:v>
                </c:pt>
                <c:pt idx="165">
                  <c:v>13.885947068827534</c:v>
                </c:pt>
                <c:pt idx="166">
                  <c:v>13.888176605810628</c:v>
                </c:pt>
                <c:pt idx="167">
                  <c:v>13.894870778809771</c:v>
                </c:pt>
                <c:pt idx="168">
                  <c:v>13.666253790538256</c:v>
                </c:pt>
                <c:pt idx="169">
                  <c:v>13.668311385400267</c:v>
                </c:pt>
                <c:pt idx="170">
                  <c:v>13.670369769927497</c:v>
                </c:pt>
                <c:pt idx="171">
                  <c:v>13.672428944574616</c:v>
                </c:pt>
                <c:pt idx="172">
                  <c:v>13.678611213787338</c:v>
                </c:pt>
                <c:pt idx="173">
                  <c:v>13.680673553467773</c:v>
                </c:pt>
                <c:pt idx="174">
                  <c:v>13.682736685546718</c:v>
                </c:pt>
                <c:pt idx="175">
                  <c:v>13.684800610480949</c:v>
                </c:pt>
                <c:pt idx="176">
                  <c:v>13.686865328727594</c:v>
                </c:pt>
                <c:pt idx="177">
                  <c:v>14.145151400329544</c:v>
                </c:pt>
                <c:pt idx="178">
                  <c:v>14.147306247790189</c:v>
                </c:pt>
                <c:pt idx="179">
                  <c:v>14.149461924307868</c:v>
                </c:pt>
                <c:pt idx="180">
                  <c:v>14.151618430361138</c:v>
                </c:pt>
                <c:pt idx="181">
                  <c:v>14.160252759513952</c:v>
                </c:pt>
                <c:pt idx="182">
                  <c:v>14.162413420436303</c:v>
                </c:pt>
                <c:pt idx="183">
                  <c:v>14.164574913773281</c:v>
                </c:pt>
                <c:pt idx="184">
                  <c:v>14.166737240006031</c:v>
                </c:pt>
                <c:pt idx="185">
                  <c:v>14.168900399616055</c:v>
                </c:pt>
                <c:pt idx="186">
                  <c:v>14.175394883530414</c:v>
                </c:pt>
                <c:pt idx="187">
                  <c:v>14.177561381472033</c:v>
                </c:pt>
                <c:pt idx="188">
                  <c:v>14.179728715204041</c:v>
                </c:pt>
                <c:pt idx="189">
                  <c:v>14.181896885210168</c:v>
                </c:pt>
                <c:pt idx="190">
                  <c:v>14.184065891974537</c:v>
                </c:pt>
                <c:pt idx="191">
                  <c:v>14.190577937663788</c:v>
                </c:pt>
                <c:pt idx="192">
                  <c:v>14.192750296309704</c:v>
                </c:pt>
                <c:pt idx="193">
                  <c:v>14.194923494140044</c:v>
                </c:pt>
                <c:pt idx="194">
                  <c:v>13.870495625437618</c:v>
                </c:pt>
                <c:pt idx="195">
                  <c:v>13.872707357469732</c:v>
                </c:pt>
                <c:pt idx="196">
                  <c:v>13.879347754523835</c:v>
                </c:pt>
                <c:pt idx="197">
                  <c:v>13.731054849369603</c:v>
                </c:pt>
                <c:pt idx="198">
                  <c:v>13.733241413654438</c:v>
                </c:pt>
                <c:pt idx="199">
                  <c:v>13.735428835405861</c:v>
                </c:pt>
                <c:pt idx="200">
                  <c:v>13.737617115128362</c:v>
                </c:pt>
                <c:pt idx="201">
                  <c:v>13.744187107173108</c:v>
                </c:pt>
                <c:pt idx="202">
                  <c:v>13.746378823832689</c:v>
                </c:pt>
                <c:pt idx="203">
                  <c:v>13.748571400991715</c:v>
                </c:pt>
                <c:pt idx="204">
                  <c:v>13.750764839157055</c:v>
                </c:pt>
                <c:pt idx="205">
                  <c:v>13.752959138835974</c:v>
                </c:pt>
                <c:pt idx="206">
                  <c:v>13.759547212032821</c:v>
                </c:pt>
                <c:pt idx="207">
                  <c:v>13.761744962846674</c:v>
                </c:pt>
                <c:pt idx="208">
                  <c:v>13.774901126105668</c:v>
                </c:pt>
                <c:pt idx="209">
                  <c:v>13.77696921761118</c:v>
                </c:pt>
                <c:pt idx="210">
                  <c:v>13.77903808207623</c:v>
                </c:pt>
                <c:pt idx="211">
                  <c:v>13.785249317564491</c:v>
                </c:pt>
                <c:pt idx="212">
                  <c:v>13.972879146265425</c:v>
                </c:pt>
                <c:pt idx="213">
                  <c:v>13.974943377660404</c:v>
                </c:pt>
                <c:pt idx="214">
                  <c:v>13.97700838143823</c:v>
                </c:pt>
                <c:pt idx="215">
                  <c:v>13.979074158032486</c:v>
                </c:pt>
                <c:pt idx="216">
                  <c:v>13.985276129054665</c:v>
                </c:pt>
                <c:pt idx="217">
                  <c:v>13.98734500125707</c:v>
                </c:pt>
                <c:pt idx="218">
                  <c:v>13.989414648448738</c:v>
                </c:pt>
                <c:pt idx="219">
                  <c:v>13.991485071065211</c:v>
                </c:pt>
                <c:pt idx="220">
                  <c:v>13.99355626954236</c:v>
                </c:pt>
                <c:pt idx="221">
                  <c:v>13.999774524501435</c:v>
                </c:pt>
                <c:pt idx="222">
                  <c:v>14.001848830786503</c:v>
                </c:pt>
                <c:pt idx="223">
                  <c:v>14.003923915116495</c:v>
                </c:pt>
                <c:pt idx="224">
                  <c:v>14.005999777929244</c:v>
                </c:pt>
                <c:pt idx="225">
                  <c:v>14.008076419662915</c:v>
                </c:pt>
                <c:pt idx="226">
                  <c:v>14.014311022776004</c:v>
                </c:pt>
                <c:pt idx="227">
                  <c:v>14.016390784581562</c:v>
                </c:pt>
                <c:pt idx="228">
                  <c:v>14.018471327503789</c:v>
                </c:pt>
                <c:pt idx="229">
                  <c:v>14.020552651982827</c:v>
                </c:pt>
                <c:pt idx="230">
                  <c:v>13.737990431115765</c:v>
                </c:pt>
                <c:pt idx="231">
                  <c:v>13.744131460948271</c:v>
                </c:pt>
                <c:pt idx="232">
                  <c:v>13.746180020267301</c:v>
                </c:pt>
                <c:pt idx="233">
                  <c:v>13.748229355006856</c:v>
                </c:pt>
                <c:pt idx="234">
                  <c:v>13.750279465607285</c:v>
                </c:pt>
                <c:pt idx="235">
                  <c:v>13.752330352509267</c:v>
                </c:pt>
                <c:pt idx="236">
                  <c:v>14.004393731330765</c:v>
                </c:pt>
                <c:pt idx="237">
                  <c:v>14.006494320932651</c:v>
                </c:pt>
                <c:pt idx="238">
                  <c:v>14.008595706704341</c:v>
                </c:pt>
                <c:pt idx="239">
                  <c:v>14.010697889098568</c:v>
                </c:pt>
                <c:pt idx="240">
                  <c:v>13.841648881652421</c:v>
                </c:pt>
                <c:pt idx="241">
                  <c:v>13.846506898726203</c:v>
                </c:pt>
                <c:pt idx="242">
                  <c:v>13.848127251535978</c:v>
                </c:pt>
                <c:pt idx="243">
                  <c:v>13.972723311774384</c:v>
                </c:pt>
                <c:pt idx="244">
                  <c:v>13.34035763378086</c:v>
                </c:pt>
                <c:pt idx="245">
                  <c:v>13.341395379006796</c:v>
                </c:pt>
                <c:pt idx="246">
                  <c:v>13.344509858069268</c:v>
                </c:pt>
                <c:pt idx="247">
                  <c:v>13.345548432425247</c:v>
                </c:pt>
                <c:pt idx="248">
                  <c:v>13.346587214219005</c:v>
                </c:pt>
                <c:pt idx="249">
                  <c:v>13.347626203512686</c:v>
                </c:pt>
                <c:pt idx="250">
                  <c:v>13.351784236930651</c:v>
                </c:pt>
                <c:pt idx="251">
                  <c:v>13.352824264657158</c:v>
                </c:pt>
                <c:pt idx="252">
                  <c:v>13.353864500257044</c:v>
                </c:pt>
                <c:pt idx="253">
                  <c:v>13.46844351581821</c:v>
                </c:pt>
              </c:numCache>
            </c:numRef>
          </c:val>
          <c:smooth val="0"/>
          <c:extLst>
            <c:ext xmlns:c16="http://schemas.microsoft.com/office/drawing/2014/chart" uri="{C3380CC4-5D6E-409C-BE32-E72D297353CC}">
              <c16:uniqueId val="{00000003-67ED-4BC9-B6C3-7F1988982147}"/>
            </c:ext>
          </c:extLst>
        </c:ser>
        <c:dLbls>
          <c:showLegendKey val="0"/>
          <c:showVal val="0"/>
          <c:showCatName val="0"/>
          <c:showSerName val="0"/>
          <c:showPercent val="0"/>
          <c:showBubbleSize val="0"/>
        </c:dLbls>
        <c:smooth val="0"/>
        <c:axId val="741690544"/>
        <c:axId val="741689232"/>
      </c:lineChart>
      <c:dateAx>
        <c:axId val="741690544"/>
        <c:scaling>
          <c:orientation val="minMax"/>
        </c:scaling>
        <c:delete val="0"/>
        <c:axPos val="b"/>
        <c:numFmt formatCode="[$-409]mmm\-yy;@" sourceLinked="0"/>
        <c:majorTickMark val="none"/>
        <c:minorTickMark val="none"/>
        <c:tickLblPos val="low"/>
        <c:spPr>
          <a:noFill/>
          <a:ln w="9525" cap="flat" cmpd="sng" algn="ctr">
            <a:no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741689232"/>
        <c:crosses val="autoZero"/>
        <c:auto val="1"/>
        <c:lblOffset val="100"/>
        <c:baseTimeUnit val="days"/>
        <c:majorUnit val="2"/>
        <c:majorTimeUnit val="months"/>
      </c:dateAx>
      <c:valAx>
        <c:axId val="741689232"/>
        <c:scaling>
          <c:orientation val="minMax"/>
          <c:min val="10"/>
        </c:scaling>
        <c:delete val="0"/>
        <c:axPos val="l"/>
        <c:numFmt formatCode="#,##0\x" sourceLinked="0"/>
        <c:majorTickMark val="none"/>
        <c:minorTickMark val="none"/>
        <c:tickLblPos val="high"/>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741690544"/>
        <c:crosses val="autoZero"/>
        <c:crossBetween val="between"/>
      </c:valAx>
      <c:spPr>
        <a:noFill/>
        <a:ln>
          <a:noFill/>
        </a:ln>
        <a:effectLst/>
      </c:spPr>
    </c:plotArea>
    <c:legend>
      <c:legendPos val="r"/>
      <c:layout>
        <c:manualLayout>
          <c:xMode val="edge"/>
          <c:yMode val="edge"/>
          <c:x val="0.18668081114291055"/>
          <c:y val="0.69767560406403484"/>
          <c:w val="0.47962318055136038"/>
          <c:h val="0.10108478501331683"/>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Roboto Condensed" panose="02000000000000000000" pitchFamily="2" charset="0"/>
          <a:ea typeface="Roboto Condensed" panose="02000000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px_hist!$H$3</c:f>
              <c:strCache>
                <c:ptCount val="1"/>
                <c:pt idx="0">
                  <c:v>Last PX</c:v>
                </c:pt>
              </c:strCache>
            </c:strRef>
          </c:tx>
          <c:spPr>
            <a:ln w="28575" cap="rnd">
              <a:solidFill>
                <a:schemeClr val="tx2"/>
              </a:solidFill>
              <a:round/>
            </a:ln>
            <a:effectLst/>
          </c:spPr>
          <c:marker>
            <c:symbol val="none"/>
          </c:marker>
          <c:cat>
            <c:numRef>
              <c:f>px_hist!$G$4:$G$353</c:f>
              <c:numCache>
                <c:formatCode>m/d/yyyy</c:formatCode>
                <c:ptCount val="350"/>
                <c:pt idx="0">
                  <c:v>44335</c:v>
                </c:pt>
                <c:pt idx="1">
                  <c:v>44334</c:v>
                </c:pt>
                <c:pt idx="2">
                  <c:v>44333</c:v>
                </c:pt>
                <c:pt idx="3">
                  <c:v>44330</c:v>
                </c:pt>
                <c:pt idx="4">
                  <c:v>44329</c:v>
                </c:pt>
                <c:pt idx="5">
                  <c:v>44328</c:v>
                </c:pt>
                <c:pt idx="6">
                  <c:v>44327</c:v>
                </c:pt>
                <c:pt idx="7">
                  <c:v>44326</c:v>
                </c:pt>
                <c:pt idx="8">
                  <c:v>44323</c:v>
                </c:pt>
                <c:pt idx="9">
                  <c:v>44322</c:v>
                </c:pt>
                <c:pt idx="10">
                  <c:v>44321</c:v>
                </c:pt>
                <c:pt idx="11">
                  <c:v>44320</c:v>
                </c:pt>
                <c:pt idx="12">
                  <c:v>44316</c:v>
                </c:pt>
                <c:pt idx="13">
                  <c:v>44315</c:v>
                </c:pt>
                <c:pt idx="14">
                  <c:v>44314</c:v>
                </c:pt>
                <c:pt idx="15">
                  <c:v>44313</c:v>
                </c:pt>
                <c:pt idx="16">
                  <c:v>44312</c:v>
                </c:pt>
                <c:pt idx="17">
                  <c:v>44309</c:v>
                </c:pt>
                <c:pt idx="18">
                  <c:v>44308</c:v>
                </c:pt>
                <c:pt idx="19">
                  <c:v>44307</c:v>
                </c:pt>
                <c:pt idx="20">
                  <c:v>44306</c:v>
                </c:pt>
                <c:pt idx="21">
                  <c:v>44305</c:v>
                </c:pt>
                <c:pt idx="22">
                  <c:v>44302</c:v>
                </c:pt>
                <c:pt idx="23">
                  <c:v>44301</c:v>
                </c:pt>
                <c:pt idx="24">
                  <c:v>44300</c:v>
                </c:pt>
                <c:pt idx="25">
                  <c:v>44299</c:v>
                </c:pt>
                <c:pt idx="26">
                  <c:v>44298</c:v>
                </c:pt>
                <c:pt idx="27">
                  <c:v>44295</c:v>
                </c:pt>
                <c:pt idx="28">
                  <c:v>44294</c:v>
                </c:pt>
                <c:pt idx="29">
                  <c:v>44293</c:v>
                </c:pt>
                <c:pt idx="30">
                  <c:v>44292</c:v>
                </c:pt>
                <c:pt idx="31">
                  <c:v>44287</c:v>
                </c:pt>
                <c:pt idx="32">
                  <c:v>44286</c:v>
                </c:pt>
                <c:pt idx="33">
                  <c:v>44285</c:v>
                </c:pt>
                <c:pt idx="34">
                  <c:v>44284</c:v>
                </c:pt>
                <c:pt idx="35">
                  <c:v>44281</c:v>
                </c:pt>
                <c:pt idx="36">
                  <c:v>44280</c:v>
                </c:pt>
                <c:pt idx="37">
                  <c:v>44279</c:v>
                </c:pt>
                <c:pt idx="38">
                  <c:v>44278</c:v>
                </c:pt>
                <c:pt idx="39">
                  <c:v>44277</c:v>
                </c:pt>
                <c:pt idx="40">
                  <c:v>44274</c:v>
                </c:pt>
                <c:pt idx="41">
                  <c:v>44273</c:v>
                </c:pt>
                <c:pt idx="42">
                  <c:v>44272</c:v>
                </c:pt>
                <c:pt idx="43">
                  <c:v>44271</c:v>
                </c:pt>
                <c:pt idx="44">
                  <c:v>44270</c:v>
                </c:pt>
                <c:pt idx="45">
                  <c:v>44267</c:v>
                </c:pt>
                <c:pt idx="46">
                  <c:v>44266</c:v>
                </c:pt>
                <c:pt idx="47">
                  <c:v>44265</c:v>
                </c:pt>
                <c:pt idx="48">
                  <c:v>44264</c:v>
                </c:pt>
                <c:pt idx="49">
                  <c:v>44263</c:v>
                </c:pt>
                <c:pt idx="50">
                  <c:v>44260</c:v>
                </c:pt>
                <c:pt idx="51">
                  <c:v>44259</c:v>
                </c:pt>
                <c:pt idx="52">
                  <c:v>44258</c:v>
                </c:pt>
                <c:pt idx="53">
                  <c:v>44257</c:v>
                </c:pt>
                <c:pt idx="54">
                  <c:v>44256</c:v>
                </c:pt>
                <c:pt idx="55">
                  <c:v>44253</c:v>
                </c:pt>
                <c:pt idx="56">
                  <c:v>44252</c:v>
                </c:pt>
                <c:pt idx="57">
                  <c:v>44251</c:v>
                </c:pt>
                <c:pt idx="58">
                  <c:v>44250</c:v>
                </c:pt>
                <c:pt idx="59">
                  <c:v>44249</c:v>
                </c:pt>
                <c:pt idx="60">
                  <c:v>44246</c:v>
                </c:pt>
                <c:pt idx="61">
                  <c:v>44245</c:v>
                </c:pt>
                <c:pt idx="62">
                  <c:v>44244</c:v>
                </c:pt>
                <c:pt idx="63">
                  <c:v>44243</c:v>
                </c:pt>
                <c:pt idx="64">
                  <c:v>44242</c:v>
                </c:pt>
                <c:pt idx="65">
                  <c:v>44239</c:v>
                </c:pt>
                <c:pt idx="66">
                  <c:v>44238</c:v>
                </c:pt>
                <c:pt idx="67">
                  <c:v>44237</c:v>
                </c:pt>
                <c:pt idx="68">
                  <c:v>44236</c:v>
                </c:pt>
                <c:pt idx="69">
                  <c:v>44235</c:v>
                </c:pt>
                <c:pt idx="70">
                  <c:v>44232</c:v>
                </c:pt>
                <c:pt idx="71">
                  <c:v>44231</c:v>
                </c:pt>
                <c:pt idx="72">
                  <c:v>44230</c:v>
                </c:pt>
                <c:pt idx="73">
                  <c:v>44229</c:v>
                </c:pt>
                <c:pt idx="74">
                  <c:v>44228</c:v>
                </c:pt>
                <c:pt idx="75">
                  <c:v>44225</c:v>
                </c:pt>
                <c:pt idx="76">
                  <c:v>44224</c:v>
                </c:pt>
                <c:pt idx="77">
                  <c:v>44223</c:v>
                </c:pt>
                <c:pt idx="78">
                  <c:v>44222</c:v>
                </c:pt>
                <c:pt idx="79">
                  <c:v>44221</c:v>
                </c:pt>
                <c:pt idx="80">
                  <c:v>44218</c:v>
                </c:pt>
                <c:pt idx="81">
                  <c:v>44217</c:v>
                </c:pt>
                <c:pt idx="82">
                  <c:v>44216</c:v>
                </c:pt>
                <c:pt idx="83">
                  <c:v>44215</c:v>
                </c:pt>
                <c:pt idx="84">
                  <c:v>44214</c:v>
                </c:pt>
                <c:pt idx="85">
                  <c:v>44211</c:v>
                </c:pt>
                <c:pt idx="86">
                  <c:v>44210</c:v>
                </c:pt>
                <c:pt idx="87">
                  <c:v>44209</c:v>
                </c:pt>
                <c:pt idx="88">
                  <c:v>44208</c:v>
                </c:pt>
                <c:pt idx="89">
                  <c:v>44207</c:v>
                </c:pt>
                <c:pt idx="90">
                  <c:v>44204</c:v>
                </c:pt>
                <c:pt idx="91">
                  <c:v>44203</c:v>
                </c:pt>
                <c:pt idx="92">
                  <c:v>44202</c:v>
                </c:pt>
                <c:pt idx="93">
                  <c:v>44201</c:v>
                </c:pt>
                <c:pt idx="94">
                  <c:v>44200</c:v>
                </c:pt>
                <c:pt idx="95">
                  <c:v>44196</c:v>
                </c:pt>
                <c:pt idx="96">
                  <c:v>44195</c:v>
                </c:pt>
                <c:pt idx="97">
                  <c:v>44194</c:v>
                </c:pt>
                <c:pt idx="98">
                  <c:v>44189</c:v>
                </c:pt>
                <c:pt idx="99">
                  <c:v>44188</c:v>
                </c:pt>
                <c:pt idx="100">
                  <c:v>44187</c:v>
                </c:pt>
                <c:pt idx="101">
                  <c:v>44186</c:v>
                </c:pt>
                <c:pt idx="102">
                  <c:v>44183</c:v>
                </c:pt>
                <c:pt idx="103">
                  <c:v>44182</c:v>
                </c:pt>
                <c:pt idx="104">
                  <c:v>44181</c:v>
                </c:pt>
                <c:pt idx="105">
                  <c:v>44180</c:v>
                </c:pt>
                <c:pt idx="106">
                  <c:v>44179</c:v>
                </c:pt>
                <c:pt idx="107">
                  <c:v>44176</c:v>
                </c:pt>
                <c:pt idx="108">
                  <c:v>44175</c:v>
                </c:pt>
                <c:pt idx="109">
                  <c:v>44174</c:v>
                </c:pt>
                <c:pt idx="110">
                  <c:v>44173</c:v>
                </c:pt>
                <c:pt idx="111">
                  <c:v>44172</c:v>
                </c:pt>
                <c:pt idx="112">
                  <c:v>44169</c:v>
                </c:pt>
                <c:pt idx="113">
                  <c:v>44168</c:v>
                </c:pt>
                <c:pt idx="114">
                  <c:v>44167</c:v>
                </c:pt>
                <c:pt idx="115">
                  <c:v>44166</c:v>
                </c:pt>
                <c:pt idx="116">
                  <c:v>44165</c:v>
                </c:pt>
                <c:pt idx="117">
                  <c:v>44162</c:v>
                </c:pt>
                <c:pt idx="118">
                  <c:v>44161</c:v>
                </c:pt>
                <c:pt idx="119">
                  <c:v>44160</c:v>
                </c:pt>
                <c:pt idx="120">
                  <c:v>44159</c:v>
                </c:pt>
                <c:pt idx="121">
                  <c:v>44158</c:v>
                </c:pt>
                <c:pt idx="122">
                  <c:v>44155</c:v>
                </c:pt>
                <c:pt idx="123">
                  <c:v>44154</c:v>
                </c:pt>
                <c:pt idx="124">
                  <c:v>44153</c:v>
                </c:pt>
                <c:pt idx="125">
                  <c:v>44152</c:v>
                </c:pt>
                <c:pt idx="126">
                  <c:v>44151</c:v>
                </c:pt>
                <c:pt idx="127">
                  <c:v>44148</c:v>
                </c:pt>
                <c:pt idx="128">
                  <c:v>44147</c:v>
                </c:pt>
                <c:pt idx="129">
                  <c:v>44146</c:v>
                </c:pt>
                <c:pt idx="130">
                  <c:v>44145</c:v>
                </c:pt>
                <c:pt idx="131">
                  <c:v>44144</c:v>
                </c:pt>
                <c:pt idx="132">
                  <c:v>44141</c:v>
                </c:pt>
                <c:pt idx="133">
                  <c:v>44140</c:v>
                </c:pt>
                <c:pt idx="134">
                  <c:v>44139</c:v>
                </c:pt>
                <c:pt idx="135">
                  <c:v>44138</c:v>
                </c:pt>
                <c:pt idx="136">
                  <c:v>44137</c:v>
                </c:pt>
                <c:pt idx="137">
                  <c:v>44134</c:v>
                </c:pt>
                <c:pt idx="138">
                  <c:v>44133</c:v>
                </c:pt>
                <c:pt idx="139">
                  <c:v>44132</c:v>
                </c:pt>
                <c:pt idx="140">
                  <c:v>44131</c:v>
                </c:pt>
                <c:pt idx="141">
                  <c:v>44130</c:v>
                </c:pt>
                <c:pt idx="142">
                  <c:v>44127</c:v>
                </c:pt>
                <c:pt idx="143">
                  <c:v>44126</c:v>
                </c:pt>
                <c:pt idx="144">
                  <c:v>44125</c:v>
                </c:pt>
                <c:pt idx="145">
                  <c:v>44124</c:v>
                </c:pt>
                <c:pt idx="146">
                  <c:v>44123</c:v>
                </c:pt>
                <c:pt idx="147">
                  <c:v>44120</c:v>
                </c:pt>
                <c:pt idx="148">
                  <c:v>44119</c:v>
                </c:pt>
                <c:pt idx="149">
                  <c:v>44118</c:v>
                </c:pt>
                <c:pt idx="150">
                  <c:v>44117</c:v>
                </c:pt>
                <c:pt idx="151">
                  <c:v>44116</c:v>
                </c:pt>
                <c:pt idx="152">
                  <c:v>44113</c:v>
                </c:pt>
                <c:pt idx="153">
                  <c:v>44112</c:v>
                </c:pt>
                <c:pt idx="154">
                  <c:v>44111</c:v>
                </c:pt>
                <c:pt idx="155">
                  <c:v>44110</c:v>
                </c:pt>
                <c:pt idx="156">
                  <c:v>44109</c:v>
                </c:pt>
                <c:pt idx="157">
                  <c:v>44106</c:v>
                </c:pt>
                <c:pt idx="158">
                  <c:v>44105</c:v>
                </c:pt>
                <c:pt idx="159">
                  <c:v>44104</c:v>
                </c:pt>
                <c:pt idx="160">
                  <c:v>44103</c:v>
                </c:pt>
                <c:pt idx="161">
                  <c:v>44102</c:v>
                </c:pt>
                <c:pt idx="162">
                  <c:v>44099</c:v>
                </c:pt>
                <c:pt idx="163">
                  <c:v>44098</c:v>
                </c:pt>
                <c:pt idx="164">
                  <c:v>44097</c:v>
                </c:pt>
                <c:pt idx="165">
                  <c:v>44096</c:v>
                </c:pt>
                <c:pt idx="166">
                  <c:v>44095</c:v>
                </c:pt>
                <c:pt idx="167">
                  <c:v>44092</c:v>
                </c:pt>
                <c:pt idx="168">
                  <c:v>44091</c:v>
                </c:pt>
                <c:pt idx="169">
                  <c:v>44090</c:v>
                </c:pt>
                <c:pt idx="170">
                  <c:v>44089</c:v>
                </c:pt>
                <c:pt idx="171">
                  <c:v>44088</c:v>
                </c:pt>
                <c:pt idx="172">
                  <c:v>44085</c:v>
                </c:pt>
                <c:pt idx="173">
                  <c:v>44084</c:v>
                </c:pt>
                <c:pt idx="174">
                  <c:v>44083</c:v>
                </c:pt>
                <c:pt idx="175">
                  <c:v>44082</c:v>
                </c:pt>
                <c:pt idx="176">
                  <c:v>44081</c:v>
                </c:pt>
                <c:pt idx="177">
                  <c:v>44078</c:v>
                </c:pt>
                <c:pt idx="178">
                  <c:v>44077</c:v>
                </c:pt>
                <c:pt idx="179">
                  <c:v>44076</c:v>
                </c:pt>
                <c:pt idx="180">
                  <c:v>44075</c:v>
                </c:pt>
                <c:pt idx="181">
                  <c:v>44071</c:v>
                </c:pt>
                <c:pt idx="182">
                  <c:v>44070</c:v>
                </c:pt>
                <c:pt idx="183">
                  <c:v>44069</c:v>
                </c:pt>
                <c:pt idx="184">
                  <c:v>44068</c:v>
                </c:pt>
                <c:pt idx="185">
                  <c:v>44067</c:v>
                </c:pt>
                <c:pt idx="186">
                  <c:v>44064</c:v>
                </c:pt>
                <c:pt idx="187">
                  <c:v>44063</c:v>
                </c:pt>
                <c:pt idx="188">
                  <c:v>44062</c:v>
                </c:pt>
                <c:pt idx="189">
                  <c:v>44061</c:v>
                </c:pt>
                <c:pt idx="190">
                  <c:v>44060</c:v>
                </c:pt>
                <c:pt idx="191">
                  <c:v>44057</c:v>
                </c:pt>
                <c:pt idx="192">
                  <c:v>44056</c:v>
                </c:pt>
                <c:pt idx="193">
                  <c:v>44055</c:v>
                </c:pt>
                <c:pt idx="194">
                  <c:v>44054</c:v>
                </c:pt>
                <c:pt idx="195">
                  <c:v>44053</c:v>
                </c:pt>
                <c:pt idx="196">
                  <c:v>44050</c:v>
                </c:pt>
                <c:pt idx="197">
                  <c:v>44049</c:v>
                </c:pt>
                <c:pt idx="198">
                  <c:v>44048</c:v>
                </c:pt>
                <c:pt idx="199">
                  <c:v>44047</c:v>
                </c:pt>
                <c:pt idx="200">
                  <c:v>44046</c:v>
                </c:pt>
                <c:pt idx="201">
                  <c:v>44043</c:v>
                </c:pt>
                <c:pt idx="202">
                  <c:v>44042</c:v>
                </c:pt>
                <c:pt idx="203">
                  <c:v>44041</c:v>
                </c:pt>
                <c:pt idx="204">
                  <c:v>44040</c:v>
                </c:pt>
                <c:pt idx="205">
                  <c:v>44039</c:v>
                </c:pt>
                <c:pt idx="206">
                  <c:v>44036</c:v>
                </c:pt>
                <c:pt idx="207">
                  <c:v>44035</c:v>
                </c:pt>
                <c:pt idx="208">
                  <c:v>44034</c:v>
                </c:pt>
                <c:pt idx="209">
                  <c:v>44033</c:v>
                </c:pt>
                <c:pt idx="210">
                  <c:v>44032</c:v>
                </c:pt>
                <c:pt idx="211">
                  <c:v>44029</c:v>
                </c:pt>
                <c:pt idx="212">
                  <c:v>44028</c:v>
                </c:pt>
                <c:pt idx="213">
                  <c:v>44027</c:v>
                </c:pt>
                <c:pt idx="214">
                  <c:v>44026</c:v>
                </c:pt>
                <c:pt idx="215">
                  <c:v>44025</c:v>
                </c:pt>
                <c:pt idx="216">
                  <c:v>44022</c:v>
                </c:pt>
                <c:pt idx="217">
                  <c:v>44021</c:v>
                </c:pt>
                <c:pt idx="218">
                  <c:v>44020</c:v>
                </c:pt>
                <c:pt idx="219">
                  <c:v>44019</c:v>
                </c:pt>
                <c:pt idx="220">
                  <c:v>44018</c:v>
                </c:pt>
                <c:pt idx="221">
                  <c:v>44015</c:v>
                </c:pt>
                <c:pt idx="222">
                  <c:v>44014</c:v>
                </c:pt>
                <c:pt idx="223">
                  <c:v>44013</c:v>
                </c:pt>
                <c:pt idx="224">
                  <c:v>44012</c:v>
                </c:pt>
                <c:pt idx="225">
                  <c:v>44011</c:v>
                </c:pt>
                <c:pt idx="226">
                  <c:v>44008</c:v>
                </c:pt>
                <c:pt idx="227">
                  <c:v>44007</c:v>
                </c:pt>
                <c:pt idx="228">
                  <c:v>44006</c:v>
                </c:pt>
                <c:pt idx="229">
                  <c:v>44005</c:v>
                </c:pt>
                <c:pt idx="230">
                  <c:v>44004</c:v>
                </c:pt>
                <c:pt idx="231">
                  <c:v>44001</c:v>
                </c:pt>
                <c:pt idx="232">
                  <c:v>44000</c:v>
                </c:pt>
                <c:pt idx="233">
                  <c:v>43999</c:v>
                </c:pt>
                <c:pt idx="234">
                  <c:v>43998</c:v>
                </c:pt>
                <c:pt idx="235">
                  <c:v>43997</c:v>
                </c:pt>
                <c:pt idx="236">
                  <c:v>43994</c:v>
                </c:pt>
                <c:pt idx="237">
                  <c:v>43993</c:v>
                </c:pt>
                <c:pt idx="238">
                  <c:v>43992</c:v>
                </c:pt>
                <c:pt idx="239">
                  <c:v>43991</c:v>
                </c:pt>
                <c:pt idx="240">
                  <c:v>43990</c:v>
                </c:pt>
                <c:pt idx="241">
                  <c:v>43987</c:v>
                </c:pt>
                <c:pt idx="242">
                  <c:v>43986</c:v>
                </c:pt>
                <c:pt idx="243">
                  <c:v>43985</c:v>
                </c:pt>
                <c:pt idx="244">
                  <c:v>43984</c:v>
                </c:pt>
                <c:pt idx="245">
                  <c:v>43983</c:v>
                </c:pt>
                <c:pt idx="246">
                  <c:v>43980</c:v>
                </c:pt>
                <c:pt idx="247">
                  <c:v>43979</c:v>
                </c:pt>
                <c:pt idx="248">
                  <c:v>43978</c:v>
                </c:pt>
                <c:pt idx="249">
                  <c:v>43977</c:v>
                </c:pt>
                <c:pt idx="250">
                  <c:v>43973</c:v>
                </c:pt>
                <c:pt idx="251">
                  <c:v>43972</c:v>
                </c:pt>
                <c:pt idx="252">
                  <c:v>43971</c:v>
                </c:pt>
                <c:pt idx="253">
                  <c:v>43970</c:v>
                </c:pt>
                <c:pt idx="254">
                  <c:v>43969</c:v>
                </c:pt>
                <c:pt idx="255">
                  <c:v>43966</c:v>
                </c:pt>
                <c:pt idx="256">
                  <c:v>43965</c:v>
                </c:pt>
                <c:pt idx="257">
                  <c:v>43964</c:v>
                </c:pt>
                <c:pt idx="258">
                  <c:v>43963</c:v>
                </c:pt>
                <c:pt idx="259">
                  <c:v>43962</c:v>
                </c:pt>
                <c:pt idx="260">
                  <c:v>43958</c:v>
                </c:pt>
                <c:pt idx="261">
                  <c:v>43957</c:v>
                </c:pt>
                <c:pt idx="262">
                  <c:v>43956</c:v>
                </c:pt>
                <c:pt idx="263">
                  <c:v>43955</c:v>
                </c:pt>
                <c:pt idx="264">
                  <c:v>43952</c:v>
                </c:pt>
                <c:pt idx="265">
                  <c:v>43951</c:v>
                </c:pt>
                <c:pt idx="266">
                  <c:v>43950</c:v>
                </c:pt>
                <c:pt idx="267">
                  <c:v>43949</c:v>
                </c:pt>
                <c:pt idx="268">
                  <c:v>43948</c:v>
                </c:pt>
                <c:pt idx="269">
                  <c:v>43945</c:v>
                </c:pt>
                <c:pt idx="270">
                  <c:v>43944</c:v>
                </c:pt>
                <c:pt idx="271">
                  <c:v>43943</c:v>
                </c:pt>
                <c:pt idx="272">
                  <c:v>43942</c:v>
                </c:pt>
                <c:pt idx="273">
                  <c:v>43941</c:v>
                </c:pt>
                <c:pt idx="274">
                  <c:v>43938</c:v>
                </c:pt>
                <c:pt idx="275">
                  <c:v>43937</c:v>
                </c:pt>
                <c:pt idx="276">
                  <c:v>43936</c:v>
                </c:pt>
                <c:pt idx="277">
                  <c:v>43935</c:v>
                </c:pt>
                <c:pt idx="278">
                  <c:v>43930</c:v>
                </c:pt>
                <c:pt idx="279">
                  <c:v>43929</c:v>
                </c:pt>
                <c:pt idx="280">
                  <c:v>43928</c:v>
                </c:pt>
                <c:pt idx="281">
                  <c:v>43927</c:v>
                </c:pt>
                <c:pt idx="282">
                  <c:v>43924</c:v>
                </c:pt>
                <c:pt idx="283">
                  <c:v>43923</c:v>
                </c:pt>
                <c:pt idx="284">
                  <c:v>43922</c:v>
                </c:pt>
                <c:pt idx="285">
                  <c:v>43921</c:v>
                </c:pt>
                <c:pt idx="286">
                  <c:v>43920</c:v>
                </c:pt>
                <c:pt idx="287">
                  <c:v>43917</c:v>
                </c:pt>
                <c:pt idx="288">
                  <c:v>43916</c:v>
                </c:pt>
                <c:pt idx="289">
                  <c:v>43915</c:v>
                </c:pt>
                <c:pt idx="290">
                  <c:v>43914</c:v>
                </c:pt>
                <c:pt idx="291">
                  <c:v>43913</c:v>
                </c:pt>
                <c:pt idx="292">
                  <c:v>43910</c:v>
                </c:pt>
                <c:pt idx="293">
                  <c:v>43909</c:v>
                </c:pt>
                <c:pt idx="294">
                  <c:v>43908</c:v>
                </c:pt>
                <c:pt idx="295">
                  <c:v>43907</c:v>
                </c:pt>
                <c:pt idx="296">
                  <c:v>43906</c:v>
                </c:pt>
                <c:pt idx="297">
                  <c:v>43903</c:v>
                </c:pt>
                <c:pt idx="298">
                  <c:v>43902</c:v>
                </c:pt>
                <c:pt idx="299">
                  <c:v>43901</c:v>
                </c:pt>
                <c:pt idx="300">
                  <c:v>43900</c:v>
                </c:pt>
                <c:pt idx="301">
                  <c:v>43899</c:v>
                </c:pt>
                <c:pt idx="302">
                  <c:v>43896</c:v>
                </c:pt>
                <c:pt idx="303">
                  <c:v>43895</c:v>
                </c:pt>
                <c:pt idx="304">
                  <c:v>43894</c:v>
                </c:pt>
                <c:pt idx="305">
                  <c:v>43893</c:v>
                </c:pt>
                <c:pt idx="306">
                  <c:v>43892</c:v>
                </c:pt>
                <c:pt idx="307">
                  <c:v>43889</c:v>
                </c:pt>
                <c:pt idx="308">
                  <c:v>43888</c:v>
                </c:pt>
                <c:pt idx="309">
                  <c:v>43887</c:v>
                </c:pt>
                <c:pt idx="310">
                  <c:v>43886</c:v>
                </c:pt>
                <c:pt idx="311">
                  <c:v>43885</c:v>
                </c:pt>
                <c:pt idx="312">
                  <c:v>43882</c:v>
                </c:pt>
                <c:pt idx="313">
                  <c:v>43881</c:v>
                </c:pt>
                <c:pt idx="314">
                  <c:v>43880</c:v>
                </c:pt>
                <c:pt idx="315">
                  <c:v>43879</c:v>
                </c:pt>
                <c:pt idx="316">
                  <c:v>43878</c:v>
                </c:pt>
                <c:pt idx="317">
                  <c:v>43875</c:v>
                </c:pt>
                <c:pt idx="318">
                  <c:v>43874</c:v>
                </c:pt>
                <c:pt idx="319">
                  <c:v>43873</c:v>
                </c:pt>
                <c:pt idx="320">
                  <c:v>43872</c:v>
                </c:pt>
                <c:pt idx="321">
                  <c:v>43871</c:v>
                </c:pt>
                <c:pt idx="322">
                  <c:v>43868</c:v>
                </c:pt>
                <c:pt idx="323">
                  <c:v>43867</c:v>
                </c:pt>
                <c:pt idx="324">
                  <c:v>43866</c:v>
                </c:pt>
                <c:pt idx="325">
                  <c:v>43865</c:v>
                </c:pt>
                <c:pt idx="326">
                  <c:v>43864</c:v>
                </c:pt>
                <c:pt idx="327">
                  <c:v>43861</c:v>
                </c:pt>
                <c:pt idx="328">
                  <c:v>43860</c:v>
                </c:pt>
                <c:pt idx="329">
                  <c:v>43859</c:v>
                </c:pt>
                <c:pt idx="330">
                  <c:v>43858</c:v>
                </c:pt>
                <c:pt idx="331">
                  <c:v>43857</c:v>
                </c:pt>
                <c:pt idx="332">
                  <c:v>43854</c:v>
                </c:pt>
                <c:pt idx="333">
                  <c:v>43853</c:v>
                </c:pt>
                <c:pt idx="334">
                  <c:v>43852</c:v>
                </c:pt>
                <c:pt idx="335">
                  <c:v>43851</c:v>
                </c:pt>
                <c:pt idx="336">
                  <c:v>43850</c:v>
                </c:pt>
                <c:pt idx="337">
                  <c:v>43847</c:v>
                </c:pt>
                <c:pt idx="338">
                  <c:v>43846</c:v>
                </c:pt>
                <c:pt idx="339">
                  <c:v>43845</c:v>
                </c:pt>
                <c:pt idx="340">
                  <c:v>43844</c:v>
                </c:pt>
                <c:pt idx="341">
                  <c:v>43843</c:v>
                </c:pt>
                <c:pt idx="342">
                  <c:v>43840</c:v>
                </c:pt>
                <c:pt idx="343">
                  <c:v>43839</c:v>
                </c:pt>
                <c:pt idx="344">
                  <c:v>43838</c:v>
                </c:pt>
                <c:pt idx="345">
                  <c:v>43837</c:v>
                </c:pt>
                <c:pt idx="346">
                  <c:v>43836</c:v>
                </c:pt>
                <c:pt idx="347">
                  <c:v>43833</c:v>
                </c:pt>
                <c:pt idx="348">
                  <c:v>43832</c:v>
                </c:pt>
                <c:pt idx="349">
                  <c:v>43830</c:v>
                </c:pt>
              </c:numCache>
            </c:numRef>
          </c:cat>
          <c:val>
            <c:numRef>
              <c:f>px_hist!$H$4:$H$353</c:f>
              <c:numCache>
                <c:formatCode>General</c:formatCode>
                <c:ptCount val="350"/>
                <c:pt idx="0">
                  <c:v>2464</c:v>
                </c:pt>
                <c:pt idx="1">
                  <c:v>2500</c:v>
                </c:pt>
                <c:pt idx="2">
                  <c:v>2491</c:v>
                </c:pt>
                <c:pt idx="3">
                  <c:v>2510</c:v>
                </c:pt>
                <c:pt idx="4">
                  <c:v>2477</c:v>
                </c:pt>
                <c:pt idx="5">
                  <c:v>2462</c:v>
                </c:pt>
                <c:pt idx="6">
                  <c:v>2452</c:v>
                </c:pt>
                <c:pt idx="7">
                  <c:v>2498</c:v>
                </c:pt>
                <c:pt idx="8">
                  <c:v>2507</c:v>
                </c:pt>
                <c:pt idx="9">
                  <c:v>2493</c:v>
                </c:pt>
                <c:pt idx="10">
                  <c:v>2458</c:v>
                </c:pt>
                <c:pt idx="11">
                  <c:v>2458</c:v>
                </c:pt>
                <c:pt idx="12">
                  <c:v>2477</c:v>
                </c:pt>
                <c:pt idx="13">
                  <c:v>2419</c:v>
                </c:pt>
                <c:pt idx="14">
                  <c:v>2440</c:v>
                </c:pt>
                <c:pt idx="15">
                  <c:v>2430</c:v>
                </c:pt>
                <c:pt idx="16">
                  <c:v>2406</c:v>
                </c:pt>
                <c:pt idx="17">
                  <c:v>2438</c:v>
                </c:pt>
                <c:pt idx="18">
                  <c:v>2447</c:v>
                </c:pt>
                <c:pt idx="19">
                  <c:v>2432</c:v>
                </c:pt>
                <c:pt idx="20">
                  <c:v>2461</c:v>
                </c:pt>
                <c:pt idx="21">
                  <c:v>2460</c:v>
                </c:pt>
                <c:pt idx="22">
                  <c:v>2431</c:v>
                </c:pt>
                <c:pt idx="23">
                  <c:v>2442</c:v>
                </c:pt>
                <c:pt idx="24">
                  <c:v>2393</c:v>
                </c:pt>
                <c:pt idx="25">
                  <c:v>2393</c:v>
                </c:pt>
                <c:pt idx="26">
                  <c:v>2432</c:v>
                </c:pt>
                <c:pt idx="27">
                  <c:v>2406</c:v>
                </c:pt>
                <c:pt idx="28">
                  <c:v>2391</c:v>
                </c:pt>
                <c:pt idx="29">
                  <c:v>2360</c:v>
                </c:pt>
                <c:pt idx="30">
                  <c:v>2337</c:v>
                </c:pt>
                <c:pt idx="31">
                  <c:v>2307</c:v>
                </c:pt>
                <c:pt idx="32">
                  <c:v>2306</c:v>
                </c:pt>
                <c:pt idx="33">
                  <c:v>2294</c:v>
                </c:pt>
                <c:pt idx="34">
                  <c:v>2342</c:v>
                </c:pt>
                <c:pt idx="35">
                  <c:v>2299</c:v>
                </c:pt>
                <c:pt idx="36">
                  <c:v>2313</c:v>
                </c:pt>
                <c:pt idx="37">
                  <c:v>2281</c:v>
                </c:pt>
                <c:pt idx="38">
                  <c:v>2295</c:v>
                </c:pt>
                <c:pt idx="39">
                  <c:v>2234</c:v>
                </c:pt>
                <c:pt idx="40">
                  <c:v>2240</c:v>
                </c:pt>
                <c:pt idx="41">
                  <c:v>2222</c:v>
                </c:pt>
                <c:pt idx="42">
                  <c:v>2231</c:v>
                </c:pt>
                <c:pt idx="43">
                  <c:v>2298</c:v>
                </c:pt>
                <c:pt idx="44">
                  <c:v>2246</c:v>
                </c:pt>
                <c:pt idx="45">
                  <c:v>2244</c:v>
                </c:pt>
                <c:pt idx="46">
                  <c:v>2246</c:v>
                </c:pt>
                <c:pt idx="47">
                  <c:v>2240</c:v>
                </c:pt>
                <c:pt idx="48">
                  <c:v>2233</c:v>
                </c:pt>
                <c:pt idx="49">
                  <c:v>2204</c:v>
                </c:pt>
                <c:pt idx="50">
                  <c:v>2237</c:v>
                </c:pt>
                <c:pt idx="51">
                  <c:v>2209</c:v>
                </c:pt>
                <c:pt idx="52">
                  <c:v>2168</c:v>
                </c:pt>
                <c:pt idx="53">
                  <c:v>2223</c:v>
                </c:pt>
                <c:pt idx="54">
                  <c:v>2214</c:v>
                </c:pt>
                <c:pt idx="55">
                  <c:v>2190</c:v>
                </c:pt>
                <c:pt idx="56">
                  <c:v>2236</c:v>
                </c:pt>
                <c:pt idx="57">
                  <c:v>2223</c:v>
                </c:pt>
                <c:pt idx="58">
                  <c:v>2232</c:v>
                </c:pt>
                <c:pt idx="59">
                  <c:v>2199</c:v>
                </c:pt>
                <c:pt idx="60">
                  <c:v>2256</c:v>
                </c:pt>
                <c:pt idx="61">
                  <c:v>2274</c:v>
                </c:pt>
                <c:pt idx="62">
                  <c:v>2334</c:v>
                </c:pt>
                <c:pt idx="63">
                  <c:v>2327</c:v>
                </c:pt>
                <c:pt idx="64">
                  <c:v>2376</c:v>
                </c:pt>
                <c:pt idx="65">
                  <c:v>2348</c:v>
                </c:pt>
                <c:pt idx="66">
                  <c:v>2300</c:v>
                </c:pt>
                <c:pt idx="67">
                  <c:v>2297</c:v>
                </c:pt>
                <c:pt idx="68">
                  <c:v>2292</c:v>
                </c:pt>
                <c:pt idx="69">
                  <c:v>2269</c:v>
                </c:pt>
                <c:pt idx="70">
                  <c:v>2285</c:v>
                </c:pt>
                <c:pt idx="71">
                  <c:v>2324</c:v>
                </c:pt>
                <c:pt idx="72">
                  <c:v>2366</c:v>
                </c:pt>
                <c:pt idx="73">
                  <c:v>2362</c:v>
                </c:pt>
                <c:pt idx="74">
                  <c:v>2370</c:v>
                </c:pt>
                <c:pt idx="75">
                  <c:v>2312</c:v>
                </c:pt>
                <c:pt idx="76">
                  <c:v>2336</c:v>
                </c:pt>
                <c:pt idx="77">
                  <c:v>2368</c:v>
                </c:pt>
                <c:pt idx="78">
                  <c:v>2367</c:v>
                </c:pt>
                <c:pt idx="79">
                  <c:v>2391</c:v>
                </c:pt>
                <c:pt idx="80">
                  <c:v>2340</c:v>
                </c:pt>
                <c:pt idx="81">
                  <c:v>2329</c:v>
                </c:pt>
                <c:pt idx="82">
                  <c:v>2343</c:v>
                </c:pt>
                <c:pt idx="83">
                  <c:v>2330</c:v>
                </c:pt>
                <c:pt idx="84">
                  <c:v>2326</c:v>
                </c:pt>
                <c:pt idx="85">
                  <c:v>2343</c:v>
                </c:pt>
                <c:pt idx="86">
                  <c:v>2340</c:v>
                </c:pt>
                <c:pt idx="87">
                  <c:v>2350</c:v>
                </c:pt>
                <c:pt idx="88">
                  <c:v>2318</c:v>
                </c:pt>
                <c:pt idx="89">
                  <c:v>2340</c:v>
                </c:pt>
                <c:pt idx="90">
                  <c:v>2369</c:v>
                </c:pt>
                <c:pt idx="91">
                  <c:v>2358</c:v>
                </c:pt>
                <c:pt idx="92">
                  <c:v>2379</c:v>
                </c:pt>
                <c:pt idx="93">
                  <c:v>2316</c:v>
                </c:pt>
                <c:pt idx="94">
                  <c:v>2336</c:v>
                </c:pt>
                <c:pt idx="95">
                  <c:v>2289</c:v>
                </c:pt>
                <c:pt idx="96">
                  <c:v>2315</c:v>
                </c:pt>
                <c:pt idx="97">
                  <c:v>2356</c:v>
                </c:pt>
                <c:pt idx="98">
                  <c:v>2276</c:v>
                </c:pt>
                <c:pt idx="99">
                  <c:v>2297</c:v>
                </c:pt>
                <c:pt idx="100">
                  <c:v>2286</c:v>
                </c:pt>
                <c:pt idx="101">
                  <c:v>2292</c:v>
                </c:pt>
                <c:pt idx="102">
                  <c:v>2309</c:v>
                </c:pt>
                <c:pt idx="103">
                  <c:v>2344</c:v>
                </c:pt>
                <c:pt idx="104">
                  <c:v>2344</c:v>
                </c:pt>
                <c:pt idx="105">
                  <c:v>2308</c:v>
                </c:pt>
                <c:pt idx="106">
                  <c:v>2310</c:v>
                </c:pt>
                <c:pt idx="107">
                  <c:v>2284</c:v>
                </c:pt>
                <c:pt idx="108">
                  <c:v>2326</c:v>
                </c:pt>
                <c:pt idx="109">
                  <c:v>2350</c:v>
                </c:pt>
                <c:pt idx="110">
                  <c:v>2317</c:v>
                </c:pt>
                <c:pt idx="111">
                  <c:v>2308</c:v>
                </c:pt>
                <c:pt idx="112">
                  <c:v>2292</c:v>
                </c:pt>
                <c:pt idx="113">
                  <c:v>2357</c:v>
                </c:pt>
                <c:pt idx="114">
                  <c:v>2392</c:v>
                </c:pt>
                <c:pt idx="115">
                  <c:v>2361</c:v>
                </c:pt>
                <c:pt idx="116">
                  <c:v>2389</c:v>
                </c:pt>
                <c:pt idx="117">
                  <c:v>2388</c:v>
                </c:pt>
                <c:pt idx="118">
                  <c:v>2450</c:v>
                </c:pt>
                <c:pt idx="119">
                  <c:v>2456</c:v>
                </c:pt>
                <c:pt idx="120">
                  <c:v>2444</c:v>
                </c:pt>
                <c:pt idx="121">
                  <c:v>2440</c:v>
                </c:pt>
                <c:pt idx="122">
                  <c:v>2463</c:v>
                </c:pt>
                <c:pt idx="123">
                  <c:v>2452</c:v>
                </c:pt>
                <c:pt idx="124">
                  <c:v>2490</c:v>
                </c:pt>
                <c:pt idx="125">
                  <c:v>2490</c:v>
                </c:pt>
                <c:pt idx="126">
                  <c:v>2479</c:v>
                </c:pt>
                <c:pt idx="127">
                  <c:v>2501</c:v>
                </c:pt>
                <c:pt idx="128">
                  <c:v>2538</c:v>
                </c:pt>
                <c:pt idx="129">
                  <c:v>2559</c:v>
                </c:pt>
                <c:pt idx="130">
                  <c:v>2494</c:v>
                </c:pt>
                <c:pt idx="131">
                  <c:v>2458</c:v>
                </c:pt>
                <c:pt idx="132">
                  <c:v>2455</c:v>
                </c:pt>
                <c:pt idx="133">
                  <c:v>2473</c:v>
                </c:pt>
                <c:pt idx="134">
                  <c:v>2481</c:v>
                </c:pt>
                <c:pt idx="135">
                  <c:v>2466</c:v>
                </c:pt>
                <c:pt idx="136">
                  <c:v>2427</c:v>
                </c:pt>
                <c:pt idx="137">
                  <c:v>2430</c:v>
                </c:pt>
                <c:pt idx="138">
                  <c:v>2460</c:v>
                </c:pt>
                <c:pt idx="139">
                  <c:v>2488</c:v>
                </c:pt>
                <c:pt idx="140">
                  <c:v>2569</c:v>
                </c:pt>
                <c:pt idx="141">
                  <c:v>2543</c:v>
                </c:pt>
                <c:pt idx="142">
                  <c:v>2532</c:v>
                </c:pt>
                <c:pt idx="143">
                  <c:v>2501</c:v>
                </c:pt>
                <c:pt idx="144">
                  <c:v>2486</c:v>
                </c:pt>
                <c:pt idx="145">
                  <c:v>2490</c:v>
                </c:pt>
                <c:pt idx="146">
                  <c:v>2492</c:v>
                </c:pt>
                <c:pt idx="147">
                  <c:v>2512</c:v>
                </c:pt>
                <c:pt idx="148">
                  <c:v>2489</c:v>
                </c:pt>
                <c:pt idx="149">
                  <c:v>2508</c:v>
                </c:pt>
                <c:pt idx="150">
                  <c:v>2531</c:v>
                </c:pt>
                <c:pt idx="151">
                  <c:v>2528</c:v>
                </c:pt>
                <c:pt idx="152">
                  <c:v>2476</c:v>
                </c:pt>
                <c:pt idx="153">
                  <c:v>2487</c:v>
                </c:pt>
                <c:pt idx="154">
                  <c:v>2467</c:v>
                </c:pt>
                <c:pt idx="155">
                  <c:v>2481</c:v>
                </c:pt>
                <c:pt idx="156">
                  <c:v>2492</c:v>
                </c:pt>
                <c:pt idx="157">
                  <c:v>2526</c:v>
                </c:pt>
                <c:pt idx="158">
                  <c:v>2496</c:v>
                </c:pt>
                <c:pt idx="159">
                  <c:v>2439</c:v>
                </c:pt>
                <c:pt idx="160">
                  <c:v>2465</c:v>
                </c:pt>
                <c:pt idx="161">
                  <c:v>2466</c:v>
                </c:pt>
                <c:pt idx="162">
                  <c:v>2468</c:v>
                </c:pt>
                <c:pt idx="163">
                  <c:v>2445</c:v>
                </c:pt>
                <c:pt idx="164">
                  <c:v>2450</c:v>
                </c:pt>
                <c:pt idx="165">
                  <c:v>2396</c:v>
                </c:pt>
                <c:pt idx="166">
                  <c:v>2401</c:v>
                </c:pt>
                <c:pt idx="167">
                  <c:v>2457</c:v>
                </c:pt>
                <c:pt idx="168">
                  <c:v>2408</c:v>
                </c:pt>
                <c:pt idx="169">
                  <c:v>2429</c:v>
                </c:pt>
                <c:pt idx="170">
                  <c:v>2470</c:v>
                </c:pt>
                <c:pt idx="171">
                  <c:v>2416</c:v>
                </c:pt>
                <c:pt idx="172">
                  <c:v>2414</c:v>
                </c:pt>
                <c:pt idx="173">
                  <c:v>2404</c:v>
                </c:pt>
                <c:pt idx="174">
                  <c:v>2410</c:v>
                </c:pt>
                <c:pt idx="175">
                  <c:v>2407</c:v>
                </c:pt>
                <c:pt idx="176">
                  <c:v>2419</c:v>
                </c:pt>
                <c:pt idx="177">
                  <c:v>2360</c:v>
                </c:pt>
                <c:pt idx="178">
                  <c:v>2408</c:v>
                </c:pt>
                <c:pt idx="179">
                  <c:v>2409</c:v>
                </c:pt>
                <c:pt idx="180">
                  <c:v>2304</c:v>
                </c:pt>
                <c:pt idx="181">
                  <c:v>2332</c:v>
                </c:pt>
                <c:pt idx="182">
                  <c:v>2348</c:v>
                </c:pt>
                <c:pt idx="183">
                  <c:v>2356</c:v>
                </c:pt>
                <c:pt idx="184">
                  <c:v>2380</c:v>
                </c:pt>
                <c:pt idx="185">
                  <c:v>2433</c:v>
                </c:pt>
                <c:pt idx="186">
                  <c:v>2403</c:v>
                </c:pt>
                <c:pt idx="187">
                  <c:v>2411</c:v>
                </c:pt>
                <c:pt idx="188">
                  <c:v>2425</c:v>
                </c:pt>
                <c:pt idx="189">
                  <c:v>2435</c:v>
                </c:pt>
                <c:pt idx="190">
                  <c:v>2490</c:v>
                </c:pt>
                <c:pt idx="191">
                  <c:v>2508</c:v>
                </c:pt>
                <c:pt idx="192">
                  <c:v>2542</c:v>
                </c:pt>
                <c:pt idx="193">
                  <c:v>2589</c:v>
                </c:pt>
                <c:pt idx="194">
                  <c:v>2465</c:v>
                </c:pt>
                <c:pt idx="195">
                  <c:v>2480</c:v>
                </c:pt>
                <c:pt idx="196">
                  <c:v>2467</c:v>
                </c:pt>
                <c:pt idx="197">
                  <c:v>2449</c:v>
                </c:pt>
                <c:pt idx="198">
                  <c:v>2441</c:v>
                </c:pt>
                <c:pt idx="199">
                  <c:v>2456</c:v>
                </c:pt>
                <c:pt idx="200">
                  <c:v>2462</c:v>
                </c:pt>
                <c:pt idx="201">
                  <c:v>2450</c:v>
                </c:pt>
                <c:pt idx="202">
                  <c:v>2433</c:v>
                </c:pt>
                <c:pt idx="203">
                  <c:v>2505</c:v>
                </c:pt>
                <c:pt idx="204">
                  <c:v>2496</c:v>
                </c:pt>
                <c:pt idx="205">
                  <c:v>2428</c:v>
                </c:pt>
                <c:pt idx="206">
                  <c:v>2422</c:v>
                </c:pt>
                <c:pt idx="207">
                  <c:v>2411</c:v>
                </c:pt>
                <c:pt idx="208">
                  <c:v>2439</c:v>
                </c:pt>
                <c:pt idx="209">
                  <c:v>2425</c:v>
                </c:pt>
                <c:pt idx="210">
                  <c:v>2437</c:v>
                </c:pt>
                <c:pt idx="211">
                  <c:v>2426</c:v>
                </c:pt>
                <c:pt idx="212">
                  <c:v>2386</c:v>
                </c:pt>
                <c:pt idx="213">
                  <c:v>2396</c:v>
                </c:pt>
                <c:pt idx="214">
                  <c:v>2384</c:v>
                </c:pt>
                <c:pt idx="215">
                  <c:v>2416</c:v>
                </c:pt>
                <c:pt idx="216">
                  <c:v>2379</c:v>
                </c:pt>
                <c:pt idx="217">
                  <c:v>2361</c:v>
                </c:pt>
                <c:pt idx="218">
                  <c:v>2437</c:v>
                </c:pt>
                <c:pt idx="219">
                  <c:v>2428</c:v>
                </c:pt>
                <c:pt idx="220">
                  <c:v>2470</c:v>
                </c:pt>
                <c:pt idx="221">
                  <c:v>2454</c:v>
                </c:pt>
                <c:pt idx="222">
                  <c:v>2482</c:v>
                </c:pt>
                <c:pt idx="223">
                  <c:v>2478</c:v>
                </c:pt>
                <c:pt idx="224">
                  <c:v>2479</c:v>
                </c:pt>
                <c:pt idx="225">
                  <c:v>2484</c:v>
                </c:pt>
                <c:pt idx="226">
                  <c:v>2466</c:v>
                </c:pt>
                <c:pt idx="227">
                  <c:v>2472</c:v>
                </c:pt>
                <c:pt idx="228">
                  <c:v>2490</c:v>
                </c:pt>
                <c:pt idx="229">
                  <c:v>2512</c:v>
                </c:pt>
                <c:pt idx="230">
                  <c:v>2538</c:v>
                </c:pt>
                <c:pt idx="231">
                  <c:v>2568</c:v>
                </c:pt>
                <c:pt idx="232">
                  <c:v>2492</c:v>
                </c:pt>
                <c:pt idx="233">
                  <c:v>2475</c:v>
                </c:pt>
                <c:pt idx="234">
                  <c:v>2460</c:v>
                </c:pt>
                <c:pt idx="235">
                  <c:v>2407</c:v>
                </c:pt>
                <c:pt idx="236">
                  <c:v>2406</c:v>
                </c:pt>
                <c:pt idx="237">
                  <c:v>2379</c:v>
                </c:pt>
                <c:pt idx="238">
                  <c:v>2527</c:v>
                </c:pt>
                <c:pt idx="239">
                  <c:v>2521</c:v>
                </c:pt>
                <c:pt idx="240">
                  <c:v>2510</c:v>
                </c:pt>
                <c:pt idx="241">
                  <c:v>2479</c:v>
                </c:pt>
                <c:pt idx="242">
                  <c:v>2498</c:v>
                </c:pt>
                <c:pt idx="243">
                  <c:v>2544</c:v>
                </c:pt>
                <c:pt idx="244">
                  <c:v>2480</c:v>
                </c:pt>
                <c:pt idx="245">
                  <c:v>2481</c:v>
                </c:pt>
                <c:pt idx="246">
                  <c:v>2441</c:v>
                </c:pt>
                <c:pt idx="247">
                  <c:v>2432</c:v>
                </c:pt>
                <c:pt idx="248">
                  <c:v>2340</c:v>
                </c:pt>
                <c:pt idx="249">
                  <c:v>2338</c:v>
                </c:pt>
                <c:pt idx="250">
                  <c:v>2371</c:v>
                </c:pt>
                <c:pt idx="251">
                  <c:v>2468</c:v>
                </c:pt>
                <c:pt idx="252">
                  <c:v>2446</c:v>
                </c:pt>
                <c:pt idx="253">
                  <c:v>2404</c:v>
                </c:pt>
                <c:pt idx="254">
                  <c:v>2437</c:v>
                </c:pt>
                <c:pt idx="255">
                  <c:v>2396</c:v>
                </c:pt>
                <c:pt idx="256">
                  <c:v>2375</c:v>
                </c:pt>
                <c:pt idx="257">
                  <c:v>2500</c:v>
                </c:pt>
                <c:pt idx="258">
                  <c:v>2481</c:v>
                </c:pt>
                <c:pt idx="259">
                  <c:v>2436</c:v>
                </c:pt>
                <c:pt idx="260">
                  <c:v>2417</c:v>
                </c:pt>
                <c:pt idx="261">
                  <c:v>2419</c:v>
                </c:pt>
                <c:pt idx="262">
                  <c:v>2418</c:v>
                </c:pt>
                <c:pt idx="263">
                  <c:v>2373</c:v>
                </c:pt>
                <c:pt idx="264">
                  <c:v>2386</c:v>
                </c:pt>
                <c:pt idx="265">
                  <c:v>2390</c:v>
                </c:pt>
                <c:pt idx="266">
                  <c:v>2392</c:v>
                </c:pt>
                <c:pt idx="267">
                  <c:v>2374</c:v>
                </c:pt>
                <c:pt idx="268">
                  <c:v>2363</c:v>
                </c:pt>
                <c:pt idx="269">
                  <c:v>2371</c:v>
                </c:pt>
                <c:pt idx="270">
                  <c:v>2356</c:v>
                </c:pt>
                <c:pt idx="271">
                  <c:v>2376</c:v>
                </c:pt>
                <c:pt idx="272">
                  <c:v>2313</c:v>
                </c:pt>
                <c:pt idx="273">
                  <c:v>2324</c:v>
                </c:pt>
                <c:pt idx="274">
                  <c:v>2312</c:v>
                </c:pt>
                <c:pt idx="275">
                  <c:v>2346</c:v>
                </c:pt>
                <c:pt idx="276">
                  <c:v>2299</c:v>
                </c:pt>
                <c:pt idx="277">
                  <c:v>2277</c:v>
                </c:pt>
                <c:pt idx="278">
                  <c:v>2296</c:v>
                </c:pt>
                <c:pt idx="279">
                  <c:v>2195</c:v>
                </c:pt>
                <c:pt idx="280">
                  <c:v>2175</c:v>
                </c:pt>
                <c:pt idx="281">
                  <c:v>2207</c:v>
                </c:pt>
                <c:pt idx="282">
                  <c:v>2149</c:v>
                </c:pt>
                <c:pt idx="283">
                  <c:v>2173</c:v>
                </c:pt>
                <c:pt idx="284">
                  <c:v>2212</c:v>
                </c:pt>
                <c:pt idx="285">
                  <c:v>2280</c:v>
                </c:pt>
                <c:pt idx="286">
                  <c:v>2331</c:v>
                </c:pt>
                <c:pt idx="287">
                  <c:v>2232</c:v>
                </c:pt>
                <c:pt idx="288">
                  <c:v>2261</c:v>
                </c:pt>
                <c:pt idx="289">
                  <c:v>2150</c:v>
                </c:pt>
                <c:pt idx="290">
                  <c:v>2085</c:v>
                </c:pt>
                <c:pt idx="291">
                  <c:v>2034</c:v>
                </c:pt>
                <c:pt idx="292">
                  <c:v>2241</c:v>
                </c:pt>
                <c:pt idx="293">
                  <c:v>2398</c:v>
                </c:pt>
                <c:pt idx="294">
                  <c:v>2489</c:v>
                </c:pt>
                <c:pt idx="295">
                  <c:v>2438</c:v>
                </c:pt>
                <c:pt idx="296">
                  <c:v>2263</c:v>
                </c:pt>
                <c:pt idx="297">
                  <c:v>2273</c:v>
                </c:pt>
                <c:pt idx="298">
                  <c:v>2195</c:v>
                </c:pt>
                <c:pt idx="299">
                  <c:v>2354</c:v>
                </c:pt>
                <c:pt idx="300">
                  <c:v>2399</c:v>
                </c:pt>
                <c:pt idx="301">
                  <c:v>2439</c:v>
                </c:pt>
                <c:pt idx="302">
                  <c:v>2567</c:v>
                </c:pt>
                <c:pt idx="303">
                  <c:v>2666</c:v>
                </c:pt>
                <c:pt idx="304">
                  <c:v>2656</c:v>
                </c:pt>
                <c:pt idx="305">
                  <c:v>2594</c:v>
                </c:pt>
                <c:pt idx="306">
                  <c:v>2547</c:v>
                </c:pt>
                <c:pt idx="307">
                  <c:v>2465</c:v>
                </c:pt>
                <c:pt idx="308">
                  <c:v>2561</c:v>
                </c:pt>
                <c:pt idx="309">
                  <c:v>2589</c:v>
                </c:pt>
                <c:pt idx="310">
                  <c:v>2578</c:v>
                </c:pt>
                <c:pt idx="311">
                  <c:v>2656</c:v>
                </c:pt>
                <c:pt idx="312">
                  <c:v>2694</c:v>
                </c:pt>
                <c:pt idx="313">
                  <c:v>2683</c:v>
                </c:pt>
                <c:pt idx="314">
                  <c:v>2696</c:v>
                </c:pt>
                <c:pt idx="315">
                  <c:v>2650</c:v>
                </c:pt>
                <c:pt idx="316">
                  <c:v>2616</c:v>
                </c:pt>
                <c:pt idx="317">
                  <c:v>2609</c:v>
                </c:pt>
                <c:pt idx="318">
                  <c:v>2575</c:v>
                </c:pt>
                <c:pt idx="319">
                  <c:v>2591</c:v>
                </c:pt>
                <c:pt idx="320">
                  <c:v>2614</c:v>
                </c:pt>
                <c:pt idx="321">
                  <c:v>2560</c:v>
                </c:pt>
                <c:pt idx="322">
                  <c:v>2559</c:v>
                </c:pt>
                <c:pt idx="323">
                  <c:v>2572</c:v>
                </c:pt>
                <c:pt idx="324">
                  <c:v>2576</c:v>
                </c:pt>
                <c:pt idx="325">
                  <c:v>2565</c:v>
                </c:pt>
                <c:pt idx="326">
                  <c:v>2594</c:v>
                </c:pt>
                <c:pt idx="327">
                  <c:v>2579</c:v>
                </c:pt>
                <c:pt idx="328">
                  <c:v>2595</c:v>
                </c:pt>
                <c:pt idx="329">
                  <c:v>2589</c:v>
                </c:pt>
                <c:pt idx="330">
                  <c:v>2584</c:v>
                </c:pt>
                <c:pt idx="331">
                  <c:v>2581</c:v>
                </c:pt>
                <c:pt idx="332">
                  <c:v>2618</c:v>
                </c:pt>
                <c:pt idx="333">
                  <c:v>2561</c:v>
                </c:pt>
                <c:pt idx="334">
                  <c:v>2564</c:v>
                </c:pt>
                <c:pt idx="335">
                  <c:v>2562</c:v>
                </c:pt>
                <c:pt idx="336">
                  <c:v>2579</c:v>
                </c:pt>
                <c:pt idx="337">
                  <c:v>2583</c:v>
                </c:pt>
                <c:pt idx="338">
                  <c:v>2564</c:v>
                </c:pt>
                <c:pt idx="339">
                  <c:v>2546</c:v>
                </c:pt>
                <c:pt idx="340">
                  <c:v>2521</c:v>
                </c:pt>
                <c:pt idx="341">
                  <c:v>2518</c:v>
                </c:pt>
                <c:pt idx="342">
                  <c:v>2459</c:v>
                </c:pt>
                <c:pt idx="343">
                  <c:v>2482</c:v>
                </c:pt>
                <c:pt idx="344">
                  <c:v>2471</c:v>
                </c:pt>
                <c:pt idx="345">
                  <c:v>2474</c:v>
                </c:pt>
                <c:pt idx="346">
                  <c:v>2498</c:v>
                </c:pt>
                <c:pt idx="347">
                  <c:v>2516</c:v>
                </c:pt>
                <c:pt idx="348">
                  <c:v>2515</c:v>
                </c:pt>
                <c:pt idx="349">
                  <c:v>2515</c:v>
                </c:pt>
              </c:numCache>
            </c:numRef>
          </c:val>
          <c:smooth val="0"/>
          <c:extLst>
            <c:ext xmlns:c16="http://schemas.microsoft.com/office/drawing/2014/chart" uri="{C3380CC4-5D6E-409C-BE32-E72D297353CC}">
              <c16:uniqueId val="{00000000-5A4C-4E5B-BA2A-66CA94F725A7}"/>
            </c:ext>
          </c:extLst>
        </c:ser>
        <c:dLbls>
          <c:showLegendKey val="0"/>
          <c:showVal val="0"/>
          <c:showCatName val="0"/>
          <c:showSerName val="0"/>
          <c:showPercent val="0"/>
          <c:showBubbleSize val="0"/>
        </c:dLbls>
        <c:smooth val="0"/>
        <c:axId val="616849080"/>
        <c:axId val="470249608"/>
      </c:lineChart>
      <c:dateAx>
        <c:axId val="616849080"/>
        <c:scaling>
          <c:orientation val="minMax"/>
        </c:scaling>
        <c:delete val="0"/>
        <c:axPos val="b"/>
        <c:numFmt formatCode="[$-409]mmm\-yy;@" sourceLinked="0"/>
        <c:majorTickMark val="none"/>
        <c:minorTickMark val="none"/>
        <c:tickLblPos val="nextTo"/>
        <c:spPr>
          <a:noFill/>
          <a:ln w="9525" cap="flat" cmpd="sng" algn="ctr">
            <a:no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470249608"/>
        <c:crosses val="autoZero"/>
        <c:auto val="1"/>
        <c:lblOffset val="100"/>
        <c:baseTimeUnit val="days"/>
        <c:majorUnit val="3"/>
        <c:majorTimeUnit val="months"/>
      </c:dateAx>
      <c:valAx>
        <c:axId val="470249608"/>
        <c:scaling>
          <c:orientation val="minMax"/>
          <c:min val="2000"/>
        </c:scaling>
        <c:delete val="0"/>
        <c:axPos val="l"/>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616849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Roboto Condensed" panose="02000000000000000000" pitchFamily="2" charset="0"/>
          <a:ea typeface="Roboto Condensed" panose="02000000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755782884071246E-2"/>
          <c:y val="5.0925925925925923E-2"/>
          <c:w val="0.97175713887388948"/>
          <c:h val="0.64728419364246137"/>
        </c:manualLayout>
      </c:layout>
      <c:barChart>
        <c:barDir val="col"/>
        <c:grouping val="clustered"/>
        <c:varyColors val="0"/>
        <c:ser>
          <c:idx val="0"/>
          <c:order val="0"/>
          <c:tx>
            <c:strRef>
              <c:f>px_hist!$R$2</c:f>
              <c:strCache>
                <c:ptCount val="1"/>
                <c:pt idx="0">
                  <c:v>SVT LN Equity</c:v>
                </c:pt>
              </c:strCache>
            </c:strRef>
          </c:tx>
          <c:spPr>
            <a:solidFill>
              <a:srgbClr val="002060"/>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px_hist!$R$20:$R$30</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px_hist!$T$5:$T$15</c:f>
              <c:numCache>
                <c:formatCode>General</c:formatCode>
                <c:ptCount val="11"/>
                <c:pt idx="0">
                  <c:v>71.650000000000006</c:v>
                </c:pt>
                <c:pt idx="1">
                  <c:v>67.09</c:v>
                </c:pt>
                <c:pt idx="2">
                  <c:v>72.399999999999991</c:v>
                </c:pt>
                <c:pt idx="3">
                  <c:v>77.669999999999987</c:v>
                </c:pt>
                <c:pt idx="4">
                  <c:v>82.2</c:v>
                </c:pt>
                <c:pt idx="5">
                  <c:v>83.2</c:v>
                </c:pt>
                <c:pt idx="6">
                  <c:v>81</c:v>
                </c:pt>
                <c:pt idx="7">
                  <c:v>83.530000000000015</c:v>
                </c:pt>
                <c:pt idx="8">
                  <c:v>89.27000000000001</c:v>
                </c:pt>
                <c:pt idx="9">
                  <c:v>96.05</c:v>
                </c:pt>
                <c:pt idx="10">
                  <c:v>100.68</c:v>
                </c:pt>
              </c:numCache>
            </c:numRef>
          </c:val>
          <c:extLst>
            <c:ext xmlns:c16="http://schemas.microsoft.com/office/drawing/2014/chart" uri="{C3380CC4-5D6E-409C-BE32-E72D297353CC}">
              <c16:uniqueId val="{00000000-A2E6-4F89-9C17-16867DA27ACB}"/>
            </c:ext>
          </c:extLst>
        </c:ser>
        <c:ser>
          <c:idx val="1"/>
          <c:order val="1"/>
          <c:tx>
            <c:strRef>
              <c:f>px_hist!$R$17</c:f>
              <c:strCache>
                <c:ptCount val="1"/>
                <c:pt idx="0">
                  <c:v>UU/ LN Equity</c:v>
                </c:pt>
              </c:strCache>
            </c:strRef>
          </c:tx>
          <c:spPr>
            <a:solidFill>
              <a:schemeClr val="accent2"/>
            </a:solidFill>
            <a:ln>
              <a:noFill/>
            </a:ln>
            <a:effectLst/>
          </c:spPr>
          <c:invertIfNegative val="0"/>
          <c:cat>
            <c:numRef>
              <c:f>px_hist!$R$20:$R$30</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px_hist!$T$20:$T$30</c:f>
              <c:numCache>
                <c:formatCode>General</c:formatCode>
                <c:ptCount val="11"/>
                <c:pt idx="0">
                  <c:v>33.130000000000003</c:v>
                </c:pt>
                <c:pt idx="1">
                  <c:v>30.67</c:v>
                </c:pt>
                <c:pt idx="2">
                  <c:v>32.78</c:v>
                </c:pt>
                <c:pt idx="3">
                  <c:v>34.89</c:v>
                </c:pt>
                <c:pt idx="4">
                  <c:v>36.590000000000003</c:v>
                </c:pt>
                <c:pt idx="5">
                  <c:v>37.950000000000003</c:v>
                </c:pt>
                <c:pt idx="6">
                  <c:v>38.590000000000003</c:v>
                </c:pt>
                <c:pt idx="7">
                  <c:v>39.159999999999997</c:v>
                </c:pt>
                <c:pt idx="8">
                  <c:v>40.25</c:v>
                </c:pt>
                <c:pt idx="9">
                  <c:v>41.72</c:v>
                </c:pt>
                <c:pt idx="10">
                  <c:v>42.809999999999995</c:v>
                </c:pt>
              </c:numCache>
            </c:numRef>
          </c:val>
          <c:extLst>
            <c:ext xmlns:c16="http://schemas.microsoft.com/office/drawing/2014/chart" uri="{C3380CC4-5D6E-409C-BE32-E72D297353CC}">
              <c16:uniqueId val="{00000002-A2E6-4F89-9C17-16867DA27ACB}"/>
            </c:ext>
          </c:extLst>
        </c:ser>
        <c:dLbls>
          <c:showLegendKey val="0"/>
          <c:showVal val="0"/>
          <c:showCatName val="0"/>
          <c:showSerName val="0"/>
          <c:showPercent val="0"/>
          <c:showBubbleSize val="0"/>
        </c:dLbls>
        <c:gapWidth val="50"/>
        <c:overlap val="100"/>
        <c:axId val="743138400"/>
        <c:axId val="743139384"/>
      </c:barChart>
      <c:catAx>
        <c:axId val="743138400"/>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743139384"/>
        <c:crosses val="autoZero"/>
        <c:auto val="1"/>
        <c:lblAlgn val="ctr"/>
        <c:lblOffset val="100"/>
        <c:noMultiLvlLbl val="0"/>
      </c:catAx>
      <c:valAx>
        <c:axId val="743139384"/>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743138400"/>
        <c:crosses val="autoZero"/>
        <c:crossBetween val="between"/>
      </c:valAx>
      <c:spPr>
        <a:noFill/>
        <a:ln>
          <a:noFill/>
        </a:ln>
        <a:effectLst/>
      </c:spPr>
    </c:plotArea>
    <c:legend>
      <c:legendPos val="r"/>
      <c:layout>
        <c:manualLayout>
          <c:xMode val="edge"/>
          <c:yMode val="edge"/>
          <c:x val="7.4307435643985051E-2"/>
          <c:y val="0.8790004374453193"/>
          <c:w val="0.88236416142481899"/>
          <c:h val="7.9962088072324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Roboto Condensed" panose="02000000000000000000" pitchFamily="2" charset="0"/>
          <a:ea typeface="Roboto Condensed" panose="02000000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water!$C$2</c:f>
              <c:strCache>
                <c:ptCount val="1"/>
                <c:pt idx="0">
                  <c:v>2020</c:v>
                </c:pt>
              </c:strCache>
            </c:strRef>
          </c:tx>
          <c:spPr>
            <a:solidFill>
              <a:srgbClr val="002060"/>
            </a:solidFill>
            <a:ln>
              <a:noFill/>
            </a:ln>
            <a:effectLst/>
          </c:spPr>
          <c:invertIfNegative val="0"/>
          <c:dPt>
            <c:idx val="2"/>
            <c:invertIfNegative val="0"/>
            <c:bubble3D val="0"/>
            <c:spPr>
              <a:solidFill>
                <a:schemeClr val="accent6"/>
              </a:solidFill>
              <a:ln>
                <a:noFill/>
              </a:ln>
              <a:effectLst/>
            </c:spPr>
            <c:extLst>
              <c:ext xmlns:c16="http://schemas.microsoft.com/office/drawing/2014/chart" uri="{C3380CC4-5D6E-409C-BE32-E72D297353CC}">
                <c16:uniqueId val="{00000003-B5E1-4504-9205-F9E4B3CA0CDE}"/>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4-B5E1-4504-9205-F9E4B3CA0CDE}"/>
              </c:ext>
            </c:extLst>
          </c:dPt>
          <c:dPt>
            <c:idx val="11"/>
            <c:invertIfNegative val="0"/>
            <c:bubble3D val="0"/>
            <c:spPr>
              <a:solidFill>
                <a:schemeClr val="accent4"/>
              </a:solidFill>
              <a:ln>
                <a:noFill/>
              </a:ln>
              <a:effectLst/>
            </c:spPr>
            <c:extLst>
              <c:ext xmlns:c16="http://schemas.microsoft.com/office/drawing/2014/chart" uri="{C3380CC4-5D6E-409C-BE32-E72D297353CC}">
                <c16:uniqueId val="{00000002-B5E1-4504-9205-F9E4B3CA0CDE}"/>
              </c:ext>
            </c:extLst>
          </c:dPt>
          <c:dLbls>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water!$B$3:$B$14</c:f>
              <c:strCache>
                <c:ptCount val="12"/>
                <c:pt idx="0">
                  <c:v>Anglian</c:v>
                </c:pt>
                <c:pt idx="1">
                  <c:v>Dŵr Cymru Welsh Water</c:v>
                </c:pt>
                <c:pt idx="2">
                  <c:v>Hafren Dyfrdwy</c:v>
                </c:pt>
                <c:pt idx="3">
                  <c:v>Northumbrian</c:v>
                </c:pt>
                <c:pt idx="4">
                  <c:v>Severn Trent</c:v>
                </c:pt>
                <c:pt idx="5">
                  <c:v>South West</c:v>
                </c:pt>
                <c:pt idx="6">
                  <c:v>Southern</c:v>
                </c:pt>
                <c:pt idx="7">
                  <c:v>Thames</c:v>
                </c:pt>
                <c:pt idx="8">
                  <c:v>United Utilities</c:v>
                </c:pt>
                <c:pt idx="9">
                  <c:v>Wessex</c:v>
                </c:pt>
                <c:pt idx="10">
                  <c:v>Yorkshire</c:v>
                </c:pt>
                <c:pt idx="11">
                  <c:v>Average</c:v>
                </c:pt>
              </c:strCache>
            </c:strRef>
          </c:cat>
          <c:val>
            <c:numRef>
              <c:f>water!$C$3:$C$14</c:f>
              <c:numCache>
                <c:formatCode>_-[$£-809]* #,##0_-;\-[$£-809]* #,##0_-;_-[$£-809]* "-"??_-;_-@_-</c:formatCode>
                <c:ptCount val="12"/>
                <c:pt idx="0">
                  <c:v>438</c:v>
                </c:pt>
                <c:pt idx="1">
                  <c:v>448</c:v>
                </c:pt>
                <c:pt idx="2">
                  <c:v>297</c:v>
                </c:pt>
                <c:pt idx="3">
                  <c:v>412</c:v>
                </c:pt>
                <c:pt idx="4">
                  <c:v>357</c:v>
                </c:pt>
                <c:pt idx="5">
                  <c:v>492</c:v>
                </c:pt>
                <c:pt idx="6">
                  <c:v>441</c:v>
                </c:pt>
                <c:pt idx="7">
                  <c:v>397</c:v>
                </c:pt>
                <c:pt idx="8">
                  <c:v>442</c:v>
                </c:pt>
                <c:pt idx="9">
                  <c:v>489</c:v>
                </c:pt>
                <c:pt idx="10">
                  <c:v>392</c:v>
                </c:pt>
                <c:pt idx="11">
                  <c:v>414</c:v>
                </c:pt>
              </c:numCache>
            </c:numRef>
          </c:val>
          <c:extLst>
            <c:ext xmlns:c16="http://schemas.microsoft.com/office/drawing/2014/chart" uri="{C3380CC4-5D6E-409C-BE32-E72D297353CC}">
              <c16:uniqueId val="{00000000-B5E1-4504-9205-F9E4B3CA0CDE}"/>
            </c:ext>
          </c:extLst>
        </c:ser>
        <c:dLbls>
          <c:showLegendKey val="0"/>
          <c:showVal val="0"/>
          <c:showCatName val="0"/>
          <c:showSerName val="0"/>
          <c:showPercent val="0"/>
          <c:showBubbleSize val="0"/>
        </c:dLbls>
        <c:gapWidth val="50"/>
        <c:axId val="741218328"/>
        <c:axId val="733276960"/>
      </c:barChart>
      <c:catAx>
        <c:axId val="74121832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733276960"/>
        <c:crosses val="autoZero"/>
        <c:auto val="1"/>
        <c:lblAlgn val="ctr"/>
        <c:lblOffset val="100"/>
        <c:noMultiLvlLbl val="0"/>
      </c:catAx>
      <c:valAx>
        <c:axId val="733276960"/>
        <c:scaling>
          <c:orientation val="minMax"/>
          <c:min val="250"/>
        </c:scaling>
        <c:delete val="0"/>
        <c:axPos val="b"/>
        <c:numFmt formatCode="_-[$£-809]* #,##0_-;\-[$£-809]* #,##0_-;_-[$£-809]* &quot;-&quot;??_-;_-@_-" sourceLinked="1"/>
        <c:majorTickMark val="none"/>
        <c:minorTickMark val="none"/>
        <c:tickLblPos val="none"/>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crossAx val="741218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solidFill>
            <a:sysClr val="windowText" lastClr="000000"/>
          </a:solidFill>
          <a:latin typeface="Roboto Condensed" panose="02000000000000000000" pitchFamily="2" charset="0"/>
          <a:ea typeface="Roboto Condensed" panose="02000000000000000000"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greeneco!$D$3</c:f>
              <c:strCache>
                <c:ptCount val="1"/>
                <c:pt idx="0">
                  <c:v>% Allocated</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2-77EB-48B9-AA2D-152A2B365F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77EB-48B9-AA2D-152A2B365F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EB-48B9-AA2D-152A2B365F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77EB-48B9-AA2D-152A2B365FCC}"/>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3-77EB-48B9-AA2D-152A2B365FCC}"/>
              </c:ext>
            </c:extLst>
          </c:dPt>
          <c:dLbls>
            <c:dLbl>
              <c:idx val="0"/>
              <c:layout>
                <c:manualLayout>
                  <c:x val="-0.19217960100689002"/>
                  <c:y val="-0.17701005121927862"/>
                </c:manualLayout>
              </c:layout>
              <c:tx>
                <c:rich>
                  <a:bodyPr/>
                  <a:lstStyle/>
                  <a:p>
                    <a:fld id="{86393A18-AD73-4D38-8E73-AE2F307BDA36}" type="CELLRANGE">
                      <a:rPr lang="en-US"/>
                      <a:pPr/>
                      <a:t>[CELLRANGE]</a:t>
                    </a:fld>
                    <a:endParaRPr lang="en-US" baseline="0"/>
                  </a:p>
                  <a:p>
                    <a:fld id="{479AE630-BB04-4B6C-83DC-C7A647F888FA}" type="VALUE">
                      <a:rPr lang="en-US"/>
                      <a:pPr/>
                      <a:t>[VALUE]</a:t>
                    </a:fld>
                    <a:endParaRPr lang="en-US"/>
                  </a:p>
                </c:rich>
              </c:tx>
              <c:dLblPos val="bestFit"/>
              <c:showLegendKey val="0"/>
              <c:showVal val="1"/>
              <c:showCatName val="0"/>
              <c:showSerName val="0"/>
              <c:showPercent val="0"/>
              <c:showBubbleSize val="0"/>
              <c:separator>
</c:separator>
              <c:extLst>
                <c:ext xmlns:c15="http://schemas.microsoft.com/office/drawing/2012/chart" uri="{CE6537A1-D6FC-4f65-9D91-7224C49458BB}">
                  <c15:layout>
                    <c:manualLayout>
                      <c:w val="0.24782801707335364"/>
                      <c:h val="0.24541717898787713"/>
                    </c:manualLayout>
                  </c15:layout>
                  <c15:dlblFieldTable/>
                  <c15:showDataLabelsRange val="1"/>
                </c:ext>
                <c:ext xmlns:c16="http://schemas.microsoft.com/office/drawing/2014/chart" uri="{C3380CC4-5D6E-409C-BE32-E72D297353CC}">
                  <c16:uniqueId val="{00000002-77EB-48B9-AA2D-152A2B365FCC}"/>
                </c:ext>
              </c:extLst>
            </c:dLbl>
            <c:dLbl>
              <c:idx val="1"/>
              <c:delete val="1"/>
              <c:extLst>
                <c:ext xmlns:c15="http://schemas.microsoft.com/office/drawing/2012/chart" uri="{CE6537A1-D6FC-4f65-9D91-7224C49458BB}"/>
                <c:ext xmlns:c16="http://schemas.microsoft.com/office/drawing/2014/chart" uri="{C3380CC4-5D6E-409C-BE32-E72D297353CC}">
                  <c16:uniqueId val="{00000006-77EB-48B9-AA2D-152A2B365FCC}"/>
                </c:ext>
              </c:extLst>
            </c:dLbl>
            <c:dLbl>
              <c:idx val="2"/>
              <c:delete val="1"/>
              <c:extLst>
                <c:ext xmlns:c15="http://schemas.microsoft.com/office/drawing/2012/chart" uri="{CE6537A1-D6FC-4f65-9D91-7224C49458BB}"/>
                <c:ext xmlns:c16="http://schemas.microsoft.com/office/drawing/2014/chart" uri="{C3380CC4-5D6E-409C-BE32-E72D297353CC}">
                  <c16:uniqueId val="{00000005-77EB-48B9-AA2D-152A2B365FCC}"/>
                </c:ext>
              </c:extLst>
            </c:dLbl>
            <c:dLbl>
              <c:idx val="3"/>
              <c:delete val="1"/>
              <c:extLst>
                <c:ext xmlns:c15="http://schemas.microsoft.com/office/drawing/2012/chart" uri="{CE6537A1-D6FC-4f65-9D91-7224C49458BB}"/>
                <c:ext xmlns:c16="http://schemas.microsoft.com/office/drawing/2014/chart" uri="{C3380CC4-5D6E-409C-BE32-E72D297353CC}">
                  <c16:uniqueId val="{00000004-77EB-48B9-AA2D-152A2B365FCC}"/>
                </c:ext>
              </c:extLst>
            </c:dLbl>
            <c:dLbl>
              <c:idx val="4"/>
              <c:delete val="1"/>
              <c:extLst>
                <c:ext xmlns:c15="http://schemas.microsoft.com/office/drawing/2012/chart" uri="{CE6537A1-D6FC-4f65-9D91-7224C49458BB}"/>
                <c:ext xmlns:c16="http://schemas.microsoft.com/office/drawing/2014/chart" uri="{C3380CC4-5D6E-409C-BE32-E72D297353CC}">
                  <c16:uniqueId val="{00000003-77EB-48B9-AA2D-152A2B365FCC}"/>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Roboto Condensed" panose="02000000000000000000" pitchFamily="2" charset="0"/>
                    <a:ea typeface="Roboto Condensed" panose="02000000000000000000" pitchFamily="2" charset="0"/>
                    <a:cs typeface="+mn-cs"/>
                  </a:defRPr>
                </a:pPr>
                <a:endParaRPr lang="en-US"/>
              </a:p>
            </c:txPr>
            <c:dLblPos val="ctr"/>
            <c:showLegendKey val="0"/>
            <c:showVal val="0"/>
            <c:showCatName val="0"/>
            <c:showSerName val="0"/>
            <c:showPercent val="0"/>
            <c:showBubbleSize val="0"/>
            <c:separator>
</c:separator>
            <c:showLeaderLines val="0"/>
            <c:extLst>
              <c:ext xmlns:c15="http://schemas.microsoft.com/office/drawing/2012/chart" uri="{CE6537A1-D6FC-4f65-9D91-7224C49458BB}">
                <c15:showDataLabelsRange val="1"/>
              </c:ext>
            </c:extLst>
          </c:dLbls>
          <c:cat>
            <c:strRef>
              <c:f>greeneco!$B$4:$B$8</c:f>
              <c:strCache>
                <c:ptCount val="5"/>
                <c:pt idx="0">
                  <c:v>Severn Trent</c:v>
                </c:pt>
                <c:pt idx="1">
                  <c:v>South Staffs Water</c:v>
                </c:pt>
                <c:pt idx="2">
                  <c:v>South West Water</c:v>
                </c:pt>
                <c:pt idx="3">
                  <c:v>Thames Water</c:v>
                </c:pt>
                <c:pt idx="4">
                  <c:v>United Utilities</c:v>
                </c:pt>
              </c:strCache>
            </c:strRef>
          </c:cat>
          <c:val>
            <c:numRef>
              <c:f>greeneco!$D$4:$D$8</c:f>
              <c:numCache>
                <c:formatCode>0.0%</c:formatCode>
                <c:ptCount val="5"/>
                <c:pt idx="0">
                  <c:v>0.64981292589425554</c:v>
                </c:pt>
                <c:pt idx="1">
                  <c:v>1.7090436605988902E-2</c:v>
                </c:pt>
                <c:pt idx="2">
                  <c:v>9.3268899893774584E-2</c:v>
                </c:pt>
                <c:pt idx="3">
                  <c:v>0.16747246828486823</c:v>
                </c:pt>
                <c:pt idx="4">
                  <c:v>7.2355269321112609E-2</c:v>
                </c:pt>
              </c:numCache>
            </c:numRef>
          </c:val>
          <c:extLst>
            <c:ext xmlns:c15="http://schemas.microsoft.com/office/drawing/2012/chart" uri="{02D57815-91ED-43cb-92C2-25804820EDAC}">
              <c15:datalabelsRange>
                <c15:f>greeneco!$C$4:$C$8</c15:f>
                <c15:dlblRangeCache>
                  <c:ptCount val="5"/>
                  <c:pt idx="0">
                    <c:v> £564.63 </c:v>
                  </c:pt>
                  <c:pt idx="1">
                    <c:v> £14.85 </c:v>
                  </c:pt>
                  <c:pt idx="2">
                    <c:v> £81.04 </c:v>
                  </c:pt>
                  <c:pt idx="3">
                    <c:v> £145.52 </c:v>
                  </c:pt>
                  <c:pt idx="4">
                    <c:v> £62.87 </c:v>
                  </c:pt>
                </c15:dlblRangeCache>
              </c15:datalabelsRange>
            </c:ext>
            <c:ext xmlns:c16="http://schemas.microsoft.com/office/drawing/2014/chart" uri="{C3380CC4-5D6E-409C-BE32-E72D297353CC}">
              <c16:uniqueId val="{00000000-77EB-48B9-AA2D-152A2B365FCC}"/>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Roboto Condensed" panose="02000000000000000000" pitchFamily="2" charset="0"/>
              <a:ea typeface="Roboto Condensed" panose="02000000000000000000" pitchFamily="2"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solidFill>
            <a:sysClr val="windowText" lastClr="000000"/>
          </a:solidFill>
          <a:latin typeface="Roboto Condensed" panose="02000000000000000000" pitchFamily="2" charset="0"/>
          <a:ea typeface="Roboto Condensed" panose="02000000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9</xdr:col>
      <xdr:colOff>176213</xdr:colOff>
      <xdr:row>2</xdr:row>
      <xdr:rowOff>161924</xdr:rowOff>
    </xdr:from>
    <xdr:to>
      <xdr:col>15</xdr:col>
      <xdr:colOff>247651</xdr:colOff>
      <xdr:row>24</xdr:row>
      <xdr:rowOff>171449</xdr:rowOff>
    </xdr:to>
    <xdr:graphicFrame macro="">
      <xdr:nvGraphicFramePr>
        <xdr:cNvPr id="2" name="Chart 1">
          <a:extLst>
            <a:ext uri="{FF2B5EF4-FFF2-40B4-BE49-F238E27FC236}">
              <a16:creationId xmlns:a16="http://schemas.microsoft.com/office/drawing/2014/main" id="{19708A1E-8392-411A-B944-2C76E5D3F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176212</xdr:colOff>
      <xdr:row>3</xdr:row>
      <xdr:rowOff>33337</xdr:rowOff>
    </xdr:from>
    <xdr:to>
      <xdr:col>24</xdr:col>
      <xdr:colOff>285750</xdr:colOff>
      <xdr:row>23</xdr:row>
      <xdr:rowOff>9525</xdr:rowOff>
    </xdr:to>
    <xdr:graphicFrame macro="">
      <xdr:nvGraphicFramePr>
        <xdr:cNvPr id="2" name="Chart 1">
          <a:extLst>
            <a:ext uri="{FF2B5EF4-FFF2-40B4-BE49-F238E27FC236}">
              <a16:creationId xmlns:a16="http://schemas.microsoft.com/office/drawing/2014/main" id="{6F77C5E9-8B15-44A6-A0C2-E3495770E1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24</xdr:row>
      <xdr:rowOff>0</xdr:rowOff>
    </xdr:from>
    <xdr:to>
      <xdr:col>24</xdr:col>
      <xdr:colOff>109538</xdr:colOff>
      <xdr:row>43</xdr:row>
      <xdr:rowOff>166688</xdr:rowOff>
    </xdr:to>
    <xdr:graphicFrame macro="">
      <xdr:nvGraphicFramePr>
        <xdr:cNvPr id="3" name="Chart 2">
          <a:extLst>
            <a:ext uri="{FF2B5EF4-FFF2-40B4-BE49-F238E27FC236}">
              <a16:creationId xmlns:a16="http://schemas.microsoft.com/office/drawing/2014/main" id="{2CE30336-A631-40A7-B2F6-056B77029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538162</xdr:colOff>
      <xdr:row>2</xdr:row>
      <xdr:rowOff>109537</xdr:rowOff>
    </xdr:from>
    <xdr:to>
      <xdr:col>16</xdr:col>
      <xdr:colOff>233362</xdr:colOff>
      <xdr:row>16</xdr:row>
      <xdr:rowOff>185737</xdr:rowOff>
    </xdr:to>
    <xdr:graphicFrame macro="">
      <xdr:nvGraphicFramePr>
        <xdr:cNvPr id="2" name="Chart 1">
          <a:extLst>
            <a:ext uri="{FF2B5EF4-FFF2-40B4-BE49-F238E27FC236}">
              <a16:creationId xmlns:a16="http://schemas.microsoft.com/office/drawing/2014/main" id="{10C2A5C9-4BF5-493D-8EBB-786831D11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357187</xdr:colOff>
      <xdr:row>21</xdr:row>
      <xdr:rowOff>128587</xdr:rowOff>
    </xdr:from>
    <xdr:to>
      <xdr:col>14</xdr:col>
      <xdr:colOff>533400</xdr:colOff>
      <xdr:row>36</xdr:row>
      <xdr:rowOff>14287</xdr:rowOff>
    </xdr:to>
    <xdr:graphicFrame macro="">
      <xdr:nvGraphicFramePr>
        <xdr:cNvPr id="3" name="Chart 2">
          <a:extLst>
            <a:ext uri="{FF2B5EF4-FFF2-40B4-BE49-F238E27FC236}">
              <a16:creationId xmlns:a16="http://schemas.microsoft.com/office/drawing/2014/main" id="{D0F23B9D-A3C4-4D21-BCD3-086B7A2F5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233363</xdr:colOff>
      <xdr:row>0</xdr:row>
      <xdr:rowOff>166686</xdr:rowOff>
    </xdr:from>
    <xdr:to>
      <xdr:col>12</xdr:col>
      <xdr:colOff>161925</xdr:colOff>
      <xdr:row>19</xdr:row>
      <xdr:rowOff>114299</xdr:rowOff>
    </xdr:to>
    <xdr:graphicFrame macro="">
      <xdr:nvGraphicFramePr>
        <xdr:cNvPr id="2" name="Chart 1">
          <a:extLst>
            <a:ext uri="{FF2B5EF4-FFF2-40B4-BE49-F238E27FC236}">
              <a16:creationId xmlns:a16="http://schemas.microsoft.com/office/drawing/2014/main" id="{95A2288A-0C14-4DC4-8F9B-0D1032EE6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19</xdr:col>
      <xdr:colOff>87268</xdr:colOff>
      <xdr:row>54</xdr:row>
      <xdr:rowOff>96646</xdr:rowOff>
    </xdr:to>
    <xdr:pic>
      <xdr:nvPicPr>
        <xdr:cNvPr id="2" name="Picture 1">
          <a:extLst>
            <a:ext uri="{FF2B5EF4-FFF2-40B4-BE49-F238E27FC236}">
              <a16:creationId xmlns:a16="http://schemas.microsoft.com/office/drawing/2014/main" id="{0F504FA0-8961-4936-8952-2643283D714C}"/>
            </a:ext>
          </a:extLst>
        </xdr:cNvPr>
        <xdr:cNvPicPr>
          <a:picLocks noChangeAspect="1"/>
        </xdr:cNvPicPr>
      </xdr:nvPicPr>
      <xdr:blipFill>
        <a:blip xmlns:r="http://schemas.openxmlformats.org/officeDocument/2006/relationships" r:embed="rId1"/>
        <a:stretch>
          <a:fillRect/>
        </a:stretch>
      </xdr:blipFill>
      <xdr:spPr>
        <a:xfrm>
          <a:off x="609600" y="381000"/>
          <a:ext cx="11060068" cy="100026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223837</xdr:colOff>
      <xdr:row>2</xdr:row>
      <xdr:rowOff>42862</xdr:rowOff>
    </xdr:from>
    <xdr:to>
      <xdr:col>10</xdr:col>
      <xdr:colOff>209550</xdr:colOff>
      <xdr:row>21</xdr:row>
      <xdr:rowOff>57150</xdr:rowOff>
    </xdr:to>
    <xdr:graphicFrame macro="">
      <xdr:nvGraphicFramePr>
        <xdr:cNvPr id="2" name="Chart 1">
          <a:extLst>
            <a:ext uri="{FF2B5EF4-FFF2-40B4-BE49-F238E27FC236}">
              <a16:creationId xmlns:a16="http://schemas.microsoft.com/office/drawing/2014/main" id="{35725DFE-DB78-421E-9336-82A6A1C4E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571500</xdr:colOff>
      <xdr:row>16</xdr:row>
      <xdr:rowOff>152400</xdr:rowOff>
    </xdr:from>
    <xdr:to>
      <xdr:col>11</xdr:col>
      <xdr:colOff>400050</xdr:colOff>
      <xdr:row>40</xdr:row>
      <xdr:rowOff>166581</xdr:rowOff>
    </xdr:to>
    <xdr:pic>
      <xdr:nvPicPr>
        <xdr:cNvPr id="3" name="Picture 2">
          <a:extLst>
            <a:ext uri="{FF2B5EF4-FFF2-40B4-BE49-F238E27FC236}">
              <a16:creationId xmlns:a16="http://schemas.microsoft.com/office/drawing/2014/main" id="{EF91F6B1-CDD2-4D1F-96A4-531E132ED083}"/>
            </a:ext>
          </a:extLst>
        </xdr:cNvPr>
        <xdr:cNvPicPr>
          <a:picLocks noChangeAspect="1"/>
        </xdr:cNvPicPr>
      </xdr:nvPicPr>
      <xdr:blipFill>
        <a:blip xmlns:r="http://schemas.openxmlformats.org/officeDocument/2006/relationships" r:embed="rId1"/>
        <a:stretch>
          <a:fillRect/>
        </a:stretch>
      </xdr:blipFill>
      <xdr:spPr>
        <a:xfrm>
          <a:off x="571500" y="3200400"/>
          <a:ext cx="8162925" cy="458618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142875</xdr:colOff>
      <xdr:row>0</xdr:row>
      <xdr:rowOff>0</xdr:rowOff>
    </xdr:from>
    <xdr:to>
      <xdr:col>18</xdr:col>
      <xdr:colOff>438150</xdr:colOff>
      <xdr:row>24</xdr:row>
      <xdr:rowOff>175251</xdr:rowOff>
    </xdr:to>
    <xdr:pic>
      <xdr:nvPicPr>
        <xdr:cNvPr id="2" name="Picture 1">
          <a:extLst>
            <a:ext uri="{FF2B5EF4-FFF2-40B4-BE49-F238E27FC236}">
              <a16:creationId xmlns:a16="http://schemas.microsoft.com/office/drawing/2014/main" id="{4CEF664E-0546-414B-93F6-AB2D8705F63A}"/>
            </a:ext>
          </a:extLst>
        </xdr:cNvPr>
        <xdr:cNvPicPr>
          <a:picLocks noChangeAspect="1"/>
        </xdr:cNvPicPr>
      </xdr:nvPicPr>
      <xdr:blipFill>
        <a:blip xmlns:r="http://schemas.openxmlformats.org/officeDocument/2006/relationships" r:embed="rId1"/>
        <a:stretch>
          <a:fillRect/>
        </a:stretch>
      </xdr:blipFill>
      <xdr:spPr>
        <a:xfrm>
          <a:off x="4276725" y="0"/>
          <a:ext cx="8220075" cy="4747251"/>
        </a:xfrm>
        <a:prstGeom prst="rect">
          <a:avLst/>
        </a:prstGeom>
      </xdr:spPr>
    </xdr:pic>
    <xdr:clientData/>
  </xdr:twoCellAnchor>
  <xdr:twoCellAnchor editAs="oneCell">
    <xdr:from>
      <xdr:col>5</xdr:col>
      <xdr:colOff>219076</xdr:colOff>
      <xdr:row>25</xdr:row>
      <xdr:rowOff>85726</xdr:rowOff>
    </xdr:from>
    <xdr:to>
      <xdr:col>18</xdr:col>
      <xdr:colOff>314325</xdr:colOff>
      <xdr:row>57</xdr:row>
      <xdr:rowOff>44388</xdr:rowOff>
    </xdr:to>
    <xdr:pic>
      <xdr:nvPicPr>
        <xdr:cNvPr id="3" name="Picture 2">
          <a:extLst>
            <a:ext uri="{FF2B5EF4-FFF2-40B4-BE49-F238E27FC236}">
              <a16:creationId xmlns:a16="http://schemas.microsoft.com/office/drawing/2014/main" id="{8400B798-3AFC-40E1-AB04-27A167BD7010}"/>
            </a:ext>
          </a:extLst>
        </xdr:cNvPr>
        <xdr:cNvPicPr>
          <a:picLocks noChangeAspect="1"/>
        </xdr:cNvPicPr>
      </xdr:nvPicPr>
      <xdr:blipFill>
        <a:blip xmlns:r="http://schemas.openxmlformats.org/officeDocument/2006/relationships" r:embed="rId2"/>
        <a:stretch>
          <a:fillRect/>
        </a:stretch>
      </xdr:blipFill>
      <xdr:spPr>
        <a:xfrm>
          <a:off x="5305426" y="4848226"/>
          <a:ext cx="8020049" cy="60546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20</xdr:col>
      <xdr:colOff>152400</xdr:colOff>
      <xdr:row>7</xdr:row>
      <xdr:rowOff>66675</xdr:rowOff>
    </xdr:from>
    <xdr:to>
      <xdr:col>32</xdr:col>
      <xdr:colOff>448737</xdr:colOff>
      <xdr:row>18</xdr:row>
      <xdr:rowOff>66967</xdr:rowOff>
    </xdr:to>
    <xdr:pic>
      <xdr:nvPicPr>
        <xdr:cNvPr id="2" name="Picture 1">
          <a:extLst>
            <a:ext uri="{FF2B5EF4-FFF2-40B4-BE49-F238E27FC236}">
              <a16:creationId xmlns:a16="http://schemas.microsoft.com/office/drawing/2014/main" id="{165B3E08-B0F1-4E39-BC98-3956B9D2AEAD}"/>
            </a:ext>
          </a:extLst>
        </xdr:cNvPr>
        <xdr:cNvPicPr>
          <a:picLocks noChangeAspect="1"/>
        </xdr:cNvPicPr>
      </xdr:nvPicPr>
      <xdr:blipFill>
        <a:blip xmlns:r="http://schemas.openxmlformats.org/officeDocument/2006/relationships" r:embed="rId1"/>
        <a:stretch>
          <a:fillRect/>
        </a:stretch>
      </xdr:blipFill>
      <xdr:spPr>
        <a:xfrm>
          <a:off x="14144625" y="1400175"/>
          <a:ext cx="7611537" cy="20957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E7573-41C6-4E95-B989-6FAAD0820A24}">
  <dimension ref="B2:Q282"/>
  <sheetViews>
    <sheetView tabSelected="1" zoomScaleNormal="100" workbookViewId="0">
      <selection activeCell="M50" sqref="M50"/>
    </sheetView>
  </sheetViews>
  <sheetFormatPr defaultRowHeight="15" x14ac:dyDescent="0.25"/>
  <cols>
    <col min="1" max="1" width="3.42578125" style="2" customWidth="1"/>
    <col min="2" max="2" width="49.7109375" style="2" bestFit="1" customWidth="1"/>
    <col min="3" max="3" width="10.85546875" style="2" bestFit="1" customWidth="1"/>
    <col min="4" max="4" width="10.85546875" style="2" customWidth="1"/>
    <col min="5" max="7" width="9.7109375" style="2" bestFit="1" customWidth="1"/>
    <col min="8" max="16384" width="9.140625" style="2"/>
  </cols>
  <sheetData>
    <row r="2" spans="2:8" ht="18.75" x14ac:dyDescent="0.3">
      <c r="B2" s="50" t="s">
        <v>13</v>
      </c>
      <c r="C2" s="111">
        <v>43555</v>
      </c>
      <c r="D2" s="111">
        <v>43738</v>
      </c>
      <c r="E2" s="111">
        <v>43921</v>
      </c>
      <c r="F2" s="111">
        <v>44104</v>
      </c>
      <c r="G2" s="111">
        <v>44286</v>
      </c>
    </row>
    <row r="3" spans="2:8" x14ac:dyDescent="0.25">
      <c r="B3" s="49" t="s">
        <v>272</v>
      </c>
      <c r="C3" s="55" t="s">
        <v>244</v>
      </c>
      <c r="D3" s="55" t="s">
        <v>831</v>
      </c>
      <c r="E3" s="55" t="s">
        <v>245</v>
      </c>
      <c r="F3" s="55" t="s">
        <v>830</v>
      </c>
      <c r="G3" s="55" t="s">
        <v>110</v>
      </c>
    </row>
    <row r="4" spans="2:8" x14ac:dyDescent="0.25">
      <c r="B4" s="2" t="s">
        <v>200</v>
      </c>
      <c r="C4" s="3">
        <v>1767.4</v>
      </c>
      <c r="D4" s="3">
        <v>910</v>
      </c>
      <c r="E4" s="3">
        <v>1843.5</v>
      </c>
      <c r="F4" s="3">
        <v>887.6</v>
      </c>
      <c r="G4" s="3">
        <f>revenue!D39+50</f>
        <v>1870.7500000000002</v>
      </c>
      <c r="H4" s="3"/>
    </row>
    <row r="5" spans="2:8" x14ac:dyDescent="0.25">
      <c r="B5" s="2" t="s">
        <v>14</v>
      </c>
      <c r="C5" s="3">
        <v>19.899999999999999</v>
      </c>
      <c r="D5" s="3">
        <v>5.9</v>
      </c>
      <c r="E5" s="3">
        <v>6.9</v>
      </c>
      <c r="F5" s="3"/>
      <c r="G5" s="3"/>
    </row>
    <row r="6" spans="2:8" x14ac:dyDescent="0.25">
      <c r="B6" s="2" t="s">
        <v>264</v>
      </c>
      <c r="C6" s="3">
        <f>C7+C8+C10+C11</f>
        <v>319</v>
      </c>
      <c r="D6" s="3"/>
      <c r="E6" s="3">
        <f>E7+E8+E10+E11</f>
        <v>343.90000000000003</v>
      </c>
      <c r="F6" s="3"/>
      <c r="G6" s="3">
        <f>G7+G8+G10+G11</f>
        <v>348.69483880144833</v>
      </c>
    </row>
    <row r="7" spans="2:8" x14ac:dyDescent="0.25">
      <c r="B7" s="31" t="s">
        <v>265</v>
      </c>
      <c r="C7" s="32">
        <v>252.2</v>
      </c>
      <c r="D7" s="32"/>
      <c r="E7" s="32">
        <v>281.10000000000002</v>
      </c>
      <c r="F7" s="32"/>
      <c r="G7" s="32">
        <f>employees!E5</f>
        <v>285.33762695839198</v>
      </c>
    </row>
    <row r="8" spans="2:8" x14ac:dyDescent="0.25">
      <c r="B8" s="78" t="s">
        <v>1</v>
      </c>
      <c r="C8" s="79">
        <v>25.5</v>
      </c>
      <c r="D8" s="79"/>
      <c r="E8" s="79">
        <v>28.9</v>
      </c>
      <c r="F8" s="79"/>
      <c r="G8" s="79">
        <f>G9*employees!E4</f>
        <v>29.33748035404086</v>
      </c>
    </row>
    <row r="9" spans="2:8" x14ac:dyDescent="0.25">
      <c r="B9" s="82" t="s">
        <v>286</v>
      </c>
      <c r="C9" s="83"/>
      <c r="D9" s="83"/>
      <c r="E9" s="83">
        <f>E8/AVERAGE(employees!C4:D4)</f>
        <v>4.781206055091405E-3</v>
      </c>
      <c r="F9" s="83"/>
      <c r="G9" s="83">
        <f>E9</f>
        <v>4.781206055091405E-3</v>
      </c>
    </row>
    <row r="10" spans="2:8" x14ac:dyDescent="0.25">
      <c r="B10" s="80" t="s">
        <v>2</v>
      </c>
      <c r="C10" s="81">
        <v>33.200000000000003</v>
      </c>
      <c r="D10" s="81"/>
      <c r="E10" s="81">
        <v>25.8</v>
      </c>
      <c r="F10" s="81"/>
      <c r="G10" s="81">
        <f>E10</f>
        <v>25.8</v>
      </c>
    </row>
    <row r="11" spans="2:8" x14ac:dyDescent="0.25">
      <c r="B11" s="31" t="s">
        <v>3</v>
      </c>
      <c r="C11" s="32">
        <v>8.1</v>
      </c>
      <c r="D11" s="32"/>
      <c r="E11" s="32">
        <v>8.1</v>
      </c>
      <c r="F11" s="32"/>
      <c r="G11" s="32">
        <f>G12*G4</f>
        <v>8.2197314890154605</v>
      </c>
    </row>
    <row r="12" spans="2:8" x14ac:dyDescent="0.25">
      <c r="B12" s="38" t="s">
        <v>144</v>
      </c>
      <c r="C12" s="39">
        <f>C11/C4</f>
        <v>4.5830032816566706E-3</v>
      </c>
      <c r="D12" s="39"/>
      <c r="E12" s="39">
        <f>E11/E4</f>
        <v>4.3938161106590722E-3</v>
      </c>
      <c r="F12" s="39"/>
      <c r="G12" s="39">
        <f>E12</f>
        <v>4.3938161106590722E-3</v>
      </c>
    </row>
    <row r="13" spans="2:8" x14ac:dyDescent="0.25">
      <c r="B13" s="2" t="s">
        <v>4</v>
      </c>
      <c r="C13" s="3">
        <v>90.3</v>
      </c>
      <c r="D13" s="3"/>
      <c r="E13" s="3">
        <v>94.5</v>
      </c>
      <c r="F13" s="3"/>
      <c r="G13" s="3">
        <f>(G153+G154+G151)*G14</f>
        <v>93.762442396375548</v>
      </c>
    </row>
    <row r="14" spans="2:8" x14ac:dyDescent="0.25">
      <c r="B14" s="27" t="s">
        <v>322</v>
      </c>
      <c r="C14" s="28"/>
      <c r="D14" s="28"/>
      <c r="E14" s="28">
        <f>E13/(AVERAGE(E151,C151)+AVERAGE(E153,C153)+AVERAGE(E154,C154))</f>
        <v>2.4396225684449668E-2</v>
      </c>
      <c r="F14" s="28"/>
      <c r="G14" s="28">
        <f>E14</f>
        <v>2.4396225684449668E-2</v>
      </c>
    </row>
    <row r="15" spans="2:8" x14ac:dyDescent="0.25">
      <c r="B15" s="2" t="s">
        <v>5</v>
      </c>
      <c r="C15" s="3">
        <v>60.6</v>
      </c>
      <c r="D15" s="3"/>
      <c r="E15" s="3">
        <v>68.400000000000006</v>
      </c>
      <c r="F15" s="3"/>
      <c r="G15" s="3">
        <f>G16*G4</f>
        <v>69.411065907241678</v>
      </c>
    </row>
    <row r="16" spans="2:8" x14ac:dyDescent="0.25">
      <c r="B16" s="27" t="s">
        <v>144</v>
      </c>
      <c r="C16" s="28">
        <f>C15/C4</f>
        <v>3.4287654181283239E-2</v>
      </c>
      <c r="D16" s="28"/>
      <c r="E16" s="28">
        <f>E15/E4</f>
        <v>3.7103336045565503E-2</v>
      </c>
      <c r="F16" s="28"/>
      <c r="G16" s="28">
        <f>E16</f>
        <v>3.7103336045565503E-2</v>
      </c>
    </row>
    <row r="17" spans="2:7" x14ac:dyDescent="0.25">
      <c r="B17" s="2" t="s">
        <v>6</v>
      </c>
      <c r="C17" s="3">
        <v>80.8</v>
      </c>
      <c r="D17" s="3"/>
      <c r="E17" s="3">
        <v>81.599999999999994</v>
      </c>
      <c r="F17" s="3"/>
      <c r="G17" s="3">
        <f>G18*G151</f>
        <v>81.817606873174896</v>
      </c>
    </row>
    <row r="18" spans="2:7" x14ac:dyDescent="0.25">
      <c r="B18" s="27" t="s">
        <v>284</v>
      </c>
      <c r="C18" s="28"/>
      <c r="D18" s="28"/>
      <c r="E18" s="28">
        <f>E17/AVERAGE(E151,C151)</f>
        <v>3.6162999401715086E-2</v>
      </c>
      <c r="F18" s="28"/>
      <c r="G18" s="28">
        <f>E18</f>
        <v>3.6162999401715086E-2</v>
      </c>
    </row>
    <row r="19" spans="2:7" x14ac:dyDescent="0.25">
      <c r="B19" s="2" t="s">
        <v>7</v>
      </c>
      <c r="C19" s="3">
        <v>25.6</v>
      </c>
      <c r="D19" s="3">
        <v>18.8</v>
      </c>
      <c r="E19" s="3">
        <v>42.9</v>
      </c>
      <c r="F19" s="3">
        <v>24.2</v>
      </c>
      <c r="G19" s="3">
        <f>G20*(E136+E159)</f>
        <v>40.610006968641116</v>
      </c>
    </row>
    <row r="20" spans="2:7" x14ac:dyDescent="0.25">
      <c r="B20" s="27" t="s">
        <v>311</v>
      </c>
      <c r="C20" s="37"/>
      <c r="D20" s="37"/>
      <c r="E20" s="28">
        <f>E19/(C136+C159)</f>
        <v>5.9790940766550518E-2</v>
      </c>
      <c r="F20" s="28">
        <f>F19/(E136+E159)</f>
        <v>3.5630153121319195E-2</v>
      </c>
      <c r="G20" s="28">
        <f>E20</f>
        <v>5.9790940766550518E-2</v>
      </c>
    </row>
    <row r="21" spans="2:7" x14ac:dyDescent="0.25">
      <c r="B21" s="2" t="s">
        <v>215</v>
      </c>
      <c r="C21" s="3">
        <v>35.200000000000003</v>
      </c>
      <c r="D21" s="3"/>
      <c r="E21" s="3">
        <v>39.4</v>
      </c>
      <c r="F21" s="3"/>
      <c r="G21" s="3">
        <f>G4*G22</f>
        <v>39.982397613235698</v>
      </c>
    </row>
    <row r="22" spans="2:7" x14ac:dyDescent="0.25">
      <c r="B22" s="27" t="s">
        <v>144</v>
      </c>
      <c r="C22" s="28">
        <f>C21/C4</f>
        <v>1.9916261174606768E-2</v>
      </c>
      <c r="D22" s="28"/>
      <c r="E22" s="28">
        <f>E21/E4</f>
        <v>2.1372389476539192E-2</v>
      </c>
      <c r="F22" s="28"/>
      <c r="G22" s="28">
        <f>E22</f>
        <v>2.1372389476539192E-2</v>
      </c>
    </row>
    <row r="23" spans="2:7" x14ac:dyDescent="0.25">
      <c r="B23" s="2" t="s">
        <v>253</v>
      </c>
      <c r="C23" s="3">
        <f>C24+C26+C28+C30+C32</f>
        <v>315.39999999999998</v>
      </c>
      <c r="D23" s="3">
        <v>166.4</v>
      </c>
      <c r="E23" s="3">
        <f>E24+E26+E28+E30+E32</f>
        <v>327.40000000000003</v>
      </c>
      <c r="F23" s="3">
        <v>178.3</v>
      </c>
      <c r="G23" s="3">
        <f>G24+G26+G28+G30+G32</f>
        <v>332.23951722267429</v>
      </c>
    </row>
    <row r="24" spans="2:7" x14ac:dyDescent="0.25">
      <c r="B24" s="31" t="s">
        <v>266</v>
      </c>
      <c r="C24" s="32">
        <v>85.7</v>
      </c>
      <c r="D24" s="32"/>
      <c r="E24" s="32">
        <v>89.7</v>
      </c>
      <c r="F24" s="32"/>
      <c r="G24" s="32">
        <f>G25*G4</f>
        <v>91.025915378356402</v>
      </c>
    </row>
    <row r="25" spans="2:7" x14ac:dyDescent="0.25">
      <c r="B25" s="38" t="s">
        <v>165</v>
      </c>
      <c r="C25" s="39">
        <f>C24/C4</f>
        <v>4.8489306325676135E-2</v>
      </c>
      <c r="D25" s="39"/>
      <c r="E25" s="39">
        <f>E24/E4</f>
        <v>4.8657445077298619E-2</v>
      </c>
      <c r="F25" s="39"/>
      <c r="G25" s="39">
        <f>E25</f>
        <v>4.8657445077298619E-2</v>
      </c>
    </row>
    <row r="26" spans="2:7" x14ac:dyDescent="0.25">
      <c r="B26" s="31" t="s">
        <v>146</v>
      </c>
      <c r="C26" s="32">
        <v>36.799999999999997</v>
      </c>
      <c r="D26" s="32"/>
      <c r="E26" s="32">
        <v>39.299999999999997</v>
      </c>
      <c r="F26" s="32"/>
      <c r="G26" s="32">
        <f>G27*G4</f>
        <v>39.880919446704638</v>
      </c>
    </row>
    <row r="27" spans="2:7" x14ac:dyDescent="0.25">
      <c r="B27" s="38" t="s">
        <v>165</v>
      </c>
      <c r="C27" s="39">
        <f>C26/C4</f>
        <v>2.0821545773452528E-2</v>
      </c>
      <c r="D27" s="39"/>
      <c r="E27" s="39">
        <f>E26/E4</f>
        <v>2.131814483319772E-2</v>
      </c>
      <c r="F27" s="39"/>
      <c r="G27" s="39">
        <f>E27</f>
        <v>2.131814483319772E-2</v>
      </c>
    </row>
    <row r="28" spans="2:7" x14ac:dyDescent="0.25">
      <c r="B28" s="31" t="s">
        <v>321</v>
      </c>
      <c r="C28" s="32">
        <v>188.4</v>
      </c>
      <c r="D28" s="32"/>
      <c r="E28" s="32">
        <v>192.6</v>
      </c>
      <c r="F28" s="32"/>
      <c r="G28" s="32">
        <f>G29*G4</f>
        <v>195.44694873881207</v>
      </c>
    </row>
    <row r="29" spans="2:7" x14ac:dyDescent="0.25">
      <c r="B29" s="38" t="s">
        <v>165</v>
      </c>
      <c r="C29" s="39">
        <f>C28/C4</f>
        <v>0.10659726151408849</v>
      </c>
      <c r="D29" s="39"/>
      <c r="E29" s="39">
        <f>E28/E4</f>
        <v>0.10447518307567127</v>
      </c>
      <c r="F29" s="39"/>
      <c r="G29" s="39">
        <f>E29</f>
        <v>0.10447518307567127</v>
      </c>
    </row>
    <row r="30" spans="2:7" x14ac:dyDescent="0.25">
      <c r="B30" s="31" t="s">
        <v>148</v>
      </c>
      <c r="C30" s="32">
        <v>4.5</v>
      </c>
      <c r="D30" s="32"/>
      <c r="E30" s="32">
        <v>5.8</v>
      </c>
      <c r="F30" s="32"/>
      <c r="G30" s="32">
        <f>G31*G4</f>
        <v>5.8857336588011933</v>
      </c>
    </row>
    <row r="31" spans="2:7" x14ac:dyDescent="0.25">
      <c r="B31" s="38" t="s">
        <v>165</v>
      </c>
      <c r="C31" s="39">
        <f>C30/C4</f>
        <v>2.5461129342537058E-3</v>
      </c>
      <c r="D31" s="39"/>
      <c r="E31" s="39">
        <f>E30/E4</f>
        <v>3.1461893138052615E-3</v>
      </c>
      <c r="F31" s="39"/>
      <c r="G31" s="39">
        <f>E31</f>
        <v>3.1461893138052615E-3</v>
      </c>
    </row>
    <row r="32" spans="2:7" x14ac:dyDescent="0.25">
      <c r="B32" s="31" t="s">
        <v>149</v>
      </c>
      <c r="C32" s="32">
        <v>0</v>
      </c>
      <c r="D32" s="32"/>
      <c r="E32" s="32">
        <v>0</v>
      </c>
      <c r="F32" s="32"/>
      <c r="G32" s="32">
        <v>0</v>
      </c>
    </row>
    <row r="33" spans="2:8" x14ac:dyDescent="0.25">
      <c r="B33" s="38" t="s">
        <v>165</v>
      </c>
      <c r="C33" s="39">
        <f>C32/C4</f>
        <v>0</v>
      </c>
      <c r="D33" s="39"/>
      <c r="E33" s="39">
        <f>E32/E4</f>
        <v>0</v>
      </c>
      <c r="F33" s="39"/>
      <c r="G33" s="39">
        <f>E33</f>
        <v>0</v>
      </c>
      <c r="H33" s="3"/>
    </row>
    <row r="34" spans="2:8" x14ac:dyDescent="0.25">
      <c r="B34" s="2" t="s">
        <v>211</v>
      </c>
      <c r="C34" s="3"/>
      <c r="D34" s="3">
        <v>0.9</v>
      </c>
      <c r="E34" s="3">
        <v>6.6</v>
      </c>
      <c r="F34" s="3">
        <v>1.2</v>
      </c>
      <c r="G34" s="3">
        <f>lease!E8</f>
        <v>1.3975935828876995</v>
      </c>
    </row>
    <row r="35" spans="2:8" x14ac:dyDescent="0.25">
      <c r="B35" s="2" t="s">
        <v>212</v>
      </c>
      <c r="C35" s="3">
        <v>30.5</v>
      </c>
      <c r="D35" s="3">
        <f>1+15.5</f>
        <v>16.5</v>
      </c>
      <c r="E35" s="3">
        <v>32.9</v>
      </c>
      <c r="F35" s="3">
        <f>16.1+1</f>
        <v>17.100000000000001</v>
      </c>
      <c r="G35" s="3">
        <f>G36*G4</f>
        <v>33.386316788717117</v>
      </c>
    </row>
    <row r="36" spans="2:8" x14ac:dyDescent="0.25">
      <c r="B36" s="27" t="s">
        <v>144</v>
      </c>
      <c r="C36" s="28">
        <f>C35/C4</f>
        <v>1.7256987665497339E-2</v>
      </c>
      <c r="D36" s="28"/>
      <c r="E36" s="28">
        <f>E35/E4</f>
        <v>1.784648765934364E-2</v>
      </c>
      <c r="F36" s="28"/>
      <c r="G36" s="28">
        <f>E36</f>
        <v>1.784648765934364E-2</v>
      </c>
    </row>
    <row r="37" spans="2:8" x14ac:dyDescent="0.25">
      <c r="B37" s="2" t="s">
        <v>8</v>
      </c>
      <c r="C37" s="3">
        <v>242.1</v>
      </c>
      <c r="D37" s="3"/>
      <c r="E37" s="3">
        <v>237.8</v>
      </c>
      <c r="F37" s="3"/>
      <c r="G37" s="3">
        <f>G4*G38</f>
        <v>241.31508001084899</v>
      </c>
    </row>
    <row r="38" spans="2:8" x14ac:dyDescent="0.25">
      <c r="B38" s="27" t="s">
        <v>144</v>
      </c>
      <c r="C38" s="28">
        <f>C37/C4</f>
        <v>0.13698087586284938</v>
      </c>
      <c r="D38" s="28"/>
      <c r="E38" s="28">
        <f>E37/E4</f>
        <v>0.12899376186601574</v>
      </c>
      <c r="F38" s="28"/>
      <c r="G38" s="28">
        <f>E38</f>
        <v>0.12899376186601574</v>
      </c>
    </row>
    <row r="39" spans="2:8" x14ac:dyDescent="0.25">
      <c r="B39" s="33" t="s">
        <v>9</v>
      </c>
      <c r="C39" s="32">
        <f>C40+C41</f>
        <v>3.9</v>
      </c>
      <c r="D39" s="32"/>
      <c r="E39" s="32">
        <f>E40+E41</f>
        <v>1.9</v>
      </c>
      <c r="F39" s="32"/>
      <c r="G39" s="32">
        <f>G4*G42</f>
        <v>1.9280851640900463</v>
      </c>
    </row>
    <row r="40" spans="2:8" x14ac:dyDescent="0.25">
      <c r="B40" s="31" t="s">
        <v>266</v>
      </c>
      <c r="C40" s="32">
        <v>2.2999999999999998</v>
      </c>
      <c r="D40" s="32"/>
      <c r="E40" s="32">
        <v>0.6</v>
      </c>
      <c r="F40" s="32"/>
      <c r="G40" s="32"/>
    </row>
    <row r="41" spans="2:8" x14ac:dyDescent="0.25">
      <c r="B41" s="31" t="s">
        <v>133</v>
      </c>
      <c r="C41" s="32">
        <v>1.6</v>
      </c>
      <c r="D41" s="32"/>
      <c r="E41" s="32">
        <v>1.3</v>
      </c>
      <c r="F41" s="32"/>
      <c r="G41" s="32"/>
    </row>
    <row r="42" spans="2:8" x14ac:dyDescent="0.25">
      <c r="B42" s="40" t="s">
        <v>165</v>
      </c>
      <c r="C42" s="39">
        <f>C39/C4</f>
        <v>2.2066312096865452E-3</v>
      </c>
      <c r="D42" s="39"/>
      <c r="E42" s="39">
        <f>E39/E4</f>
        <v>1.0306482234879305E-3</v>
      </c>
      <c r="F42" s="39"/>
      <c r="G42" s="39">
        <f>E42</f>
        <v>1.0306482234879305E-3</v>
      </c>
    </row>
    <row r="43" spans="2:8" x14ac:dyDescent="0.25">
      <c r="B43" s="2" t="s">
        <v>10</v>
      </c>
      <c r="C43" s="3">
        <v>6.8</v>
      </c>
      <c r="D43" s="3"/>
      <c r="E43" s="3">
        <v>7.4</v>
      </c>
      <c r="F43" s="3"/>
      <c r="G43" s="3">
        <f>G4*G44</f>
        <v>7.5093843232980761</v>
      </c>
    </row>
    <row r="44" spans="2:8" x14ac:dyDescent="0.25">
      <c r="B44" s="27" t="s">
        <v>144</v>
      </c>
      <c r="C44" s="28">
        <f>C43/C4</f>
        <v>3.8474595450944888E-3</v>
      </c>
      <c r="D44" s="28"/>
      <c r="E44" s="28">
        <f>E43/E4</f>
        <v>4.0141036072687828E-3</v>
      </c>
      <c r="F44" s="28"/>
      <c r="G44" s="28">
        <f>E44</f>
        <v>4.0141036072687828E-3</v>
      </c>
    </row>
    <row r="45" spans="2:8" x14ac:dyDescent="0.25">
      <c r="B45" s="88" t="s">
        <v>216</v>
      </c>
      <c r="C45" s="89">
        <v>0.6</v>
      </c>
      <c r="D45" s="89"/>
      <c r="E45" s="89">
        <v>1.2</v>
      </c>
      <c r="F45" s="89"/>
      <c r="G45" s="89"/>
    </row>
    <row r="46" spans="2:8" x14ac:dyDescent="0.25">
      <c r="B46" s="88" t="s">
        <v>267</v>
      </c>
      <c r="C46" s="89">
        <v>0.1</v>
      </c>
      <c r="D46" s="89"/>
      <c r="E46" s="89">
        <v>-0.6</v>
      </c>
      <c r="F46" s="89"/>
      <c r="G46" s="89"/>
    </row>
    <row r="47" spans="2:8" x14ac:dyDescent="0.25">
      <c r="B47" s="2" t="s">
        <v>268</v>
      </c>
      <c r="C47" s="3">
        <v>141.6</v>
      </c>
      <c r="D47" s="3"/>
      <c r="E47" s="3">
        <v>149.6</v>
      </c>
      <c r="F47" s="3"/>
      <c r="G47" s="3">
        <f>G48*G150</f>
        <v>157.36367378435511</v>
      </c>
    </row>
    <row r="48" spans="2:8" x14ac:dyDescent="0.25">
      <c r="B48" s="27" t="s">
        <v>145</v>
      </c>
      <c r="C48" s="28"/>
      <c r="D48" s="28"/>
      <c r="E48" s="28">
        <f>E47/AVERAGE(C150:E150)</f>
        <v>1.6076283541510698E-2</v>
      </c>
      <c r="F48" s="28"/>
      <c r="G48" s="28">
        <f>E48</f>
        <v>1.6076283541510698E-2</v>
      </c>
    </row>
    <row r="49" spans="2:7" x14ac:dyDescent="0.25">
      <c r="B49" s="68" t="s">
        <v>269</v>
      </c>
      <c r="C49" s="69">
        <v>5.0999999999999996</v>
      </c>
      <c r="D49" s="69"/>
      <c r="E49" s="69">
        <v>5.0999999999999996</v>
      </c>
      <c r="F49" s="69"/>
      <c r="G49" s="69">
        <f>E49</f>
        <v>5.0999999999999996</v>
      </c>
    </row>
    <row r="50" spans="2:7" x14ac:dyDescent="0.25">
      <c r="B50" s="2" t="s">
        <v>11</v>
      </c>
      <c r="C50" s="3">
        <v>48.4</v>
      </c>
      <c r="D50" s="3"/>
      <c r="E50" s="3">
        <v>42.1</v>
      </c>
      <c r="F50" s="3"/>
      <c r="G50" s="3">
        <f>G4*G51</f>
        <v>42.722308109574186</v>
      </c>
    </row>
    <row r="51" spans="2:7" x14ac:dyDescent="0.25">
      <c r="B51" s="27" t="s">
        <v>144</v>
      </c>
      <c r="C51" s="28">
        <f>C50/C4</f>
        <v>2.7384859115084301E-2</v>
      </c>
      <c r="D51" s="28"/>
      <c r="E51" s="28">
        <f>E50/E4</f>
        <v>2.2836994846758885E-2</v>
      </c>
      <c r="F51" s="28"/>
      <c r="G51" s="28">
        <f>E51</f>
        <v>2.2836994846758885E-2</v>
      </c>
    </row>
    <row r="52" spans="2:7" x14ac:dyDescent="0.25">
      <c r="B52" s="2" t="s">
        <v>0</v>
      </c>
      <c r="C52" s="3">
        <v>-3.3</v>
      </c>
      <c r="D52" s="3"/>
      <c r="E52" s="3">
        <v>-3</v>
      </c>
      <c r="F52" s="3"/>
      <c r="G52" s="3">
        <f>G4*G53</f>
        <v>-3.044344995931652</v>
      </c>
    </row>
    <row r="53" spans="2:7" x14ac:dyDescent="0.25">
      <c r="B53" s="27" t="s">
        <v>144</v>
      </c>
      <c r="C53" s="28">
        <f>C52/C4</f>
        <v>-1.8671494851193841E-3</v>
      </c>
      <c r="D53" s="28"/>
      <c r="E53" s="28">
        <f>E52/E4</f>
        <v>-1.6273393002441008E-3</v>
      </c>
      <c r="F53" s="28"/>
      <c r="G53" s="28">
        <f>E53</f>
        <v>-1.6273393002441008E-3</v>
      </c>
    </row>
    <row r="54" spans="2:7" x14ac:dyDescent="0.25">
      <c r="B54" s="88" t="s">
        <v>12</v>
      </c>
      <c r="C54" s="89">
        <v>-14.7</v>
      </c>
      <c r="D54" s="89"/>
      <c r="E54" s="89">
        <v>-15.4</v>
      </c>
      <c r="F54" s="89"/>
      <c r="G54" s="89"/>
    </row>
    <row r="55" spans="2:7" x14ac:dyDescent="0.25">
      <c r="B55" s="2" t="s">
        <v>270</v>
      </c>
      <c r="C55" s="3">
        <v>-164</v>
      </c>
      <c r="D55" s="3"/>
      <c r="E55" s="3">
        <v>-181.5</v>
      </c>
      <c r="F55" s="3"/>
      <c r="G55" s="3">
        <f>G56*G153</f>
        <v>-177.36885706502818</v>
      </c>
    </row>
    <row r="56" spans="2:7" x14ac:dyDescent="0.25">
      <c r="B56" s="27" t="s">
        <v>317</v>
      </c>
      <c r="C56" s="37"/>
      <c r="D56" s="37"/>
      <c r="E56" s="51">
        <f>E55/AVERAGE(C153,E153)</f>
        <v>-0.11435231854838711</v>
      </c>
      <c r="F56" s="51"/>
      <c r="G56" s="51">
        <f>E56</f>
        <v>-0.11435231854838711</v>
      </c>
    </row>
    <row r="57" spans="2:7" x14ac:dyDescent="0.25">
      <c r="B57" s="65" t="s">
        <v>271</v>
      </c>
      <c r="C57" s="66">
        <f>C6+C13+C15+C17+C19+C21+C23+C34+C35+C37+C39+C43+C45+C46+C47+C49+C50+C52+C54+C55</f>
        <v>1223.9999999999998</v>
      </c>
      <c r="D57" s="66">
        <f>611.8+D19</f>
        <v>630.59999999999991</v>
      </c>
      <c r="E57" s="66">
        <f>E6+E13+E15+E17+E19+E21+E23+E34+E35+E37+E39+E43+E45+E46+E47+E49+E50+E52+E54+E55</f>
        <v>1282.2</v>
      </c>
      <c r="F57" s="66">
        <f>638.8+F19</f>
        <v>663</v>
      </c>
      <c r="G57" s="66">
        <f>G6+G13+G15+G17+G19+G21+G23+G34+G35+G37+G39+G43+G45+G46+G47+G49+G50+G52+G54+G55</f>
        <v>1316.8271154856029</v>
      </c>
    </row>
    <row r="58" spans="2:7" x14ac:dyDescent="0.25">
      <c r="B58" s="53" t="s">
        <v>15</v>
      </c>
      <c r="C58" s="54">
        <f>C4+C5-C57</f>
        <v>563.30000000000041</v>
      </c>
      <c r="D58" s="54">
        <f>D4+D5-D57</f>
        <v>285.30000000000007</v>
      </c>
      <c r="E58" s="54">
        <f>E4+E5-E57</f>
        <v>568.20000000000005</v>
      </c>
      <c r="F58" s="54">
        <f>F4+F5-F57</f>
        <v>224.60000000000002</v>
      </c>
      <c r="G58" s="54">
        <f>G4+G5-G57</f>
        <v>553.92288451439731</v>
      </c>
    </row>
    <row r="59" spans="2:7" x14ac:dyDescent="0.25">
      <c r="B59" s="77" t="s">
        <v>16</v>
      </c>
      <c r="C59" s="84">
        <f>C60+C61+C63</f>
        <v>68.900000000000006</v>
      </c>
      <c r="D59" s="84">
        <v>31</v>
      </c>
      <c r="E59" s="84">
        <f>E60+E61+E63</f>
        <v>59.900000000000006</v>
      </c>
      <c r="F59" s="84">
        <v>29.9</v>
      </c>
      <c r="G59" s="84">
        <f>G60+G61+G63</f>
        <v>59.384509487783689</v>
      </c>
    </row>
    <row r="60" spans="2:7" x14ac:dyDescent="0.25">
      <c r="B60" s="85" t="s">
        <v>166</v>
      </c>
      <c r="C60" s="86">
        <v>0.2</v>
      </c>
      <c r="D60" s="86"/>
      <c r="E60" s="86">
        <v>0.4</v>
      </c>
      <c r="F60" s="86"/>
      <c r="G60" s="86"/>
    </row>
    <row r="61" spans="2:7" x14ac:dyDescent="0.25">
      <c r="B61" s="85" t="s">
        <v>167</v>
      </c>
      <c r="C61" s="86">
        <v>7.7</v>
      </c>
      <c r="D61" s="86"/>
      <c r="E61" s="86">
        <v>1.3</v>
      </c>
      <c r="F61" s="86"/>
      <c r="G61" s="86">
        <f>G62*G166</f>
        <v>1.3</v>
      </c>
    </row>
    <row r="62" spans="2:7" x14ac:dyDescent="0.25">
      <c r="B62" s="70" t="s">
        <v>308</v>
      </c>
      <c r="C62" s="71">
        <f>C61/C166</f>
        <v>5.422535211267606E-2</v>
      </c>
      <c r="D62" s="71"/>
      <c r="E62" s="71">
        <f>E61/E166</f>
        <v>1.4038876889848813E-2</v>
      </c>
      <c r="F62" s="71"/>
      <c r="G62" s="71">
        <f>E62</f>
        <v>1.4038876889848813E-2</v>
      </c>
    </row>
    <row r="63" spans="2:7" x14ac:dyDescent="0.25">
      <c r="B63" s="85" t="s">
        <v>168</v>
      </c>
      <c r="C63" s="86">
        <v>61</v>
      </c>
      <c r="D63" s="86"/>
      <c r="E63" s="86">
        <v>58.2</v>
      </c>
      <c r="F63" s="86"/>
      <c r="G63" s="86">
        <f>pension!E7</f>
        <v>58.084509487783691</v>
      </c>
    </row>
    <row r="64" spans="2:7" x14ac:dyDescent="0.25">
      <c r="B64" s="77" t="s">
        <v>17</v>
      </c>
      <c r="C64" s="84">
        <f>C65+C66+C67+C68+C69</f>
        <v>263.10000000000002</v>
      </c>
      <c r="D64" s="84">
        <v>124.8</v>
      </c>
      <c r="E64" s="84">
        <f>E65+E66+E67+E68+E69</f>
        <v>248.3</v>
      </c>
      <c r="F64" s="84">
        <v>121</v>
      </c>
      <c r="G64" s="84">
        <f ca="1">G65+G66+G67+G68+G69</f>
        <v>243.93984300319332</v>
      </c>
    </row>
    <row r="65" spans="2:10" x14ac:dyDescent="0.25">
      <c r="B65" s="85" t="s">
        <v>236</v>
      </c>
      <c r="C65" s="86">
        <v>21.3</v>
      </c>
      <c r="D65" s="86"/>
      <c r="E65" s="86">
        <v>21.6</v>
      </c>
      <c r="F65" s="86"/>
      <c r="G65" s="86">
        <f ca="1">debt!E44</f>
        <v>22.006093501132803</v>
      </c>
    </row>
    <row r="66" spans="2:10" x14ac:dyDescent="0.25">
      <c r="B66" s="85" t="s">
        <v>237</v>
      </c>
      <c r="C66" s="86">
        <v>153</v>
      </c>
      <c r="D66" s="86"/>
      <c r="E66" s="86">
        <v>150.5</v>
      </c>
      <c r="F66" s="86"/>
      <c r="G66" s="86">
        <f ca="1">debt!E46</f>
        <v>153.32949407039291</v>
      </c>
    </row>
    <row r="67" spans="2:10" x14ac:dyDescent="0.25">
      <c r="B67" s="85" t="s">
        <v>171</v>
      </c>
      <c r="C67" s="86">
        <v>4.4000000000000004</v>
      </c>
      <c r="D67" s="86"/>
      <c r="E67" s="86">
        <v>4.3</v>
      </c>
      <c r="F67" s="86"/>
      <c r="G67" s="86">
        <f>lease!E7</f>
        <v>4.7024064171123001</v>
      </c>
    </row>
    <row r="68" spans="2:10" x14ac:dyDescent="0.25">
      <c r="B68" s="85" t="s">
        <v>172</v>
      </c>
      <c r="C68" s="86">
        <v>9.6</v>
      </c>
      <c r="D68" s="86"/>
      <c r="E68" s="86">
        <v>2.6</v>
      </c>
      <c r="F68" s="86"/>
      <c r="G68" s="86"/>
    </row>
    <row r="69" spans="2:10" x14ac:dyDescent="0.25">
      <c r="B69" s="85" t="s">
        <v>173</v>
      </c>
      <c r="C69" s="86">
        <v>74.8</v>
      </c>
      <c r="D69" s="86"/>
      <c r="E69" s="86">
        <v>69.3</v>
      </c>
      <c r="F69" s="86"/>
      <c r="G69" s="86">
        <f>-pension!E20</f>
        <v>63.901849014555317</v>
      </c>
    </row>
    <row r="70" spans="2:10" x14ac:dyDescent="0.25">
      <c r="B70" s="2" t="s">
        <v>201</v>
      </c>
      <c r="C70" s="3">
        <f>C59-C64</f>
        <v>-194.20000000000002</v>
      </c>
      <c r="D70" s="3">
        <f>D59-D64</f>
        <v>-93.8</v>
      </c>
      <c r="E70" s="3">
        <f>E59-E64</f>
        <v>-188.4</v>
      </c>
      <c r="F70" s="3">
        <f>F59-F64</f>
        <v>-91.1</v>
      </c>
      <c r="G70" s="3">
        <f ca="1">G59-G64</f>
        <v>-184.55533351540964</v>
      </c>
    </row>
    <row r="71" spans="2:10" x14ac:dyDescent="0.25">
      <c r="B71" s="68" t="s">
        <v>18</v>
      </c>
      <c r="C71" s="69"/>
      <c r="D71" s="69"/>
      <c r="E71" s="69">
        <v>-4.9000000000000004</v>
      </c>
      <c r="F71" s="69"/>
      <c r="G71" s="69"/>
    </row>
    <row r="72" spans="2:10" x14ac:dyDescent="0.25">
      <c r="B72" s="68" t="s">
        <v>19</v>
      </c>
      <c r="C72" s="69">
        <v>16</v>
      </c>
      <c r="D72" s="69">
        <v>-1.5</v>
      </c>
      <c r="E72" s="69">
        <v>-17.399999999999999</v>
      </c>
      <c r="F72" s="69">
        <v>-7</v>
      </c>
      <c r="G72" s="69"/>
    </row>
    <row r="73" spans="2:10" x14ac:dyDescent="0.25">
      <c r="B73" s="68" t="s">
        <v>246</v>
      </c>
      <c r="C73" s="69">
        <v>-0.4</v>
      </c>
      <c r="D73" s="69">
        <v>-9.3000000000000007</v>
      </c>
      <c r="E73" s="69">
        <v>-46.8</v>
      </c>
      <c r="F73" s="69"/>
      <c r="G73" s="69"/>
      <c r="J73" s="3"/>
    </row>
    <row r="74" spans="2:10" x14ac:dyDescent="0.25">
      <c r="B74" s="53" t="s">
        <v>247</v>
      </c>
      <c r="C74" s="54">
        <f>C58+C70+C71+C72+C73</f>
        <v>384.70000000000039</v>
      </c>
      <c r="D74" s="54">
        <f>D58+D70+D71+D72+D73</f>
        <v>180.70000000000005</v>
      </c>
      <c r="E74" s="54">
        <f>E58+E70+E71+E72+E73</f>
        <v>310.7000000000001</v>
      </c>
      <c r="F74" s="54">
        <f>F58+F70+F71+F72+F73</f>
        <v>126.50000000000003</v>
      </c>
      <c r="G74" s="54">
        <f ca="1">G58+G70+G71+G72+G73</f>
        <v>369.36755099898767</v>
      </c>
    </row>
    <row r="75" spans="2:10" x14ac:dyDescent="0.25">
      <c r="B75" s="33" t="s">
        <v>258</v>
      </c>
      <c r="C75" s="32">
        <f>C76+C77</f>
        <v>69.400000000000006</v>
      </c>
      <c r="D75" s="32">
        <f>D76+D77</f>
        <v>34</v>
      </c>
      <c r="E75" s="32">
        <f>E76+E77</f>
        <v>151.9</v>
      </c>
      <c r="F75" s="32">
        <f>F76+F77</f>
        <v>24.8</v>
      </c>
      <c r="G75" s="32">
        <f ca="1">G81*G74</f>
        <v>71.448309671835062</v>
      </c>
    </row>
    <row r="76" spans="2:10" x14ac:dyDescent="0.25">
      <c r="B76" s="31" t="s">
        <v>20</v>
      </c>
      <c r="C76" s="32">
        <v>31.8</v>
      </c>
      <c r="D76" s="32">
        <v>18.2</v>
      </c>
      <c r="E76" s="32">
        <v>31</v>
      </c>
      <c r="F76" s="32">
        <v>11</v>
      </c>
      <c r="G76" s="32"/>
    </row>
    <row r="77" spans="2:10" x14ac:dyDescent="0.25">
      <c r="B77" s="31" t="s">
        <v>21</v>
      </c>
      <c r="C77" s="32">
        <f>C78+C79+C80</f>
        <v>37.6</v>
      </c>
      <c r="D77" s="32">
        <v>15.8</v>
      </c>
      <c r="E77" s="32">
        <f>E78+E79+E80</f>
        <v>120.9</v>
      </c>
      <c r="F77" s="32">
        <v>13.8</v>
      </c>
      <c r="G77" s="32"/>
      <c r="J77" s="3"/>
    </row>
    <row r="78" spans="2:10" x14ac:dyDescent="0.25">
      <c r="B78" s="42" t="s">
        <v>273</v>
      </c>
      <c r="C78" s="32">
        <v>30.1</v>
      </c>
      <c r="D78" s="32"/>
      <c r="E78" s="32">
        <v>29.8</v>
      </c>
      <c r="F78" s="32"/>
      <c r="G78" s="32"/>
    </row>
    <row r="79" spans="2:10" x14ac:dyDescent="0.25">
      <c r="B79" s="42" t="s">
        <v>274</v>
      </c>
      <c r="C79" s="32">
        <v>7.5</v>
      </c>
      <c r="D79" s="32"/>
      <c r="E79" s="32">
        <v>-0.7</v>
      </c>
      <c r="F79" s="32"/>
      <c r="G79" s="32"/>
    </row>
    <row r="80" spans="2:10" x14ac:dyDescent="0.25">
      <c r="B80" s="42" t="s">
        <v>275</v>
      </c>
      <c r="C80" s="32">
        <v>0</v>
      </c>
      <c r="D80" s="32"/>
      <c r="E80" s="32">
        <v>91.8</v>
      </c>
      <c r="F80" s="32"/>
      <c r="G80" s="32"/>
    </row>
    <row r="81" spans="2:8" x14ac:dyDescent="0.25">
      <c r="B81" s="40" t="s">
        <v>276</v>
      </c>
      <c r="C81" s="39">
        <f>(C77-C80+C76)/C74</f>
        <v>0.18040031193137493</v>
      </c>
      <c r="D81" s="39"/>
      <c r="E81" s="39">
        <f>(E77-E80+E76)/E74</f>
        <v>0.19343418088187958</v>
      </c>
      <c r="F81" s="39"/>
      <c r="G81" s="39">
        <f>E81</f>
        <v>0.19343418088187958</v>
      </c>
    </row>
    <row r="82" spans="2:8" x14ac:dyDescent="0.25">
      <c r="B82" s="53" t="s">
        <v>22</v>
      </c>
      <c r="C82" s="54">
        <f>C74-C75</f>
        <v>315.30000000000041</v>
      </c>
      <c r="D82" s="54">
        <f>D74-D75</f>
        <v>146.70000000000005</v>
      </c>
      <c r="E82" s="54">
        <f>E74-E75</f>
        <v>158.8000000000001</v>
      </c>
      <c r="F82" s="54">
        <f>F74-F75</f>
        <v>101.70000000000003</v>
      </c>
      <c r="G82" s="54">
        <f ca="1">G74-G75</f>
        <v>297.91924132715258</v>
      </c>
    </row>
    <row r="83" spans="2:8" ht="18.75" x14ac:dyDescent="0.3">
      <c r="B83" s="50" t="s">
        <v>358</v>
      </c>
      <c r="C83" s="1"/>
      <c r="D83" s="1"/>
      <c r="E83" s="1"/>
      <c r="F83" s="1"/>
      <c r="G83" s="58"/>
    </row>
    <row r="84" spans="2:8" x14ac:dyDescent="0.25">
      <c r="B84" s="49" t="str">
        <f>B3</f>
        <v>(in millions of GBP, except unit data)</v>
      </c>
      <c r="C84" s="55" t="str">
        <f>C3</f>
        <v>FY19</v>
      </c>
      <c r="D84" s="55" t="str">
        <f t="shared" ref="D84:G84" si="0">D3</f>
        <v>FH19</v>
      </c>
      <c r="E84" s="55" t="str">
        <f t="shared" si="0"/>
        <v>FY20</v>
      </c>
      <c r="F84" s="55" t="str">
        <f t="shared" si="0"/>
        <v>FH20</v>
      </c>
      <c r="G84" s="55" t="str">
        <f t="shared" si="0"/>
        <v>FY21E</v>
      </c>
    </row>
    <row r="85" spans="2:8" x14ac:dyDescent="0.25">
      <c r="B85" s="77" t="s">
        <v>330</v>
      </c>
      <c r="C85" s="84"/>
      <c r="D85" s="84"/>
      <c r="E85" s="84"/>
      <c r="F85" s="84"/>
      <c r="G85" s="84"/>
    </row>
    <row r="86" spans="2:8" x14ac:dyDescent="0.25">
      <c r="B86" s="100" t="s">
        <v>23</v>
      </c>
      <c r="C86" s="84">
        <v>236.3</v>
      </c>
      <c r="D86" s="84">
        <v>237.8</v>
      </c>
      <c r="E86" s="84">
        <v>238</v>
      </c>
      <c r="F86" s="84">
        <v>238.1</v>
      </c>
      <c r="G86" s="84">
        <f>238887475/10^6</f>
        <v>238.88747499999999</v>
      </c>
    </row>
    <row r="87" spans="2:8" x14ac:dyDescent="0.25">
      <c r="B87" s="100" t="s">
        <v>24</v>
      </c>
      <c r="C87" s="84">
        <v>236.7</v>
      </c>
      <c r="D87" s="84">
        <v>238.5</v>
      </c>
      <c r="E87" s="84">
        <v>239.4</v>
      </c>
      <c r="F87" s="84">
        <v>239.2</v>
      </c>
      <c r="G87" s="84"/>
    </row>
    <row r="88" spans="2:8" x14ac:dyDescent="0.25">
      <c r="B88" s="100"/>
      <c r="C88" s="84"/>
      <c r="D88" s="84"/>
      <c r="E88" s="84"/>
      <c r="F88" s="84"/>
      <c r="G88" s="84"/>
    </row>
    <row r="89" spans="2:8" x14ac:dyDescent="0.25">
      <c r="B89" s="77" t="s">
        <v>336</v>
      </c>
      <c r="C89" s="84"/>
      <c r="D89" s="84"/>
      <c r="E89" s="84"/>
      <c r="F89" s="84"/>
      <c r="G89" s="84"/>
    </row>
    <row r="90" spans="2:8" x14ac:dyDescent="0.25">
      <c r="B90" s="100" t="s">
        <v>23</v>
      </c>
      <c r="C90" s="84">
        <f>C82/C86*100</f>
        <v>133.43207786711824</v>
      </c>
      <c r="D90" s="84">
        <v>61.7</v>
      </c>
      <c r="E90" s="84">
        <f t="shared" ref="E90:G90" si="1">E82/E86*100</f>
        <v>66.722689075630299</v>
      </c>
      <c r="F90" s="84">
        <v>42.7</v>
      </c>
      <c r="G90" s="84">
        <f t="shared" ca="1" si="1"/>
        <v>124.71111820624023</v>
      </c>
    </row>
    <row r="91" spans="2:8" x14ac:dyDescent="0.25">
      <c r="B91" s="100" t="s">
        <v>24</v>
      </c>
      <c r="C91" s="84">
        <f>C82/C87*100</f>
        <v>133.20659062103948</v>
      </c>
      <c r="D91" s="84">
        <v>61.5</v>
      </c>
      <c r="E91" s="84">
        <f t="shared" ref="E91" si="2">E82/E87*100</f>
        <v>66.332497911445316</v>
      </c>
      <c r="F91" s="84">
        <v>42.5</v>
      </c>
      <c r="G91" s="84"/>
    </row>
    <row r="92" spans="2:8" x14ac:dyDescent="0.25">
      <c r="B92" s="100"/>
      <c r="C92" s="84"/>
      <c r="D92" s="84"/>
      <c r="E92" s="103"/>
      <c r="F92" s="103"/>
      <c r="G92" s="84"/>
    </row>
    <row r="93" spans="2:8" x14ac:dyDescent="0.25">
      <c r="B93" s="77" t="s">
        <v>332</v>
      </c>
      <c r="C93" s="84">
        <f>C58</f>
        <v>563.30000000000041</v>
      </c>
      <c r="D93" s="84"/>
      <c r="E93" s="84">
        <f>E58</f>
        <v>568.20000000000005</v>
      </c>
      <c r="F93" s="84"/>
      <c r="G93" s="84">
        <f>G58</f>
        <v>553.92288451439731</v>
      </c>
    </row>
    <row r="94" spans="2:8" x14ac:dyDescent="0.25">
      <c r="B94" s="102" t="s">
        <v>333</v>
      </c>
      <c r="C94" s="101">
        <f>C93/C4</f>
        <v>0.31871675908113634</v>
      </c>
      <c r="D94" s="101"/>
      <c r="E94" s="101">
        <f>E93/E4</f>
        <v>0.30821806346623276</v>
      </c>
      <c r="F94" s="101"/>
      <c r="G94" s="101">
        <f>G93/G4</f>
        <v>0.29609669090706786</v>
      </c>
      <c r="H94" s="101"/>
    </row>
    <row r="95" spans="2:8" x14ac:dyDescent="0.25">
      <c r="B95" s="77" t="s">
        <v>331</v>
      </c>
      <c r="C95" s="84">
        <f>C93+C23+C34+C35</f>
        <v>909.20000000000039</v>
      </c>
      <c r="D95" s="84"/>
      <c r="E95" s="84">
        <f t="shared" ref="E95:G95" si="3">E93+E23+E34+E35</f>
        <v>935.10000000000014</v>
      </c>
      <c r="F95" s="84"/>
      <c r="G95" s="84">
        <f t="shared" si="3"/>
        <v>920.94631210867635</v>
      </c>
    </row>
    <row r="96" spans="2:8" x14ac:dyDescent="0.25">
      <c r="B96" s="102" t="s">
        <v>334</v>
      </c>
      <c r="C96" s="101">
        <f>C95/C4</f>
        <v>0.5144279732941045</v>
      </c>
      <c r="D96" s="101"/>
      <c r="E96" s="101">
        <f>E95/E4</f>
        <v>0.50724165988608627</v>
      </c>
      <c r="F96" s="101"/>
      <c r="G96" s="101">
        <f>G95/G4</f>
        <v>0.4922872174842583</v>
      </c>
    </row>
    <row r="97" spans="2:7" x14ac:dyDescent="0.25">
      <c r="B97" s="102"/>
      <c r="C97" s="101"/>
      <c r="D97" s="101"/>
      <c r="E97" s="101"/>
      <c r="F97" s="101"/>
      <c r="G97" s="101"/>
    </row>
    <row r="98" spans="2:7" x14ac:dyDescent="0.25">
      <c r="B98" s="77" t="s">
        <v>335</v>
      </c>
      <c r="C98" s="84">
        <f>C99+C100+C101+C102+C103-C104</f>
        <v>6190.9000000000005</v>
      </c>
      <c r="D98" s="84"/>
      <c r="E98" s="84">
        <f>E99+E100+E101+E102+E103-E104</f>
        <v>6537.4999999999991</v>
      </c>
      <c r="F98" s="84">
        <f>(F186+F180-F129)</f>
        <v>6418.6</v>
      </c>
      <c r="G98" s="84">
        <f ca="1">G99+G100+G101+G102+G103-G104</f>
        <v>6656.3309220196161</v>
      </c>
    </row>
    <row r="99" spans="2:7" x14ac:dyDescent="0.25">
      <c r="B99" s="77" t="s">
        <v>181</v>
      </c>
      <c r="C99" s="84">
        <f>C193</f>
        <v>1120.0999999999999</v>
      </c>
      <c r="D99" s="84"/>
      <c r="E99" s="84">
        <f>E193</f>
        <v>1251.9000000000001</v>
      </c>
      <c r="F99" s="84"/>
      <c r="G99" s="84">
        <f ca="1">G193</f>
        <v>1275.4365025031552</v>
      </c>
    </row>
    <row r="100" spans="2:7" x14ac:dyDescent="0.25">
      <c r="B100" s="77" t="s">
        <v>170</v>
      </c>
      <c r="C100" s="84">
        <f>C194</f>
        <v>4820.5</v>
      </c>
      <c r="D100" s="84"/>
      <c r="E100" s="84">
        <f>E194</f>
        <v>5058.5</v>
      </c>
      <c r="F100" s="84"/>
      <c r="G100" s="84">
        <f ca="1">G194</f>
        <v>5153.6029618277908</v>
      </c>
    </row>
    <row r="101" spans="2:7" x14ac:dyDescent="0.25">
      <c r="B101" s="77" t="s">
        <v>192</v>
      </c>
      <c r="C101" s="84">
        <f>C184+C190</f>
        <v>112.19999999999999</v>
      </c>
      <c r="D101" s="84"/>
      <c r="E101" s="84">
        <f>E184+E190</f>
        <v>122.7</v>
      </c>
      <c r="F101" s="84"/>
      <c r="G101" s="84">
        <f>G184+G190</f>
        <v>121.30240641711231</v>
      </c>
    </row>
    <row r="102" spans="2:7" x14ac:dyDescent="0.25">
      <c r="B102" s="88" t="s">
        <v>346</v>
      </c>
      <c r="C102" s="89">
        <v>37.1</v>
      </c>
      <c r="D102" s="89"/>
      <c r="E102" s="89">
        <v>60.4</v>
      </c>
      <c r="F102" s="89"/>
      <c r="G102" s="89">
        <v>60.4</v>
      </c>
    </row>
    <row r="103" spans="2:7" x14ac:dyDescent="0.25">
      <c r="B103" s="77" t="s">
        <v>347</v>
      </c>
      <c r="C103" s="84">
        <f>C166</f>
        <v>142</v>
      </c>
      <c r="D103" s="84"/>
      <c r="E103" s="84">
        <f>E166</f>
        <v>92.6</v>
      </c>
      <c r="F103" s="84"/>
      <c r="G103" s="84">
        <f>G166</f>
        <v>92.6</v>
      </c>
    </row>
    <row r="104" spans="2:7" x14ac:dyDescent="0.25">
      <c r="B104" s="77" t="s">
        <v>348</v>
      </c>
      <c r="C104" s="84">
        <f>C129</f>
        <v>41</v>
      </c>
      <c r="D104" s="84"/>
      <c r="E104" s="84">
        <f>E129</f>
        <v>48.6</v>
      </c>
      <c r="F104" s="84"/>
      <c r="G104" s="84">
        <f ca="1">G129</f>
        <v>47.01094872844287</v>
      </c>
    </row>
    <row r="105" spans="2:7" x14ac:dyDescent="0.25">
      <c r="B105" s="77" t="s">
        <v>374</v>
      </c>
      <c r="C105" s="109">
        <f>C98/(C98+C209)</f>
        <v>0.8417267165193747</v>
      </c>
      <c r="D105" s="109"/>
      <c r="E105" s="109">
        <f>E98/(E98+E209)</f>
        <v>0.8401660412275741</v>
      </c>
      <c r="F105" s="109">
        <f>F98/(F98+F209)</f>
        <v>0.86307466820852774</v>
      </c>
      <c r="G105" s="109">
        <f ca="1">G98/(G98+G209)</f>
        <v>0.82806582147841656</v>
      </c>
    </row>
    <row r="106" spans="2:7" x14ac:dyDescent="0.25">
      <c r="B106" s="77"/>
      <c r="C106" s="109"/>
      <c r="D106" s="109"/>
      <c r="E106" s="109"/>
      <c r="F106" s="109"/>
      <c r="G106" s="109"/>
    </row>
    <row r="107" spans="2:7" x14ac:dyDescent="0.25">
      <c r="B107" s="77" t="s">
        <v>375</v>
      </c>
      <c r="C107" s="109">
        <f t="shared" ref="C107:E107" si="4">C98/C209</f>
        <v>5.3181857228760423</v>
      </c>
      <c r="D107" s="109"/>
      <c r="E107" s="109">
        <f t="shared" si="4"/>
        <v>5.2564927233255609</v>
      </c>
      <c r="F107" s="109">
        <f>F98/F209</f>
        <v>6.3032505155651579</v>
      </c>
      <c r="G107" s="109">
        <f ca="1">G98/G209</f>
        <v>4.8161792413744386</v>
      </c>
    </row>
    <row r="108" spans="2:7" x14ac:dyDescent="0.25">
      <c r="B108" s="77"/>
      <c r="C108" s="109"/>
      <c r="D108" s="109"/>
      <c r="E108" s="109"/>
      <c r="F108" s="109"/>
      <c r="G108" s="109"/>
    </row>
    <row r="109" spans="2:7" x14ac:dyDescent="0.25">
      <c r="B109" s="77" t="s">
        <v>353</v>
      </c>
      <c r="C109" s="116">
        <v>9166</v>
      </c>
      <c r="D109" s="116"/>
      <c r="E109" s="116">
        <v>9505</v>
      </c>
      <c r="F109" s="116"/>
      <c r="G109" s="116">
        <v>9402.7119999999995</v>
      </c>
    </row>
    <row r="110" spans="2:7" x14ac:dyDescent="0.25">
      <c r="B110" s="102" t="s">
        <v>354</v>
      </c>
      <c r="C110" s="101"/>
      <c r="D110" s="101"/>
      <c r="E110" s="101"/>
      <c r="F110" s="101"/>
      <c r="G110" s="115">
        <f>POWER(1+3.8%,1/5)-1</f>
        <v>7.4870457591460493E-3</v>
      </c>
    </row>
    <row r="111" spans="2:7" x14ac:dyDescent="0.25">
      <c r="B111" s="117" t="s">
        <v>355</v>
      </c>
      <c r="C111" s="109">
        <f>C98/C109</f>
        <v>0.6754200305476763</v>
      </c>
      <c r="D111" s="109"/>
      <c r="E111" s="109">
        <f>E98/E109</f>
        <v>0.68779589689637022</v>
      </c>
      <c r="F111" s="109"/>
      <c r="G111" s="109">
        <f ca="1">G98/G109</f>
        <v>0.70791606953606756</v>
      </c>
    </row>
    <row r="112" spans="2:7" x14ac:dyDescent="0.25">
      <c r="B112" s="117" t="s">
        <v>371</v>
      </c>
      <c r="C112" s="109">
        <v>0.63</v>
      </c>
      <c r="D112" s="109"/>
      <c r="E112" s="109">
        <v>0.64900000000000002</v>
      </c>
      <c r="F112" s="109">
        <v>0.66100000000000003</v>
      </c>
      <c r="G112" s="109"/>
    </row>
    <row r="113" spans="2:17" x14ac:dyDescent="0.25">
      <c r="B113" s="117"/>
      <c r="C113" s="109"/>
      <c r="D113" s="109"/>
      <c r="E113" s="109"/>
      <c r="F113" s="109"/>
      <c r="G113" s="109"/>
    </row>
    <row r="114" spans="2:17" x14ac:dyDescent="0.25">
      <c r="B114" s="117" t="s">
        <v>356</v>
      </c>
      <c r="C114" s="116">
        <f>C58+(-C249)+(-C262)</f>
        <v>1380.5000000000005</v>
      </c>
      <c r="D114" s="116"/>
      <c r="E114" s="116">
        <f>E58+(-E249)+(-E262)</f>
        <v>1420.2</v>
      </c>
      <c r="F114" s="116"/>
      <c r="G114" s="116">
        <f>G58+(-G249)+(-G262)</f>
        <v>1169.8285530796265</v>
      </c>
    </row>
    <row r="115" spans="2:17" x14ac:dyDescent="0.25">
      <c r="B115" s="100" t="s">
        <v>357</v>
      </c>
      <c r="C115" s="109"/>
      <c r="D115" s="109"/>
      <c r="E115" s="109"/>
      <c r="F115" s="109"/>
      <c r="G115" s="116">
        <v>1226.2</v>
      </c>
    </row>
    <row r="116" spans="2:17" x14ac:dyDescent="0.25">
      <c r="B116" s="117"/>
      <c r="C116" s="109"/>
      <c r="D116" s="109"/>
      <c r="E116" s="109"/>
      <c r="F116" s="109"/>
      <c r="G116" s="109"/>
    </row>
    <row r="117" spans="2:17" x14ac:dyDescent="0.25">
      <c r="B117" s="117" t="s">
        <v>359</v>
      </c>
      <c r="C117" s="109">
        <v>8.1000000000000003E-2</v>
      </c>
      <c r="D117" s="109"/>
      <c r="E117" s="109">
        <v>6.7000000000000004E-2</v>
      </c>
      <c r="F117" s="109"/>
      <c r="G117" s="109"/>
    </row>
    <row r="118" spans="2:17" x14ac:dyDescent="0.25">
      <c r="B118" s="77"/>
      <c r="C118" s="84"/>
      <c r="D118" s="84"/>
      <c r="E118" s="84"/>
      <c r="F118" s="84"/>
      <c r="G118" s="84"/>
    </row>
    <row r="119" spans="2:17" x14ac:dyDescent="0.25">
      <c r="B119" s="77" t="s">
        <v>341</v>
      </c>
      <c r="C119" s="84">
        <f>px_hist!D18</f>
        <v>237.95400000000001</v>
      </c>
      <c r="D119" s="84"/>
      <c r="E119" s="84">
        <f>px_hist!D6</f>
        <v>238.881</v>
      </c>
      <c r="F119" s="84"/>
      <c r="G119" s="84">
        <f>G86</f>
        <v>238.88747499999999</v>
      </c>
    </row>
    <row r="120" spans="2:17" x14ac:dyDescent="0.25">
      <c r="B120" s="77" t="s">
        <v>343</v>
      </c>
      <c r="C120" s="84">
        <f>px_hist!C18</f>
        <v>2280</v>
      </c>
      <c r="D120" s="84"/>
      <c r="E120" s="84">
        <f>px_hist!C6</f>
        <v>2306</v>
      </c>
      <c r="F120" s="84"/>
      <c r="G120" s="84">
        <v>2500</v>
      </c>
    </row>
    <row r="121" spans="2:17" x14ac:dyDescent="0.25">
      <c r="B121" s="77" t="s">
        <v>344</v>
      </c>
      <c r="C121" s="110">
        <f>-C272/C119*100</f>
        <v>89.050824949359964</v>
      </c>
      <c r="D121" s="110"/>
      <c r="E121" s="110">
        <f>-E272/E119*100</f>
        <v>95.61245976029906</v>
      </c>
      <c r="F121" s="110"/>
      <c r="G121" s="110">
        <v>101.58</v>
      </c>
      <c r="Q121" s="106"/>
    </row>
    <row r="122" spans="2:17" x14ac:dyDescent="0.25">
      <c r="B122" s="77" t="s">
        <v>342</v>
      </c>
      <c r="C122" s="109">
        <f>C121/C120</f>
        <v>3.905737936375437E-2</v>
      </c>
      <c r="D122" s="109"/>
      <c r="E122" s="109">
        <f>E121/E120</f>
        <v>4.1462471708715982E-2</v>
      </c>
      <c r="F122" s="109"/>
      <c r="G122" s="109">
        <f>G121/G120</f>
        <v>4.0632000000000001E-2</v>
      </c>
    </row>
    <row r="123" spans="2:17" x14ac:dyDescent="0.25">
      <c r="B123" s="77"/>
      <c r="C123" s="109"/>
      <c r="D123" s="109"/>
      <c r="E123" s="109"/>
      <c r="F123" s="109"/>
      <c r="G123" s="109"/>
    </row>
    <row r="124" spans="2:17" x14ac:dyDescent="0.25">
      <c r="B124" s="118" t="s">
        <v>361</v>
      </c>
      <c r="C124" s="119">
        <f>C281+C246+C268+C269+C270+C271+C272+C273+C275+C276+C277+C278</f>
        <v>-514.59999999999968</v>
      </c>
      <c r="D124" s="119"/>
      <c r="E124" s="119">
        <f>E281+E246+E268+E269+E270+E271+E272+E273+E275+E276+E277+E278</f>
        <v>-281.49999999999949</v>
      </c>
      <c r="F124" s="119"/>
      <c r="G124" s="119">
        <f ca="1">G281+G246+G268+G269+G270+G271+G272+G273+G275+G276+G277+G278</f>
        <v>-717.12851560250419</v>
      </c>
    </row>
    <row r="125" spans="2:17" x14ac:dyDescent="0.25">
      <c r="B125" s="77"/>
      <c r="C125" s="109"/>
      <c r="D125" s="109"/>
      <c r="E125" s="109"/>
      <c r="F125" s="109"/>
      <c r="G125" s="109"/>
    </row>
    <row r="126" spans="2:17" x14ac:dyDescent="0.25">
      <c r="B126" s="77" t="s">
        <v>360</v>
      </c>
      <c r="C126" s="109">
        <f>C120/100*C119/C109</f>
        <v>0.59189954178485704</v>
      </c>
      <c r="D126" s="109"/>
      <c r="E126" s="109">
        <f>E120/100*E119/E109</f>
        <v>0.57954717096265118</v>
      </c>
      <c r="F126" s="109"/>
      <c r="G126" s="109">
        <f>G120/100*G119/G109</f>
        <v>0.63515578005579665</v>
      </c>
    </row>
    <row r="127" spans="2:17" ht="18.75" x14ac:dyDescent="0.3">
      <c r="B127" s="50" t="s">
        <v>25</v>
      </c>
      <c r="C127" s="1"/>
      <c r="D127" s="1"/>
      <c r="E127" s="1"/>
      <c r="F127" s="1"/>
      <c r="G127" s="58"/>
    </row>
    <row r="128" spans="2:17" x14ac:dyDescent="0.25">
      <c r="B128" s="49" t="str">
        <f>B3</f>
        <v>(in millions of GBP, except unit data)</v>
      </c>
      <c r="C128" s="55" t="str">
        <f>C3</f>
        <v>FY19</v>
      </c>
      <c r="D128" s="55" t="str">
        <f t="shared" ref="D128:G128" si="5">D3</f>
        <v>FH19</v>
      </c>
      <c r="E128" s="55" t="str">
        <f t="shared" si="5"/>
        <v>FY20</v>
      </c>
      <c r="F128" s="55" t="str">
        <f t="shared" si="5"/>
        <v>FH20</v>
      </c>
      <c r="G128" s="55" t="str">
        <f t="shared" si="5"/>
        <v>FY21E</v>
      </c>
      <c r="I128" s="3"/>
    </row>
    <row r="129" spans="2:10" x14ac:dyDescent="0.25">
      <c r="B129" s="2" t="s">
        <v>28</v>
      </c>
      <c r="C129" s="3">
        <v>41</v>
      </c>
      <c r="D129" s="3">
        <v>23.8</v>
      </c>
      <c r="E129" s="3">
        <v>48.6</v>
      </c>
      <c r="F129" s="3">
        <v>22.7</v>
      </c>
      <c r="G129" s="3">
        <f ca="1">G282</f>
        <v>47.01094872844287</v>
      </c>
      <c r="I129" s="3"/>
    </row>
    <row r="130" spans="2:10" x14ac:dyDescent="0.25">
      <c r="B130" s="31" t="s">
        <v>349</v>
      </c>
      <c r="C130" s="32">
        <v>41</v>
      </c>
      <c r="D130" s="32"/>
      <c r="E130" s="32">
        <v>37.299999999999997</v>
      </c>
      <c r="F130" s="32"/>
      <c r="G130" s="32"/>
      <c r="I130" s="3"/>
    </row>
    <row r="131" spans="2:10" x14ac:dyDescent="0.25">
      <c r="B131" s="113" t="s">
        <v>352</v>
      </c>
      <c r="C131" s="114">
        <v>14.7</v>
      </c>
      <c r="D131" s="114"/>
      <c r="E131" s="114">
        <v>17.5</v>
      </c>
      <c r="F131" s="114"/>
      <c r="G131" s="114"/>
      <c r="I131" s="3"/>
    </row>
    <row r="132" spans="2:10" x14ac:dyDescent="0.25">
      <c r="B132" s="31" t="s">
        <v>350</v>
      </c>
      <c r="C132" s="32"/>
      <c r="D132" s="32"/>
      <c r="E132" s="32">
        <v>11.3</v>
      </c>
      <c r="F132" s="32"/>
      <c r="G132" s="32"/>
      <c r="I132" s="3"/>
    </row>
    <row r="133" spans="2:10" x14ac:dyDescent="0.25">
      <c r="B133" s="113" t="s">
        <v>351</v>
      </c>
      <c r="C133" s="114"/>
      <c r="D133" s="114"/>
      <c r="E133" s="114">
        <v>4.3</v>
      </c>
      <c r="F133" s="114"/>
      <c r="G133" s="114"/>
      <c r="I133" s="3"/>
    </row>
    <row r="134" spans="2:10" x14ac:dyDescent="0.25">
      <c r="B134" s="68" t="s">
        <v>27</v>
      </c>
      <c r="C134" s="69">
        <v>0.1</v>
      </c>
      <c r="D134" s="69">
        <v>1.1000000000000001</v>
      </c>
      <c r="E134" s="69"/>
      <c r="F134" s="69">
        <v>1.7</v>
      </c>
      <c r="G134" s="69">
        <f>F134</f>
        <v>1.7</v>
      </c>
      <c r="I134" s="3"/>
    </row>
    <row r="135" spans="2:10" x14ac:dyDescent="0.25">
      <c r="B135" s="68" t="s">
        <v>202</v>
      </c>
      <c r="C135" s="69"/>
      <c r="D135" s="69"/>
      <c r="E135" s="69">
        <v>3.1</v>
      </c>
      <c r="F135" s="69"/>
      <c r="G135" s="69"/>
      <c r="I135" s="3"/>
    </row>
    <row r="136" spans="2:10" x14ac:dyDescent="0.25">
      <c r="B136" s="2" t="s">
        <v>26</v>
      </c>
      <c r="C136" s="3">
        <f>C137+C139+C141+C142+C143</f>
        <v>513.5</v>
      </c>
      <c r="D136" s="3">
        <v>650.29999999999995</v>
      </c>
      <c r="E136" s="3">
        <f>E137+E139+E141+E142+E143</f>
        <v>525.5</v>
      </c>
      <c r="F136" s="3">
        <v>528</v>
      </c>
      <c r="G136" s="3">
        <f>G137+G139+G141+G142+G143</f>
        <v>549.94529427719021</v>
      </c>
      <c r="I136" s="3"/>
    </row>
    <row r="137" spans="2:10" x14ac:dyDescent="0.25">
      <c r="B137" s="31" t="s">
        <v>174</v>
      </c>
      <c r="C137" s="32">
        <v>221.5</v>
      </c>
      <c r="D137" s="32"/>
      <c r="E137" s="32">
        <v>220.1</v>
      </c>
      <c r="F137" s="32"/>
      <c r="G137" s="32">
        <f>G4/G138</f>
        <v>224.0637917005696</v>
      </c>
      <c r="I137" s="3"/>
    </row>
    <row r="138" spans="2:10" x14ac:dyDescent="0.25">
      <c r="B138" s="38" t="s">
        <v>178</v>
      </c>
      <c r="C138" s="43"/>
      <c r="D138" s="43"/>
      <c r="E138" s="43">
        <f>E4/AVERAGE(C137,E137)</f>
        <v>8.3491847826086953</v>
      </c>
      <c r="F138" s="43"/>
      <c r="G138" s="43">
        <f>E138</f>
        <v>8.3491847826086953</v>
      </c>
      <c r="I138" s="3"/>
    </row>
    <row r="139" spans="2:10" x14ac:dyDescent="0.25">
      <c r="B139" s="31" t="s">
        <v>309</v>
      </c>
      <c r="C139" s="32">
        <v>48.9</v>
      </c>
      <c r="D139" s="32"/>
      <c r="E139" s="32">
        <v>46.9</v>
      </c>
      <c r="F139" s="32"/>
      <c r="G139" s="32">
        <f>G4*G140</f>
        <v>48.608041768375379</v>
      </c>
      <c r="I139" s="3"/>
    </row>
    <row r="140" spans="2:10" x14ac:dyDescent="0.25">
      <c r="B140" s="38" t="s">
        <v>144</v>
      </c>
      <c r="C140" s="39"/>
      <c r="D140" s="39"/>
      <c r="E140" s="39">
        <f>AVERAGE(C139,E139)/E4</f>
        <v>2.5983184160564145E-2</v>
      </c>
      <c r="F140" s="39"/>
      <c r="G140" s="39">
        <f>E140</f>
        <v>2.5983184160564145E-2</v>
      </c>
      <c r="I140" s="3"/>
      <c r="J140" s="3"/>
    </row>
    <row r="141" spans="2:10" x14ac:dyDescent="0.25">
      <c r="B141" s="80" t="s">
        <v>175</v>
      </c>
      <c r="C141" s="81">
        <v>3.2</v>
      </c>
      <c r="D141" s="81"/>
      <c r="E141" s="81">
        <v>0.7</v>
      </c>
      <c r="F141" s="81"/>
      <c r="G141" s="81">
        <f>E141</f>
        <v>0.7</v>
      </c>
      <c r="I141" s="3"/>
    </row>
    <row r="142" spans="2:10" x14ac:dyDescent="0.25">
      <c r="B142" s="31" t="s">
        <v>176</v>
      </c>
      <c r="C142" s="32">
        <v>16.600000000000001</v>
      </c>
      <c r="D142" s="32"/>
      <c r="E142" s="32">
        <v>16</v>
      </c>
      <c r="F142" s="32"/>
      <c r="G142" s="32">
        <f>E142</f>
        <v>16</v>
      </c>
      <c r="I142" s="3"/>
    </row>
    <row r="143" spans="2:10" x14ac:dyDescent="0.25">
      <c r="B143" s="31" t="s">
        <v>310</v>
      </c>
      <c r="C143" s="32">
        <v>223.3</v>
      </c>
      <c r="D143" s="32"/>
      <c r="E143" s="32">
        <v>241.8</v>
      </c>
      <c r="F143" s="32"/>
      <c r="G143" s="32">
        <f>E143+G4*G144</f>
        <v>260.57346080824522</v>
      </c>
      <c r="I143" s="3"/>
    </row>
    <row r="144" spans="2:10" x14ac:dyDescent="0.25">
      <c r="B144" s="38" t="s">
        <v>179</v>
      </c>
      <c r="C144" s="39"/>
      <c r="D144" s="39"/>
      <c r="E144" s="39">
        <f>(E143-C143)/E4</f>
        <v>1.0035259018171955E-2</v>
      </c>
      <c r="F144" s="39"/>
      <c r="G144" s="39">
        <f>E144</f>
        <v>1.0035259018171955E-2</v>
      </c>
      <c r="I144" s="3"/>
    </row>
    <row r="145" spans="2:9" x14ac:dyDescent="0.25">
      <c r="B145" s="2" t="s">
        <v>29</v>
      </c>
      <c r="C145" s="3">
        <v>20.8</v>
      </c>
      <c r="D145" s="3">
        <v>21.6</v>
      </c>
      <c r="E145" s="3">
        <v>29.2</v>
      </c>
      <c r="F145" s="3">
        <v>28.4</v>
      </c>
      <c r="G145" s="3">
        <f>G15/G146</f>
        <v>24.219455745411818</v>
      </c>
      <c r="I145" s="3"/>
    </row>
    <row r="146" spans="2:9" x14ac:dyDescent="0.25">
      <c r="B146" s="27" t="s">
        <v>217</v>
      </c>
      <c r="C146" s="52"/>
      <c r="D146" s="52"/>
      <c r="E146" s="52">
        <f>E15/AVERAGE(C145:E145)</f>
        <v>2.8659217877094969</v>
      </c>
      <c r="F146" s="52"/>
      <c r="G146" s="52">
        <f>E146</f>
        <v>2.8659217877094969</v>
      </c>
      <c r="I146" s="3"/>
    </row>
    <row r="147" spans="2:9" x14ac:dyDescent="0.25">
      <c r="B147" s="53" t="s">
        <v>243</v>
      </c>
      <c r="C147" s="54">
        <f>C129+C134+C135+C136+C145</f>
        <v>575.4</v>
      </c>
      <c r="D147" s="54">
        <f>D129+D134+D135+D136+D145</f>
        <v>696.8</v>
      </c>
      <c r="E147" s="54">
        <f>E129+E134+E135+E136+E145</f>
        <v>606.40000000000009</v>
      </c>
      <c r="F147" s="54">
        <f>F129+F134+F135+F136+F145</f>
        <v>580.79999999999995</v>
      </c>
      <c r="G147" s="54">
        <f ca="1">G129+G134+G135+G136+G145</f>
        <v>622.87569875104487</v>
      </c>
      <c r="I147" s="3"/>
    </row>
    <row r="148" spans="2:9" x14ac:dyDescent="0.25">
      <c r="B148" s="2" t="s">
        <v>30</v>
      </c>
      <c r="C148" s="3">
        <v>90.9</v>
      </c>
      <c r="D148" s="3">
        <v>91.4</v>
      </c>
      <c r="E148" s="3">
        <v>91.4</v>
      </c>
      <c r="F148" s="3">
        <v>91.4</v>
      </c>
      <c r="G148" s="3">
        <f>E148</f>
        <v>91.4</v>
      </c>
      <c r="I148" s="3"/>
    </row>
    <row r="149" spans="2:9" x14ac:dyDescent="0.25">
      <c r="B149" s="2" t="s">
        <v>31</v>
      </c>
      <c r="C149" s="3">
        <v>124.2</v>
      </c>
      <c r="D149" s="3">
        <v>119</v>
      </c>
      <c r="E149" s="3">
        <v>153.80000000000001</v>
      </c>
      <c r="F149" s="3">
        <v>163.80000000000001</v>
      </c>
      <c r="G149" s="3">
        <f>E149+(-G262)-G231</f>
        <v>196.31935177651206</v>
      </c>
      <c r="I149" s="3"/>
    </row>
    <row r="150" spans="2:9" x14ac:dyDescent="0.25">
      <c r="B150" s="2" t="s">
        <v>32</v>
      </c>
      <c r="C150" s="3">
        <v>9085.6</v>
      </c>
      <c r="D150" s="3">
        <v>9250.5</v>
      </c>
      <c r="E150" s="3">
        <v>9580.7999999999993</v>
      </c>
      <c r="F150" s="3">
        <v>9666.7000000000007</v>
      </c>
      <c r="G150" s="3">
        <f>+G151+G152+G153+G154+G155</f>
        <v>9788.5604827773241</v>
      </c>
      <c r="I150" s="3"/>
    </row>
    <row r="151" spans="2:9" x14ac:dyDescent="0.25">
      <c r="B151" s="31" t="s">
        <v>266</v>
      </c>
      <c r="C151" s="32">
        <v>2210.3000000000002</v>
      </c>
      <c r="D151" s="32"/>
      <c r="E151" s="32">
        <v>2302.6</v>
      </c>
      <c r="F151" s="32"/>
      <c r="G151" s="32">
        <f>E151+(-G251)-G225</f>
        <v>2262.4673900609741</v>
      </c>
      <c r="I151" s="3"/>
    </row>
    <row r="152" spans="2:9" x14ac:dyDescent="0.25">
      <c r="B152" s="31" t="s">
        <v>146</v>
      </c>
      <c r="C152" s="32">
        <v>4038.4</v>
      </c>
      <c r="D152" s="32"/>
      <c r="E152" s="32">
        <v>4104.1000000000004</v>
      </c>
      <c r="F152" s="32"/>
      <c r="G152" s="32">
        <f>E152+(-G253)-G226</f>
        <v>4156.2337249047596</v>
      </c>
      <c r="I152" s="3"/>
    </row>
    <row r="153" spans="2:9" x14ac:dyDescent="0.25">
      <c r="B153" s="31" t="s">
        <v>147</v>
      </c>
      <c r="C153" s="32">
        <v>1524.3</v>
      </c>
      <c r="D153" s="32"/>
      <c r="E153" s="32">
        <v>1650.1</v>
      </c>
      <c r="F153" s="32"/>
      <c r="G153" s="32">
        <f>E153+(-G255)-G227</f>
        <v>1551.0735533532379</v>
      </c>
      <c r="I153" s="3"/>
    </row>
    <row r="154" spans="2:9" x14ac:dyDescent="0.25">
      <c r="B154" s="31" t="s">
        <v>148</v>
      </c>
      <c r="C154" s="32">
        <v>28.6</v>
      </c>
      <c r="D154" s="32"/>
      <c r="E154" s="32">
        <v>31.2</v>
      </c>
      <c r="F154" s="32"/>
      <c r="G154" s="32">
        <f>MAX(E154+(-G257)-G228,0)</f>
        <v>29.776609437433116</v>
      </c>
      <c r="I154" s="3"/>
    </row>
    <row r="155" spans="2:9" x14ac:dyDescent="0.25">
      <c r="B155" s="31" t="s">
        <v>149</v>
      </c>
      <c r="C155" s="32">
        <v>1284</v>
      </c>
      <c r="D155" s="32"/>
      <c r="E155" s="32">
        <v>1492.8</v>
      </c>
      <c r="F155" s="32"/>
      <c r="G155" s="32">
        <f>E155+(-G259)-G229</f>
        <v>1789.0092050209205</v>
      </c>
      <c r="I155" s="3"/>
    </row>
    <row r="156" spans="2:9" x14ac:dyDescent="0.25">
      <c r="B156" s="2" t="s">
        <v>203</v>
      </c>
      <c r="C156" s="3"/>
      <c r="D156" s="3">
        <v>129.80000000000001</v>
      </c>
      <c r="E156" s="3">
        <v>128.80000000000001</v>
      </c>
      <c r="F156" s="3">
        <v>127.4</v>
      </c>
      <c r="G156" s="3">
        <f>E156-G230</f>
        <v>127.40240641711232</v>
      </c>
      <c r="I156" s="3"/>
    </row>
    <row r="157" spans="2:9" x14ac:dyDescent="0.25">
      <c r="B157" s="68" t="s">
        <v>33</v>
      </c>
      <c r="C157" s="69">
        <v>37</v>
      </c>
      <c r="D157" s="69">
        <v>27.7</v>
      </c>
      <c r="E157" s="69"/>
      <c r="F157" s="69"/>
      <c r="G157" s="69"/>
      <c r="I157" s="3"/>
    </row>
    <row r="158" spans="2:9" x14ac:dyDescent="0.25">
      <c r="B158" s="68" t="s">
        <v>27</v>
      </c>
      <c r="C158" s="69">
        <v>68.400000000000006</v>
      </c>
      <c r="D158" s="69">
        <v>68.099999999999994</v>
      </c>
      <c r="E158" s="69">
        <v>65.5</v>
      </c>
      <c r="F158" s="69">
        <v>62</v>
      </c>
      <c r="G158" s="69">
        <f>F158</f>
        <v>62</v>
      </c>
      <c r="I158" s="3"/>
    </row>
    <row r="159" spans="2:9" x14ac:dyDescent="0.25">
      <c r="B159" s="2" t="s">
        <v>306</v>
      </c>
      <c r="C159" s="3">
        <f>C160+C162+C164+C166</f>
        <v>204</v>
      </c>
      <c r="D159" s="3">
        <v>60.9</v>
      </c>
      <c r="E159" s="3">
        <f>E160+E162+E164+E166</f>
        <v>153.69999999999999</v>
      </c>
      <c r="F159" s="3">
        <v>136.4</v>
      </c>
      <c r="G159" s="3">
        <f>G160+G162+G164+G166</f>
        <v>154.14999999999998</v>
      </c>
      <c r="I159" s="3"/>
    </row>
    <row r="160" spans="2:9" x14ac:dyDescent="0.25">
      <c r="B160" s="31" t="s">
        <v>307</v>
      </c>
      <c r="C160" s="32">
        <v>15.7</v>
      </c>
      <c r="D160" s="32"/>
      <c r="E160" s="32">
        <v>11.1</v>
      </c>
      <c r="F160" s="32"/>
      <c r="G160" s="32">
        <f>E4*G161</f>
        <v>13.399999999999999</v>
      </c>
      <c r="I160" s="3"/>
    </row>
    <row r="161" spans="2:10" x14ac:dyDescent="0.25">
      <c r="B161" s="38" t="s">
        <v>144</v>
      </c>
      <c r="C161" s="39"/>
      <c r="D161" s="39"/>
      <c r="E161" s="39">
        <f>AVERAGE(C160,E160)/E4</f>
        <v>7.2687822077569832E-3</v>
      </c>
      <c r="F161" s="39"/>
      <c r="G161" s="39">
        <f>E161</f>
        <v>7.2687822077569832E-3</v>
      </c>
      <c r="I161" s="3"/>
    </row>
    <row r="162" spans="2:10" x14ac:dyDescent="0.25">
      <c r="B162" s="31" t="s">
        <v>176</v>
      </c>
      <c r="C162" s="32">
        <v>14.4</v>
      </c>
      <c r="D162" s="32"/>
      <c r="E162" s="32">
        <v>14.1</v>
      </c>
      <c r="F162" s="32"/>
      <c r="G162" s="32">
        <f>E4*G163</f>
        <v>14.25</v>
      </c>
      <c r="I162" s="3"/>
    </row>
    <row r="163" spans="2:10" x14ac:dyDescent="0.25">
      <c r="B163" s="38" t="s">
        <v>144</v>
      </c>
      <c r="C163" s="39"/>
      <c r="D163" s="39"/>
      <c r="E163" s="39">
        <f>AVERAGE(C162,E162)/E4</f>
        <v>7.7298616761594793E-3</v>
      </c>
      <c r="F163" s="39"/>
      <c r="G163" s="39">
        <f>E163</f>
        <v>7.7298616761594793E-3</v>
      </c>
      <c r="I163" s="3"/>
    </row>
    <row r="164" spans="2:10" x14ac:dyDescent="0.25">
      <c r="B164" s="31" t="s">
        <v>175</v>
      </c>
      <c r="C164" s="32">
        <v>31.9</v>
      </c>
      <c r="D164" s="32"/>
      <c r="E164" s="32">
        <v>35.9</v>
      </c>
      <c r="F164" s="32"/>
      <c r="G164" s="32">
        <f>E4*G165</f>
        <v>33.9</v>
      </c>
      <c r="I164" s="3"/>
    </row>
    <row r="165" spans="2:10" x14ac:dyDescent="0.25">
      <c r="B165" s="38" t="s">
        <v>144</v>
      </c>
      <c r="C165" s="39"/>
      <c r="D165" s="39"/>
      <c r="E165" s="39">
        <f>AVERAGE(C164,E164)/E4</f>
        <v>1.8388934092758338E-2</v>
      </c>
      <c r="F165" s="39"/>
      <c r="G165" s="39">
        <f>E165</f>
        <v>1.8388934092758338E-2</v>
      </c>
      <c r="I165" s="3"/>
    </row>
    <row r="166" spans="2:10" x14ac:dyDescent="0.25">
      <c r="B166" s="31" t="s">
        <v>177</v>
      </c>
      <c r="C166" s="32">
        <v>142</v>
      </c>
      <c r="D166" s="32"/>
      <c r="E166" s="32">
        <v>92.6</v>
      </c>
      <c r="F166" s="32"/>
      <c r="G166" s="32">
        <f>E166-(-G71)</f>
        <v>92.6</v>
      </c>
      <c r="I166" s="3"/>
    </row>
    <row r="167" spans="2:10" x14ac:dyDescent="0.25">
      <c r="B167" s="2" t="s">
        <v>35</v>
      </c>
      <c r="C167" s="3">
        <v>18.600000000000001</v>
      </c>
      <c r="D167" s="3">
        <v>20.399999999999999</v>
      </c>
      <c r="E167" s="3">
        <v>21.3</v>
      </c>
      <c r="F167" s="3">
        <v>16.7</v>
      </c>
      <c r="G167" s="3">
        <f>pension!E49</f>
        <v>21.3</v>
      </c>
      <c r="I167" s="3"/>
    </row>
    <row r="168" spans="2:10" x14ac:dyDescent="0.25">
      <c r="B168" s="53" t="s">
        <v>34</v>
      </c>
      <c r="C168" s="54">
        <f>C147+C148+C149+C150+C156+C157+C158+C159+C167</f>
        <v>10204.1</v>
      </c>
      <c r="D168" s="54">
        <f>D147+D148+D149+D150+D156+D157+D158+D159+D167</f>
        <v>10464.6</v>
      </c>
      <c r="E168" s="54">
        <f>E147+E148+E149+E150+E156+E157+E158+E159+E167</f>
        <v>10801.699999999999</v>
      </c>
      <c r="F168" s="54">
        <f>F147+F148+F149+F150+F156+F157+F158+F159+F167</f>
        <v>10845.2</v>
      </c>
      <c r="G168" s="54">
        <f ca="1">G147+G148+G149+G150+G156+G157+G158+G159+G167</f>
        <v>11064.007939721992</v>
      </c>
      <c r="I168" s="3"/>
    </row>
    <row r="169" spans="2:10" x14ac:dyDescent="0.25">
      <c r="B169" s="2" t="s">
        <v>39</v>
      </c>
      <c r="C169" s="3">
        <v>32.200000000000003</v>
      </c>
      <c r="D169" s="3">
        <v>23.5</v>
      </c>
      <c r="E169" s="3">
        <v>18.899999999999999</v>
      </c>
      <c r="F169" s="3">
        <v>16.5</v>
      </c>
      <c r="G169" s="3">
        <f>F169</f>
        <v>16.5</v>
      </c>
      <c r="I169" s="3"/>
      <c r="J169" s="3"/>
    </row>
    <row r="170" spans="2:10" x14ac:dyDescent="0.25">
      <c r="B170" s="68" t="s">
        <v>38</v>
      </c>
      <c r="C170" s="69">
        <v>9.3000000000000007</v>
      </c>
      <c r="D170" s="69">
        <v>0.2</v>
      </c>
      <c r="E170" s="69"/>
      <c r="F170" s="69">
        <v>2.6</v>
      </c>
      <c r="G170" s="69"/>
      <c r="I170" s="3"/>
    </row>
    <row r="171" spans="2:10" x14ac:dyDescent="0.25">
      <c r="B171" s="2" t="s">
        <v>37</v>
      </c>
      <c r="C171" s="3">
        <v>496.7</v>
      </c>
      <c r="D171" s="3">
        <v>546.5</v>
      </c>
      <c r="E171" s="3">
        <v>573.6</v>
      </c>
      <c r="F171" s="3">
        <v>609.4</v>
      </c>
      <c r="G171" s="3">
        <f>G172+G174+G175+G176+G177</f>
        <v>573.6</v>
      </c>
      <c r="I171" s="3"/>
    </row>
    <row r="172" spans="2:10" x14ac:dyDescent="0.25">
      <c r="B172" s="31" t="s">
        <v>313</v>
      </c>
      <c r="C172" s="32">
        <v>32.200000000000003</v>
      </c>
      <c r="D172" s="32"/>
      <c r="E172" s="32">
        <v>45.4</v>
      </c>
      <c r="F172" s="32"/>
      <c r="G172" s="32">
        <f>E15/G173</f>
        <v>38.799999999999997</v>
      </c>
      <c r="I172" s="3"/>
    </row>
    <row r="173" spans="2:10" x14ac:dyDescent="0.25">
      <c r="B173" s="38" t="s">
        <v>210</v>
      </c>
      <c r="C173" s="43"/>
      <c r="D173" s="43"/>
      <c r="E173" s="43">
        <f>E15/AVERAGE(E172,C172)</f>
        <v>1.7628865979381445</v>
      </c>
      <c r="F173" s="43"/>
      <c r="G173" s="43">
        <f>E173</f>
        <v>1.7628865979381445</v>
      </c>
      <c r="I173" s="3"/>
    </row>
    <row r="174" spans="2:10" x14ac:dyDescent="0.25">
      <c r="B174" s="80" t="s">
        <v>314</v>
      </c>
      <c r="C174" s="81">
        <v>11.5</v>
      </c>
      <c r="D174" s="81"/>
      <c r="E174" s="81">
        <v>7.7</v>
      </c>
      <c r="F174" s="81"/>
      <c r="G174" s="81">
        <f>E174</f>
        <v>7.7</v>
      </c>
      <c r="I174" s="3"/>
    </row>
    <row r="175" spans="2:10" x14ac:dyDescent="0.25">
      <c r="B175" s="31" t="s">
        <v>315</v>
      </c>
      <c r="C175" s="32">
        <v>21.5</v>
      </c>
      <c r="D175" s="32"/>
      <c r="E175" s="32">
        <v>16.600000000000001</v>
      </c>
      <c r="F175" s="32"/>
      <c r="G175" s="32">
        <f>62-G172</f>
        <v>23.200000000000003</v>
      </c>
      <c r="I175" s="3"/>
    </row>
    <row r="176" spans="2:10" x14ac:dyDescent="0.25">
      <c r="B176" s="80" t="s">
        <v>183</v>
      </c>
      <c r="C176" s="81">
        <v>412.6</v>
      </c>
      <c r="D176" s="81"/>
      <c r="E176" s="81">
        <v>487.6</v>
      </c>
      <c r="F176" s="81"/>
      <c r="G176" s="81">
        <f>E176</f>
        <v>487.6</v>
      </c>
      <c r="I176" s="3"/>
    </row>
    <row r="177" spans="2:9" x14ac:dyDescent="0.25">
      <c r="B177" s="31" t="s">
        <v>184</v>
      </c>
      <c r="C177" s="32">
        <v>18.899999999999999</v>
      </c>
      <c r="D177" s="32"/>
      <c r="E177" s="32">
        <v>16.3</v>
      </c>
      <c r="F177" s="32"/>
      <c r="G177" s="32">
        <f>E177+MAX(G4*G178,0)</f>
        <v>16.3</v>
      </c>
      <c r="I177" s="3"/>
    </row>
    <row r="178" spans="2:9" x14ac:dyDescent="0.25">
      <c r="B178" s="38" t="s">
        <v>316</v>
      </c>
      <c r="C178" s="41"/>
      <c r="D178" s="41"/>
      <c r="E178" s="94">
        <f>(E177-C177)/E4</f>
        <v>-1.4103607268782195E-3</v>
      </c>
      <c r="F178" s="94"/>
      <c r="G178" s="94">
        <f>E178</f>
        <v>-1.4103607268782195E-3</v>
      </c>
      <c r="I178" s="3"/>
    </row>
    <row r="179" spans="2:9" x14ac:dyDescent="0.25">
      <c r="B179" s="68" t="s">
        <v>27</v>
      </c>
      <c r="C179" s="69"/>
      <c r="D179" s="69"/>
      <c r="E179" s="69">
        <v>4.4000000000000004</v>
      </c>
      <c r="F179" s="69">
        <v>0.1</v>
      </c>
      <c r="G179" s="69">
        <f>F179</f>
        <v>0.1</v>
      </c>
      <c r="I179" s="3"/>
    </row>
    <row r="180" spans="2:9" x14ac:dyDescent="0.25">
      <c r="B180" s="2" t="s">
        <v>36</v>
      </c>
      <c r="C180" s="3">
        <v>197</v>
      </c>
      <c r="D180" s="3">
        <v>475.1</v>
      </c>
      <c r="E180" s="3">
        <v>475.4</v>
      </c>
      <c r="F180" s="3">
        <v>440.8</v>
      </c>
      <c r="G180" s="3">
        <f ca="1">G181+G182+G183+G184</f>
        <v>484.52689346212276</v>
      </c>
      <c r="I180" s="3"/>
    </row>
    <row r="181" spans="2:9" x14ac:dyDescent="0.25">
      <c r="B181" s="80" t="s">
        <v>180</v>
      </c>
      <c r="C181" s="81">
        <v>1.4</v>
      </c>
      <c r="D181" s="81"/>
      <c r="E181" s="81">
        <v>0</v>
      </c>
      <c r="F181" s="81"/>
      <c r="G181" s="81">
        <f t="shared" ref="G181" si="6">E181</f>
        <v>0</v>
      </c>
      <c r="I181" s="3"/>
    </row>
    <row r="182" spans="2:9" x14ac:dyDescent="0.25">
      <c r="B182" s="31" t="s">
        <v>181</v>
      </c>
      <c r="C182" s="32">
        <v>188.7</v>
      </c>
      <c r="D182" s="32"/>
      <c r="E182" s="32">
        <v>469.5</v>
      </c>
      <c r="F182" s="32"/>
      <c r="G182" s="32">
        <f ca="1">G193-G187</f>
        <v>478.32689346212271</v>
      </c>
      <c r="I182" s="3"/>
    </row>
    <row r="183" spans="2:9" x14ac:dyDescent="0.25">
      <c r="B183" s="80" t="s">
        <v>170</v>
      </c>
      <c r="C183" s="81">
        <v>2.8</v>
      </c>
      <c r="D183" s="81"/>
      <c r="E183" s="81">
        <v>0.1</v>
      </c>
      <c r="F183" s="81"/>
      <c r="G183" s="81">
        <f>E183</f>
        <v>0.1</v>
      </c>
      <c r="I183" s="3"/>
    </row>
    <row r="184" spans="2:9" x14ac:dyDescent="0.25">
      <c r="B184" s="31" t="s">
        <v>171</v>
      </c>
      <c r="C184" s="32">
        <v>4.0999999999999996</v>
      </c>
      <c r="D184" s="32"/>
      <c r="E184" s="32">
        <v>5.8</v>
      </c>
      <c r="F184" s="32"/>
      <c r="G184" s="32">
        <f>lease!E6</f>
        <v>6.1</v>
      </c>
      <c r="I184" s="3"/>
    </row>
    <row r="185" spans="2:9" x14ac:dyDescent="0.25">
      <c r="B185" s="53" t="s">
        <v>248</v>
      </c>
      <c r="C185" s="54">
        <f>+C169+C170+C171+C179+C180</f>
        <v>735.2</v>
      </c>
      <c r="D185" s="54">
        <f>+D169+D170+D171+D179+D180</f>
        <v>1045.3000000000002</v>
      </c>
      <c r="E185" s="54">
        <f>+E169+E170+E171+E179+E180</f>
        <v>1072.3</v>
      </c>
      <c r="F185" s="54">
        <f>+F169+F170+F171+F179+F180</f>
        <v>1069.4000000000001</v>
      </c>
      <c r="G185" s="54">
        <f ca="1">+G169+G170+G171+G179+G180</f>
        <v>1074.7268934621229</v>
      </c>
      <c r="I185" s="3"/>
    </row>
    <row r="186" spans="2:9" x14ac:dyDescent="0.25">
      <c r="B186" s="2" t="s">
        <v>36</v>
      </c>
      <c r="C186" s="3">
        <v>5857.2</v>
      </c>
      <c r="D186" s="3">
        <v>5693.4</v>
      </c>
      <c r="E186" s="3">
        <v>5957.7</v>
      </c>
      <c r="F186" s="3">
        <v>6000.5</v>
      </c>
      <c r="G186" s="3">
        <f ca="1">G187+G189+G190</f>
        <v>6065.8149772859351</v>
      </c>
      <c r="I186" s="3"/>
    </row>
    <row r="187" spans="2:9" x14ac:dyDescent="0.25">
      <c r="B187" s="42" t="s">
        <v>181</v>
      </c>
      <c r="C187" s="32">
        <v>931.4</v>
      </c>
      <c r="D187" s="32"/>
      <c r="E187" s="32">
        <v>782.4</v>
      </c>
      <c r="F187" s="32"/>
      <c r="G187" s="32">
        <f ca="1">G188*G193</f>
        <v>797.10960904103251</v>
      </c>
      <c r="I187" s="3"/>
    </row>
    <row r="188" spans="2:9" x14ac:dyDescent="0.25">
      <c r="B188" s="44" t="s">
        <v>324</v>
      </c>
      <c r="C188" s="39">
        <f>C187/C193</f>
        <v>0.83153289884831716</v>
      </c>
      <c r="D188" s="39"/>
      <c r="E188" s="39">
        <f>E187/E193</f>
        <v>0.62497004553079316</v>
      </c>
      <c r="F188" s="39"/>
      <c r="G188" s="39">
        <f>E188</f>
        <v>0.62497004553079316</v>
      </c>
      <c r="I188" s="3"/>
    </row>
    <row r="189" spans="2:9" x14ac:dyDescent="0.25">
      <c r="B189" s="42" t="s">
        <v>170</v>
      </c>
      <c r="C189" s="32">
        <v>4817.7</v>
      </c>
      <c r="D189" s="32"/>
      <c r="E189" s="32">
        <v>5058.3999999999996</v>
      </c>
      <c r="F189" s="32"/>
      <c r="G189" s="32">
        <f ca="1">G194-G183</f>
        <v>5153.5029618277904</v>
      </c>
      <c r="I189" s="3"/>
    </row>
    <row r="190" spans="2:9" x14ac:dyDescent="0.25">
      <c r="B190" s="31" t="s">
        <v>171</v>
      </c>
      <c r="C190" s="32">
        <v>108.1</v>
      </c>
      <c r="D190" s="32"/>
      <c r="E190" s="32">
        <v>116.9</v>
      </c>
      <c r="F190" s="32"/>
      <c r="G190" s="32">
        <f>lease!E11-lease!E6</f>
        <v>115.20240641711231</v>
      </c>
      <c r="I190" s="3"/>
    </row>
    <row r="191" spans="2:9" x14ac:dyDescent="0.25">
      <c r="B191" s="97" t="s">
        <v>392</v>
      </c>
      <c r="C191" s="96">
        <f>C186+C180</f>
        <v>6054.2</v>
      </c>
      <c r="D191" s="96"/>
      <c r="E191" s="96">
        <f t="shared" ref="E191:G191" si="7">E186+E180</f>
        <v>6433.0999999999995</v>
      </c>
      <c r="F191" s="96">
        <f t="shared" si="7"/>
        <v>6441.3</v>
      </c>
      <c r="G191" s="96">
        <f t="shared" ca="1" si="7"/>
        <v>6550.3418707480578</v>
      </c>
      <c r="I191" s="3"/>
    </row>
    <row r="192" spans="2:9" x14ac:dyDescent="0.25">
      <c r="B192" s="97" t="s">
        <v>391</v>
      </c>
      <c r="C192" s="96">
        <f>C186-C190+C180-C184</f>
        <v>5941.9999999999991</v>
      </c>
      <c r="D192" s="96"/>
      <c r="E192" s="96">
        <f>E186-E190+E180-E184</f>
        <v>6310.4</v>
      </c>
      <c r="F192" s="96">
        <f>F186-F190+F180-F184</f>
        <v>6441.3</v>
      </c>
      <c r="G192" s="96">
        <f ca="1">debt!E40</f>
        <v>6429.0394643309464</v>
      </c>
      <c r="I192" s="3"/>
    </row>
    <row r="193" spans="2:10" x14ac:dyDescent="0.25">
      <c r="B193" s="97" t="s">
        <v>181</v>
      </c>
      <c r="C193" s="96">
        <f>C187+C182</f>
        <v>1120.0999999999999</v>
      </c>
      <c r="D193" s="96"/>
      <c r="E193" s="96">
        <f>E187+E182</f>
        <v>1251.9000000000001</v>
      </c>
      <c r="F193" s="96"/>
      <c r="G193" s="96">
        <f ca="1">debt!E36</f>
        <v>1275.4365025031552</v>
      </c>
      <c r="I193" s="3"/>
    </row>
    <row r="194" spans="2:10" x14ac:dyDescent="0.25">
      <c r="B194" s="97" t="s">
        <v>170</v>
      </c>
      <c r="C194" s="96">
        <f>C189+C183</f>
        <v>4820.5</v>
      </c>
      <c r="D194" s="96"/>
      <c r="E194" s="96">
        <f>E189+E183</f>
        <v>5058.5</v>
      </c>
      <c r="F194" s="96"/>
      <c r="G194" s="96">
        <f ca="1">debt!E38</f>
        <v>5153.6029618277908</v>
      </c>
      <c r="I194" s="3"/>
    </row>
    <row r="195" spans="2:10" x14ac:dyDescent="0.25">
      <c r="B195" s="88" t="s">
        <v>27</v>
      </c>
      <c r="C195" s="89">
        <v>126.5</v>
      </c>
      <c r="D195" s="89">
        <v>137.1</v>
      </c>
      <c r="E195" s="89">
        <v>159.19999999999999</v>
      </c>
      <c r="F195" s="89">
        <v>169.5</v>
      </c>
      <c r="G195" s="89">
        <f>F195</f>
        <v>169.5</v>
      </c>
      <c r="H195" s="3"/>
      <c r="I195" s="3"/>
      <c r="J195" s="3"/>
    </row>
    <row r="196" spans="2:10" x14ac:dyDescent="0.25">
      <c r="B196" s="2" t="s">
        <v>37</v>
      </c>
      <c r="C196" s="3">
        <v>1082.9000000000001</v>
      </c>
      <c r="D196" s="3">
        <v>1150</v>
      </c>
      <c r="E196" s="3">
        <v>1187.3</v>
      </c>
      <c r="F196" s="3">
        <v>1199.7</v>
      </c>
      <c r="G196" s="3">
        <f>G197+G198+G199</f>
        <v>1285.2</v>
      </c>
      <c r="I196" s="3"/>
      <c r="J196" s="3"/>
    </row>
    <row r="197" spans="2:10" x14ac:dyDescent="0.25">
      <c r="B197" s="80" t="s">
        <v>315</v>
      </c>
      <c r="C197" s="81">
        <v>8.4</v>
      </c>
      <c r="D197" s="81"/>
      <c r="E197" s="81">
        <v>6.5</v>
      </c>
      <c r="F197" s="81"/>
      <c r="G197" s="81">
        <f>E197</f>
        <v>6.5</v>
      </c>
      <c r="I197" s="3"/>
    </row>
    <row r="198" spans="2:10" x14ac:dyDescent="0.25">
      <c r="B198" s="80" t="s">
        <v>183</v>
      </c>
      <c r="C198" s="81">
        <v>0.4</v>
      </c>
      <c r="D198" s="81"/>
      <c r="E198" s="81">
        <v>8.8000000000000007</v>
      </c>
      <c r="F198" s="81"/>
      <c r="G198" s="81">
        <f>E198</f>
        <v>8.8000000000000007</v>
      </c>
      <c r="I198" s="3"/>
    </row>
    <row r="199" spans="2:10" x14ac:dyDescent="0.25">
      <c r="B199" s="78" t="s">
        <v>184</v>
      </c>
      <c r="C199" s="79">
        <v>1074.0999999999999</v>
      </c>
      <c r="D199" s="79"/>
      <c r="E199" s="79">
        <v>1172</v>
      </c>
      <c r="F199" s="79"/>
      <c r="G199" s="79">
        <f>E199+E4*G200</f>
        <v>1269.9000000000001</v>
      </c>
      <c r="I199" s="3"/>
      <c r="J199" s="3"/>
    </row>
    <row r="200" spans="2:10" x14ac:dyDescent="0.25">
      <c r="B200" s="38" t="s">
        <v>316</v>
      </c>
      <c r="C200" s="41"/>
      <c r="D200" s="41"/>
      <c r="E200" s="94">
        <f>(E199-C199)/E4</f>
        <v>5.3105505831299207E-2</v>
      </c>
      <c r="F200" s="94"/>
      <c r="G200" s="94">
        <f>E200</f>
        <v>5.3105505831299207E-2</v>
      </c>
      <c r="I200" s="3"/>
    </row>
    <row r="201" spans="2:10" x14ac:dyDescent="0.25">
      <c r="B201" s="2" t="s">
        <v>21</v>
      </c>
      <c r="C201" s="3">
        <v>747.5</v>
      </c>
      <c r="D201" s="3">
        <v>776.1</v>
      </c>
      <c r="E201" s="3">
        <v>901.1</v>
      </c>
      <c r="F201" s="3">
        <v>867.3</v>
      </c>
      <c r="G201" s="3">
        <f ca="1">E201+MAX((G216-G218),0)</f>
        <v>931.77165373599576</v>
      </c>
      <c r="I201" s="3"/>
    </row>
    <row r="202" spans="2:10" x14ac:dyDescent="0.25">
      <c r="B202" s="2" t="s">
        <v>40</v>
      </c>
      <c r="C202" s="3">
        <v>471.5</v>
      </c>
      <c r="D202" s="3">
        <v>411</v>
      </c>
      <c r="E202" s="3">
        <v>255.3</v>
      </c>
      <c r="F202" s="3">
        <v>495.4</v>
      </c>
      <c r="G202" s="3">
        <f>-pension!E50</f>
        <v>129.81733952677206</v>
      </c>
      <c r="I202" s="3"/>
    </row>
    <row r="203" spans="2:10" x14ac:dyDescent="0.25">
      <c r="B203" s="2" t="s">
        <v>39</v>
      </c>
      <c r="C203" s="3">
        <v>19.2</v>
      </c>
      <c r="D203" s="3">
        <v>21.9</v>
      </c>
      <c r="E203" s="3">
        <v>25.1</v>
      </c>
      <c r="F203" s="3">
        <v>25.1</v>
      </c>
      <c r="G203" s="3">
        <f>E203</f>
        <v>25.1</v>
      </c>
      <c r="I203" s="3"/>
    </row>
    <row r="204" spans="2:10" x14ac:dyDescent="0.25">
      <c r="B204" s="53" t="s">
        <v>41</v>
      </c>
      <c r="C204" s="54">
        <f>+C185+C186+C195+C196+C201+C202+C203</f>
        <v>9040</v>
      </c>
      <c r="D204" s="54">
        <f>+D185+D186+D195+D196+D201+D202+D203</f>
        <v>9234.7999999999993</v>
      </c>
      <c r="E204" s="54">
        <f>+E185+E186+E195+E196+E201+E202+E203</f>
        <v>9558</v>
      </c>
      <c r="F204" s="54">
        <f>+F185+F186+F195+F196+F201+F202+F203</f>
        <v>9826.9</v>
      </c>
      <c r="G204" s="54">
        <f ca="1">+G185+G186+G195+G196+G201+G202+G203</f>
        <v>9681.9308640108266</v>
      </c>
      <c r="I204" s="3"/>
    </row>
    <row r="205" spans="2:10" x14ac:dyDescent="0.25">
      <c r="B205" s="2" t="s">
        <v>42</v>
      </c>
      <c r="C205" s="3">
        <v>235.9</v>
      </c>
      <c r="D205" s="3">
        <v>236.4</v>
      </c>
      <c r="E205" s="3">
        <v>236.5</v>
      </c>
      <c r="F205" s="3">
        <v>237.1</v>
      </c>
      <c r="G205" s="3">
        <f>E205</f>
        <v>236.5</v>
      </c>
      <c r="I205" s="3"/>
    </row>
    <row r="206" spans="2:10" x14ac:dyDescent="0.25">
      <c r="B206" s="2" t="s">
        <v>204</v>
      </c>
      <c r="C206" s="3">
        <v>128</v>
      </c>
      <c r="D206" s="3">
        <v>136.19999999999999</v>
      </c>
      <c r="E206" s="3">
        <v>137</v>
      </c>
      <c r="F206" s="3">
        <v>147.1</v>
      </c>
      <c r="G206" s="3">
        <f>E206</f>
        <v>137</v>
      </c>
      <c r="I206" s="3"/>
    </row>
    <row r="207" spans="2:10" x14ac:dyDescent="0.25">
      <c r="B207" s="2" t="s">
        <v>44</v>
      </c>
      <c r="C207" s="3">
        <v>92.8</v>
      </c>
      <c r="D207" s="3">
        <v>77.7</v>
      </c>
      <c r="E207" s="3">
        <v>67.900000000000006</v>
      </c>
      <c r="F207" s="3">
        <v>72.2</v>
      </c>
      <c r="G207" s="3">
        <f>E207+pension!E52</f>
        <v>142.80000000000004</v>
      </c>
      <c r="I207" s="3"/>
    </row>
    <row r="208" spans="2:10" x14ac:dyDescent="0.25">
      <c r="B208" s="2" t="s">
        <v>43</v>
      </c>
      <c r="C208" s="3">
        <v>707.4</v>
      </c>
      <c r="D208" s="3">
        <v>779.5</v>
      </c>
      <c r="E208" s="3">
        <v>802.3</v>
      </c>
      <c r="F208" s="3">
        <v>561.9</v>
      </c>
      <c r="G208" s="3">
        <f ca="1">E208+G82-(-G272)+G236</f>
        <v>865.77707571116798</v>
      </c>
      <c r="I208" s="3"/>
    </row>
    <row r="209" spans="2:10" x14ac:dyDescent="0.25">
      <c r="B209" s="53" t="s">
        <v>205</v>
      </c>
      <c r="C209" s="54">
        <f>+C205+C206+C207+C208</f>
        <v>1164.0999999999999</v>
      </c>
      <c r="D209" s="54">
        <f>+D205+D206+D207+D208</f>
        <v>1229.8</v>
      </c>
      <c r="E209" s="54">
        <f t="shared" ref="E209:G209" si="8">+E205+E206+E207+E208</f>
        <v>1243.6999999999998</v>
      </c>
      <c r="F209" s="54">
        <f t="shared" si="8"/>
        <v>1018.3</v>
      </c>
      <c r="G209" s="54">
        <f t="shared" ca="1" si="8"/>
        <v>1382.0770757111682</v>
      </c>
    </row>
    <row r="210" spans="2:10" x14ac:dyDescent="0.25">
      <c r="B210" s="5" t="s">
        <v>312</v>
      </c>
      <c r="C210" s="6">
        <f>+C204+C209</f>
        <v>10204.1</v>
      </c>
      <c r="D210" s="6">
        <f>+D204+D209</f>
        <v>10464.599999999999</v>
      </c>
      <c r="E210" s="6">
        <f t="shared" ref="E210:G210" si="9">+E204+E209</f>
        <v>10801.7</v>
      </c>
      <c r="F210" s="6">
        <f t="shared" si="9"/>
        <v>10845.199999999999</v>
      </c>
      <c r="G210" s="6">
        <f t="shared" ca="1" si="9"/>
        <v>11064.007939721994</v>
      </c>
    </row>
    <row r="211" spans="2:10" x14ac:dyDescent="0.25">
      <c r="B211" s="186" t="s">
        <v>45</v>
      </c>
      <c r="C211" s="187">
        <f>C168-C210</f>
        <v>0</v>
      </c>
      <c r="D211" s="187">
        <f>D168-D210</f>
        <v>0</v>
      </c>
      <c r="E211" s="187">
        <f>E168-E210</f>
        <v>0</v>
      </c>
      <c r="F211" s="187">
        <f>F168-F210</f>
        <v>0</v>
      </c>
      <c r="G211" s="187">
        <f ca="1">G168-G210</f>
        <v>0</v>
      </c>
    </row>
    <row r="212" spans="2:10" ht="18.75" x14ac:dyDescent="0.3">
      <c r="B212" s="50" t="s">
        <v>46</v>
      </c>
      <c r="C212" s="1"/>
      <c r="D212" s="1"/>
      <c r="E212" s="1"/>
      <c r="F212" s="1"/>
      <c r="G212" s="58"/>
      <c r="H212" s="59"/>
    </row>
    <row r="213" spans="2:10" x14ac:dyDescent="0.25">
      <c r="B213" s="49" t="str">
        <f>B3</f>
        <v>(in millions of GBP, except unit data)</v>
      </c>
      <c r="C213" s="55" t="str">
        <f>C3</f>
        <v>FY19</v>
      </c>
      <c r="D213" s="55" t="str">
        <f t="shared" ref="D213:G213" si="10">D3</f>
        <v>FH19</v>
      </c>
      <c r="E213" s="55" t="str">
        <f t="shared" si="10"/>
        <v>FY20</v>
      </c>
      <c r="F213" s="55" t="str">
        <f t="shared" si="10"/>
        <v>FH20</v>
      </c>
      <c r="G213" s="55" t="str">
        <f t="shared" si="10"/>
        <v>FY21E</v>
      </c>
      <c r="H213" s="59"/>
      <c r="J213" s="3"/>
    </row>
    <row r="214" spans="2:10" x14ac:dyDescent="0.25">
      <c r="B214" s="2" t="s">
        <v>47</v>
      </c>
      <c r="C214" s="3">
        <f>C82</f>
        <v>315.30000000000041</v>
      </c>
      <c r="D214" s="3">
        <f>D82</f>
        <v>146.70000000000005</v>
      </c>
      <c r="E214" s="3">
        <f>E82</f>
        <v>158.8000000000001</v>
      </c>
      <c r="F214" s="3">
        <f>F82</f>
        <v>101.70000000000003</v>
      </c>
      <c r="G214" s="3">
        <f ca="1">G82</f>
        <v>297.91924132715258</v>
      </c>
      <c r="H214" s="59"/>
    </row>
    <row r="215" spans="2:10" x14ac:dyDescent="0.25">
      <c r="B215" s="62" t="s">
        <v>261</v>
      </c>
      <c r="C215" s="63">
        <f>C216+C217-C218</f>
        <v>48.100000000000009</v>
      </c>
      <c r="D215" s="63">
        <f>D216+D217-D218</f>
        <v>11.600000000000001</v>
      </c>
      <c r="E215" s="63">
        <f>E216+E217-E218</f>
        <v>118.00000000000001</v>
      </c>
      <c r="F215" s="63">
        <f>F216+F217-F218</f>
        <v>19.899999999999999</v>
      </c>
      <c r="G215" s="63">
        <f ca="1">G216+G217-G218</f>
        <v>33.771653735995756</v>
      </c>
      <c r="H215" s="59"/>
      <c r="J215" s="3"/>
    </row>
    <row r="216" spans="2:10" x14ac:dyDescent="0.25">
      <c r="B216" s="31" t="s">
        <v>258</v>
      </c>
      <c r="C216" s="32">
        <f>C75</f>
        <v>69.400000000000006</v>
      </c>
      <c r="D216" s="32">
        <f>D75</f>
        <v>34</v>
      </c>
      <c r="E216" s="32">
        <f>E75</f>
        <v>151.9</v>
      </c>
      <c r="F216" s="32">
        <f>F75</f>
        <v>24.8</v>
      </c>
      <c r="G216" s="32">
        <f ca="1">G75</f>
        <v>71.448309671835062</v>
      </c>
      <c r="H216" s="59"/>
    </row>
    <row r="217" spans="2:10" x14ac:dyDescent="0.25">
      <c r="B217" s="31" t="s">
        <v>259</v>
      </c>
      <c r="C217" s="32">
        <v>0</v>
      </c>
      <c r="D217" s="32"/>
      <c r="E217" s="32">
        <v>0.4</v>
      </c>
      <c r="F217" s="32"/>
      <c r="G217" s="32">
        <f>E135</f>
        <v>3.1</v>
      </c>
      <c r="H217" s="67"/>
    </row>
    <row r="218" spans="2:10" x14ac:dyDescent="0.25">
      <c r="B218" s="64" t="s">
        <v>260</v>
      </c>
      <c r="C218" s="63">
        <v>21.3</v>
      </c>
      <c r="D218" s="63">
        <v>22.4</v>
      </c>
      <c r="E218" s="63">
        <v>34.299999999999997</v>
      </c>
      <c r="F218" s="63">
        <v>4.9000000000000004</v>
      </c>
      <c r="G218" s="63">
        <f ca="1">G219*G74</f>
        <v>40.776655935839301</v>
      </c>
      <c r="H218" s="67"/>
    </row>
    <row r="219" spans="2:10" x14ac:dyDescent="0.25">
      <c r="B219" s="70" t="s">
        <v>277</v>
      </c>
      <c r="C219" s="71">
        <f>C218/C74</f>
        <v>5.5367819079802393E-2</v>
      </c>
      <c r="D219" s="71"/>
      <c r="E219" s="71">
        <f>E218/E74</f>
        <v>0.11039588027035721</v>
      </c>
      <c r="F219" s="71"/>
      <c r="G219" s="71">
        <f>E219</f>
        <v>0.11039588027035721</v>
      </c>
      <c r="H219" s="59"/>
    </row>
    <row r="220" spans="2:10" x14ac:dyDescent="0.25">
      <c r="B220" s="2" t="s">
        <v>262</v>
      </c>
      <c r="C220" s="3">
        <f>-C70</f>
        <v>194.20000000000002</v>
      </c>
      <c r="D220" s="3">
        <f>-D70</f>
        <v>93.8</v>
      </c>
      <c r="E220" s="3">
        <f>-E70</f>
        <v>188.4</v>
      </c>
      <c r="F220" s="3">
        <f>-F70</f>
        <v>91.1</v>
      </c>
      <c r="G220" s="3">
        <f ca="1">-G70</f>
        <v>184.55533351540964</v>
      </c>
      <c r="H220" s="59"/>
    </row>
    <row r="221" spans="2:10" x14ac:dyDescent="0.25">
      <c r="B221" s="76" t="s">
        <v>18</v>
      </c>
      <c r="C221" s="69">
        <f t="shared" ref="C221:F223" si="11">-C71</f>
        <v>0</v>
      </c>
      <c r="D221" s="69">
        <f t="shared" ref="D221" si="12">-D71</f>
        <v>0</v>
      </c>
      <c r="E221" s="69">
        <f t="shared" si="11"/>
        <v>4.9000000000000004</v>
      </c>
      <c r="F221" s="69">
        <f t="shared" si="11"/>
        <v>0</v>
      </c>
      <c r="G221" s="68"/>
      <c r="H221" s="59"/>
    </row>
    <row r="222" spans="2:10" x14ac:dyDescent="0.25">
      <c r="B222" s="76" t="s">
        <v>19</v>
      </c>
      <c r="C222" s="69">
        <f t="shared" si="11"/>
        <v>-16</v>
      </c>
      <c r="D222" s="69">
        <f t="shared" ref="D222" si="13">-D72</f>
        <v>1.5</v>
      </c>
      <c r="E222" s="69">
        <f t="shared" si="11"/>
        <v>17.399999999999999</v>
      </c>
      <c r="F222" s="69">
        <f t="shared" si="11"/>
        <v>7</v>
      </c>
      <c r="G222" s="69">
        <f>(G195-E195)+(G179-E179)-(G158-E158)-(G134-E134)</f>
        <v>7.8000000000000105</v>
      </c>
      <c r="H222" s="59"/>
    </row>
    <row r="223" spans="2:10" x14ac:dyDescent="0.25">
      <c r="B223" s="74" t="s">
        <v>246</v>
      </c>
      <c r="C223" s="75">
        <f t="shared" si="11"/>
        <v>0.4</v>
      </c>
      <c r="D223" s="75">
        <f t="shared" ref="D223" si="14">-D73</f>
        <v>9.3000000000000007</v>
      </c>
      <c r="E223" s="75">
        <f t="shared" si="11"/>
        <v>46.8</v>
      </c>
      <c r="F223" s="75">
        <f t="shared" si="11"/>
        <v>0</v>
      </c>
      <c r="G223" s="75"/>
      <c r="H223" s="59"/>
      <c r="I223" s="3"/>
      <c r="J223" s="3"/>
    </row>
    <row r="224" spans="2:10" x14ac:dyDescent="0.25">
      <c r="B224" s="2" t="s">
        <v>48</v>
      </c>
      <c r="C224" s="3">
        <f>C23</f>
        <v>315.39999999999998</v>
      </c>
      <c r="D224" s="3">
        <f>D23</f>
        <v>166.4</v>
      </c>
      <c r="E224" s="3">
        <f>E23</f>
        <v>327.40000000000003</v>
      </c>
      <c r="F224" s="3">
        <f>F23</f>
        <v>178.3</v>
      </c>
      <c r="G224" s="3">
        <f>G23</f>
        <v>332.23951722267429</v>
      </c>
      <c r="H224" s="59"/>
      <c r="J224" s="3"/>
    </row>
    <row r="225" spans="2:10" x14ac:dyDescent="0.25">
      <c r="B225" s="31" t="s">
        <v>266</v>
      </c>
      <c r="C225" s="32">
        <f>C24</f>
        <v>85.7</v>
      </c>
      <c r="D225" s="32"/>
      <c r="E225" s="32">
        <f>E24</f>
        <v>89.7</v>
      </c>
      <c r="F225" s="32"/>
      <c r="G225" s="32">
        <f>G24</f>
        <v>91.025915378356402</v>
      </c>
      <c r="H225" s="59"/>
    </row>
    <row r="226" spans="2:10" x14ac:dyDescent="0.25">
      <c r="B226" s="31" t="s">
        <v>146</v>
      </c>
      <c r="C226" s="32">
        <f>C26</f>
        <v>36.799999999999997</v>
      </c>
      <c r="D226" s="32"/>
      <c r="E226" s="32">
        <f>E26</f>
        <v>39.299999999999997</v>
      </c>
      <c r="F226" s="32"/>
      <c r="G226" s="32">
        <f>G26</f>
        <v>39.880919446704638</v>
      </c>
      <c r="H226" s="59"/>
    </row>
    <row r="227" spans="2:10" x14ac:dyDescent="0.25">
      <c r="B227" s="31" t="s">
        <v>147</v>
      </c>
      <c r="C227" s="32">
        <f>C28</f>
        <v>188.4</v>
      </c>
      <c r="D227" s="32"/>
      <c r="E227" s="32">
        <f>E28</f>
        <v>192.6</v>
      </c>
      <c r="F227" s="32"/>
      <c r="G227" s="32">
        <f>G28</f>
        <v>195.44694873881207</v>
      </c>
      <c r="H227" s="59"/>
    </row>
    <row r="228" spans="2:10" x14ac:dyDescent="0.25">
      <c r="B228" s="31" t="s">
        <v>148</v>
      </c>
      <c r="C228" s="32">
        <f>C30</f>
        <v>4.5</v>
      </c>
      <c r="D228" s="32"/>
      <c r="E228" s="32">
        <f>E30</f>
        <v>5.8</v>
      </c>
      <c r="F228" s="32"/>
      <c r="G228" s="32">
        <f>G30</f>
        <v>5.8857336588011933</v>
      </c>
      <c r="H228" s="59"/>
    </row>
    <row r="229" spans="2:10" x14ac:dyDescent="0.25">
      <c r="B229" s="31" t="s">
        <v>149</v>
      </c>
      <c r="C229" s="32">
        <f>C32</f>
        <v>0</v>
      </c>
      <c r="D229" s="32"/>
      <c r="E229" s="32">
        <f>E32</f>
        <v>0</v>
      </c>
      <c r="F229" s="32"/>
      <c r="G229" s="32">
        <f>G32</f>
        <v>0</v>
      </c>
      <c r="H229" s="59"/>
    </row>
    <row r="230" spans="2:10" x14ac:dyDescent="0.25">
      <c r="B230" s="2" t="s">
        <v>211</v>
      </c>
      <c r="C230" s="3"/>
      <c r="D230" s="3">
        <f t="shared" ref="D230:G231" si="15">D34</f>
        <v>0.9</v>
      </c>
      <c r="E230" s="3">
        <f t="shared" si="15"/>
        <v>6.6</v>
      </c>
      <c r="F230" s="3">
        <f t="shared" si="15"/>
        <v>1.2</v>
      </c>
      <c r="G230" s="3">
        <f t="shared" si="15"/>
        <v>1.3975935828876995</v>
      </c>
      <c r="H230" s="59"/>
    </row>
    <row r="231" spans="2:10" x14ac:dyDescent="0.25">
      <c r="B231" s="2" t="s">
        <v>212</v>
      </c>
      <c r="C231" s="3">
        <f>C35</f>
        <v>30.5</v>
      </c>
      <c r="D231" s="3">
        <f>D35</f>
        <v>16.5</v>
      </c>
      <c r="E231" s="3">
        <f t="shared" si="15"/>
        <v>32.9</v>
      </c>
      <c r="F231" s="3">
        <f t="shared" si="15"/>
        <v>17.100000000000001</v>
      </c>
      <c r="G231" s="3">
        <f t="shared" si="15"/>
        <v>33.386316788717117</v>
      </c>
      <c r="H231" s="59"/>
    </row>
    <row r="232" spans="2:10" x14ac:dyDescent="0.25">
      <c r="B232" s="68" t="s">
        <v>213</v>
      </c>
      <c r="C232" s="69"/>
      <c r="D232" s="69"/>
      <c r="E232" s="69">
        <v>0.5</v>
      </c>
      <c r="F232" s="69"/>
      <c r="G232" s="69"/>
      <c r="H232" s="59"/>
    </row>
    <row r="233" spans="2:10" x14ac:dyDescent="0.25">
      <c r="B233" s="33" t="s">
        <v>49</v>
      </c>
      <c r="C233" s="32">
        <v>9.8000000000000007</v>
      </c>
      <c r="D233" s="32">
        <v>0.1</v>
      </c>
      <c r="E233" s="32">
        <v>0.2</v>
      </c>
      <c r="F233" s="32">
        <v>0.1</v>
      </c>
      <c r="G233" s="32">
        <f>-pension!E30</f>
        <v>0.2</v>
      </c>
      <c r="H233" s="59"/>
      <c r="J233" s="3"/>
    </row>
    <row r="234" spans="2:10" x14ac:dyDescent="0.25">
      <c r="B234" s="33" t="s">
        <v>50</v>
      </c>
      <c r="C234" s="32">
        <v>2.2999999999999998</v>
      </c>
      <c r="D234" s="32">
        <v>1.3</v>
      </c>
      <c r="E234" s="32">
        <v>3.4</v>
      </c>
      <c r="F234" s="32">
        <v>1.2</v>
      </c>
      <c r="G234" s="32">
        <f>-pension!E32</f>
        <v>3.4</v>
      </c>
      <c r="H234" s="59"/>
      <c r="J234" s="3"/>
    </row>
    <row r="235" spans="2:10" x14ac:dyDescent="0.25">
      <c r="B235" s="33" t="s">
        <v>51</v>
      </c>
      <c r="C235" s="32">
        <v>-34.9</v>
      </c>
      <c r="D235" s="32">
        <v>-0.3</v>
      </c>
      <c r="E235" s="32">
        <v>-46.2</v>
      </c>
      <c r="F235" s="32">
        <v>-11.7</v>
      </c>
      <c r="G235" s="32">
        <f>-pension!E9</f>
        <v>-60</v>
      </c>
      <c r="H235" s="59"/>
      <c r="J235" s="3"/>
    </row>
    <row r="236" spans="2:10" x14ac:dyDescent="0.25">
      <c r="B236" s="2" t="s">
        <v>214</v>
      </c>
      <c r="C236" s="3">
        <f>C11</f>
        <v>8.1</v>
      </c>
      <c r="D236" s="3">
        <v>4</v>
      </c>
      <c r="E236" s="3">
        <f>E11</f>
        <v>8.1</v>
      </c>
      <c r="F236" s="3">
        <v>4.5</v>
      </c>
      <c r="G236" s="3">
        <f>G11</f>
        <v>8.2197314890154605</v>
      </c>
      <c r="H236" s="59"/>
    </row>
    <row r="237" spans="2:10" x14ac:dyDescent="0.25">
      <c r="B237" s="2" t="s">
        <v>369</v>
      </c>
      <c r="C237" s="3">
        <f>C45</f>
        <v>0.6</v>
      </c>
      <c r="D237" s="3">
        <v>-5.9</v>
      </c>
      <c r="E237" s="3">
        <f>E45</f>
        <v>1.2</v>
      </c>
      <c r="F237" s="3">
        <v>-1.4</v>
      </c>
      <c r="G237" s="3">
        <f>G45</f>
        <v>0</v>
      </c>
      <c r="H237" s="59"/>
    </row>
    <row r="238" spans="2:10" x14ac:dyDescent="0.25">
      <c r="B238" s="2" t="s">
        <v>12</v>
      </c>
      <c r="C238" s="3">
        <f>C54</f>
        <v>-14.7</v>
      </c>
      <c r="D238" s="3">
        <v>-7.7</v>
      </c>
      <c r="E238" s="3">
        <f>E54</f>
        <v>-15.4</v>
      </c>
      <c r="F238" s="3">
        <v>-7.8</v>
      </c>
      <c r="G238" s="3">
        <f>G54</f>
        <v>0</v>
      </c>
      <c r="H238" s="59"/>
    </row>
    <row r="239" spans="2:10" x14ac:dyDescent="0.25">
      <c r="B239" s="68" t="s">
        <v>370</v>
      </c>
      <c r="C239" s="69"/>
      <c r="D239" s="69"/>
      <c r="E239" s="69"/>
      <c r="F239" s="69">
        <v>-0.2</v>
      </c>
      <c r="G239" s="3"/>
      <c r="H239" s="59"/>
    </row>
    <row r="240" spans="2:10" x14ac:dyDescent="0.25">
      <c r="B240" s="88" t="s">
        <v>52</v>
      </c>
      <c r="C240" s="89">
        <v>46.5</v>
      </c>
      <c r="D240" s="89">
        <v>18.100000000000001</v>
      </c>
      <c r="E240" s="89">
        <v>39.6</v>
      </c>
      <c r="F240" s="89">
        <v>14.6</v>
      </c>
      <c r="G240" s="89"/>
      <c r="H240" s="59"/>
    </row>
    <row r="241" spans="2:10" x14ac:dyDescent="0.25">
      <c r="B241" s="68" t="s">
        <v>53</v>
      </c>
      <c r="C241" s="69">
        <v>12.2</v>
      </c>
      <c r="D241" s="69">
        <v>5.2</v>
      </c>
      <c r="E241" s="69">
        <v>3.3</v>
      </c>
      <c r="F241" s="69">
        <v>1.6</v>
      </c>
      <c r="G241" s="69"/>
      <c r="H241" s="59"/>
    </row>
    <row r="242" spans="2:10" x14ac:dyDescent="0.25">
      <c r="B242" s="88" t="s">
        <v>263</v>
      </c>
      <c r="C242" s="89">
        <v>-12.8</v>
      </c>
      <c r="D242" s="89">
        <v>-11.2</v>
      </c>
      <c r="E242" s="89">
        <v>-13.1</v>
      </c>
      <c r="F242" s="89">
        <v>-4</v>
      </c>
      <c r="G242" s="89">
        <f>(G169-E169)+(G203-E203)</f>
        <v>-2.3999999999999986</v>
      </c>
      <c r="H242" s="59"/>
    </row>
    <row r="243" spans="2:10" x14ac:dyDescent="0.25">
      <c r="B243" s="2" t="s">
        <v>254</v>
      </c>
      <c r="C243" s="3">
        <v>-1.7</v>
      </c>
      <c r="D243" s="3">
        <v>-0.8</v>
      </c>
      <c r="E243" s="3">
        <v>-8.4</v>
      </c>
      <c r="F243" s="3">
        <v>0.8</v>
      </c>
      <c r="G243" s="3">
        <f>-(G145-E145)</f>
        <v>4.9805442545881817</v>
      </c>
      <c r="H243" s="59"/>
    </row>
    <row r="244" spans="2:10" x14ac:dyDescent="0.25">
      <c r="B244" s="2" t="s">
        <v>255</v>
      </c>
      <c r="C244" s="3">
        <v>-60</v>
      </c>
      <c r="D244" s="3">
        <v>-4.3</v>
      </c>
      <c r="E244" s="3">
        <v>-12.8</v>
      </c>
      <c r="F244" s="3">
        <v>44.2</v>
      </c>
      <c r="G244" s="3">
        <f>-(G136-E136)-(G159-E159)</f>
        <v>-24.895294277190203</v>
      </c>
      <c r="H244" s="59"/>
    </row>
    <row r="245" spans="2:10" x14ac:dyDescent="0.25">
      <c r="B245" s="2" t="s">
        <v>256</v>
      </c>
      <c r="C245" s="3">
        <v>8.1999999999999993</v>
      </c>
      <c r="D245" s="3">
        <v>47</v>
      </c>
      <c r="E245" s="3">
        <v>32.6</v>
      </c>
      <c r="F245" s="3">
        <v>44.2</v>
      </c>
      <c r="G245" s="3">
        <f>(G171-E171)+(G196-E196)</f>
        <v>97.900000000000091</v>
      </c>
      <c r="H245" s="59"/>
    </row>
    <row r="246" spans="2:10" x14ac:dyDescent="0.25">
      <c r="B246" s="53" t="s">
        <v>206</v>
      </c>
      <c r="C246" s="54">
        <f>C214+C215+C220+C221+C222+C223+C224+C230+C231+C232+C233+C234+C235+C236+C237+C238+C239+C240+C241+C242+C243+C244+C245</f>
        <v>851.50000000000045</v>
      </c>
      <c r="D246" s="54">
        <f>D214+D215+D220+D221+D222+D223+D224+D230+D231+D232+D233+D234+D235+D236+D237+D238+D239+D240+D241+D242+D243+D244+D245</f>
        <v>492.2000000000001</v>
      </c>
      <c r="E246" s="54">
        <f>E214+E215+E220+E221+E222+E223+E224+E230+E231+E232+E233+E234+E235+E236+E237+E238+E239+E240+E241+E242+E243+E244+E245</f>
        <v>894.20000000000016</v>
      </c>
      <c r="F246" s="54">
        <f t="shared" ref="F246:G246" si="16">F214+F215+F220+F221+F222+F223+F224+F230+F231+F232+F233+F234+F235+F236+F237+F238+F239+F240+F241+F242+F243+F244+F245</f>
        <v>502.40000000000009</v>
      </c>
      <c r="G246" s="54">
        <f t="shared" ca="1" si="16"/>
        <v>918.47463763925043</v>
      </c>
      <c r="J246" s="3"/>
    </row>
    <row r="247" spans="2:10" x14ac:dyDescent="0.25">
      <c r="B247" s="68" t="s">
        <v>252</v>
      </c>
      <c r="C247" s="69">
        <v>-50.9</v>
      </c>
      <c r="D247" s="69"/>
      <c r="E247" s="69"/>
      <c r="F247" s="69"/>
      <c r="G247" s="69"/>
    </row>
    <row r="248" spans="2:10" x14ac:dyDescent="0.25">
      <c r="B248" s="68" t="s">
        <v>249</v>
      </c>
      <c r="C248" s="69">
        <v>-6.2</v>
      </c>
      <c r="D248" s="69"/>
      <c r="E248" s="69"/>
      <c r="F248" s="69"/>
      <c r="G248" s="69"/>
    </row>
    <row r="249" spans="2:10" x14ac:dyDescent="0.25">
      <c r="B249" s="2" t="s">
        <v>318</v>
      </c>
      <c r="C249" s="3">
        <v>-782.1</v>
      </c>
      <c r="D249" s="3">
        <v>-377.3</v>
      </c>
      <c r="E249" s="3">
        <v>-777.2</v>
      </c>
      <c r="F249" s="3">
        <v>-284.3</v>
      </c>
      <c r="G249" s="3">
        <f>-AVERAGE(500,580)</f>
        <v>-540</v>
      </c>
    </row>
    <row r="250" spans="2:10" x14ac:dyDescent="0.25">
      <c r="B250" s="33" t="s">
        <v>329</v>
      </c>
      <c r="C250" s="32">
        <f>C251+C253+C255+C257+C259</f>
        <v>861.4</v>
      </c>
      <c r="D250" s="32"/>
      <c r="E250" s="32">
        <f>E251+E253+E255+E257+E259</f>
        <v>956</v>
      </c>
      <c r="F250" s="32"/>
      <c r="G250" s="95"/>
    </row>
    <row r="251" spans="2:10" x14ac:dyDescent="0.25">
      <c r="B251" s="31" t="s">
        <v>266</v>
      </c>
      <c r="C251" s="32">
        <v>77.900000000000006</v>
      </c>
      <c r="D251" s="32"/>
      <c r="E251" s="32">
        <v>90.1</v>
      </c>
      <c r="F251" s="32"/>
      <c r="G251" s="32">
        <f>G252*G249</f>
        <v>-50.89330543933054</v>
      </c>
    </row>
    <row r="252" spans="2:10" x14ac:dyDescent="0.25">
      <c r="B252" s="38" t="s">
        <v>320</v>
      </c>
      <c r="C252" s="39">
        <f>C251/C250</f>
        <v>9.0434176921290937E-2</v>
      </c>
      <c r="D252" s="39"/>
      <c r="E252" s="39">
        <f>E251/E250</f>
        <v>9.424686192468619E-2</v>
      </c>
      <c r="F252" s="39"/>
      <c r="G252" s="39">
        <f>E252</f>
        <v>9.424686192468619E-2</v>
      </c>
    </row>
    <row r="253" spans="2:10" x14ac:dyDescent="0.25">
      <c r="B253" s="31" t="s">
        <v>146</v>
      </c>
      <c r="C253" s="32">
        <v>146.80000000000001</v>
      </c>
      <c r="D253" s="32"/>
      <c r="E253" s="32">
        <v>162.9</v>
      </c>
      <c r="F253" s="32"/>
      <c r="G253" s="32">
        <f>G254*G249</f>
        <v>-92.01464435146444</v>
      </c>
    </row>
    <row r="254" spans="2:10" x14ac:dyDescent="0.25">
      <c r="B254" s="38" t="s">
        <v>320</v>
      </c>
      <c r="C254" s="39">
        <f>C253/C250</f>
        <v>0.17042024611098214</v>
      </c>
      <c r="D254" s="39"/>
      <c r="E254" s="39">
        <f t="shared" ref="E254" si="17">E253/E250</f>
        <v>0.17039748953974895</v>
      </c>
      <c r="F254" s="39"/>
      <c r="G254" s="39">
        <f>E254</f>
        <v>0.17039748953974895</v>
      </c>
    </row>
    <row r="255" spans="2:10" x14ac:dyDescent="0.25">
      <c r="B255" s="31" t="s">
        <v>147</v>
      </c>
      <c r="C255" s="32">
        <v>110.3</v>
      </c>
      <c r="D255" s="32"/>
      <c r="E255" s="32">
        <v>170.7</v>
      </c>
      <c r="F255" s="32"/>
      <c r="G255" s="32">
        <f>G256*G249</f>
        <v>-96.420502092050199</v>
      </c>
    </row>
    <row r="256" spans="2:10" x14ac:dyDescent="0.25">
      <c r="B256" s="38" t="s">
        <v>320</v>
      </c>
      <c r="C256" s="39">
        <f>C255/C250</f>
        <v>0.12804736475504991</v>
      </c>
      <c r="D256" s="39"/>
      <c r="E256" s="39">
        <f>E255/E250</f>
        <v>0.17855648535564853</v>
      </c>
      <c r="F256" s="39"/>
      <c r="G256" s="39">
        <f>E256</f>
        <v>0.17855648535564853</v>
      </c>
    </row>
    <row r="257" spans="2:7" x14ac:dyDescent="0.25">
      <c r="B257" s="31" t="s">
        <v>148</v>
      </c>
      <c r="C257" s="32">
        <v>11.5</v>
      </c>
      <c r="D257" s="32"/>
      <c r="E257" s="32">
        <v>7.9</v>
      </c>
      <c r="F257" s="32"/>
      <c r="G257" s="32">
        <f>G258*G249</f>
        <v>-4.46234309623431</v>
      </c>
    </row>
    <row r="258" spans="2:7" x14ac:dyDescent="0.25">
      <c r="B258" s="38" t="s">
        <v>320</v>
      </c>
      <c r="C258" s="39">
        <f>C257/C250</f>
        <v>1.3350359879266312E-2</v>
      </c>
      <c r="D258" s="39"/>
      <c r="E258" s="39">
        <f>E257/E250</f>
        <v>8.2635983263598337E-3</v>
      </c>
      <c r="F258" s="39"/>
      <c r="G258" s="39">
        <f>E258</f>
        <v>8.2635983263598337E-3</v>
      </c>
    </row>
    <row r="259" spans="2:7" x14ac:dyDescent="0.25">
      <c r="B259" s="31" t="s">
        <v>149</v>
      </c>
      <c r="C259" s="32">
        <v>514.9</v>
      </c>
      <c r="D259" s="32"/>
      <c r="E259" s="32">
        <v>524.4</v>
      </c>
      <c r="F259" s="32"/>
      <c r="G259" s="32">
        <f>G260*G249</f>
        <v>-296.20920502092048</v>
      </c>
    </row>
    <row r="260" spans="2:7" x14ac:dyDescent="0.25">
      <c r="B260" s="38" t="s">
        <v>320</v>
      </c>
      <c r="C260" s="39">
        <f>C259/C250</f>
        <v>0.59774785233341077</v>
      </c>
      <c r="D260" s="39"/>
      <c r="E260" s="39">
        <f>E259/E250</f>
        <v>0.54853556485355648</v>
      </c>
      <c r="F260" s="39"/>
      <c r="G260" s="39">
        <f>E260</f>
        <v>0.54853556485355648</v>
      </c>
    </row>
    <row r="261" spans="2:7" x14ac:dyDescent="0.25">
      <c r="B261" s="27" t="s">
        <v>144</v>
      </c>
      <c r="C261" s="28">
        <f>C249/C4</f>
        <v>-0.4425144279732941</v>
      </c>
      <c r="D261" s="28"/>
      <c r="E261" s="28">
        <f>E249/E4</f>
        <v>-0.4215893680499051</v>
      </c>
      <c r="F261" s="28"/>
      <c r="G261" s="28">
        <f>G249/E4</f>
        <v>-0.29292107404393813</v>
      </c>
    </row>
    <row r="262" spans="2:7" x14ac:dyDescent="0.25">
      <c r="B262" s="2" t="s">
        <v>61</v>
      </c>
      <c r="C262" s="3">
        <v>-35.1</v>
      </c>
      <c r="D262" s="3">
        <v>-21.4</v>
      </c>
      <c r="E262" s="3">
        <v>-74.8</v>
      </c>
      <c r="F262" s="3">
        <v>-15.6</v>
      </c>
      <c r="G262" s="3">
        <f>G4*G263</f>
        <v>-75.905668565229192</v>
      </c>
    </row>
    <row r="263" spans="2:7" x14ac:dyDescent="0.25">
      <c r="B263" s="27" t="s">
        <v>144</v>
      </c>
      <c r="C263" s="28">
        <f>C262/C4</f>
        <v>-1.9859680887178908E-2</v>
      </c>
      <c r="D263" s="28"/>
      <c r="E263" s="28">
        <f>E262/E4</f>
        <v>-4.0574993219419583E-2</v>
      </c>
      <c r="F263" s="28"/>
      <c r="G263" s="28">
        <f>E263</f>
        <v>-4.0574993219419583E-2</v>
      </c>
    </row>
    <row r="264" spans="2:7" x14ac:dyDescent="0.25">
      <c r="B264" s="68" t="s">
        <v>367</v>
      </c>
      <c r="C264" s="69"/>
      <c r="D264" s="69"/>
      <c r="E264" s="69"/>
      <c r="F264" s="69">
        <v>0.7</v>
      </c>
      <c r="G264" s="69"/>
    </row>
    <row r="265" spans="2:7" x14ac:dyDescent="0.25">
      <c r="B265" s="68" t="s">
        <v>250</v>
      </c>
      <c r="C265" s="69">
        <v>1.4</v>
      </c>
      <c r="D265" s="69">
        <v>6.5</v>
      </c>
      <c r="E265" s="69">
        <v>12.9</v>
      </c>
      <c r="F265" s="69">
        <v>1.8</v>
      </c>
      <c r="G265" s="69"/>
    </row>
    <row r="266" spans="2:7" x14ac:dyDescent="0.25">
      <c r="B266" s="88" t="s">
        <v>368</v>
      </c>
      <c r="C266" s="89"/>
      <c r="D266" s="89">
        <v>10</v>
      </c>
      <c r="E266" s="89">
        <v>35.6</v>
      </c>
      <c r="F266" s="89">
        <v>-29.5</v>
      </c>
      <c r="G266" s="89"/>
    </row>
    <row r="267" spans="2:7" x14ac:dyDescent="0.25">
      <c r="B267" s="2" t="s">
        <v>62</v>
      </c>
      <c r="C267" s="3">
        <v>0.8</v>
      </c>
      <c r="D267" s="3">
        <v>0.6</v>
      </c>
      <c r="E267" s="3">
        <v>2</v>
      </c>
      <c r="F267" s="3">
        <v>0.7</v>
      </c>
      <c r="G267" s="3">
        <f>G61</f>
        <v>1.3</v>
      </c>
    </row>
    <row r="268" spans="2:7" x14ac:dyDescent="0.25">
      <c r="B268" s="53" t="s">
        <v>207</v>
      </c>
      <c r="C268" s="54">
        <f>C247+C248+C249+C262+C265+C266+C267</f>
        <v>-872.10000000000014</v>
      </c>
      <c r="D268" s="54">
        <f>D247+D248+D249+D262+D265+D266+D267</f>
        <v>-381.59999999999997</v>
      </c>
      <c r="E268" s="54">
        <f t="shared" ref="E268:G268" si="18">E247+E248+E249+E262+E265+E266+E267</f>
        <v>-801.5</v>
      </c>
      <c r="F268" s="54">
        <f t="shared" si="18"/>
        <v>-326.90000000000003</v>
      </c>
      <c r="G268" s="54">
        <f t="shared" si="18"/>
        <v>-614.60566856522928</v>
      </c>
    </row>
    <row r="269" spans="2:7" x14ac:dyDescent="0.25">
      <c r="B269" s="2" t="s">
        <v>54</v>
      </c>
      <c r="C269" s="3">
        <v>-158</v>
      </c>
      <c r="D269" s="3">
        <v>-73.400000000000006</v>
      </c>
      <c r="E269" s="3">
        <v>-181.9</v>
      </c>
      <c r="F269" s="3">
        <v>-76.2</v>
      </c>
      <c r="G269" s="3">
        <f ca="1">-debt!E48</f>
        <v>-175.33558757152571</v>
      </c>
    </row>
    <row r="270" spans="2:7" x14ac:dyDescent="0.25">
      <c r="B270" s="2" t="s">
        <v>141</v>
      </c>
      <c r="C270" s="3">
        <v>-4.4000000000000004</v>
      </c>
      <c r="D270" s="3"/>
      <c r="E270" s="3">
        <v>-4.3</v>
      </c>
      <c r="F270" s="3">
        <v>-0.2</v>
      </c>
      <c r="G270" s="3">
        <f>-G67</f>
        <v>-4.7024064171123001</v>
      </c>
    </row>
    <row r="271" spans="2:7" x14ac:dyDescent="0.25">
      <c r="B271" s="2" t="s">
        <v>56</v>
      </c>
      <c r="C271" s="3">
        <v>-1.7</v>
      </c>
      <c r="D271" s="3">
        <v>-1.2</v>
      </c>
      <c r="E271" s="3">
        <v>-5.5</v>
      </c>
      <c r="F271" s="3">
        <v>-0.9</v>
      </c>
      <c r="G271" s="3">
        <f>-lease!E8</f>
        <v>-1.3975935828876995</v>
      </c>
    </row>
    <row r="272" spans="2:7" x14ac:dyDescent="0.25">
      <c r="B272" s="2" t="s">
        <v>55</v>
      </c>
      <c r="C272" s="3">
        <v>-211.9</v>
      </c>
      <c r="D272" s="3">
        <v>-133.1</v>
      </c>
      <c r="E272" s="3">
        <v>-228.4</v>
      </c>
      <c r="F272" s="3">
        <v>-143.1</v>
      </c>
      <c r="G272" s="3">
        <f>-G121/100*G119</f>
        <v>-242.66189710500001</v>
      </c>
    </row>
    <row r="273" spans="2:7" x14ac:dyDescent="0.25">
      <c r="B273" s="2" t="s">
        <v>251</v>
      </c>
      <c r="C273" s="3">
        <v>-166.5</v>
      </c>
      <c r="D273" s="3">
        <v>-0.9</v>
      </c>
      <c r="E273" s="3">
        <v>-3</v>
      </c>
      <c r="F273" s="3">
        <v>-286.2</v>
      </c>
      <c r="G273" s="3">
        <f>-debt!E14</f>
        <v>-645.50000000000011</v>
      </c>
    </row>
    <row r="274" spans="2:7" x14ac:dyDescent="0.25">
      <c r="B274" s="2" t="s">
        <v>57</v>
      </c>
      <c r="C274" s="3">
        <v>554.20000000000005</v>
      </c>
      <c r="D274" s="3">
        <v>74.900000000000006</v>
      </c>
      <c r="E274" s="3">
        <v>330.1</v>
      </c>
      <c r="F274" s="3">
        <v>293.8</v>
      </c>
      <c r="G274" s="3">
        <f ca="1">debt!E15</f>
        <v>764.13946433094713</v>
      </c>
    </row>
    <row r="275" spans="2:7" x14ac:dyDescent="0.25">
      <c r="B275" s="2" t="s">
        <v>58</v>
      </c>
      <c r="C275" s="3">
        <v>11.1</v>
      </c>
      <c r="D275" s="3">
        <v>8.6999999999999993</v>
      </c>
      <c r="E275" s="3">
        <v>9.6</v>
      </c>
      <c r="F275" s="3">
        <v>10.7</v>
      </c>
      <c r="G275" s="3"/>
    </row>
    <row r="276" spans="2:7" x14ac:dyDescent="0.25">
      <c r="B276" s="68" t="s">
        <v>366</v>
      </c>
      <c r="C276" s="69"/>
      <c r="D276" s="69">
        <v>-0.3</v>
      </c>
      <c r="E276" s="69">
        <v>-16.8</v>
      </c>
      <c r="F276" s="69"/>
      <c r="G276" s="69"/>
    </row>
    <row r="277" spans="2:7" x14ac:dyDescent="0.25">
      <c r="B277" s="68" t="s">
        <v>59</v>
      </c>
      <c r="C277" s="69"/>
      <c r="D277" s="69"/>
      <c r="E277" s="69">
        <v>16.5</v>
      </c>
      <c r="F277" s="69"/>
      <c r="G277" s="69"/>
    </row>
    <row r="278" spans="2:7" x14ac:dyDescent="0.25">
      <c r="B278" s="68" t="s">
        <v>60</v>
      </c>
      <c r="C278" s="69">
        <v>-1.1000000000000001</v>
      </c>
      <c r="D278" s="69">
        <v>-1.6</v>
      </c>
      <c r="E278" s="69"/>
      <c r="F278" s="69"/>
      <c r="G278" s="69"/>
    </row>
    <row r="279" spans="2:7" x14ac:dyDescent="0.25">
      <c r="B279" s="53" t="s">
        <v>208</v>
      </c>
      <c r="C279" s="54">
        <f>C269+C270+C272+C273+C271+C274+C275+C276+C277+C278</f>
        <v>21.700000000000045</v>
      </c>
      <c r="D279" s="54">
        <f>D269+D270+D272+D273+D271+D274+D275+D276+D277+D278</f>
        <v>-126.89999999999998</v>
      </c>
      <c r="E279" s="54">
        <f>E269+E270+E272+E273+E271+E274+E275+E276+E277+E278</f>
        <v>-83.7</v>
      </c>
      <c r="F279" s="54">
        <f>F269+F270+F272+F273+F271+F274+F275+F276+F277+F278</f>
        <v>-202.09999999999997</v>
      </c>
      <c r="G279" s="54">
        <f ca="1">G269+G270+G272+G273+G271+G274+G275+G276+G277+G278</f>
        <v>-305.4580203455788</v>
      </c>
    </row>
    <row r="280" spans="2:7" x14ac:dyDescent="0.25">
      <c r="B280" s="2" t="s">
        <v>209</v>
      </c>
      <c r="C280" s="3">
        <f>C246+C268+C279</f>
        <v>1.1000000000003638</v>
      </c>
      <c r="D280" s="3">
        <f>D246+D268+D279</f>
        <v>-16.299999999999841</v>
      </c>
      <c r="E280" s="3">
        <f>E246+E268+E279</f>
        <v>9.0000000000001563</v>
      </c>
      <c r="F280" s="3">
        <f>F246+F268+F279</f>
        <v>-26.599999999999909</v>
      </c>
      <c r="G280" s="3">
        <f ca="1">G246+G268+G279</f>
        <v>-1.5890512715576506</v>
      </c>
    </row>
    <row r="281" spans="2:7" x14ac:dyDescent="0.25">
      <c r="B281" s="60" t="s">
        <v>142</v>
      </c>
      <c r="C281" s="61">
        <v>38.5</v>
      </c>
      <c r="D281" s="61">
        <f>C282</f>
        <v>39.600000000000364</v>
      </c>
      <c r="E281" s="61">
        <f>C282</f>
        <v>39.600000000000364</v>
      </c>
      <c r="F281" s="61"/>
      <c r="G281" s="61">
        <f>E282</f>
        <v>48.60000000000052</v>
      </c>
    </row>
    <row r="282" spans="2:7" x14ac:dyDescent="0.25">
      <c r="B282" s="2" t="s">
        <v>143</v>
      </c>
      <c r="C282" s="3">
        <f t="shared" ref="C282:E282" si="19">C281+C280</f>
        <v>39.600000000000364</v>
      </c>
      <c r="D282" s="3">
        <f t="shared" si="19"/>
        <v>23.300000000000523</v>
      </c>
      <c r="E282" s="3">
        <f t="shared" si="19"/>
        <v>48.60000000000052</v>
      </c>
      <c r="F282" s="3"/>
      <c r="G282" s="3">
        <f ca="1">G281+G280</f>
        <v>47.01094872844287</v>
      </c>
    </row>
  </sheetData>
  <sheetProtection algorithmName="SHA-512" hashValue="eM4uVdTk4b5U4bAePUfDaQo1DfhBdI/OHrZdOsBKX2lvjCEEEbrlKMdj1OS3AnZjLUf4PPSXeh72Y/ZPaRvfQA==" saltValue="hxqBSWmDm0ymaJXjny6beg==" spinCount="100000" sheet="1" selectLockedCells="1"/>
  <pageMargins left="0.7" right="0.7" top="0.75" bottom="0.75" header="0.3" footer="0.3"/>
  <ignoredErrors>
    <ignoredError sqref="G74 G147 G185 G204 G168 G37 G145 G201 G15 G262 G11 G143 G139 G162 G164 G166 G21 G19 G50 G52 G172 G175 G177 G199 G196 G43 G253 G255 G257 G259 G26 G28 G30 G13 G17 G182 G180 F57 F98 D57" formula="1"/>
    <ignoredError sqref="E146 E48" formulaRange="1"/>
  </ignoredErrors>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1CE87-C985-4EDA-ACF4-D683E2455316}">
  <dimension ref="B2:E9"/>
  <sheetViews>
    <sheetView workbookViewId="0">
      <selection activeCell="M50" sqref="M50"/>
    </sheetView>
  </sheetViews>
  <sheetFormatPr defaultRowHeight="15" x14ac:dyDescent="0.25"/>
  <cols>
    <col min="1" max="1" width="9.140625" style="2"/>
    <col min="2" max="2" width="26.5703125" style="2" bestFit="1" customWidth="1"/>
    <col min="3" max="4" width="9.140625" style="2"/>
    <col min="5" max="5" width="9.5703125" style="2" customWidth="1"/>
    <col min="6" max="16384" width="9.140625" style="2"/>
  </cols>
  <sheetData>
    <row r="2" spans="2:5" ht="18.75" x14ac:dyDescent="0.3">
      <c r="B2" s="50" t="s">
        <v>257</v>
      </c>
      <c r="C2" s="1"/>
      <c r="D2" s="1"/>
      <c r="E2" s="58"/>
    </row>
    <row r="3" spans="2:5" x14ac:dyDescent="0.25">
      <c r="B3" s="49"/>
      <c r="C3" s="55" t="str">
        <f>model!C3</f>
        <v>FY19</v>
      </c>
      <c r="D3" s="55" t="str">
        <f>model!E3</f>
        <v>FY20</v>
      </c>
      <c r="E3" s="55" t="str">
        <f>model!G3</f>
        <v>FY21E</v>
      </c>
    </row>
    <row r="4" spans="2:5" x14ac:dyDescent="0.25">
      <c r="B4" s="2" t="s">
        <v>278</v>
      </c>
      <c r="C4" s="9">
        <v>6265</v>
      </c>
      <c r="D4" s="9">
        <v>5824</v>
      </c>
      <c r="E4" s="9">
        <f>ROUNDDOWN(D4+1/5*'amp7'!D11,0)</f>
        <v>6136</v>
      </c>
    </row>
    <row r="5" spans="2:5" x14ac:dyDescent="0.25">
      <c r="B5" s="2" t="s">
        <v>279</v>
      </c>
      <c r="C5" s="2">
        <f>model!C7</f>
        <v>252.2</v>
      </c>
      <c r="D5" s="2">
        <f>model!E7</f>
        <v>281.10000000000002</v>
      </c>
      <c r="E5" s="22">
        <f>E8+E7+E6</f>
        <v>285.33762695839198</v>
      </c>
    </row>
    <row r="6" spans="2:5" x14ac:dyDescent="0.25">
      <c r="B6" s="72" t="s">
        <v>280</v>
      </c>
      <c r="C6" s="73">
        <v>0.70799999999999996</v>
      </c>
      <c r="D6" s="73">
        <v>0.72499999999999998</v>
      </c>
      <c r="E6" s="73">
        <f>D6</f>
        <v>0.72499999999999998</v>
      </c>
    </row>
    <row r="7" spans="2:5" x14ac:dyDescent="0.25">
      <c r="B7" s="72" t="s">
        <v>281</v>
      </c>
      <c r="C7" s="73">
        <v>0.42659999999999998</v>
      </c>
      <c r="D7" s="73">
        <v>0.43690000000000001</v>
      </c>
      <c r="E7" s="73">
        <f>D7</f>
        <v>0.43690000000000001</v>
      </c>
    </row>
    <row r="8" spans="2:5" x14ac:dyDescent="0.25">
      <c r="B8" s="2" t="s">
        <v>282</v>
      </c>
      <c r="C8" s="23">
        <f>C5-C6-C7</f>
        <v>251.06539999999998</v>
      </c>
      <c r="D8" s="23">
        <f>D5-D6-D7</f>
        <v>279.93810000000002</v>
      </c>
      <c r="E8" s="23">
        <f>E9*E4</f>
        <v>284.17572695839198</v>
      </c>
    </row>
    <row r="9" spans="2:5" x14ac:dyDescent="0.25">
      <c r="B9" s="4" t="s">
        <v>283</v>
      </c>
      <c r="D9" s="73">
        <f>D8/AVERAGE(C4:D4)</f>
        <v>4.6312862933245103E-2</v>
      </c>
      <c r="E9" s="73">
        <f>D9</f>
        <v>4.6312862933245103E-2</v>
      </c>
    </row>
  </sheetData>
  <sheetProtection algorithmName="SHA-512" hashValue="8fzW4uES5sDVItVUd8z4uK7+McncYr1lCgbn9E2MkLoEmhLfhyo7U58OonAhQRE6pkYp/uo1At2PbHrwcsdLyQ==" saltValue="7xaKcg0hBK5ZBirsVQHHUA==" spinCount="100000" sheet="1" objects="1" scenarios="1" selectLockedCell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5BE0F-348F-4254-8B66-487729D55B69}">
  <dimension ref="B2:H52"/>
  <sheetViews>
    <sheetView workbookViewId="0">
      <selection activeCell="M50" sqref="M50"/>
    </sheetView>
  </sheetViews>
  <sheetFormatPr defaultRowHeight="15" x14ac:dyDescent="0.25"/>
  <cols>
    <col min="1" max="1" width="2.85546875" style="2" customWidth="1"/>
    <col min="2" max="2" width="67.85546875" style="2" bestFit="1" customWidth="1"/>
    <col min="3" max="16384" width="9.140625" style="2"/>
  </cols>
  <sheetData>
    <row r="2" spans="2:7" ht="18.75" x14ac:dyDescent="0.3">
      <c r="B2" s="50" t="s">
        <v>231</v>
      </c>
      <c r="C2" s="1"/>
      <c r="D2" s="1"/>
      <c r="E2" s="58"/>
    </row>
    <row r="3" spans="2:7" x14ac:dyDescent="0.25">
      <c r="B3" s="49" t="str">
        <f>model!B3</f>
        <v>(in millions of GBP, except unit data)</v>
      </c>
      <c r="C3" s="55" t="str">
        <f>model!C3</f>
        <v>FY19</v>
      </c>
      <c r="D3" s="55" t="str">
        <f>model!E3</f>
        <v>FY20</v>
      </c>
      <c r="E3" s="55" t="str">
        <f>model!G3</f>
        <v>FY21E</v>
      </c>
    </row>
    <row r="5" spans="2:7" x14ac:dyDescent="0.25">
      <c r="B5" s="2" t="s">
        <v>287</v>
      </c>
    </row>
    <row r="6" spans="2:7" x14ac:dyDescent="0.25">
      <c r="B6" s="2" t="s">
        <v>288</v>
      </c>
      <c r="C6" s="3">
        <v>2339.8000000000002</v>
      </c>
      <c r="D6" s="3">
        <v>2418.9</v>
      </c>
      <c r="E6" s="3">
        <f>D14</f>
        <v>2414.0999999999995</v>
      </c>
    </row>
    <row r="7" spans="2:7" x14ac:dyDescent="0.25">
      <c r="B7" s="2" t="s">
        <v>219</v>
      </c>
      <c r="C7" s="3">
        <v>61</v>
      </c>
      <c r="D7" s="3">
        <v>58.2</v>
      </c>
      <c r="E7" s="57">
        <f>E6*E8</f>
        <v>58.084509487783691</v>
      </c>
    </row>
    <row r="8" spans="2:7" x14ac:dyDescent="0.25">
      <c r="B8" s="27" t="s">
        <v>299</v>
      </c>
      <c r="C8" s="28">
        <f>C7/C6</f>
        <v>2.6070604325155993E-2</v>
      </c>
      <c r="D8" s="28">
        <f>D7/D6</f>
        <v>2.4060523378395138E-2</v>
      </c>
      <c r="E8" s="87">
        <f>D8</f>
        <v>2.4060523378395138E-2</v>
      </c>
    </row>
    <row r="9" spans="2:7" x14ac:dyDescent="0.25">
      <c r="B9" s="2" t="s">
        <v>220</v>
      </c>
      <c r="C9" s="3">
        <v>34.9</v>
      </c>
      <c r="D9" s="3">
        <v>46.2</v>
      </c>
      <c r="E9" s="57">
        <v>60</v>
      </c>
    </row>
    <row r="10" spans="2:7" x14ac:dyDescent="0.25">
      <c r="B10" s="2" t="s">
        <v>221</v>
      </c>
      <c r="C10" s="3">
        <f>-C22</f>
        <v>0.1</v>
      </c>
      <c r="D10" s="3">
        <f t="shared" ref="D10:E10" si="0">-D22</f>
        <v>0.1</v>
      </c>
      <c r="E10" s="57">
        <f t="shared" si="0"/>
        <v>0.1</v>
      </c>
    </row>
    <row r="11" spans="2:7" x14ac:dyDescent="0.25">
      <c r="B11" s="88" t="s">
        <v>289</v>
      </c>
      <c r="C11" s="89">
        <v>95.9</v>
      </c>
      <c r="D11" s="89">
        <v>-0.4</v>
      </c>
      <c r="E11" s="89">
        <v>0</v>
      </c>
    </row>
    <row r="12" spans="2:7" x14ac:dyDescent="0.25">
      <c r="B12" s="2" t="s">
        <v>218</v>
      </c>
      <c r="C12" s="3">
        <v>-2.2999999999999998</v>
      </c>
      <c r="D12" s="3">
        <v>-3.4</v>
      </c>
      <c r="E12" s="57">
        <f>E32</f>
        <v>-3.4</v>
      </c>
    </row>
    <row r="13" spans="2:7" x14ac:dyDescent="0.25">
      <c r="B13" s="2" t="s">
        <v>222</v>
      </c>
      <c r="C13" s="3">
        <v>-110.5</v>
      </c>
      <c r="D13" s="3">
        <v>-105.5</v>
      </c>
      <c r="E13" s="57">
        <f>-E26</f>
        <v>-108</v>
      </c>
    </row>
    <row r="14" spans="2:7" x14ac:dyDescent="0.25">
      <c r="B14" s="2" t="s">
        <v>290</v>
      </c>
      <c r="C14" s="3">
        <f>D6</f>
        <v>2418.9</v>
      </c>
      <c r="D14" s="3">
        <f>D6+D7+D9+D10+D11+D12+D13</f>
        <v>2414.0999999999995</v>
      </c>
      <c r="E14" s="3">
        <f>E6+E7+E9+E10+E11+E12+E13</f>
        <v>2420.8845094877829</v>
      </c>
      <c r="G14" s="3"/>
    </row>
    <row r="16" spans="2:7" x14ac:dyDescent="0.25">
      <c r="B16" s="2" t="s">
        <v>292</v>
      </c>
    </row>
    <row r="17" spans="2:5" x14ac:dyDescent="0.25">
      <c r="B17" s="2" t="s">
        <v>291</v>
      </c>
      <c r="C17" s="3">
        <v>-2859.6</v>
      </c>
      <c r="D17" s="3">
        <v>-2871.8</v>
      </c>
      <c r="E17" s="3">
        <f>D27</f>
        <v>-2648.1</v>
      </c>
    </row>
    <row r="18" spans="2:5" x14ac:dyDescent="0.25">
      <c r="B18" s="2" t="s">
        <v>230</v>
      </c>
      <c r="C18" s="3">
        <v>-0.2</v>
      </c>
      <c r="D18" s="3">
        <v>-0.2</v>
      </c>
      <c r="E18" s="57">
        <f>E30</f>
        <v>-0.2</v>
      </c>
    </row>
    <row r="19" spans="2:5" x14ac:dyDescent="0.25">
      <c r="B19" s="2" t="s">
        <v>223</v>
      </c>
      <c r="C19" s="3">
        <v>-9.6</v>
      </c>
      <c r="D19" s="3"/>
      <c r="E19" s="3"/>
    </row>
    <row r="20" spans="2:5" x14ac:dyDescent="0.25">
      <c r="B20" s="2" t="s">
        <v>224</v>
      </c>
      <c r="C20" s="3">
        <v>-74.8</v>
      </c>
      <c r="D20" s="3">
        <v>-69.3</v>
      </c>
      <c r="E20" s="57">
        <f>E21*E17</f>
        <v>-63.901849014555317</v>
      </c>
    </row>
    <row r="21" spans="2:5" x14ac:dyDescent="0.25">
      <c r="B21" s="27" t="s">
        <v>298</v>
      </c>
      <c r="C21" s="28">
        <f>C20/C17</f>
        <v>2.6157504546090362E-2</v>
      </c>
      <c r="D21" s="28">
        <f>D20/D17</f>
        <v>2.4131206908559088E-2</v>
      </c>
      <c r="E21" s="87">
        <f>D21</f>
        <v>2.4131206908559088E-2</v>
      </c>
    </row>
    <row r="22" spans="2:5" x14ac:dyDescent="0.25">
      <c r="B22" s="2" t="s">
        <v>221</v>
      </c>
      <c r="C22" s="3">
        <v>-0.1</v>
      </c>
      <c r="D22" s="3">
        <v>-0.1</v>
      </c>
      <c r="E22" s="57">
        <f>D22</f>
        <v>-0.1</v>
      </c>
    </row>
    <row r="23" spans="2:5" x14ac:dyDescent="0.25">
      <c r="B23" s="88" t="s">
        <v>225</v>
      </c>
      <c r="C23" s="89">
        <v>55.7</v>
      </c>
      <c r="D23" s="89">
        <v>-49</v>
      </c>
      <c r="E23" s="89">
        <f>AVERAGE(C23:D23)</f>
        <v>3.3500000000000014</v>
      </c>
    </row>
    <row r="24" spans="2:5" x14ac:dyDescent="0.25">
      <c r="B24" s="88" t="s">
        <v>226</v>
      </c>
      <c r="C24" s="89">
        <v>-132.69999999999999</v>
      </c>
      <c r="D24" s="89">
        <v>222.5</v>
      </c>
      <c r="E24" s="89">
        <f t="shared" ref="E24:E26" si="1">AVERAGE(C24:D24)</f>
        <v>44.900000000000006</v>
      </c>
    </row>
    <row r="25" spans="2:5" x14ac:dyDescent="0.25">
      <c r="B25" s="88" t="s">
        <v>227</v>
      </c>
      <c r="C25" s="89">
        <v>39</v>
      </c>
      <c r="D25" s="89">
        <v>14.3</v>
      </c>
      <c r="E25" s="89">
        <f t="shared" si="1"/>
        <v>26.65</v>
      </c>
    </row>
    <row r="26" spans="2:5" x14ac:dyDescent="0.25">
      <c r="B26" s="88" t="s">
        <v>222</v>
      </c>
      <c r="C26" s="89">
        <v>110.5</v>
      </c>
      <c r="D26" s="89">
        <v>105.5</v>
      </c>
      <c r="E26" s="89">
        <f t="shared" si="1"/>
        <v>108</v>
      </c>
    </row>
    <row r="27" spans="2:5" x14ac:dyDescent="0.25">
      <c r="B27" s="2" t="s">
        <v>293</v>
      </c>
      <c r="C27" s="3">
        <f>C17+C18+C19+C20+C22+C23+C24+C25+C26</f>
        <v>-2871.7999999999997</v>
      </c>
      <c r="D27" s="3">
        <f>D17+D18+D19+D20+D22+D23+D24+D25+D26</f>
        <v>-2648.1</v>
      </c>
      <c r="E27" s="3">
        <f>E17+E18+E19+E20+E22+E23+E24+E25+E26</f>
        <v>-2529.401849014555</v>
      </c>
    </row>
    <row r="29" spans="2:5" x14ac:dyDescent="0.25">
      <c r="B29" s="2" t="s">
        <v>294</v>
      </c>
    </row>
    <row r="30" spans="2:5" x14ac:dyDescent="0.25">
      <c r="B30" s="4" t="s">
        <v>228</v>
      </c>
      <c r="C30" s="2">
        <v>-0.2</v>
      </c>
      <c r="D30" s="2">
        <v>-0.2</v>
      </c>
      <c r="E30" s="56">
        <f>D30</f>
        <v>-0.2</v>
      </c>
    </row>
    <row r="31" spans="2:5" x14ac:dyDescent="0.25">
      <c r="B31" s="4" t="s">
        <v>242</v>
      </c>
      <c r="C31" s="2">
        <v>-9.6</v>
      </c>
    </row>
    <row r="32" spans="2:5" x14ac:dyDescent="0.25">
      <c r="B32" s="90" t="s">
        <v>218</v>
      </c>
      <c r="C32" s="91">
        <v>-2.2999999999999998</v>
      </c>
      <c r="D32" s="91">
        <v>-3.4</v>
      </c>
      <c r="E32" s="92">
        <f>D32</f>
        <v>-3.4</v>
      </c>
    </row>
    <row r="33" spans="2:8" x14ac:dyDescent="0.25">
      <c r="C33" s="2">
        <f>C30+C31+C32</f>
        <v>-12.099999999999998</v>
      </c>
      <c r="D33" s="2">
        <f>D30+D31+D32</f>
        <v>-3.6</v>
      </c>
      <c r="E33" s="2">
        <f>E30+E31+E32</f>
        <v>-3.6</v>
      </c>
    </row>
    <row r="34" spans="2:8" x14ac:dyDescent="0.25">
      <c r="B34" s="2" t="s">
        <v>296</v>
      </c>
    </row>
    <row r="35" spans="2:8" x14ac:dyDescent="0.25">
      <c r="B35" s="4" t="s">
        <v>224</v>
      </c>
      <c r="C35" s="2">
        <v>-74.8</v>
      </c>
      <c r="D35" s="2">
        <v>-69.3</v>
      </c>
      <c r="E35" s="57">
        <f>E20</f>
        <v>-63.901849014555317</v>
      </c>
      <c r="G35" s="3"/>
    </row>
    <row r="37" spans="2:8" x14ac:dyDescent="0.25">
      <c r="B37" s="2" t="s">
        <v>295</v>
      </c>
    </row>
    <row r="38" spans="2:8" x14ac:dyDescent="0.25">
      <c r="B38" s="4" t="s">
        <v>219</v>
      </c>
      <c r="C38" s="2">
        <v>61</v>
      </c>
      <c r="D38" s="2">
        <v>58.2</v>
      </c>
      <c r="E38" s="3">
        <f>E7</f>
        <v>58.084509487783691</v>
      </c>
    </row>
    <row r="40" spans="2:8" x14ac:dyDescent="0.25">
      <c r="B40" s="2" t="s">
        <v>297</v>
      </c>
      <c r="C40" s="2">
        <f>C33+C35+C38</f>
        <v>-25.899999999999991</v>
      </c>
      <c r="D40" s="2">
        <f>D33+D35+D38</f>
        <v>-14.699999999999989</v>
      </c>
      <c r="E40" s="23">
        <f>E33+E35+E38</f>
        <v>-9.4173395267716273</v>
      </c>
    </row>
    <row r="43" spans="2:8" x14ac:dyDescent="0.25">
      <c r="B43" s="2" t="s">
        <v>300</v>
      </c>
      <c r="C43" s="3">
        <f>C14</f>
        <v>2418.9</v>
      </c>
      <c r="D43" s="3">
        <f>D14</f>
        <v>2414.0999999999995</v>
      </c>
      <c r="E43" s="3">
        <f>E14</f>
        <v>2420.8845094877829</v>
      </c>
    </row>
    <row r="44" spans="2:8" x14ac:dyDescent="0.25">
      <c r="B44" s="91" t="s">
        <v>301</v>
      </c>
      <c r="C44" s="93">
        <f>C27</f>
        <v>-2871.7999999999997</v>
      </c>
      <c r="D44" s="93">
        <f>D27</f>
        <v>-2648.1</v>
      </c>
      <c r="E44" s="93">
        <f>E27</f>
        <v>-2529.401849014555</v>
      </c>
    </row>
    <row r="45" spans="2:8" x14ac:dyDescent="0.25">
      <c r="B45" s="2" t="s">
        <v>302</v>
      </c>
      <c r="C45" s="3">
        <f>C43+C44</f>
        <v>-452.89999999999964</v>
      </c>
      <c r="D45" s="3">
        <f>D43+D44</f>
        <v>-234.00000000000045</v>
      </c>
      <c r="E45" s="3">
        <f>E43+E44</f>
        <v>-108.51733952677205</v>
      </c>
    </row>
    <row r="47" spans="2:8" x14ac:dyDescent="0.25">
      <c r="B47" s="2" t="s">
        <v>303</v>
      </c>
    </row>
    <row r="48" spans="2:8" x14ac:dyDescent="0.25">
      <c r="B48" s="2" t="str">
        <f>B45</f>
        <v>Net obligation (benefit)</v>
      </c>
      <c r="C48" s="3">
        <f>C45</f>
        <v>-452.89999999999964</v>
      </c>
      <c r="D48" s="3">
        <f t="shared" ref="D48" si="2">D45</f>
        <v>-234.00000000000045</v>
      </c>
      <c r="E48" s="3">
        <f>E45</f>
        <v>-108.51733952677205</v>
      </c>
      <c r="G48" s="3"/>
      <c r="H48" s="3"/>
    </row>
    <row r="49" spans="2:6" x14ac:dyDescent="0.25">
      <c r="B49" s="2" t="s">
        <v>304</v>
      </c>
      <c r="C49" s="2">
        <f>model!C167</f>
        <v>18.600000000000001</v>
      </c>
      <c r="D49" s="2">
        <f>model!E167</f>
        <v>21.3</v>
      </c>
      <c r="E49" s="56">
        <f>D49</f>
        <v>21.3</v>
      </c>
    </row>
    <row r="50" spans="2:6" x14ac:dyDescent="0.25">
      <c r="B50" s="2" t="s">
        <v>229</v>
      </c>
      <c r="C50" s="3">
        <f>C48-C49</f>
        <v>-471.49999999999966</v>
      </c>
      <c r="D50" s="3">
        <f>D48-D49</f>
        <v>-255.30000000000047</v>
      </c>
      <c r="E50" s="3">
        <f t="shared" ref="E50" si="3">E48-E49</f>
        <v>-129.81733952677206</v>
      </c>
      <c r="F50" s="3"/>
    </row>
    <row r="52" spans="2:6" x14ac:dyDescent="0.25">
      <c r="B52" s="2" t="s">
        <v>305</v>
      </c>
      <c r="C52" s="73"/>
      <c r="E52" s="3">
        <f>E50-D50-E40-E9</f>
        <v>74.900000000000034</v>
      </c>
      <c r="F52" s="56"/>
    </row>
  </sheetData>
  <sheetProtection algorithmName="SHA-512" hashValue="x6JLS5WZEqA0PklAjKssewUCknxspR4qB0XBmAzscPltZMZeznNxuMdKU8cHjNRqvxUOkGj1eqOX+h91ywp+KQ==" saltValue="FLTkjx9f3NNYoGeftEczrQ==" spinCount="100000" sheet="1" objects="1" scenarios="1" selectLockedCells="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AC989-7D51-4D0F-A462-1D962663A753}">
  <dimension ref="B2:I12"/>
  <sheetViews>
    <sheetView workbookViewId="0">
      <selection activeCell="M50" sqref="M50"/>
    </sheetView>
  </sheetViews>
  <sheetFormatPr defaultRowHeight="15" x14ac:dyDescent="0.25"/>
  <cols>
    <col min="1" max="1" width="9.140625" style="2"/>
    <col min="2" max="2" width="32.42578125" style="2" bestFit="1" customWidth="1"/>
    <col min="3" max="3" width="8.42578125" style="2" customWidth="1"/>
    <col min="4" max="4" width="9.140625" style="2"/>
    <col min="5" max="8" width="9.5703125" style="2" bestFit="1" customWidth="1"/>
    <col min="9" max="9" width="9.28515625" style="2" bestFit="1" customWidth="1"/>
    <col min="10" max="16384" width="9.140625" style="2"/>
  </cols>
  <sheetData>
    <row r="2" spans="2:9" x14ac:dyDescent="0.25">
      <c r="B2" s="2" t="s">
        <v>193</v>
      </c>
      <c r="C2" s="11">
        <f>D7/C11</f>
        <v>3.8324420677361859E-2</v>
      </c>
    </row>
    <row r="4" spans="2:9" x14ac:dyDescent="0.25">
      <c r="B4" s="203" t="s">
        <v>187</v>
      </c>
      <c r="C4" s="203"/>
      <c r="D4" s="203"/>
      <c r="E4" s="203"/>
      <c r="F4" s="203"/>
      <c r="G4" s="203"/>
      <c r="H4" s="203"/>
      <c r="I4" s="14"/>
    </row>
    <row r="5" spans="2:9" x14ac:dyDescent="0.25">
      <c r="B5" s="14"/>
      <c r="C5" s="14">
        <v>2019</v>
      </c>
      <c r="D5" s="14">
        <v>2020</v>
      </c>
      <c r="E5" s="15">
        <v>2021</v>
      </c>
      <c r="F5" s="15">
        <v>2022</v>
      </c>
      <c r="G5" s="15">
        <v>2023</v>
      </c>
      <c r="H5" s="15">
        <v>2024</v>
      </c>
      <c r="I5" s="15">
        <v>2025</v>
      </c>
    </row>
    <row r="6" spans="2:9" x14ac:dyDescent="0.25">
      <c r="B6" s="2" t="s">
        <v>190</v>
      </c>
      <c r="D6" s="2">
        <f>-(model!E271+model!E270)</f>
        <v>9.8000000000000007</v>
      </c>
      <c r="E6" s="2">
        <v>6.1</v>
      </c>
      <c r="F6" s="2">
        <v>5.7</v>
      </c>
      <c r="G6" s="2">
        <v>5.7</v>
      </c>
      <c r="H6" s="2">
        <v>20.9</v>
      </c>
      <c r="I6" s="2">
        <v>20.9</v>
      </c>
    </row>
    <row r="7" spans="2:9" x14ac:dyDescent="0.25">
      <c r="B7" s="46" t="s">
        <v>188</v>
      </c>
      <c r="C7" s="47">
        <f>-model!C270</f>
        <v>4.4000000000000004</v>
      </c>
      <c r="D7" s="47">
        <f>-model!E270</f>
        <v>4.3</v>
      </c>
      <c r="E7" s="48">
        <f>D11*$C$2</f>
        <v>4.7024064171123001</v>
      </c>
      <c r="F7" s="48">
        <f t="shared" ref="F7:I7" si="0">E11*$C$2</f>
        <v>4.6488444527057311</v>
      </c>
      <c r="G7" s="48">
        <f t="shared" si="0"/>
        <v>4.6085595253138827</v>
      </c>
      <c r="H7" s="48">
        <f t="shared" si="0"/>
        <v>4.5667307014177121</v>
      </c>
      <c r="I7" s="48">
        <f t="shared" si="0"/>
        <v>3.9407676177822051</v>
      </c>
    </row>
    <row r="8" spans="2:9" x14ac:dyDescent="0.25">
      <c r="B8" s="2" t="s">
        <v>189</v>
      </c>
      <c r="D8" s="2">
        <f>D6-D7</f>
        <v>5.5000000000000009</v>
      </c>
      <c r="E8" s="23">
        <f t="shared" ref="E8:I8" si="1">E6-E7</f>
        <v>1.3975935828876995</v>
      </c>
      <c r="F8" s="23">
        <f t="shared" si="1"/>
        <v>1.0511555472942691</v>
      </c>
      <c r="G8" s="23">
        <f t="shared" si="1"/>
        <v>1.0914404746861175</v>
      </c>
      <c r="H8" s="23">
        <f t="shared" si="1"/>
        <v>16.333269298582287</v>
      </c>
      <c r="I8" s="23">
        <f t="shared" si="1"/>
        <v>16.959232382217792</v>
      </c>
    </row>
    <row r="9" spans="2:9" x14ac:dyDescent="0.25">
      <c r="E9" s="23"/>
      <c r="F9" s="23"/>
      <c r="G9" s="23"/>
      <c r="H9" s="23"/>
      <c r="I9" s="23"/>
    </row>
    <row r="10" spans="2:9" x14ac:dyDescent="0.25">
      <c r="B10" s="2" t="s">
        <v>191</v>
      </c>
      <c r="D10" s="2">
        <f>model!E156</f>
        <v>128.80000000000001</v>
      </c>
      <c r="E10" s="23">
        <f>D10-E8</f>
        <v>127.40240641711232</v>
      </c>
      <c r="F10" s="23">
        <f t="shared" ref="F10:I10" si="2">E10-F8</f>
        <v>126.35125086981805</v>
      </c>
      <c r="G10" s="23">
        <f t="shared" si="2"/>
        <v>125.25981039513192</v>
      </c>
      <c r="H10" s="23">
        <f t="shared" si="2"/>
        <v>108.92654109654964</v>
      </c>
      <c r="I10" s="23">
        <f t="shared" si="2"/>
        <v>91.96730871433185</v>
      </c>
    </row>
    <row r="11" spans="2:9" x14ac:dyDescent="0.25">
      <c r="B11" s="2" t="s">
        <v>192</v>
      </c>
      <c r="C11" s="2">
        <f>model!C184+model!C190</f>
        <v>112.19999999999999</v>
      </c>
      <c r="D11" s="2">
        <f>model!E184+model!E190</f>
        <v>122.7</v>
      </c>
      <c r="E11" s="23">
        <f>D11-E8</f>
        <v>121.30240641711231</v>
      </c>
      <c r="F11" s="23">
        <f t="shared" ref="F11:I11" si="3">E11-F8</f>
        <v>120.25125086981804</v>
      </c>
      <c r="G11" s="23">
        <f t="shared" si="3"/>
        <v>119.15981039513191</v>
      </c>
      <c r="H11" s="23">
        <f t="shared" si="3"/>
        <v>102.82654109654962</v>
      </c>
      <c r="I11" s="23">
        <f t="shared" si="3"/>
        <v>85.867308714331827</v>
      </c>
    </row>
    <row r="12" spans="2:9" x14ac:dyDescent="0.25">
      <c r="E12" s="23"/>
    </row>
  </sheetData>
  <sheetProtection algorithmName="SHA-512" hashValue="sBkaqEXJ0BtzuRMuv6S7KvZ/we+FmkxOpVDzyLpVXALqlrivwUIoaP8HYi7vDRkFxSH+K32VAdQw2bPakvd/sg==" saltValue="kU36w9/TMiL7b/pJQzLpHg==" spinCount="100000" sheet="1" objects="1" scenarios="1" selectLockedCells="1"/>
  <mergeCells count="1">
    <mergeCell ref="B4:H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D2B86-23B7-42CF-A916-7CA780FF4A41}">
  <dimension ref="B2:E48"/>
  <sheetViews>
    <sheetView zoomScaleNormal="100" workbookViewId="0">
      <selection activeCell="M50" sqref="M50"/>
    </sheetView>
  </sheetViews>
  <sheetFormatPr defaultRowHeight="15" x14ac:dyDescent="0.25"/>
  <cols>
    <col min="1" max="1" width="3.28515625" style="2" customWidth="1"/>
    <col min="2" max="2" width="45.5703125" style="2" bestFit="1" customWidth="1"/>
    <col min="3" max="16384" width="9.140625" style="2"/>
  </cols>
  <sheetData>
    <row r="2" spans="2:5" x14ac:dyDescent="0.25">
      <c r="B2" s="203" t="s">
        <v>194</v>
      </c>
      <c r="C2" s="203"/>
      <c r="D2" s="203"/>
      <c r="E2" s="203"/>
    </row>
    <row r="3" spans="2:5" x14ac:dyDescent="0.25">
      <c r="B3" s="14"/>
      <c r="C3" s="15" t="str">
        <f>model!C3</f>
        <v>FY19</v>
      </c>
      <c r="D3" s="15" t="str">
        <f>model!E3</f>
        <v>FY20</v>
      </c>
      <c r="E3" s="15" t="str">
        <f>model!G3</f>
        <v>FY21E</v>
      </c>
    </row>
    <row r="4" spans="2:5" x14ac:dyDescent="0.25">
      <c r="B4" s="2" t="s">
        <v>196</v>
      </c>
      <c r="C4" s="3">
        <f>model!C57</f>
        <v>1223.9999999999998</v>
      </c>
      <c r="D4" s="3">
        <f>model!E57</f>
        <v>1282.2</v>
      </c>
      <c r="E4" s="3">
        <f>model!G57</f>
        <v>1316.8271154856029</v>
      </c>
    </row>
    <row r="5" spans="2:5" x14ac:dyDescent="0.25">
      <c r="B5" s="2" t="s">
        <v>195</v>
      </c>
      <c r="C5" s="3">
        <f>model!C129</f>
        <v>41</v>
      </c>
      <c r="D5" s="3">
        <f>model!E129</f>
        <v>48.6</v>
      </c>
      <c r="E5" s="32"/>
    </row>
    <row r="6" spans="2:5" x14ac:dyDescent="0.25">
      <c r="B6" s="27" t="s">
        <v>197</v>
      </c>
      <c r="C6" s="28">
        <f>C5/C4</f>
        <v>3.3496732026143797E-2</v>
      </c>
      <c r="D6" s="28">
        <f>D5/D4</f>
        <v>3.7903603182030884E-2</v>
      </c>
      <c r="E6" s="28">
        <f>AVERAGE(C6:D6)</f>
        <v>3.5700167604087341E-2</v>
      </c>
    </row>
    <row r="8" spans="2:5" x14ac:dyDescent="0.25">
      <c r="B8" s="2" t="s">
        <v>199</v>
      </c>
      <c r="E8" s="23">
        <f>E6*E4</f>
        <v>47.010948728442898</v>
      </c>
    </row>
    <row r="10" spans="2:5" x14ac:dyDescent="0.25">
      <c r="B10" s="2" t="s">
        <v>198</v>
      </c>
      <c r="E10" s="23">
        <f ca="1">model!G124</f>
        <v>-717.12851560250419</v>
      </c>
    </row>
    <row r="11" spans="2:5" x14ac:dyDescent="0.25">
      <c r="B11" s="2" t="s">
        <v>232</v>
      </c>
      <c r="E11" s="23">
        <f ca="1">MAX(E8-E10,0)</f>
        <v>764.13946433094713</v>
      </c>
    </row>
    <row r="13" spans="2:5" x14ac:dyDescent="0.25">
      <c r="B13" s="2" t="s">
        <v>233</v>
      </c>
      <c r="E13" s="3">
        <f>D40</f>
        <v>6310.4</v>
      </c>
    </row>
    <row r="14" spans="2:5" x14ac:dyDescent="0.25">
      <c r="B14" s="45" t="s">
        <v>323</v>
      </c>
      <c r="E14" s="3">
        <f>330.1+287.8+27.6</f>
        <v>645.50000000000011</v>
      </c>
    </row>
    <row r="15" spans="2:5" x14ac:dyDescent="0.25">
      <c r="B15" s="45" t="s">
        <v>234</v>
      </c>
      <c r="E15" s="3">
        <f ca="1">E11</f>
        <v>764.13946433094713</v>
      </c>
    </row>
    <row r="16" spans="2:5" x14ac:dyDescent="0.25">
      <c r="B16" s="2" t="s">
        <v>235</v>
      </c>
      <c r="E16" s="3">
        <f ca="1">E13-E14+E15</f>
        <v>6429.0394643309464</v>
      </c>
    </row>
    <row r="18" spans="2:5" x14ac:dyDescent="0.25">
      <c r="B18" s="203" t="s">
        <v>285</v>
      </c>
      <c r="C18" s="203"/>
      <c r="D18" s="203"/>
      <c r="E18" s="203"/>
    </row>
    <row r="19" spans="2:5" x14ac:dyDescent="0.25">
      <c r="B19" s="14"/>
      <c r="C19" s="15" t="str">
        <f>C3</f>
        <v>FY19</v>
      </c>
      <c r="D19" s="15" t="str">
        <f t="shared" ref="D19:E19" si="0">D3</f>
        <v>FY20</v>
      </c>
      <c r="E19" s="15" t="str">
        <f t="shared" si="0"/>
        <v>FY21E</v>
      </c>
    </row>
    <row r="20" spans="2:5" x14ac:dyDescent="0.25">
      <c r="B20" s="2" t="s">
        <v>239</v>
      </c>
    </row>
    <row r="21" spans="2:5" x14ac:dyDescent="0.25">
      <c r="B21" s="4" t="s">
        <v>181</v>
      </c>
      <c r="C21" s="3">
        <v>818.1</v>
      </c>
      <c r="D21" s="3">
        <v>948.9</v>
      </c>
      <c r="E21" s="3"/>
    </row>
    <row r="22" spans="2:5" x14ac:dyDescent="0.25">
      <c r="B22" s="4" t="s">
        <v>133</v>
      </c>
      <c r="C22" s="3">
        <v>185.6</v>
      </c>
      <c r="D22" s="3">
        <v>187.2</v>
      </c>
      <c r="E22" s="3"/>
    </row>
    <row r="23" spans="2:5" x14ac:dyDescent="0.25">
      <c r="C23" s="3"/>
      <c r="D23" s="3"/>
      <c r="E23" s="3"/>
    </row>
    <row r="24" spans="2:5" x14ac:dyDescent="0.25">
      <c r="B24" s="2" t="s">
        <v>240</v>
      </c>
      <c r="C24" s="3"/>
      <c r="D24" s="3"/>
      <c r="E24" s="3"/>
    </row>
    <row r="25" spans="2:5" x14ac:dyDescent="0.25">
      <c r="B25" s="4" t="s">
        <v>181</v>
      </c>
      <c r="C25" s="3">
        <v>184.1</v>
      </c>
      <c r="D25" s="3">
        <v>182.2</v>
      </c>
      <c r="E25" s="3"/>
    </row>
    <row r="26" spans="2:5" x14ac:dyDescent="0.25">
      <c r="B26" s="4" t="s">
        <v>133</v>
      </c>
      <c r="C26" s="3">
        <v>3267.2</v>
      </c>
      <c r="D26" s="3">
        <v>3472.8</v>
      </c>
      <c r="E26" s="3"/>
    </row>
    <row r="27" spans="2:5" x14ac:dyDescent="0.25">
      <c r="B27" s="4" t="s">
        <v>238</v>
      </c>
      <c r="C27" s="3">
        <v>112.2</v>
      </c>
      <c r="D27" s="3"/>
      <c r="E27" s="3"/>
    </row>
    <row r="28" spans="2:5" x14ac:dyDescent="0.25">
      <c r="B28" s="4" t="s">
        <v>171</v>
      </c>
      <c r="C28" s="3"/>
      <c r="D28" s="3">
        <v>122.7</v>
      </c>
      <c r="E28" s="3"/>
    </row>
    <row r="29" spans="2:5" x14ac:dyDescent="0.25">
      <c r="C29" s="3"/>
      <c r="D29" s="3"/>
      <c r="E29" s="3"/>
    </row>
    <row r="30" spans="2:5" x14ac:dyDescent="0.25">
      <c r="B30" s="2" t="s">
        <v>241</v>
      </c>
      <c r="C30" s="3"/>
      <c r="D30" s="3"/>
      <c r="E30" s="3"/>
    </row>
    <row r="31" spans="2:5" x14ac:dyDescent="0.25">
      <c r="B31" s="4" t="s">
        <v>181</v>
      </c>
      <c r="C31" s="3">
        <v>117.9</v>
      </c>
      <c r="D31" s="3">
        <v>120.8</v>
      </c>
      <c r="E31" s="3"/>
    </row>
    <row r="32" spans="2:5" x14ac:dyDescent="0.25">
      <c r="B32" s="4" t="s">
        <v>133</v>
      </c>
      <c r="C32" s="3">
        <v>1367.7</v>
      </c>
      <c r="D32" s="3">
        <v>1398.5</v>
      </c>
      <c r="E32" s="3"/>
    </row>
    <row r="33" spans="2:5" x14ac:dyDescent="0.25">
      <c r="C33" s="3"/>
      <c r="D33" s="3"/>
      <c r="E33" s="3"/>
    </row>
    <row r="34" spans="2:5" x14ac:dyDescent="0.25">
      <c r="B34" s="5" t="s">
        <v>72</v>
      </c>
      <c r="C34" s="6">
        <f>C32+C31+C28+C27+C26+C25+C22+C21</f>
        <v>6052.8000000000011</v>
      </c>
      <c r="D34" s="6">
        <f>D32+D31+D28+D27+D26+D25+D22+D21</f>
        <v>6433.0999999999995</v>
      </c>
      <c r="E34" s="6"/>
    </row>
    <row r="35" spans="2:5" x14ac:dyDescent="0.25">
      <c r="B35" s="5"/>
      <c r="C35" s="6"/>
      <c r="D35" s="6"/>
      <c r="E35" s="6"/>
    </row>
    <row r="36" spans="2:5" x14ac:dyDescent="0.25">
      <c r="B36" s="98" t="s">
        <v>181</v>
      </c>
      <c r="C36" s="7">
        <f>C21+C25+C31</f>
        <v>1120.1000000000001</v>
      </c>
      <c r="D36" s="7">
        <f>D21+D25+D31</f>
        <v>1251.8999999999999</v>
      </c>
      <c r="E36" s="7">
        <f ca="1">E37*E40</f>
        <v>1275.4365025031552</v>
      </c>
    </row>
    <row r="37" spans="2:5" x14ac:dyDescent="0.25">
      <c r="B37" s="99" t="s">
        <v>319</v>
      </c>
      <c r="C37" s="28">
        <f>C36/C40</f>
        <v>0.18854997811668855</v>
      </c>
      <c r="D37" s="28">
        <f>D36/D40</f>
        <v>0.19838679006085191</v>
      </c>
      <c r="E37" s="28">
        <f>D37</f>
        <v>0.19838679006085191</v>
      </c>
    </row>
    <row r="38" spans="2:5" x14ac:dyDescent="0.25">
      <c r="B38" s="98" t="s">
        <v>170</v>
      </c>
      <c r="C38" s="7">
        <f>C22+C26+C32</f>
        <v>4820.5</v>
      </c>
      <c r="D38" s="7">
        <f>D22+D26+D32</f>
        <v>5058.5</v>
      </c>
      <c r="E38" s="7">
        <f ca="1">E39*E40</f>
        <v>5153.6029618277908</v>
      </c>
    </row>
    <row r="39" spans="2:5" x14ac:dyDescent="0.25">
      <c r="B39" s="99" t="s">
        <v>319</v>
      </c>
      <c r="C39" s="28">
        <f>C38/C40</f>
        <v>0.81145002188331139</v>
      </c>
      <c r="D39" s="28">
        <f>D38/D40</f>
        <v>0.80161320993914809</v>
      </c>
      <c r="E39" s="28">
        <f>D39</f>
        <v>0.80161320993914809</v>
      </c>
    </row>
    <row r="40" spans="2:5" x14ac:dyDescent="0.25">
      <c r="B40" s="5" t="s">
        <v>325</v>
      </c>
      <c r="C40" s="6">
        <f>C36+C38</f>
        <v>5940.6</v>
      </c>
      <c r="D40" s="6">
        <f>D36+D38</f>
        <v>6310.4</v>
      </c>
      <c r="E40" s="6">
        <f ca="1">E16</f>
        <v>6429.0394643309464</v>
      </c>
    </row>
    <row r="42" spans="2:5" x14ac:dyDescent="0.25">
      <c r="B42" s="203" t="s">
        <v>327</v>
      </c>
      <c r="C42" s="203"/>
      <c r="D42" s="203"/>
      <c r="E42" s="203"/>
    </row>
    <row r="43" spans="2:5" x14ac:dyDescent="0.25">
      <c r="B43" s="14"/>
      <c r="C43" s="15" t="str">
        <f>C3</f>
        <v>FY19</v>
      </c>
      <c r="D43" s="15" t="str">
        <f t="shared" ref="D43:E43" si="1">D3</f>
        <v>FY20</v>
      </c>
      <c r="E43" s="15" t="str">
        <f t="shared" si="1"/>
        <v>FY21E</v>
      </c>
    </row>
    <row r="44" spans="2:5" x14ac:dyDescent="0.25">
      <c r="B44" s="8" t="s">
        <v>169</v>
      </c>
      <c r="C44" s="2">
        <v>21.3</v>
      </c>
      <c r="D44" s="2">
        <v>21.6</v>
      </c>
      <c r="E44" s="23">
        <f ca="1">E45*E36</f>
        <v>22.006093501132803</v>
      </c>
    </row>
    <row r="45" spans="2:5" x14ac:dyDescent="0.25">
      <c r="B45" s="27" t="s">
        <v>326</v>
      </c>
      <c r="C45" s="28">
        <f>C44/C36</f>
        <v>1.9016159271493614E-2</v>
      </c>
      <c r="D45" s="28">
        <f>D44/D36</f>
        <v>1.725377426312006E-2</v>
      </c>
      <c r="E45" s="28">
        <f>D45</f>
        <v>1.725377426312006E-2</v>
      </c>
    </row>
    <row r="46" spans="2:5" x14ac:dyDescent="0.25">
      <c r="B46" s="8" t="s">
        <v>170</v>
      </c>
      <c r="C46" s="23">
        <v>153</v>
      </c>
      <c r="D46" s="2">
        <v>150.5</v>
      </c>
      <c r="E46" s="23">
        <f ca="1">E47*E38</f>
        <v>153.32949407039291</v>
      </c>
    </row>
    <row r="47" spans="2:5" x14ac:dyDescent="0.25">
      <c r="B47" s="27" t="s">
        <v>326</v>
      </c>
      <c r="C47" s="28">
        <f>C46/C38</f>
        <v>3.173944611554818E-2</v>
      </c>
      <c r="D47" s="28">
        <f>D46/D38</f>
        <v>2.97519027379658E-2</v>
      </c>
      <c r="E47" s="28">
        <f>D47</f>
        <v>2.97519027379658E-2</v>
      </c>
    </row>
    <row r="48" spans="2:5" x14ac:dyDescent="0.25">
      <c r="B48" s="2" t="s">
        <v>328</v>
      </c>
      <c r="C48" s="23">
        <f>C46+C44</f>
        <v>174.3</v>
      </c>
      <c r="D48" s="23">
        <f t="shared" ref="D48:E48" si="2">D46+D44</f>
        <v>172.1</v>
      </c>
      <c r="E48" s="23">
        <f t="shared" ca="1" si="2"/>
        <v>175.33558757152571</v>
      </c>
    </row>
  </sheetData>
  <sheetProtection algorithmName="SHA-512" hashValue="V6Vr5nn0pNTa8H/DzyVAbMdHWhKVFhAfKFAZS+qkxc4acyEgi9WAqtzka5t9xk4TZw89aeoGrOqjW2veAndpCw==" saltValue="gsig2mvDYvKcLtgZCzD7pA==" spinCount="100000" sheet="1" objects="1" scenarios="1" selectLockedCells="1"/>
  <mergeCells count="3">
    <mergeCell ref="B2:E2"/>
    <mergeCell ref="B18:E18"/>
    <mergeCell ref="B42:E42"/>
  </mergeCells>
  <pageMargins left="0.7" right="0.7" top="0.75" bottom="0.75" header="0.3" footer="0.3"/>
  <ignoredErrors>
    <ignoredError sqref="E38 E45:E46" formula="1"/>
  </ignoredErrors>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39E2F-3F5A-41A5-8E43-521E49B958A9}">
  <dimension ref="B2:J35"/>
  <sheetViews>
    <sheetView workbookViewId="0">
      <selection activeCell="M50" sqref="M50"/>
    </sheetView>
  </sheetViews>
  <sheetFormatPr defaultRowHeight="15" x14ac:dyDescent="0.25"/>
  <cols>
    <col min="1" max="1" width="9.140625" style="2"/>
    <col min="2" max="2" width="12.28515625" style="2" bestFit="1" customWidth="1"/>
    <col min="3" max="9" width="9.140625" style="2"/>
    <col min="10" max="10" width="9.85546875" style="2" customWidth="1"/>
    <col min="11" max="16384" width="9.140625" style="2"/>
  </cols>
  <sheetData>
    <row r="2" spans="2:10" x14ac:dyDescent="0.25">
      <c r="B2" s="14"/>
      <c r="C2" s="204" t="s">
        <v>160</v>
      </c>
      <c r="D2" s="204"/>
      <c r="E2" s="204" t="s">
        <v>162</v>
      </c>
      <c r="F2" s="204"/>
      <c r="G2" s="204" t="s">
        <v>163</v>
      </c>
      <c r="H2" s="204"/>
      <c r="I2" s="204" t="s">
        <v>164</v>
      </c>
      <c r="J2" s="204"/>
    </row>
    <row r="3" spans="2:10" x14ac:dyDescent="0.25">
      <c r="B3" s="14"/>
      <c r="C3" s="24">
        <v>2019</v>
      </c>
      <c r="D3" s="24">
        <v>2020</v>
      </c>
      <c r="E3" s="24">
        <v>2019</v>
      </c>
      <c r="F3" s="24">
        <v>2020</v>
      </c>
      <c r="G3" s="24">
        <v>2019</v>
      </c>
      <c r="H3" s="24">
        <v>2020</v>
      </c>
      <c r="I3" s="24">
        <v>2019</v>
      </c>
      <c r="J3" s="24">
        <v>2020</v>
      </c>
    </row>
    <row r="4" spans="2:10" x14ac:dyDescent="0.25">
      <c r="B4" s="2" t="s">
        <v>150</v>
      </c>
      <c r="C4" s="35">
        <f t="shared" ref="C4:C14" si="0">G4/E4</f>
        <v>0.12197364388599446</v>
      </c>
      <c r="D4" s="35">
        <f t="shared" ref="D4:D14" si="1">H4/F4</f>
        <v>7.8330474556889643E-2</v>
      </c>
      <c r="E4" s="34">
        <v>326.3</v>
      </c>
      <c r="F4" s="36">
        <v>349.8</v>
      </c>
      <c r="G4" s="36">
        <v>39.799999999999997</v>
      </c>
      <c r="H4" s="36">
        <v>27.4</v>
      </c>
      <c r="I4" s="36">
        <f t="shared" ref="I4:I14" si="2">E4-G4</f>
        <v>286.5</v>
      </c>
      <c r="J4" s="36">
        <f t="shared" ref="J4:J14" si="3">F4-H4</f>
        <v>322.40000000000003</v>
      </c>
    </row>
    <row r="5" spans="2:10" x14ac:dyDescent="0.25">
      <c r="B5" s="2" t="s">
        <v>159</v>
      </c>
      <c r="C5" s="35">
        <f t="shared" si="0"/>
        <v>0.40255009107468126</v>
      </c>
      <c r="D5" s="35">
        <f t="shared" si="1"/>
        <v>0.32833333333333331</v>
      </c>
      <c r="E5" s="34">
        <v>54.9</v>
      </c>
      <c r="F5" s="36">
        <v>60</v>
      </c>
      <c r="G5" s="36">
        <v>22.1</v>
      </c>
      <c r="H5" s="36">
        <v>19.7</v>
      </c>
      <c r="I5" s="36">
        <f t="shared" si="2"/>
        <v>32.799999999999997</v>
      </c>
      <c r="J5" s="36">
        <f t="shared" si="3"/>
        <v>40.299999999999997</v>
      </c>
    </row>
    <row r="6" spans="2:10" x14ac:dyDescent="0.25">
      <c r="B6" s="2" t="s">
        <v>151</v>
      </c>
      <c r="C6" s="35">
        <f t="shared" si="0"/>
        <v>0.29879101899827293</v>
      </c>
      <c r="D6" s="35">
        <f t="shared" si="1"/>
        <v>0.4213649851632047</v>
      </c>
      <c r="E6" s="34">
        <v>57.9</v>
      </c>
      <c r="F6" s="36">
        <v>67.400000000000006</v>
      </c>
      <c r="G6" s="36">
        <v>17.3</v>
      </c>
      <c r="H6" s="36">
        <v>28.4</v>
      </c>
      <c r="I6" s="36">
        <f t="shared" si="2"/>
        <v>40.599999999999994</v>
      </c>
      <c r="J6" s="36">
        <f t="shared" si="3"/>
        <v>39.000000000000007</v>
      </c>
    </row>
    <row r="7" spans="2:10" x14ac:dyDescent="0.25">
      <c r="B7" s="2" t="s">
        <v>152</v>
      </c>
      <c r="C7" s="35">
        <f t="shared" si="0"/>
        <v>0.29974160206718342</v>
      </c>
      <c r="D7" s="35">
        <f t="shared" si="1"/>
        <v>0.46666666666666667</v>
      </c>
      <c r="E7" s="34">
        <v>38.700000000000003</v>
      </c>
      <c r="F7" s="36">
        <v>43.5</v>
      </c>
      <c r="G7" s="36">
        <v>11.6</v>
      </c>
      <c r="H7" s="36">
        <v>20.3</v>
      </c>
      <c r="I7" s="36">
        <f t="shared" si="2"/>
        <v>27.1</v>
      </c>
      <c r="J7" s="36">
        <f t="shared" si="3"/>
        <v>23.2</v>
      </c>
    </row>
    <row r="8" spans="2:10" x14ac:dyDescent="0.25">
      <c r="B8" s="2" t="s">
        <v>153</v>
      </c>
      <c r="C8" s="35">
        <f t="shared" si="0"/>
        <v>0.32258064516129031</v>
      </c>
      <c r="D8" s="35">
        <f t="shared" si="1"/>
        <v>0.48026315789473684</v>
      </c>
      <c r="E8" s="34">
        <v>27.9</v>
      </c>
      <c r="F8" s="36">
        <v>30.4</v>
      </c>
      <c r="G8" s="36">
        <v>9</v>
      </c>
      <c r="H8" s="36">
        <v>14.6</v>
      </c>
      <c r="I8" s="36">
        <f t="shared" si="2"/>
        <v>18.899999999999999</v>
      </c>
      <c r="J8" s="36">
        <f t="shared" si="3"/>
        <v>15.799999999999999</v>
      </c>
    </row>
    <row r="9" spans="2:10" x14ac:dyDescent="0.25">
      <c r="B9" s="2" t="s">
        <v>161</v>
      </c>
      <c r="C9" s="35">
        <f t="shared" si="0"/>
        <v>0.32487309644670054</v>
      </c>
      <c r="D9" s="35">
        <f t="shared" si="1"/>
        <v>0.61434977578475336</v>
      </c>
      <c r="E9" s="34">
        <v>19.7</v>
      </c>
      <c r="F9" s="36">
        <v>22.3</v>
      </c>
      <c r="G9" s="36">
        <v>6.4</v>
      </c>
      <c r="H9" s="36">
        <v>13.7</v>
      </c>
      <c r="I9" s="36">
        <f t="shared" si="2"/>
        <v>13.299999999999999</v>
      </c>
      <c r="J9" s="36">
        <f t="shared" si="3"/>
        <v>8.6000000000000014</v>
      </c>
    </row>
    <row r="10" spans="2:10" x14ac:dyDescent="0.25">
      <c r="B10" s="2" t="s">
        <v>154</v>
      </c>
      <c r="C10" s="35">
        <f t="shared" si="0"/>
        <v>0.23267326732673269</v>
      </c>
      <c r="D10" s="35">
        <f t="shared" si="1"/>
        <v>0.64331210191082799</v>
      </c>
      <c r="E10" s="34">
        <v>20.2</v>
      </c>
      <c r="F10" s="36">
        <v>15.7</v>
      </c>
      <c r="G10" s="36">
        <v>4.7</v>
      </c>
      <c r="H10" s="36">
        <v>10.1</v>
      </c>
      <c r="I10" s="36">
        <f t="shared" si="2"/>
        <v>15.5</v>
      </c>
      <c r="J10" s="36">
        <f t="shared" si="3"/>
        <v>5.6</v>
      </c>
    </row>
    <row r="11" spans="2:10" x14ac:dyDescent="0.25">
      <c r="B11" s="2" t="s">
        <v>155</v>
      </c>
      <c r="C11" s="35">
        <f t="shared" si="0"/>
        <v>0.54054054054054057</v>
      </c>
      <c r="D11" s="35">
        <f t="shared" si="1"/>
        <v>0.48192771084337344</v>
      </c>
      <c r="E11" s="34">
        <v>11.1</v>
      </c>
      <c r="F11" s="36">
        <v>8.3000000000000007</v>
      </c>
      <c r="G11" s="36">
        <v>6</v>
      </c>
      <c r="H11" s="36">
        <v>4</v>
      </c>
      <c r="I11" s="36">
        <f t="shared" si="2"/>
        <v>5.0999999999999996</v>
      </c>
      <c r="J11" s="36">
        <f t="shared" si="3"/>
        <v>4.3000000000000007</v>
      </c>
    </row>
    <row r="12" spans="2:10" x14ac:dyDescent="0.25">
      <c r="B12" s="2" t="s">
        <v>156</v>
      </c>
      <c r="C12" s="35">
        <f t="shared" si="0"/>
        <v>0.27777777777777773</v>
      </c>
      <c r="D12" s="35">
        <f t="shared" si="1"/>
        <v>0.46341463414634149</v>
      </c>
      <c r="E12" s="34">
        <v>5.4</v>
      </c>
      <c r="F12" s="36">
        <v>4.0999999999999996</v>
      </c>
      <c r="G12" s="36">
        <v>1.5</v>
      </c>
      <c r="H12" s="36">
        <v>1.9</v>
      </c>
      <c r="I12" s="36">
        <f t="shared" si="2"/>
        <v>3.9000000000000004</v>
      </c>
      <c r="J12" s="36">
        <f t="shared" si="3"/>
        <v>2.1999999999999997</v>
      </c>
    </row>
    <row r="13" spans="2:10" x14ac:dyDescent="0.25">
      <c r="B13" s="2" t="s">
        <v>157</v>
      </c>
      <c r="C13" s="35">
        <f t="shared" si="0"/>
        <v>0.6428571428571429</v>
      </c>
      <c r="D13" s="35">
        <f t="shared" si="1"/>
        <v>0.5</v>
      </c>
      <c r="E13" s="34">
        <v>1.4</v>
      </c>
      <c r="F13" s="36">
        <v>1</v>
      </c>
      <c r="G13" s="36">
        <v>0.9</v>
      </c>
      <c r="H13" s="36">
        <v>0.5</v>
      </c>
      <c r="I13" s="36">
        <f t="shared" si="2"/>
        <v>0.49999999999999989</v>
      </c>
      <c r="J13" s="36">
        <f t="shared" si="3"/>
        <v>0.5</v>
      </c>
    </row>
    <row r="14" spans="2:10" x14ac:dyDescent="0.25">
      <c r="B14" s="2" t="s">
        <v>158</v>
      </c>
      <c r="C14" s="35">
        <f t="shared" si="0"/>
        <v>0.6</v>
      </c>
      <c r="D14" s="35">
        <f t="shared" si="1"/>
        <v>1</v>
      </c>
      <c r="E14" s="34">
        <v>1.5</v>
      </c>
      <c r="F14" s="36">
        <v>1.1000000000000001</v>
      </c>
      <c r="G14" s="36">
        <v>0.9</v>
      </c>
      <c r="H14" s="36">
        <v>1.1000000000000001</v>
      </c>
      <c r="I14" s="36">
        <f t="shared" si="2"/>
        <v>0.6</v>
      </c>
      <c r="J14" s="36">
        <f t="shared" si="3"/>
        <v>0</v>
      </c>
    </row>
    <row r="16" spans="2:10" x14ac:dyDescent="0.25">
      <c r="G16" s="36"/>
      <c r="H16" s="36"/>
      <c r="I16" s="36"/>
      <c r="J16" s="36"/>
    </row>
    <row r="17" spans="2:10" x14ac:dyDescent="0.25">
      <c r="I17" s="36"/>
      <c r="J17" s="36"/>
    </row>
    <row r="18" spans="2:10" x14ac:dyDescent="0.25">
      <c r="I18" s="36"/>
      <c r="J18" s="36"/>
    </row>
    <row r="22" spans="2:10" x14ac:dyDescent="0.25">
      <c r="I22" s="23"/>
    </row>
    <row r="30" spans="2:10" x14ac:dyDescent="0.25">
      <c r="B30" s="205"/>
      <c r="C30" s="205"/>
      <c r="D30" s="205"/>
      <c r="E30" s="205"/>
      <c r="F30" s="205"/>
    </row>
    <row r="33" spans="2:10" x14ac:dyDescent="0.25">
      <c r="B33" s="205"/>
      <c r="C33" s="205"/>
      <c r="D33" s="205"/>
      <c r="E33" s="205"/>
      <c r="F33" s="205"/>
      <c r="G33" s="36"/>
      <c r="H33" s="36"/>
      <c r="I33" s="36"/>
      <c r="J33" s="36"/>
    </row>
    <row r="34" spans="2:10" x14ac:dyDescent="0.25">
      <c r="B34" s="205"/>
      <c r="C34" s="205"/>
      <c r="D34" s="205"/>
      <c r="E34" s="205"/>
      <c r="F34" s="205"/>
      <c r="G34" s="34"/>
      <c r="H34" s="34"/>
    </row>
    <row r="35" spans="2:10" x14ac:dyDescent="0.25">
      <c r="B35" s="205"/>
      <c r="C35" s="205"/>
      <c r="D35" s="205"/>
      <c r="E35" s="205"/>
      <c r="F35" s="205"/>
    </row>
  </sheetData>
  <mergeCells count="8">
    <mergeCell ref="I2:J2"/>
    <mergeCell ref="B33:F33"/>
    <mergeCell ref="B34:F34"/>
    <mergeCell ref="B35:F35"/>
    <mergeCell ref="B30:F30"/>
    <mergeCell ref="G2:H2"/>
    <mergeCell ref="E2:F2"/>
    <mergeCell ref="C2:D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31412-727D-4789-BC53-72CA2DDBDF1D}">
  <dimension ref="B2:AC53"/>
  <sheetViews>
    <sheetView workbookViewId="0">
      <selection activeCell="M50" sqref="M50"/>
    </sheetView>
  </sheetViews>
  <sheetFormatPr defaultRowHeight="15" x14ac:dyDescent="0.25"/>
  <cols>
    <col min="1" max="1" width="9.140625" style="2"/>
    <col min="2" max="2" width="36.28515625" style="2" bestFit="1" customWidth="1"/>
    <col min="3" max="11" width="9.140625" style="2"/>
    <col min="12" max="12" width="10.140625" style="2" customWidth="1"/>
    <col min="13" max="14" width="9.140625" style="2"/>
    <col min="15" max="15" width="8" style="2" customWidth="1"/>
    <col min="16" max="16384" width="9.140625" style="2"/>
  </cols>
  <sheetData>
    <row r="2" spans="2:20" x14ac:dyDescent="0.25">
      <c r="B2" s="203" t="s">
        <v>78</v>
      </c>
      <c r="C2" s="203"/>
      <c r="D2" s="203"/>
      <c r="E2" s="203"/>
      <c r="F2" s="203"/>
      <c r="G2" s="203"/>
      <c r="H2" s="14"/>
      <c r="I2" s="14"/>
      <c r="L2" s="206" t="s">
        <v>79</v>
      </c>
      <c r="M2" s="206"/>
      <c r="N2" s="8" t="s">
        <v>81</v>
      </c>
      <c r="P2" s="206" t="s">
        <v>80</v>
      </c>
      <c r="Q2" s="206"/>
    </row>
    <row r="3" spans="2:20" x14ac:dyDescent="0.25">
      <c r="B3" s="14" t="s">
        <v>77</v>
      </c>
      <c r="C3" s="14"/>
      <c r="D3" s="15" t="s">
        <v>67</v>
      </c>
      <c r="E3" s="15" t="s">
        <v>68</v>
      </c>
      <c r="F3" s="15" t="s">
        <v>69</v>
      </c>
      <c r="G3" s="15" t="s">
        <v>70</v>
      </c>
      <c r="H3" s="15" t="s">
        <v>71</v>
      </c>
      <c r="I3" s="15" t="s">
        <v>72</v>
      </c>
      <c r="L3" s="8">
        <v>2015</v>
      </c>
      <c r="M3" s="22">
        <v>100</v>
      </c>
      <c r="N3" s="22"/>
      <c r="P3" s="8"/>
      <c r="Q3" s="22"/>
    </row>
    <row r="4" spans="2:20" x14ac:dyDescent="0.25">
      <c r="B4" s="2" t="s">
        <v>182</v>
      </c>
      <c r="D4" s="105">
        <v>78.5</v>
      </c>
      <c r="E4" s="105">
        <v>81.099999999999994</v>
      </c>
      <c r="F4" s="105">
        <v>85.8</v>
      </c>
      <c r="G4" s="105">
        <v>90.8</v>
      </c>
      <c r="H4" s="105">
        <v>83.9</v>
      </c>
      <c r="I4" s="105">
        <f>SUM(D4:H4)</f>
        <v>420.1</v>
      </c>
      <c r="L4" s="8">
        <v>2016</v>
      </c>
      <c r="M4" s="22">
        <v>101.1</v>
      </c>
      <c r="N4" s="106">
        <f>M4/M3-1</f>
        <v>1.0999999999999899E-2</v>
      </c>
      <c r="P4" s="8"/>
      <c r="Q4" s="22"/>
    </row>
    <row r="5" spans="2:20" x14ac:dyDescent="0.25">
      <c r="B5" s="2" t="s">
        <v>73</v>
      </c>
      <c r="D5" s="105">
        <v>630.29999999999995</v>
      </c>
      <c r="E5" s="105">
        <v>627.1</v>
      </c>
      <c r="F5" s="105">
        <v>616.70000000000005</v>
      </c>
      <c r="G5" s="105">
        <v>606.29999999999995</v>
      </c>
      <c r="H5" s="105">
        <v>607.9</v>
      </c>
      <c r="I5" s="105">
        <f t="shared" ref="I5:I8" si="0">SUM(D5:H5)</f>
        <v>3088.3</v>
      </c>
      <c r="L5" s="8">
        <v>2017</v>
      </c>
      <c r="M5" s="22">
        <v>103.6</v>
      </c>
      <c r="N5" s="106">
        <f t="shared" ref="N5:N8" si="1">M5/M4-1</f>
        <v>2.4727992087042461E-2</v>
      </c>
      <c r="P5" s="8"/>
      <c r="Q5" s="22"/>
    </row>
    <row r="6" spans="2:20" x14ac:dyDescent="0.25">
      <c r="B6" s="2" t="s">
        <v>74</v>
      </c>
      <c r="D6" s="105">
        <v>697.8</v>
      </c>
      <c r="E6" s="105">
        <v>685</v>
      </c>
      <c r="F6" s="105">
        <v>675.8</v>
      </c>
      <c r="G6" s="105">
        <v>669.3</v>
      </c>
      <c r="H6" s="105">
        <v>675.9</v>
      </c>
      <c r="I6" s="105">
        <f t="shared" si="0"/>
        <v>3403.7999999999997</v>
      </c>
      <c r="L6" s="8">
        <v>2018</v>
      </c>
      <c r="M6" s="22">
        <v>106</v>
      </c>
      <c r="N6" s="106">
        <f t="shared" si="1"/>
        <v>2.316602316602312E-2</v>
      </c>
      <c r="P6" s="8">
        <v>2018</v>
      </c>
      <c r="Q6" s="22">
        <v>100</v>
      </c>
    </row>
    <row r="7" spans="2:20" x14ac:dyDescent="0.25">
      <c r="B7" s="2" t="s">
        <v>75</v>
      </c>
      <c r="D7" s="105">
        <v>80.8</v>
      </c>
      <c r="E7" s="105">
        <v>78.8</v>
      </c>
      <c r="F7" s="105">
        <v>76.3</v>
      </c>
      <c r="G7" s="105">
        <v>75.099999999999994</v>
      </c>
      <c r="H7" s="105">
        <v>74.8</v>
      </c>
      <c r="I7" s="105">
        <f t="shared" si="0"/>
        <v>385.8</v>
      </c>
      <c r="L7" s="8">
        <v>2019</v>
      </c>
      <c r="M7" s="22">
        <v>107.8</v>
      </c>
      <c r="N7" s="106">
        <f t="shared" si="1"/>
        <v>1.6981132075471583E-2</v>
      </c>
      <c r="P7" s="8">
        <v>2019</v>
      </c>
      <c r="Q7" s="22">
        <f>(1+N7)*Q6</f>
        <v>101.69811320754715</v>
      </c>
    </row>
    <row r="8" spans="2:20" x14ac:dyDescent="0.25">
      <c r="B8" s="2" t="s">
        <v>76</v>
      </c>
      <c r="D8" s="105">
        <v>97.9</v>
      </c>
      <c r="E8" s="105">
        <v>97</v>
      </c>
      <c r="F8" s="105">
        <v>95.9</v>
      </c>
      <c r="G8" s="105">
        <v>94.8</v>
      </c>
      <c r="H8" s="105">
        <v>93.6</v>
      </c>
      <c r="I8" s="105">
        <f t="shared" si="0"/>
        <v>479.20000000000005</v>
      </c>
      <c r="L8" s="8">
        <v>2020</v>
      </c>
      <c r="M8" s="22">
        <v>108.9</v>
      </c>
      <c r="N8" s="106">
        <f t="shared" si="1"/>
        <v>1.0204081632653184E-2</v>
      </c>
      <c r="P8" s="8">
        <v>2020</v>
      </c>
      <c r="Q8" s="22">
        <f>(1+N8)*Q7</f>
        <v>102.73584905660377</v>
      </c>
    </row>
    <row r="9" spans="2:20" x14ac:dyDescent="0.25">
      <c r="B9" s="2" t="s">
        <v>72</v>
      </c>
      <c r="D9" s="105">
        <f>D4+D5+D6+D7+D8</f>
        <v>1585.3</v>
      </c>
      <c r="E9" s="105">
        <f t="shared" ref="E9:I9" si="2">E4+E5+E6+E7+E8</f>
        <v>1569</v>
      </c>
      <c r="F9" s="105">
        <f t="shared" si="2"/>
        <v>1550.5</v>
      </c>
      <c r="G9" s="105">
        <f t="shared" si="2"/>
        <v>1536.2999999999997</v>
      </c>
      <c r="H9" s="105">
        <f t="shared" si="2"/>
        <v>1536.0999999999997</v>
      </c>
      <c r="I9" s="105">
        <f t="shared" si="2"/>
        <v>7777.2</v>
      </c>
    </row>
    <row r="10" spans="2:20" x14ac:dyDescent="0.25">
      <c r="K10" s="2" t="s">
        <v>98</v>
      </c>
    </row>
    <row r="11" spans="2:20" x14ac:dyDescent="0.25">
      <c r="B11" s="2" t="s">
        <v>82</v>
      </c>
      <c r="C11" s="106">
        <f>Q8/Q6-1</f>
        <v>2.7358490566037785E-2</v>
      </c>
      <c r="K11" s="2" t="s">
        <v>99</v>
      </c>
    </row>
    <row r="13" spans="2:20" x14ac:dyDescent="0.25">
      <c r="B13" s="203" t="s">
        <v>78</v>
      </c>
      <c r="C13" s="203"/>
      <c r="D13" s="203"/>
      <c r="E13" s="203"/>
      <c r="F13" s="203"/>
      <c r="G13" s="203"/>
      <c r="H13" s="14"/>
      <c r="I13" s="14"/>
    </row>
    <row r="14" spans="2:20" x14ac:dyDescent="0.25">
      <c r="B14" s="14" t="s">
        <v>83</v>
      </c>
      <c r="C14" s="14"/>
      <c r="D14" s="15" t="s">
        <v>67</v>
      </c>
      <c r="E14" s="15" t="s">
        <v>68</v>
      </c>
      <c r="F14" s="15" t="s">
        <v>69</v>
      </c>
      <c r="G14" s="15" t="s">
        <v>70</v>
      </c>
      <c r="H14" s="15" t="s">
        <v>71</v>
      </c>
      <c r="I14" s="15" t="s">
        <v>72</v>
      </c>
      <c r="L14" s="2" t="s">
        <v>116</v>
      </c>
      <c r="N14" s="2">
        <v>9.5</v>
      </c>
      <c r="O14" s="2" t="s">
        <v>115</v>
      </c>
      <c r="Q14" s="2">
        <v>2020</v>
      </c>
      <c r="S14" s="2" t="s">
        <v>117</v>
      </c>
      <c r="T14" s="2">
        <f>SLOPE(N14:N15,Q14:Q15)</f>
        <v>-0.47499999999999998</v>
      </c>
    </row>
    <row r="15" spans="2:20" x14ac:dyDescent="0.25">
      <c r="B15" s="2" t="str">
        <f>B4</f>
        <v>Water resources</v>
      </c>
      <c r="D15" s="105">
        <f t="shared" ref="D15:H19" si="3">D4*(1+$C$11)</f>
        <v>80.647641509433967</v>
      </c>
      <c r="E15" s="105">
        <f t="shared" si="3"/>
        <v>83.318773584905657</v>
      </c>
      <c r="F15" s="105">
        <f t="shared" si="3"/>
        <v>88.147358490566035</v>
      </c>
      <c r="G15" s="105">
        <f t="shared" si="3"/>
        <v>93.284150943396227</v>
      </c>
      <c r="H15" s="105">
        <f t="shared" si="3"/>
        <v>86.195377358490575</v>
      </c>
      <c r="I15" s="105">
        <f>SUM(D15:H15)</f>
        <v>431.59330188679246</v>
      </c>
      <c r="N15" s="2">
        <f>N14/2</f>
        <v>4.75</v>
      </c>
      <c r="O15" s="2" t="s">
        <v>115</v>
      </c>
      <c r="Q15" s="2">
        <v>2030</v>
      </c>
      <c r="S15" s="2" t="s">
        <v>118</v>
      </c>
      <c r="T15" s="2">
        <f>INTERCEPT(N14:N15,Q14:Q15)</f>
        <v>969</v>
      </c>
    </row>
    <row r="16" spans="2:20" x14ac:dyDescent="0.25">
      <c r="B16" s="2" t="str">
        <f t="shared" ref="B16:B20" si="4">B5</f>
        <v>Water network plus</v>
      </c>
      <c r="D16" s="105">
        <f t="shared" si="3"/>
        <v>647.54405660377358</v>
      </c>
      <c r="E16" s="105">
        <f t="shared" si="3"/>
        <v>644.25650943396226</v>
      </c>
      <c r="F16" s="105">
        <f t="shared" si="3"/>
        <v>633.57198113207551</v>
      </c>
      <c r="G16" s="105">
        <f t="shared" si="3"/>
        <v>622.88745283018864</v>
      </c>
      <c r="H16" s="105">
        <f t="shared" si="3"/>
        <v>624.53122641509435</v>
      </c>
      <c r="I16" s="105">
        <f t="shared" ref="I16:I19" si="5">SUM(D16:H16)</f>
        <v>3172.7912264150941</v>
      </c>
    </row>
    <row r="17" spans="2:29" x14ac:dyDescent="0.25">
      <c r="B17" s="2" t="str">
        <f t="shared" si="4"/>
        <v>Wastewater network plus</v>
      </c>
      <c r="D17" s="105">
        <f t="shared" si="3"/>
        <v>716.89075471698106</v>
      </c>
      <c r="E17" s="105">
        <f t="shared" si="3"/>
        <v>703.7405660377359</v>
      </c>
      <c r="F17" s="105">
        <f t="shared" si="3"/>
        <v>694.28886792452829</v>
      </c>
      <c r="G17" s="105">
        <f t="shared" si="3"/>
        <v>687.6110377358491</v>
      </c>
      <c r="H17" s="105">
        <f t="shared" si="3"/>
        <v>694.39160377358496</v>
      </c>
      <c r="I17" s="105">
        <f t="shared" si="5"/>
        <v>3496.9228301886792</v>
      </c>
    </row>
    <row r="18" spans="2:29" x14ac:dyDescent="0.25">
      <c r="B18" s="2" t="str">
        <f t="shared" si="4"/>
        <v>Bioresources</v>
      </c>
      <c r="D18" s="105">
        <f t="shared" si="3"/>
        <v>83.010566037735856</v>
      </c>
      <c r="E18" s="105">
        <f t="shared" si="3"/>
        <v>80.955849056603768</v>
      </c>
      <c r="F18" s="105">
        <f t="shared" si="3"/>
        <v>78.387452830188678</v>
      </c>
      <c r="G18" s="105">
        <f t="shared" si="3"/>
        <v>77.154622641509434</v>
      </c>
      <c r="H18" s="105">
        <f t="shared" si="3"/>
        <v>76.846415094339619</v>
      </c>
      <c r="I18" s="105">
        <f t="shared" si="5"/>
        <v>396.35490566037731</v>
      </c>
    </row>
    <row r="19" spans="2:29" x14ac:dyDescent="0.25">
      <c r="B19" s="2" t="str">
        <f t="shared" si="4"/>
        <v>Residential retail</v>
      </c>
      <c r="D19" s="105">
        <f t="shared" si="3"/>
        <v>100.57839622641511</v>
      </c>
      <c r="E19" s="105">
        <f t="shared" si="3"/>
        <v>99.653773584905665</v>
      </c>
      <c r="F19" s="105">
        <f t="shared" si="3"/>
        <v>98.523679245283034</v>
      </c>
      <c r="G19" s="105">
        <f t="shared" si="3"/>
        <v>97.393584905660376</v>
      </c>
      <c r="H19" s="105">
        <f t="shared" si="3"/>
        <v>96.160754716981131</v>
      </c>
      <c r="I19" s="105">
        <f t="shared" si="5"/>
        <v>492.31018867924524</v>
      </c>
      <c r="L19" s="2" t="s">
        <v>125</v>
      </c>
      <c r="N19" s="2">
        <v>3.8</v>
      </c>
      <c r="O19" s="2" t="s">
        <v>115</v>
      </c>
      <c r="Q19" s="2">
        <v>2020</v>
      </c>
    </row>
    <row r="20" spans="2:29" x14ac:dyDescent="0.25">
      <c r="B20" s="2" t="str">
        <f t="shared" si="4"/>
        <v>Total</v>
      </c>
      <c r="D20" s="105">
        <f>SUM(D15:D19)</f>
        <v>1628.6714150943396</v>
      </c>
      <c r="E20" s="105">
        <f t="shared" ref="E20:H20" si="6">SUM(E15:E19)</f>
        <v>1611.9254716981131</v>
      </c>
      <c r="F20" s="105">
        <f t="shared" si="6"/>
        <v>1592.9193396226417</v>
      </c>
      <c r="G20" s="105">
        <f t="shared" si="6"/>
        <v>1578.3308490566037</v>
      </c>
      <c r="H20" s="105">
        <f t="shared" si="6"/>
        <v>1578.1253773584904</v>
      </c>
      <c r="I20" s="105">
        <f>SUM(D20:H20)</f>
        <v>7989.9724528301886</v>
      </c>
      <c r="N20" s="11">
        <f>+N19/N14</f>
        <v>0.39999999999999997</v>
      </c>
      <c r="O20" s="2" t="s">
        <v>126</v>
      </c>
    </row>
    <row r="21" spans="2:29" x14ac:dyDescent="0.25">
      <c r="B21" s="2" t="s">
        <v>372</v>
      </c>
      <c r="D21" s="121">
        <v>1630</v>
      </c>
    </row>
    <row r="22" spans="2:29" x14ac:dyDescent="0.25">
      <c r="B22" s="2" t="s">
        <v>373</v>
      </c>
      <c r="D22" s="121">
        <v>1670</v>
      </c>
      <c r="L22" s="2" t="s">
        <v>127</v>
      </c>
      <c r="R22" s="2" t="s">
        <v>128</v>
      </c>
    </row>
    <row r="23" spans="2:29" x14ac:dyDescent="0.25">
      <c r="D23" s="9"/>
    </row>
    <row r="26" spans="2:29" x14ac:dyDescent="0.25">
      <c r="B26" s="203" t="s">
        <v>109</v>
      </c>
      <c r="C26" s="203"/>
      <c r="D26" s="203"/>
      <c r="E26" s="203"/>
      <c r="F26" s="203"/>
      <c r="G26" s="203"/>
      <c r="H26" s="14"/>
      <c r="I26" s="14"/>
      <c r="J26" s="14"/>
      <c r="K26" s="14"/>
      <c r="L26" s="14"/>
      <c r="M26" s="14"/>
      <c r="U26" s="2" t="s">
        <v>134</v>
      </c>
      <c r="AC26" s="2" t="s">
        <v>135</v>
      </c>
    </row>
    <row r="27" spans="2:29" x14ac:dyDescent="0.25">
      <c r="B27" s="14"/>
      <c r="C27" s="14">
        <v>2020</v>
      </c>
      <c r="D27" s="15" t="s">
        <v>110</v>
      </c>
      <c r="E27" s="15" t="s">
        <v>111</v>
      </c>
      <c r="F27" s="15" t="s">
        <v>112</v>
      </c>
      <c r="G27" s="15" t="s">
        <v>113</v>
      </c>
      <c r="H27" s="15" t="s">
        <v>114</v>
      </c>
      <c r="I27" s="15" t="s">
        <v>120</v>
      </c>
      <c r="J27" s="15" t="s">
        <v>121</v>
      </c>
      <c r="K27" s="15" t="s">
        <v>122</v>
      </c>
      <c r="L27" s="15" t="s">
        <v>123</v>
      </c>
      <c r="M27" s="15" t="s">
        <v>124</v>
      </c>
      <c r="U27" s="2" t="s">
        <v>138</v>
      </c>
      <c r="W27" s="2">
        <f>1.9*1000</f>
        <v>1900</v>
      </c>
    </row>
    <row r="28" spans="2:29" x14ac:dyDescent="0.25">
      <c r="B28" s="8" t="s">
        <v>63</v>
      </c>
      <c r="C28" s="3">
        <v>1673.5</v>
      </c>
      <c r="D28" s="9">
        <f>AVERAGE(D21:D22)-D18</f>
        <v>1566.9894339622642</v>
      </c>
      <c r="E28" s="3">
        <f>E15+E16+E17+E19</f>
        <v>1530.9696226415094</v>
      </c>
      <c r="F28" s="3">
        <f>F15+F16+F17+F19</f>
        <v>1514.531886792453</v>
      </c>
      <c r="G28" s="3">
        <f>G15+G16+G17+G19</f>
        <v>1501.1762264150943</v>
      </c>
      <c r="H28" s="3">
        <f>H15+H16+H17+H19</f>
        <v>1501.2789622641508</v>
      </c>
      <c r="U28" s="2" t="s">
        <v>139</v>
      </c>
      <c r="W28" s="2">
        <v>25</v>
      </c>
    </row>
    <row r="29" spans="2:29" x14ac:dyDescent="0.25">
      <c r="B29" s="8" t="s">
        <v>66</v>
      </c>
      <c r="C29" s="104">
        <v>240.40000000000003</v>
      </c>
      <c r="D29" s="3">
        <f>D30+D31+D32+D36</f>
        <v>253.06056603773587</v>
      </c>
      <c r="E29" s="3">
        <f>E30+E31+E32+E36</f>
        <v>277.75584905660378</v>
      </c>
      <c r="F29" s="3">
        <f>F30+F31+F32+F36</f>
        <v>301.93745283018876</v>
      </c>
      <c r="G29" s="3">
        <f>G30+G31+G32+G36</f>
        <v>300.7046226415095</v>
      </c>
      <c r="H29" s="3">
        <f>H30+H31+H32+H36</f>
        <v>300.39641509433966</v>
      </c>
      <c r="U29" s="2" t="s">
        <v>140</v>
      </c>
      <c r="W29" s="2">
        <f>W27/25</f>
        <v>76</v>
      </c>
    </row>
    <row r="30" spans="2:29" x14ac:dyDescent="0.25">
      <c r="B30" s="4" t="s">
        <v>131</v>
      </c>
      <c r="C30" s="104">
        <v>70.7</v>
      </c>
      <c r="D30" s="2">
        <f>$W$29</f>
        <v>76</v>
      </c>
      <c r="E30" s="2">
        <f t="shared" ref="E30:H30" si="7">$W$29</f>
        <v>76</v>
      </c>
      <c r="F30" s="2">
        <f t="shared" si="7"/>
        <v>76</v>
      </c>
      <c r="G30" s="2">
        <f t="shared" si="7"/>
        <v>76</v>
      </c>
      <c r="H30" s="2">
        <f t="shared" si="7"/>
        <v>76</v>
      </c>
    </row>
    <row r="31" spans="2:29" x14ac:dyDescent="0.25">
      <c r="B31" s="4" t="s">
        <v>75</v>
      </c>
      <c r="C31" s="3">
        <v>102.4</v>
      </c>
      <c r="D31" s="3">
        <f>D18</f>
        <v>83.010566037735856</v>
      </c>
      <c r="E31" s="3">
        <f>E18</f>
        <v>80.955849056603768</v>
      </c>
      <c r="F31" s="3">
        <f>F18</f>
        <v>78.387452830188678</v>
      </c>
      <c r="G31" s="3">
        <f>G18</f>
        <v>77.154622641509434</v>
      </c>
      <c r="H31" s="3">
        <f>H18</f>
        <v>76.846415094339619</v>
      </c>
    </row>
    <row r="32" spans="2:29" x14ac:dyDescent="0.25">
      <c r="B32" s="4" t="s">
        <v>132</v>
      </c>
      <c r="C32" s="104">
        <v>53.5</v>
      </c>
      <c r="D32" s="104">
        <f>(1+D35)*C32</f>
        <v>80.25</v>
      </c>
      <c r="E32" s="104">
        <f t="shared" ref="E32:H32" si="8">(1+E35)*D32</f>
        <v>107.00000000000001</v>
      </c>
      <c r="F32" s="104">
        <f t="shared" si="8"/>
        <v>133.75000000000003</v>
      </c>
      <c r="G32" s="104">
        <f t="shared" si="8"/>
        <v>133.75000000000003</v>
      </c>
      <c r="H32" s="104">
        <f t="shared" si="8"/>
        <v>133.75000000000003</v>
      </c>
    </row>
    <row r="33" spans="2:13" x14ac:dyDescent="0.25">
      <c r="B33" s="25" t="s">
        <v>119</v>
      </c>
      <c r="C33" s="104">
        <f>N14</f>
        <v>9.5</v>
      </c>
      <c r="D33" s="104">
        <f>(RIGHT(LEFT(D27,4),2)+2000)*$T$14+$T$15</f>
        <v>9.0250000000000909</v>
      </c>
      <c r="E33" s="104">
        <f t="shared" ref="E33:M33" si="9">(RIGHT(LEFT(E27,4),2)+2000)*$T$14+$T$15</f>
        <v>8.5500000000000682</v>
      </c>
      <c r="F33" s="104">
        <f t="shared" si="9"/>
        <v>8.0750000000000455</v>
      </c>
      <c r="G33" s="104">
        <f t="shared" si="9"/>
        <v>7.6000000000000227</v>
      </c>
      <c r="H33" s="104">
        <f t="shared" si="9"/>
        <v>7.125</v>
      </c>
      <c r="I33" s="104">
        <f t="shared" si="9"/>
        <v>6.6500000000000909</v>
      </c>
      <c r="J33" s="104">
        <f t="shared" si="9"/>
        <v>6.1750000000000682</v>
      </c>
      <c r="K33" s="104">
        <f t="shared" si="9"/>
        <v>5.7000000000000455</v>
      </c>
      <c r="L33" s="104">
        <f t="shared" si="9"/>
        <v>5.2250000000000227</v>
      </c>
      <c r="M33" s="104">
        <f t="shared" si="9"/>
        <v>4.75</v>
      </c>
    </row>
    <row r="34" spans="2:13" x14ac:dyDescent="0.25">
      <c r="B34" s="25" t="s">
        <v>129</v>
      </c>
      <c r="C34" s="10">
        <f>N20</f>
        <v>0.39999999999999997</v>
      </c>
      <c r="D34" s="10">
        <f>C34+($F$34-$N$20)/3</f>
        <v>0.6</v>
      </c>
      <c r="E34" s="10">
        <f>D34+($F$34-$N$20)/3</f>
        <v>0.8</v>
      </c>
      <c r="F34" s="10">
        <v>1</v>
      </c>
      <c r="G34" s="10">
        <v>1</v>
      </c>
      <c r="H34" s="10">
        <v>1</v>
      </c>
    </row>
    <row r="35" spans="2:13" x14ac:dyDescent="0.25">
      <c r="B35" s="26" t="s">
        <v>130</v>
      </c>
      <c r="C35" s="104"/>
      <c r="D35" s="10">
        <f>D34/C34-1</f>
        <v>0.5</v>
      </c>
      <c r="E35" s="10">
        <f t="shared" ref="E35:H35" si="10">E34/D34-1</f>
        <v>0.33333333333333348</v>
      </c>
      <c r="F35" s="10">
        <f t="shared" si="10"/>
        <v>0.25</v>
      </c>
      <c r="G35" s="10">
        <f t="shared" si="10"/>
        <v>0</v>
      </c>
      <c r="H35" s="10">
        <f t="shared" si="10"/>
        <v>0</v>
      </c>
    </row>
    <row r="36" spans="2:13" x14ac:dyDescent="0.25">
      <c r="B36" s="4" t="s">
        <v>133</v>
      </c>
      <c r="C36" s="23">
        <v>13.8</v>
      </c>
      <c r="D36" s="23">
        <f>C36</f>
        <v>13.8</v>
      </c>
      <c r="E36" s="23">
        <f t="shared" ref="E36:H36" si="11">D36</f>
        <v>13.8</v>
      </c>
      <c r="F36" s="23">
        <f t="shared" si="11"/>
        <v>13.8</v>
      </c>
      <c r="G36" s="23">
        <f t="shared" si="11"/>
        <v>13.8</v>
      </c>
      <c r="H36" s="23">
        <f t="shared" si="11"/>
        <v>13.8</v>
      </c>
    </row>
    <row r="37" spans="2:13" x14ac:dyDescent="0.25">
      <c r="B37" s="8" t="s">
        <v>64</v>
      </c>
      <c r="C37" s="3">
        <v>0.7</v>
      </c>
      <c r="D37" s="3">
        <f>C37</f>
        <v>0.7</v>
      </c>
      <c r="E37" s="3">
        <f t="shared" ref="E37:H37" si="12">D37</f>
        <v>0.7</v>
      </c>
      <c r="F37" s="3">
        <f t="shared" si="12"/>
        <v>0.7</v>
      </c>
      <c r="G37" s="3">
        <f t="shared" si="12"/>
        <v>0.7</v>
      </c>
      <c r="H37" s="3">
        <f t="shared" si="12"/>
        <v>0.7</v>
      </c>
    </row>
    <row r="38" spans="2:13" x14ac:dyDescent="0.25">
      <c r="B38" s="30" t="s">
        <v>65</v>
      </c>
      <c r="C38" s="29">
        <v>-18.3</v>
      </c>
      <c r="D38" s="29">
        <v>0</v>
      </c>
      <c r="E38" s="29">
        <v>0</v>
      </c>
      <c r="F38" s="29">
        <v>0</v>
      </c>
      <c r="G38" s="29">
        <v>0</v>
      </c>
      <c r="H38" s="29">
        <v>0</v>
      </c>
    </row>
    <row r="39" spans="2:13" x14ac:dyDescent="0.25">
      <c r="B39" s="2" t="s">
        <v>136</v>
      </c>
      <c r="C39" s="3">
        <f t="shared" ref="C39:H39" si="13">C28+C29+C37+C38</f>
        <v>1896.3000000000002</v>
      </c>
      <c r="D39" s="3">
        <f t="shared" si="13"/>
        <v>1820.7500000000002</v>
      </c>
      <c r="E39" s="3">
        <f t="shared" si="13"/>
        <v>1809.4254716981134</v>
      </c>
      <c r="F39" s="3">
        <f t="shared" si="13"/>
        <v>1817.1693396226417</v>
      </c>
      <c r="G39" s="3">
        <f t="shared" si="13"/>
        <v>1802.5808490566039</v>
      </c>
      <c r="H39" s="3">
        <f t="shared" si="13"/>
        <v>1802.3753773584906</v>
      </c>
    </row>
    <row r="42" spans="2:13" x14ac:dyDescent="0.25">
      <c r="B42" s="2" t="s">
        <v>63</v>
      </c>
      <c r="C42" s="11">
        <f>C28/C$39</f>
        <v>0.88250804197648047</v>
      </c>
    </row>
    <row r="43" spans="2:13" x14ac:dyDescent="0.25">
      <c r="B43" s="2" t="s">
        <v>362</v>
      </c>
      <c r="C43" s="11">
        <f>C30/C$39</f>
        <v>3.7283130306386116E-2</v>
      </c>
    </row>
    <row r="44" spans="2:13" x14ac:dyDescent="0.25">
      <c r="B44" s="2" t="s">
        <v>363</v>
      </c>
      <c r="C44" s="11">
        <f>C32/C$39</f>
        <v>2.8212835521805618E-2</v>
      </c>
    </row>
    <row r="45" spans="2:13" x14ac:dyDescent="0.25">
      <c r="B45" s="2" t="s">
        <v>75</v>
      </c>
      <c r="C45" s="11">
        <f>C31/C$39</f>
        <v>5.399989453145599E-2</v>
      </c>
    </row>
    <row r="46" spans="2:13" x14ac:dyDescent="0.25">
      <c r="B46" s="2" t="s">
        <v>133</v>
      </c>
      <c r="C46" s="11">
        <f>C36/C$39</f>
        <v>7.2773295364657485E-3</v>
      </c>
    </row>
    <row r="47" spans="2:13" x14ac:dyDescent="0.25">
      <c r="B47" s="2" t="s">
        <v>64</v>
      </c>
      <c r="C47" s="11">
        <f>C37/C$39</f>
        <v>3.6913990402362488E-4</v>
      </c>
    </row>
    <row r="50" spans="2:3" x14ac:dyDescent="0.25">
      <c r="B50" s="2" t="s">
        <v>364</v>
      </c>
      <c r="C50" s="120">
        <f>C42+C43+C45+C46</f>
        <v>0.98106839635078835</v>
      </c>
    </row>
    <row r="51" spans="2:3" x14ac:dyDescent="0.25">
      <c r="B51" s="2" t="s">
        <v>365</v>
      </c>
      <c r="C51" s="120">
        <f>C44+C47</f>
        <v>2.8581975425829242E-2</v>
      </c>
    </row>
    <row r="53" spans="2:3" x14ac:dyDescent="0.25">
      <c r="B53" s="2" t="s">
        <v>66</v>
      </c>
      <c r="C53" s="120">
        <f>C43+C44+C45+C46</f>
        <v>0.12677318989611347</v>
      </c>
    </row>
  </sheetData>
  <sheetProtection algorithmName="SHA-512" hashValue="RVxdD5Iq5Q543sFJp5gQmrjKW2Cm7V8fFNs+OSKi8Rnnduyngm0mvalSZNeZiz7dJwtBtiV8svgBGxNVCUDQhw==" saltValue="krnFMp5sZ1K4w+Q8ayT01Q==" spinCount="100000" sheet="1" objects="1" scenarios="1" selectLockedCells="1"/>
  <mergeCells count="5">
    <mergeCell ref="B26:G26"/>
    <mergeCell ref="L2:M2"/>
    <mergeCell ref="P2:Q2"/>
    <mergeCell ref="B13:G13"/>
    <mergeCell ref="B2:G2"/>
  </mergeCells>
  <phoneticPr fontId="5" type="noConversion"/>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A579B-5BC4-48D7-8DDB-FC83799D30F5}">
  <dimension ref="B2:I18"/>
  <sheetViews>
    <sheetView workbookViewId="0">
      <selection activeCell="M50" sqref="M50"/>
    </sheetView>
  </sheetViews>
  <sheetFormatPr defaultRowHeight="15" x14ac:dyDescent="0.25"/>
  <cols>
    <col min="2" max="2" width="24.140625" bestFit="1" customWidth="1"/>
  </cols>
  <sheetData>
    <row r="2" spans="2:9" x14ac:dyDescent="0.25">
      <c r="B2" s="203" t="s">
        <v>78</v>
      </c>
      <c r="C2" s="203"/>
      <c r="D2" s="203"/>
      <c r="E2" s="203"/>
      <c r="F2" s="203"/>
      <c r="G2" s="203"/>
      <c r="H2" s="14"/>
      <c r="I2" s="14"/>
    </row>
    <row r="3" spans="2:9" x14ac:dyDescent="0.25">
      <c r="B3" s="14" t="s">
        <v>77</v>
      </c>
      <c r="C3" s="14"/>
      <c r="D3" s="15" t="s">
        <v>67</v>
      </c>
      <c r="E3" s="15" t="s">
        <v>68</v>
      </c>
      <c r="F3" s="15" t="s">
        <v>69</v>
      </c>
      <c r="G3" s="15" t="s">
        <v>70</v>
      </c>
      <c r="H3" s="15" t="s">
        <v>71</v>
      </c>
      <c r="I3" s="15" t="s">
        <v>72</v>
      </c>
    </row>
    <row r="4" spans="2:9" x14ac:dyDescent="0.25">
      <c r="B4" t="s">
        <v>182</v>
      </c>
      <c r="D4" s="13">
        <v>68</v>
      </c>
      <c r="E4" s="13">
        <v>71.400000000000006</v>
      </c>
      <c r="F4" s="13">
        <v>80.599999999999994</v>
      </c>
      <c r="G4" s="13">
        <v>92.5</v>
      </c>
      <c r="H4" s="13">
        <v>84.2</v>
      </c>
      <c r="I4" s="13">
        <f>SUM(D4:H4)</f>
        <v>396.7</v>
      </c>
    </row>
    <row r="5" spans="2:9" x14ac:dyDescent="0.25">
      <c r="B5" t="s">
        <v>73</v>
      </c>
      <c r="D5" s="13">
        <v>533.6</v>
      </c>
      <c r="E5" s="13">
        <v>558.5</v>
      </c>
      <c r="F5" s="13">
        <v>539</v>
      </c>
      <c r="G5" s="13">
        <v>522.70000000000005</v>
      </c>
      <c r="H5" s="13">
        <v>513.6</v>
      </c>
      <c r="I5" s="13">
        <f t="shared" ref="I5:I7" si="0">SUM(D5:H5)</f>
        <v>2667.4</v>
      </c>
    </row>
    <row r="6" spans="2:9" x14ac:dyDescent="0.25">
      <c r="B6" t="s">
        <v>74</v>
      </c>
      <c r="D6" s="13">
        <v>557.20000000000005</v>
      </c>
      <c r="E6" s="13">
        <v>582.29999999999995</v>
      </c>
      <c r="F6" s="13">
        <v>585.9</v>
      </c>
      <c r="G6" s="13">
        <v>577</v>
      </c>
      <c r="H6" s="13">
        <v>520.6</v>
      </c>
      <c r="I6" s="13">
        <f t="shared" si="0"/>
        <v>2823</v>
      </c>
    </row>
    <row r="7" spans="2:9" x14ac:dyDescent="0.25">
      <c r="B7" t="s">
        <v>75</v>
      </c>
      <c r="D7" s="13">
        <v>67.3</v>
      </c>
      <c r="E7" s="13">
        <v>66.5</v>
      </c>
      <c r="F7" s="13">
        <v>64.400000000000006</v>
      </c>
      <c r="G7" s="13">
        <v>61.8</v>
      </c>
      <c r="H7" s="13">
        <v>56.2</v>
      </c>
      <c r="I7" s="13">
        <f t="shared" si="0"/>
        <v>316.2</v>
      </c>
    </row>
    <row r="8" spans="2:9" x14ac:dyDescent="0.25">
      <c r="B8" t="s">
        <v>72</v>
      </c>
      <c r="D8" s="13">
        <f>SUM(D4:D7)</f>
        <v>1226.1000000000001</v>
      </c>
      <c r="E8" s="13">
        <f t="shared" ref="E8:I8" si="1">SUM(E4:E7)</f>
        <v>1278.6999999999998</v>
      </c>
      <c r="F8" s="13">
        <f t="shared" si="1"/>
        <v>1269.9000000000001</v>
      </c>
      <c r="G8" s="13">
        <f t="shared" si="1"/>
        <v>1254</v>
      </c>
      <c r="H8" s="13">
        <f t="shared" si="1"/>
        <v>1174.6000000000001</v>
      </c>
      <c r="I8" s="13">
        <f t="shared" si="1"/>
        <v>6203.3</v>
      </c>
    </row>
    <row r="10" spans="2:9" x14ac:dyDescent="0.25">
      <c r="B10" t="s">
        <v>82</v>
      </c>
      <c r="C10" s="16">
        <f>revenue!C11</f>
        <v>2.7358490566037785E-2</v>
      </c>
    </row>
    <row r="12" spans="2:9" x14ac:dyDescent="0.25">
      <c r="B12" s="203" t="s">
        <v>78</v>
      </c>
      <c r="C12" s="203"/>
      <c r="D12" s="203"/>
      <c r="E12" s="203"/>
      <c r="F12" s="203"/>
      <c r="G12" s="203"/>
      <c r="H12" s="14"/>
      <c r="I12" s="14"/>
    </row>
    <row r="13" spans="2:9" x14ac:dyDescent="0.25">
      <c r="B13" s="14" t="s">
        <v>83</v>
      </c>
      <c r="C13" s="14"/>
      <c r="D13" s="15" t="s">
        <v>67</v>
      </c>
      <c r="E13" s="15" t="s">
        <v>68</v>
      </c>
      <c r="F13" s="15" t="s">
        <v>69</v>
      </c>
      <c r="G13" s="15" t="s">
        <v>70</v>
      </c>
      <c r="H13" s="15" t="s">
        <v>71</v>
      </c>
      <c r="I13" s="15" t="s">
        <v>72</v>
      </c>
    </row>
    <row r="14" spans="2:9" x14ac:dyDescent="0.25">
      <c r="B14" t="str">
        <f>B4</f>
        <v>Water resources</v>
      </c>
      <c r="D14" s="13">
        <f t="shared" ref="D14:H17" si="2">D4*(1+$C$10)</f>
        <v>69.860377358490567</v>
      </c>
      <c r="E14" s="13">
        <f t="shared" si="2"/>
        <v>73.3533962264151</v>
      </c>
      <c r="F14" s="13">
        <f t="shared" si="2"/>
        <v>82.805094339622642</v>
      </c>
      <c r="G14" s="13">
        <f t="shared" si="2"/>
        <v>95.030660377358501</v>
      </c>
      <c r="H14" s="13">
        <f t="shared" si="2"/>
        <v>86.503584905660389</v>
      </c>
      <c r="I14" s="13">
        <f>SUM(D14:H14)</f>
        <v>407.5531132075472</v>
      </c>
    </row>
    <row r="15" spans="2:9" x14ac:dyDescent="0.25">
      <c r="B15" t="str">
        <f>B5</f>
        <v>Water network plus</v>
      </c>
      <c r="D15" s="13">
        <f t="shared" si="2"/>
        <v>548.19849056603778</v>
      </c>
      <c r="E15" s="13">
        <f t="shared" si="2"/>
        <v>573.77971698113208</v>
      </c>
      <c r="F15" s="13">
        <f t="shared" si="2"/>
        <v>553.74622641509438</v>
      </c>
      <c r="G15" s="13">
        <f t="shared" si="2"/>
        <v>537.000283018868</v>
      </c>
      <c r="H15" s="13">
        <f t="shared" si="2"/>
        <v>527.65132075471706</v>
      </c>
      <c r="I15" s="13">
        <f t="shared" ref="I15:I17" si="3">SUM(D15:H15)</f>
        <v>2740.3760377358494</v>
      </c>
    </row>
    <row r="16" spans="2:9" x14ac:dyDescent="0.25">
      <c r="B16" t="str">
        <f>B6</f>
        <v>Wastewater network plus</v>
      </c>
      <c r="D16" s="13">
        <f t="shared" si="2"/>
        <v>572.44415094339627</v>
      </c>
      <c r="E16" s="13">
        <f t="shared" si="2"/>
        <v>598.2308490566038</v>
      </c>
      <c r="F16" s="13">
        <f t="shared" si="2"/>
        <v>601.92933962264146</v>
      </c>
      <c r="G16" s="13">
        <f t="shared" si="2"/>
        <v>592.78584905660375</v>
      </c>
      <c r="H16" s="13">
        <f t="shared" si="2"/>
        <v>534.84283018867927</v>
      </c>
      <c r="I16" s="13">
        <f t="shared" si="3"/>
        <v>2900.2330188679248</v>
      </c>
    </row>
    <row r="17" spans="2:9" x14ac:dyDescent="0.25">
      <c r="B17" t="str">
        <f>B7</f>
        <v>Bioresources</v>
      </c>
      <c r="D17" s="13">
        <f t="shared" si="2"/>
        <v>69.141226415094337</v>
      </c>
      <c r="E17" s="13">
        <f t="shared" si="2"/>
        <v>68.319339622641508</v>
      </c>
      <c r="F17" s="13">
        <f t="shared" si="2"/>
        <v>66.161886792452833</v>
      </c>
      <c r="G17" s="13">
        <f t="shared" si="2"/>
        <v>63.490754716981129</v>
      </c>
      <c r="H17" s="13">
        <f t="shared" si="2"/>
        <v>57.737547169811329</v>
      </c>
      <c r="I17" s="13">
        <f t="shared" si="3"/>
        <v>324.8507547169811</v>
      </c>
    </row>
    <row r="18" spans="2:9" x14ac:dyDescent="0.25">
      <c r="B18" t="str">
        <f>B8</f>
        <v>Total</v>
      </c>
      <c r="D18" s="13">
        <f>SUM(D14:D17)</f>
        <v>1259.644245283019</v>
      </c>
      <c r="E18" s="13">
        <f>SUM(E14:E17)</f>
        <v>1313.6833018867926</v>
      </c>
      <c r="F18" s="13">
        <f>SUM(F14:F17)</f>
        <v>1304.6425471698115</v>
      </c>
      <c r="G18" s="13">
        <f>SUM(G14:G17)</f>
        <v>1288.3075471698114</v>
      </c>
      <c r="H18" s="13">
        <f>SUM(H14:H17)</f>
        <v>1206.7352830188681</v>
      </c>
      <c r="I18" s="13">
        <f>SUM(D18:H18)</f>
        <v>6373.0129245283024</v>
      </c>
    </row>
  </sheetData>
  <mergeCells count="2">
    <mergeCell ref="B2:G2"/>
    <mergeCell ref="B12:G1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03D68-17C7-4EBC-A402-C60496363071}">
  <dimension ref="B2:E17"/>
  <sheetViews>
    <sheetView workbookViewId="0">
      <selection activeCell="M50" sqref="M50"/>
    </sheetView>
  </sheetViews>
  <sheetFormatPr defaultRowHeight="15" x14ac:dyDescent="0.25"/>
  <cols>
    <col min="2" max="2" width="39.42578125" bestFit="1" customWidth="1"/>
    <col min="3" max="3" width="18.85546875" bestFit="1" customWidth="1"/>
    <col min="4" max="4" width="12" bestFit="1" customWidth="1"/>
  </cols>
  <sheetData>
    <row r="2" spans="2:5" x14ac:dyDescent="0.25">
      <c r="B2" t="s">
        <v>96</v>
      </c>
    </row>
    <row r="3" spans="2:5" x14ac:dyDescent="0.25">
      <c r="C3" t="s">
        <v>86</v>
      </c>
      <c r="D3" t="s">
        <v>85</v>
      </c>
      <c r="E3" t="s">
        <v>185</v>
      </c>
    </row>
    <row r="4" spans="2:5" x14ac:dyDescent="0.25">
      <c r="B4" t="s">
        <v>84</v>
      </c>
      <c r="C4" s="18">
        <v>153</v>
      </c>
      <c r="D4">
        <v>330</v>
      </c>
      <c r="E4" t="s">
        <v>186</v>
      </c>
    </row>
    <row r="5" spans="2:5" x14ac:dyDescent="0.25">
      <c r="B5" t="s">
        <v>87</v>
      </c>
      <c r="C5" s="18">
        <v>206</v>
      </c>
      <c r="D5">
        <v>240</v>
      </c>
    </row>
    <row r="6" spans="2:5" x14ac:dyDescent="0.25">
      <c r="B6" t="s">
        <v>88</v>
      </c>
      <c r="C6" s="18">
        <v>98</v>
      </c>
      <c r="D6">
        <v>240</v>
      </c>
    </row>
    <row r="7" spans="2:5" x14ac:dyDescent="0.25">
      <c r="B7" t="s">
        <v>89</v>
      </c>
      <c r="C7" s="18">
        <v>85</v>
      </c>
      <c r="D7">
        <v>390</v>
      </c>
    </row>
    <row r="8" spans="2:5" x14ac:dyDescent="0.25">
      <c r="B8" t="s">
        <v>90</v>
      </c>
      <c r="C8" s="18">
        <v>22</v>
      </c>
      <c r="D8">
        <v>80</v>
      </c>
    </row>
    <row r="9" spans="2:5" x14ac:dyDescent="0.25">
      <c r="B9" t="s">
        <v>137</v>
      </c>
      <c r="C9" s="18">
        <v>168</v>
      </c>
      <c r="D9">
        <v>280</v>
      </c>
    </row>
    <row r="11" spans="2:5" x14ac:dyDescent="0.25">
      <c r="B11" t="s">
        <v>72</v>
      </c>
      <c r="C11" s="18">
        <f>SUM(C4:C9)</f>
        <v>732</v>
      </c>
      <c r="D11">
        <f>SUM(D4:D9)</f>
        <v>1560</v>
      </c>
    </row>
    <row r="13" spans="2:5" x14ac:dyDescent="0.25">
      <c r="B13" t="s">
        <v>95</v>
      </c>
      <c r="C13" s="12" t="s">
        <v>93</v>
      </c>
      <c r="D13" s="12" t="s">
        <v>94</v>
      </c>
    </row>
    <row r="14" spans="2:5" x14ac:dyDescent="0.25">
      <c r="B14" t="s">
        <v>91</v>
      </c>
      <c r="C14" s="17">
        <v>0.15</v>
      </c>
      <c r="D14" s="19">
        <f>C14*C11</f>
        <v>109.8</v>
      </c>
    </row>
    <row r="15" spans="2:5" x14ac:dyDescent="0.25">
      <c r="B15" t="s">
        <v>92</v>
      </c>
      <c r="C15" s="17">
        <f>1-C14</f>
        <v>0.85</v>
      </c>
      <c r="D15" s="19">
        <f>C15*C11</f>
        <v>622.19999999999993</v>
      </c>
    </row>
    <row r="17" spans="2:3" x14ac:dyDescent="0.25">
      <c r="B17" t="s">
        <v>97</v>
      </c>
      <c r="C17">
        <v>2025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B0BF6-F8F5-4CDF-8763-4B948B2E00BA}">
  <dimension ref="B2:K14"/>
  <sheetViews>
    <sheetView workbookViewId="0">
      <selection activeCell="M43" sqref="M43"/>
    </sheetView>
  </sheetViews>
  <sheetFormatPr defaultRowHeight="15" x14ac:dyDescent="0.25"/>
  <cols>
    <col min="1" max="1" width="3.85546875" style="2" customWidth="1"/>
    <col min="2" max="2" width="37.5703125" style="2" bestFit="1" customWidth="1"/>
    <col min="3" max="6" width="9.140625" style="2"/>
    <col min="7" max="7" width="10.140625" style="2" bestFit="1" customWidth="1"/>
    <col min="8" max="16384" width="9.140625" style="2"/>
  </cols>
  <sheetData>
    <row r="2" spans="2:11" x14ac:dyDescent="0.25">
      <c r="B2" s="14" t="s">
        <v>101</v>
      </c>
      <c r="C2" s="14"/>
      <c r="D2" s="14"/>
      <c r="E2" s="14"/>
      <c r="F2" s="14"/>
      <c r="G2" s="14"/>
    </row>
    <row r="3" spans="2:11" x14ac:dyDescent="0.25">
      <c r="B3" s="21" t="s">
        <v>100</v>
      </c>
      <c r="C3" s="20">
        <v>2017</v>
      </c>
      <c r="D3" s="20">
        <v>2018</v>
      </c>
      <c r="E3" s="20">
        <v>2019</v>
      </c>
      <c r="F3" s="20">
        <v>2020</v>
      </c>
      <c r="G3" s="20">
        <v>2021</v>
      </c>
    </row>
    <row r="4" spans="2:11" x14ac:dyDescent="0.25">
      <c r="B4" s="2" t="s">
        <v>103</v>
      </c>
      <c r="C4" s="3">
        <f t="shared" ref="C4:D4" si="0">C6-C5</f>
        <v>7993</v>
      </c>
      <c r="D4" s="3">
        <f t="shared" si="0"/>
        <v>8457</v>
      </c>
      <c r="E4" s="3">
        <f>E6-E5</f>
        <v>8947</v>
      </c>
      <c r="F4" s="3">
        <f t="shared" ref="F4:G4" si="1">F6-F5</f>
        <v>9261</v>
      </c>
      <c r="G4" s="3">
        <f t="shared" si="1"/>
        <v>9308.4279999999999</v>
      </c>
    </row>
    <row r="5" spans="2:11" x14ac:dyDescent="0.25">
      <c r="B5" s="2" t="s">
        <v>102</v>
      </c>
      <c r="C5" s="9">
        <v>251</v>
      </c>
      <c r="D5" s="9">
        <v>283</v>
      </c>
      <c r="E5" s="9">
        <v>219</v>
      </c>
      <c r="F5" s="9">
        <v>244</v>
      </c>
      <c r="G5" s="9">
        <v>94.284000000000006</v>
      </c>
    </row>
    <row r="6" spans="2:11" x14ac:dyDescent="0.25">
      <c r="B6" s="2" t="s">
        <v>104</v>
      </c>
      <c r="C6" s="3">
        <v>8244</v>
      </c>
      <c r="D6" s="3">
        <v>8740</v>
      </c>
      <c r="E6" s="3">
        <v>9166</v>
      </c>
      <c r="F6" s="3">
        <v>9505</v>
      </c>
      <c r="G6" s="3">
        <v>9402.7119999999995</v>
      </c>
    </row>
    <row r="8" spans="2:11" x14ac:dyDescent="0.25">
      <c r="B8" s="2" t="s">
        <v>105</v>
      </c>
      <c r="C8" s="9">
        <v>5207</v>
      </c>
      <c r="D8" s="9">
        <v>5047</v>
      </c>
      <c r="E8" s="9">
        <v>4500</v>
      </c>
      <c r="F8" s="9">
        <v>5456</v>
      </c>
      <c r="G8" s="9">
        <v>5996.1</v>
      </c>
    </row>
    <row r="9" spans="2:11" x14ac:dyDescent="0.25">
      <c r="B9" s="2" t="s">
        <v>106</v>
      </c>
      <c r="C9" s="9">
        <v>10455</v>
      </c>
      <c r="D9" s="9">
        <v>9601</v>
      </c>
      <c r="E9" s="9">
        <v>10277</v>
      </c>
      <c r="F9" s="9">
        <v>11570</v>
      </c>
      <c r="G9" s="9">
        <v>12414</v>
      </c>
    </row>
    <row r="10" spans="2:11" x14ac:dyDescent="0.25">
      <c r="J10" s="9"/>
      <c r="K10" s="9"/>
    </row>
    <row r="11" spans="2:11" x14ac:dyDescent="0.25">
      <c r="B11" s="2" t="s">
        <v>107</v>
      </c>
      <c r="C11" s="22">
        <f t="shared" ref="C11:E11" si="2">C8/C4</f>
        <v>0.65144501438758917</v>
      </c>
      <c r="D11" s="22">
        <f t="shared" si="2"/>
        <v>0.59678372945488944</v>
      </c>
      <c r="E11" s="22">
        <f t="shared" si="2"/>
        <v>0.50296188666592156</v>
      </c>
      <c r="F11" s="22">
        <f>F8/F4</f>
        <v>0.58913724219846664</v>
      </c>
      <c r="G11" s="22">
        <f>G8/G4</f>
        <v>0.64415817579509671</v>
      </c>
      <c r="J11" s="9"/>
      <c r="K11" s="9"/>
    </row>
    <row r="12" spans="2:11" x14ac:dyDescent="0.25">
      <c r="B12" s="2" t="s">
        <v>108</v>
      </c>
      <c r="C12" s="22">
        <f t="shared" ref="C12:E12" si="3">C9/C4</f>
        <v>1.3080195170774427</v>
      </c>
      <c r="D12" s="22">
        <f t="shared" si="3"/>
        <v>1.1352725552796501</v>
      </c>
      <c r="E12" s="22">
        <f t="shared" si="3"/>
        <v>1.1486531798368169</v>
      </c>
      <c r="F12" s="22">
        <f>F9/F4</f>
        <v>1.2493251268761474</v>
      </c>
      <c r="G12" s="22">
        <f>G9/G4</f>
        <v>1.333630125301501</v>
      </c>
      <c r="J12" s="9"/>
      <c r="K12" s="9"/>
    </row>
    <row r="13" spans="2:11" x14ac:dyDescent="0.25">
      <c r="J13" s="9"/>
      <c r="K13" s="9"/>
    </row>
    <row r="14" spans="2:11" x14ac:dyDescent="0.25">
      <c r="J14" s="9"/>
      <c r="K14"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905C2-B89F-42A8-BC1B-D6993E136FAF}">
  <dimension ref="B2:H21"/>
  <sheetViews>
    <sheetView workbookViewId="0">
      <selection activeCell="M50" sqref="M50"/>
    </sheetView>
  </sheetViews>
  <sheetFormatPr defaultRowHeight="15" x14ac:dyDescent="0.25"/>
  <cols>
    <col min="1" max="1" width="3.42578125" style="2" customWidth="1"/>
    <col min="2" max="2" width="22" style="2" customWidth="1"/>
    <col min="3" max="3" width="10.5703125" style="2" bestFit="1" customWidth="1"/>
    <col min="4" max="4" width="9.140625" style="2"/>
    <col min="5" max="5" width="7.28515625" style="2" bestFit="1" customWidth="1"/>
    <col min="6" max="6" width="9.7109375" style="2" bestFit="1" customWidth="1"/>
    <col min="7" max="7" width="9.140625" style="2"/>
    <col min="8" max="8" width="9.7109375" style="2" bestFit="1" customWidth="1"/>
    <col min="9" max="16384" width="9.140625" style="2"/>
  </cols>
  <sheetData>
    <row r="2" spans="2:8" x14ac:dyDescent="0.25">
      <c r="B2" s="122" t="s">
        <v>376</v>
      </c>
      <c r="C2" s="123" t="s">
        <v>377</v>
      </c>
      <c r="F2" s="2" t="s">
        <v>395</v>
      </c>
      <c r="G2" s="2" t="s">
        <v>394</v>
      </c>
    </row>
    <row r="3" spans="2:8" x14ac:dyDescent="0.25">
      <c r="B3" s="124" t="s">
        <v>378</v>
      </c>
      <c r="C3" s="125">
        <v>2500</v>
      </c>
      <c r="E3" s="2" t="s">
        <v>393</v>
      </c>
      <c r="F3" s="9">
        <v>956.52700000000004</v>
      </c>
      <c r="G3" s="22">
        <f>model!G95</f>
        <v>920.94631210867635</v>
      </c>
      <c r="H3" s="131"/>
    </row>
    <row r="4" spans="2:8" x14ac:dyDescent="0.25">
      <c r="B4" s="124" t="s">
        <v>388</v>
      </c>
      <c r="C4" s="125" t="s">
        <v>387</v>
      </c>
    </row>
    <row r="5" spans="2:8" x14ac:dyDescent="0.25">
      <c r="B5" s="124" t="s">
        <v>379</v>
      </c>
      <c r="C5" s="129">
        <v>3.4099999999999998E-2</v>
      </c>
    </row>
    <row r="6" spans="2:8" x14ac:dyDescent="0.25">
      <c r="B6" s="124"/>
      <c r="C6" s="125"/>
    </row>
    <row r="7" spans="2:8" x14ac:dyDescent="0.25">
      <c r="B7" s="124" t="s">
        <v>380</v>
      </c>
      <c r="C7" s="130">
        <f>238887475/10^6</f>
        <v>238.88747499999999</v>
      </c>
    </row>
    <row r="8" spans="2:8" x14ac:dyDescent="0.25">
      <c r="B8" s="124"/>
      <c r="C8" s="125"/>
    </row>
    <row r="9" spans="2:8" x14ac:dyDescent="0.25">
      <c r="B9" s="124" t="s">
        <v>390</v>
      </c>
      <c r="C9" s="134">
        <f>C7*C3/100</f>
        <v>5972.1868750000003</v>
      </c>
    </row>
    <row r="10" spans="2:8" x14ac:dyDescent="0.25">
      <c r="B10" s="127" t="s">
        <v>381</v>
      </c>
      <c r="C10" s="134">
        <f ca="1">model!G191</f>
        <v>6550.3418707480578</v>
      </c>
    </row>
    <row r="11" spans="2:8" x14ac:dyDescent="0.25">
      <c r="B11" s="127" t="s">
        <v>382</v>
      </c>
      <c r="C11" s="136">
        <f ca="1">model!G129</f>
        <v>47.01094872844287</v>
      </c>
    </row>
    <row r="12" spans="2:8" x14ac:dyDescent="0.25">
      <c r="B12" s="126" t="s">
        <v>383</v>
      </c>
      <c r="C12" s="135">
        <f ca="1">C9+C10-C11</f>
        <v>12475.517797019616</v>
      </c>
    </row>
    <row r="13" spans="2:8" x14ac:dyDescent="0.25">
      <c r="B13" s="124"/>
      <c r="C13" s="125"/>
    </row>
    <row r="14" spans="2:8" x14ac:dyDescent="0.25">
      <c r="B14" s="124" t="s">
        <v>384</v>
      </c>
      <c r="C14" s="137">
        <f ca="1">C12/F3</f>
        <v>13.042515053960438</v>
      </c>
    </row>
    <row r="15" spans="2:8" x14ac:dyDescent="0.25">
      <c r="B15" s="124" t="s">
        <v>385</v>
      </c>
      <c r="C15" s="137">
        <f ca="1">C12/G3</f>
        <v>13.546411590980389</v>
      </c>
    </row>
    <row r="16" spans="2:8" x14ac:dyDescent="0.25">
      <c r="B16" s="124"/>
      <c r="C16" s="125"/>
    </row>
    <row r="17" spans="2:3" x14ac:dyDescent="0.25">
      <c r="B17" s="124" t="s">
        <v>399</v>
      </c>
      <c r="C17" s="128">
        <v>4.0300000000000002E-2</v>
      </c>
    </row>
    <row r="18" spans="2:3" x14ac:dyDescent="0.25">
      <c r="B18" s="124" t="s">
        <v>396</v>
      </c>
      <c r="C18" s="128">
        <f>model!G122</f>
        <v>4.0632000000000001E-2</v>
      </c>
    </row>
    <row r="20" spans="2:3" x14ac:dyDescent="0.25">
      <c r="B20" s="124" t="s">
        <v>397</v>
      </c>
      <c r="C20" s="125" t="s">
        <v>398</v>
      </c>
    </row>
    <row r="21" spans="2:3" x14ac:dyDescent="0.25">
      <c r="B21" s="124" t="s">
        <v>386</v>
      </c>
      <c r="C21" s="125">
        <v>0.44400000000000001</v>
      </c>
    </row>
  </sheetData>
  <sheetProtection algorithmName="SHA-512" hashValue="8jZSwGZE/bq5IA8GoFZcYwhfrnGIDiGEThT18SOLvJywMCCFRwr86zciDMfZ0op3Cr7edUam5nAGFgLc1lRTmw==" saltValue="aid00qr5jZTSH9ymTYtNBQ==" spinCount="100000" sheet="1" selectLockedCells="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90E82-9BA6-4A42-B253-6AF66A8C8BA2}">
  <dimension ref="B2:AC26"/>
  <sheetViews>
    <sheetView workbookViewId="0">
      <selection activeCell="M50" sqref="M50"/>
    </sheetView>
  </sheetViews>
  <sheetFormatPr defaultRowHeight="15" x14ac:dyDescent="0.25"/>
  <cols>
    <col min="1" max="1" width="9.140625" style="2"/>
    <col min="2" max="2" width="13.7109375" style="2" customWidth="1"/>
    <col min="3" max="3" width="24.28515625" style="2" bestFit="1" customWidth="1"/>
    <col min="4" max="5" width="0" style="2" hidden="1" customWidth="1"/>
    <col min="6" max="6" width="9.140625" style="2"/>
    <col min="7" max="8" width="0" style="2" hidden="1" customWidth="1"/>
    <col min="9" max="9" width="9.140625" style="2"/>
    <col min="10" max="14" width="0" style="2" hidden="1" customWidth="1"/>
    <col min="15" max="18" width="9.140625" style="2"/>
    <col min="19" max="22" width="0" style="2" hidden="1" customWidth="1"/>
    <col min="23" max="24" width="9.140625" style="2"/>
    <col min="25" max="25" width="0" style="2" hidden="1" customWidth="1"/>
    <col min="26" max="16384" width="9.140625" style="2"/>
  </cols>
  <sheetData>
    <row r="2" spans="2:29" ht="20.25" x14ac:dyDescent="0.3">
      <c r="B2" s="194" t="s">
        <v>428</v>
      </c>
      <c r="C2" s="194"/>
      <c r="D2" s="194"/>
      <c r="E2" s="194"/>
      <c r="F2" s="194"/>
      <c r="G2" s="194"/>
      <c r="H2" s="194"/>
      <c r="I2" s="194"/>
      <c r="J2" s="194"/>
      <c r="K2" s="194"/>
      <c r="L2" s="194"/>
      <c r="M2" s="194"/>
      <c r="N2" s="194"/>
      <c r="O2" s="194"/>
      <c r="P2" s="194"/>
      <c r="Q2" s="194"/>
      <c r="R2" s="194"/>
      <c r="S2" s="194"/>
      <c r="T2" s="194"/>
      <c r="U2" s="194"/>
      <c r="V2" s="194"/>
      <c r="W2" s="194"/>
      <c r="X2" s="194"/>
      <c r="Y2" s="194"/>
      <c r="Z2" s="194"/>
      <c r="AA2" s="194"/>
      <c r="AB2" s="194"/>
      <c r="AC2" s="194"/>
    </row>
    <row r="3" spans="2:29" x14ac:dyDescent="0.25">
      <c r="B3" s="195" t="s">
        <v>272</v>
      </c>
      <c r="C3" s="195"/>
      <c r="D3" s="138"/>
      <c r="E3" s="138"/>
      <c r="F3" s="139" t="s">
        <v>407</v>
      </c>
      <c r="G3" s="138"/>
      <c r="H3" s="138"/>
      <c r="I3" s="139" t="s">
        <v>409</v>
      </c>
      <c r="J3" s="139"/>
      <c r="K3" s="138"/>
      <c r="L3" s="138"/>
      <c r="M3" s="138"/>
      <c r="N3" s="138"/>
      <c r="O3" s="199" t="s">
        <v>413</v>
      </c>
      <c r="P3" s="199"/>
      <c r="Q3" s="199" t="s">
        <v>416</v>
      </c>
      <c r="R3" s="199"/>
      <c r="S3" s="199" t="s">
        <v>417</v>
      </c>
      <c r="T3" s="199"/>
      <c r="U3" s="199" t="s">
        <v>419</v>
      </c>
      <c r="V3" s="199"/>
      <c r="W3" s="199"/>
      <c r="X3" s="199"/>
      <c r="Y3" s="199"/>
      <c r="Z3" s="199"/>
      <c r="AA3" s="199"/>
      <c r="AB3" s="199"/>
      <c r="AC3" s="196" t="s">
        <v>423</v>
      </c>
    </row>
    <row r="4" spans="2:29" x14ac:dyDescent="0.25">
      <c r="B4" s="138" t="s">
        <v>376</v>
      </c>
      <c r="C4" s="138" t="s">
        <v>403</v>
      </c>
      <c r="D4" s="139" t="s">
        <v>429</v>
      </c>
      <c r="E4" s="138" t="s">
        <v>404</v>
      </c>
      <c r="F4" s="139" t="s">
        <v>408</v>
      </c>
      <c r="G4" s="138" t="s">
        <v>335</v>
      </c>
      <c r="H4" s="138" t="s">
        <v>406</v>
      </c>
      <c r="I4" s="139" t="s">
        <v>410</v>
      </c>
      <c r="J4" s="139" t="s">
        <v>427</v>
      </c>
      <c r="K4" s="139" t="s">
        <v>411</v>
      </c>
      <c r="L4" s="139" t="s">
        <v>332</v>
      </c>
      <c r="M4" s="139" t="s">
        <v>393</v>
      </c>
      <c r="N4" s="139" t="s">
        <v>412</v>
      </c>
      <c r="O4" s="139" t="s">
        <v>414</v>
      </c>
      <c r="P4" s="139" t="s">
        <v>415</v>
      </c>
      <c r="Q4" s="139" t="s">
        <v>414</v>
      </c>
      <c r="R4" s="139" t="s">
        <v>415</v>
      </c>
      <c r="S4" s="139" t="s">
        <v>414</v>
      </c>
      <c r="T4" s="139" t="s">
        <v>415</v>
      </c>
      <c r="U4" s="139" t="s">
        <v>418</v>
      </c>
      <c r="V4" s="139" t="s">
        <v>420</v>
      </c>
      <c r="W4" s="139" t="s">
        <v>421</v>
      </c>
      <c r="X4" s="139" t="s">
        <v>426</v>
      </c>
      <c r="Y4" s="139" t="s">
        <v>422</v>
      </c>
      <c r="Z4" s="139" t="s">
        <v>375</v>
      </c>
      <c r="AA4" s="140" t="s">
        <v>345</v>
      </c>
      <c r="AB4" s="140" t="s">
        <v>342</v>
      </c>
      <c r="AC4" s="196"/>
    </row>
    <row r="5" spans="2:29" x14ac:dyDescent="0.25">
      <c r="B5" s="124" t="s">
        <v>402</v>
      </c>
      <c r="C5" s="124" t="s">
        <v>430</v>
      </c>
      <c r="D5" s="141">
        <v>10.45</v>
      </c>
      <c r="E5" s="142">
        <v>422114208</v>
      </c>
      <c r="F5" s="143">
        <v>4411.093473599999</v>
      </c>
      <c r="G5" s="124">
        <v>-91.900000000000091</v>
      </c>
      <c r="H5" s="124">
        <v>-0.1</v>
      </c>
      <c r="I5" s="143">
        <v>4319.0934735999981</v>
      </c>
      <c r="J5" s="142">
        <v>2926.9</v>
      </c>
      <c r="K5" s="142">
        <v>626.29999999999995</v>
      </c>
      <c r="L5" s="142">
        <v>144.69999999999999</v>
      </c>
      <c r="M5" s="142">
        <v>304.2</v>
      </c>
      <c r="N5" s="144">
        <v>4.3845470000000004</v>
      </c>
      <c r="O5" s="145">
        <v>12.524702625814374</v>
      </c>
      <c r="P5" s="145">
        <v>12.368626089541918</v>
      </c>
      <c r="Q5" s="145">
        <v>6.8408664004322839</v>
      </c>
      <c r="R5" s="145">
        <v>6.759482056593269</v>
      </c>
      <c r="S5" s="145">
        <v>14.228627379042443</v>
      </c>
      <c r="T5" s="145">
        <v>14.070521327044023</v>
      </c>
      <c r="U5" s="145">
        <v>2.4932324840764331</v>
      </c>
      <c r="V5" s="124" t="e">
        <v>#N/A</v>
      </c>
      <c r="W5" s="146">
        <v>0.87041057102406794</v>
      </c>
      <c r="X5" s="146">
        <v>1.172340150967518E-2</v>
      </c>
      <c r="Y5" s="146" t="e">
        <v>#N/A</v>
      </c>
      <c r="Z5" s="145">
        <v>103.61474597697222</v>
      </c>
      <c r="AA5" s="147">
        <v>-3.2416225749559116E-2</v>
      </c>
      <c r="AB5" s="170">
        <v>3.5529866154253596E-2</v>
      </c>
      <c r="AC5" s="141">
        <v>0.32586889018080412</v>
      </c>
    </row>
    <row r="6" spans="2:29" x14ac:dyDescent="0.25">
      <c r="B6" s="124" t="s">
        <v>401</v>
      </c>
      <c r="C6" s="124" t="s">
        <v>431</v>
      </c>
      <c r="D6" s="141">
        <v>9.8420000000000005</v>
      </c>
      <c r="E6" s="142">
        <v>681888418</v>
      </c>
      <c r="F6" s="143">
        <v>6711.1458099560004</v>
      </c>
      <c r="G6" s="124">
        <v>8047.2000000000007</v>
      </c>
      <c r="H6" s="124">
        <v>0</v>
      </c>
      <c r="I6" s="143">
        <v>14758.345809956001</v>
      </c>
      <c r="J6" s="142">
        <v>2831.3</v>
      </c>
      <c r="K6" s="142">
        <v>1818.2</v>
      </c>
      <c r="L6" s="142">
        <v>565.79999999999995</v>
      </c>
      <c r="M6" s="142">
        <v>1052.0999999999999</v>
      </c>
      <c r="N6" s="144">
        <v>0.16203600000000001</v>
      </c>
      <c r="O6" s="145">
        <v>13.641434681124975</v>
      </c>
      <c r="P6" s="145">
        <v>13.126997187369536</v>
      </c>
      <c r="Q6" s="145">
        <v>7.8400481041051089</v>
      </c>
      <c r="R6" s="145">
        <v>7.7691919924522495</v>
      </c>
      <c r="S6" s="145">
        <v>8.3636560771251034</v>
      </c>
      <c r="T6" s="145">
        <v>8.0980265360655501</v>
      </c>
      <c r="U6" s="145">
        <v>2.83871975019516</v>
      </c>
      <c r="V6" s="124" t="e">
        <v>#N/A</v>
      </c>
      <c r="W6" s="146">
        <v>3.7468974193329029E-2</v>
      </c>
      <c r="X6" s="146">
        <v>1.4913812215184164E-2</v>
      </c>
      <c r="Y6" s="146" t="e">
        <v>#N/A</v>
      </c>
      <c r="Z6" s="145">
        <v>315.9749938190937</v>
      </c>
      <c r="AA6" s="147">
        <v>0.73973433837385671</v>
      </c>
      <c r="AB6" s="170">
        <v>4.4061343529529659E-2</v>
      </c>
      <c r="AC6" s="141">
        <v>0.47867154775895998</v>
      </c>
    </row>
    <row r="7" spans="2:29" x14ac:dyDescent="0.25">
      <c r="B7" s="197" t="s">
        <v>424</v>
      </c>
      <c r="C7" s="197"/>
      <c r="D7" s="197"/>
      <c r="E7" s="197"/>
      <c r="F7" s="197"/>
      <c r="G7" s="197"/>
      <c r="H7" s="197"/>
      <c r="I7" s="197"/>
      <c r="J7" s="148"/>
      <c r="K7" s="148"/>
      <c r="L7" s="148"/>
      <c r="M7" s="148"/>
      <c r="N7" s="149"/>
      <c r="O7" s="150">
        <v>13.083068653469674</v>
      </c>
      <c r="P7" s="150">
        <v>12.747811638455726</v>
      </c>
      <c r="Q7" s="150">
        <v>7.3404572522686964</v>
      </c>
      <c r="R7" s="150">
        <v>7.2643370245227592</v>
      </c>
      <c r="S7" s="150">
        <v>11.296141728083773</v>
      </c>
      <c r="T7" s="150">
        <v>11.084273931554787</v>
      </c>
      <c r="U7" s="150">
        <v>2.6659761171357967</v>
      </c>
      <c r="V7" s="150" t="e">
        <v>#N/A</v>
      </c>
      <c r="W7" s="151">
        <v>0.4539397726086985</v>
      </c>
      <c r="X7" s="151">
        <v>1.3318606862429673E-2</v>
      </c>
      <c r="Y7" s="151" t="e">
        <v>#N/A</v>
      </c>
      <c r="Z7" s="150">
        <v>209.79486989803297</v>
      </c>
      <c r="AA7" s="152">
        <v>0.35365905631214878</v>
      </c>
      <c r="AB7" s="171">
        <v>3.9795604841891624E-2</v>
      </c>
      <c r="AC7" s="153">
        <v>0.40227021896988202</v>
      </c>
    </row>
    <row r="8" spans="2:29" x14ac:dyDescent="0.25">
      <c r="B8" s="198" t="s">
        <v>425</v>
      </c>
      <c r="C8" s="198"/>
      <c r="D8" s="198"/>
      <c r="E8" s="198"/>
      <c r="F8" s="198"/>
      <c r="G8" s="198"/>
      <c r="H8" s="198"/>
      <c r="I8" s="198"/>
      <c r="J8" s="154"/>
      <c r="K8" s="154"/>
      <c r="L8" s="154"/>
      <c r="M8" s="154"/>
      <c r="N8" s="155"/>
      <c r="O8" s="156">
        <v>13.083068653469674</v>
      </c>
      <c r="P8" s="156">
        <v>12.747811638455726</v>
      </c>
      <c r="Q8" s="156">
        <v>7.3404572522686964</v>
      </c>
      <c r="R8" s="156">
        <v>7.2643370245227592</v>
      </c>
      <c r="S8" s="156">
        <v>11.296141728083773</v>
      </c>
      <c r="T8" s="156">
        <v>11.084273931554787</v>
      </c>
      <c r="U8" s="156">
        <v>2.6659761171357967</v>
      </c>
      <c r="V8" s="156" t="e">
        <v>#N/A</v>
      </c>
      <c r="W8" s="157">
        <v>0.45393977260869844</v>
      </c>
      <c r="X8" s="157">
        <v>1.3318606862429673E-2</v>
      </c>
      <c r="Y8" s="157" t="e">
        <v>#N/A</v>
      </c>
      <c r="Z8" s="156">
        <v>209.79486989803297</v>
      </c>
      <c r="AA8" s="158">
        <v>0.35365905631214883</v>
      </c>
      <c r="AB8" s="172">
        <v>3.9795604841891624E-2</v>
      </c>
      <c r="AC8" s="159">
        <v>0.40227021896988202</v>
      </c>
    </row>
    <row r="9" spans="2:29" x14ac:dyDescent="0.25">
      <c r="B9" s="160" t="s">
        <v>400</v>
      </c>
      <c r="C9" s="160" t="s">
        <v>432</v>
      </c>
      <c r="D9" s="161">
        <v>25</v>
      </c>
      <c r="E9" s="162">
        <v>238887475</v>
      </c>
      <c r="F9" s="163">
        <v>5972.1868750000003</v>
      </c>
      <c r="G9" s="164">
        <v>6384.4999999999991</v>
      </c>
      <c r="H9" s="164">
        <v>0</v>
      </c>
      <c r="I9" s="163">
        <v>12356.686874999999</v>
      </c>
      <c r="J9" s="162">
        <v>1243.7</v>
      </c>
      <c r="K9" s="162">
        <v>1827.2</v>
      </c>
      <c r="L9" s="162" t="e">
        <v>#N/A</v>
      </c>
      <c r="M9" s="162" t="e">
        <v>#N/A</v>
      </c>
      <c r="N9" s="165">
        <v>0.89100000000000001</v>
      </c>
      <c r="O9" s="166">
        <v>13.428485628621591</v>
      </c>
      <c r="P9" s="166">
        <v>13.073468548967533</v>
      </c>
      <c r="Q9" s="166">
        <v>6.7602719656437236</v>
      </c>
      <c r="R9" s="166">
        <v>6.5761686199081373</v>
      </c>
      <c r="S9" s="166">
        <v>8.3835052306641451</v>
      </c>
      <c r="T9" s="166">
        <v>7.6952306667460189</v>
      </c>
      <c r="U9" s="166" t="e">
        <v>#N/A</v>
      </c>
      <c r="V9" s="160" t="e">
        <v>#N/A</v>
      </c>
      <c r="W9" s="167">
        <v>0.10124104799608556</v>
      </c>
      <c r="X9" s="167">
        <v>2.5048225419627205E-2</v>
      </c>
      <c r="Y9" s="167" t="e">
        <v>#N/A</v>
      </c>
      <c r="Z9" s="166">
        <v>517.25496502371959</v>
      </c>
      <c r="AA9" s="168">
        <v>0.83696022652788338</v>
      </c>
      <c r="AB9" s="173">
        <v>4.0794165439698452E-2</v>
      </c>
      <c r="AC9" s="161">
        <v>0.50820384523831919</v>
      </c>
    </row>
    <row r="14" spans="2:29" x14ac:dyDescent="0.25">
      <c r="B14" s="185" t="s">
        <v>829</v>
      </c>
    </row>
    <row r="15" spans="2:29" x14ac:dyDescent="0.25">
      <c r="B15" s="2" t="s">
        <v>393</v>
      </c>
      <c r="C15" s="23">
        <f>model!G95</f>
        <v>920.94631210867635</v>
      </c>
      <c r="O15" s="190">
        <f>(O7*C15-C17)/C18*100</f>
        <v>2347.3410765790559</v>
      </c>
      <c r="P15" s="190"/>
      <c r="Q15" s="190">
        <f>(Q7*C16-C17)/C18*100</f>
        <v>2845.3625098873827</v>
      </c>
    </row>
    <row r="16" spans="2:29" x14ac:dyDescent="0.25">
      <c r="B16" s="2" t="s">
        <v>411</v>
      </c>
      <c r="C16" s="23">
        <f>model!F4+model!D4+model!D5</f>
        <v>1803.5</v>
      </c>
      <c r="I16" s="2" t="s">
        <v>832</v>
      </c>
      <c r="O16" s="35">
        <f>O15/C19-1</f>
        <v>-6.1063569368377646E-2</v>
      </c>
      <c r="P16" s="35"/>
      <c r="Q16" s="35">
        <f>Q15/C19-1</f>
        <v>0.13814500395495299</v>
      </c>
    </row>
    <row r="17" spans="2:6" x14ac:dyDescent="0.25">
      <c r="B17" s="2" t="s">
        <v>335</v>
      </c>
      <c r="C17" s="23">
        <f>model!F191</f>
        <v>6441.3</v>
      </c>
    </row>
    <row r="18" spans="2:6" x14ac:dyDescent="0.25">
      <c r="B18" s="2" t="s">
        <v>404</v>
      </c>
      <c r="C18" s="22">
        <f>capstack!C7</f>
        <v>238.88747499999999</v>
      </c>
    </row>
    <row r="19" spans="2:6" x14ac:dyDescent="0.25">
      <c r="B19" s="2" t="s">
        <v>389</v>
      </c>
      <c r="C19" s="2">
        <f>capstack!C3</f>
        <v>2500</v>
      </c>
    </row>
    <row r="20" spans="2:6" x14ac:dyDescent="0.25">
      <c r="B20" s="133"/>
      <c r="C20" s="104"/>
    </row>
    <row r="23" spans="2:6" x14ac:dyDescent="0.25">
      <c r="B23" s="21" t="s">
        <v>836</v>
      </c>
      <c r="C23" s="21" t="s">
        <v>834</v>
      </c>
      <c r="D23" s="21"/>
      <c r="E23" s="21"/>
      <c r="F23" s="21" t="s">
        <v>835</v>
      </c>
    </row>
    <row r="24" spans="2:6" x14ac:dyDescent="0.25">
      <c r="B24" s="2" t="s">
        <v>413</v>
      </c>
      <c r="C24" s="192">
        <f>O7</f>
        <v>13.083068653469674</v>
      </c>
      <c r="F24" s="193">
        <f>O16</f>
        <v>-6.1063569368377646E-2</v>
      </c>
    </row>
    <row r="25" spans="2:6" x14ac:dyDescent="0.25">
      <c r="B25" s="2" t="s">
        <v>416</v>
      </c>
      <c r="C25" s="192">
        <f>Q7</f>
        <v>7.3404572522686964</v>
      </c>
      <c r="F25" s="193">
        <f>Q16</f>
        <v>0.13814500395495299</v>
      </c>
    </row>
    <row r="26" spans="2:6" x14ac:dyDescent="0.25">
      <c r="F26" s="98"/>
    </row>
  </sheetData>
  <sheetProtection algorithmName="SHA-512" hashValue="KS5mVm0+gsZ1qYb0CuO63PqqB4/M3xqbkQgGOT1+Pbldpgpk/eoSkryF/yPQ1XtfX7IHLGoeJUEXsCRFCYtT/Q==" saltValue="JjM5hnrqxpOpFm3K71GL0A==" spinCount="100000" sheet="1" selectLockedCells="1"/>
  <mergeCells count="9">
    <mergeCell ref="B2:AC2"/>
    <mergeCell ref="B3:C3"/>
    <mergeCell ref="AC3:AC4"/>
    <mergeCell ref="B7:I7"/>
    <mergeCell ref="B8:I8"/>
    <mergeCell ref="O3:P3"/>
    <mergeCell ref="Q3:R3"/>
    <mergeCell ref="S3:T3"/>
    <mergeCell ref="U3:AB3"/>
  </mergeCells>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DE1C-835F-449A-9173-BC87BD51B5A6}">
  <dimension ref="B2:I244"/>
  <sheetViews>
    <sheetView workbookViewId="0">
      <selection activeCell="M50" sqref="M50"/>
    </sheetView>
  </sheetViews>
  <sheetFormatPr defaultRowHeight="15" x14ac:dyDescent="0.25"/>
  <cols>
    <col min="1" max="1" width="3.7109375" style="2" customWidth="1"/>
    <col min="2" max="2" width="10.140625" style="112" bestFit="1" customWidth="1"/>
    <col min="3" max="3" width="14.5703125" style="2" bestFit="1" customWidth="1"/>
    <col min="4" max="4" width="28.85546875" style="2" bestFit="1" customWidth="1"/>
    <col min="5" max="5" width="50.7109375" style="2" customWidth="1"/>
    <col min="6" max="6" width="10.5703125" style="2" customWidth="1"/>
    <col min="7" max="7" width="10.5703125" style="34" customWidth="1"/>
    <col min="8" max="9" width="9.140625" style="34"/>
    <col min="10" max="16384" width="9.140625" style="2"/>
  </cols>
  <sheetData>
    <row r="2" spans="2:9" x14ac:dyDescent="0.25">
      <c r="B2" s="112" t="s">
        <v>337</v>
      </c>
      <c r="C2" s="2" t="s">
        <v>433</v>
      </c>
      <c r="D2" s="2" t="s">
        <v>434</v>
      </c>
      <c r="E2" s="2" t="s">
        <v>435</v>
      </c>
    </row>
    <row r="3" spans="2:9" x14ac:dyDescent="0.25">
      <c r="C3" s="2" t="s">
        <v>436</v>
      </c>
      <c r="D3" s="2" t="s">
        <v>436</v>
      </c>
      <c r="E3" s="2" t="s">
        <v>436</v>
      </c>
    </row>
    <row r="4" spans="2:9" x14ac:dyDescent="0.25">
      <c r="C4" s="2" t="s">
        <v>437</v>
      </c>
      <c r="D4" s="2" t="s">
        <v>438</v>
      </c>
      <c r="E4" s="2" t="s">
        <v>439</v>
      </c>
      <c r="F4" s="2" t="s">
        <v>337</v>
      </c>
      <c r="G4" s="35" t="s">
        <v>440</v>
      </c>
      <c r="H4" s="35" t="s">
        <v>441</v>
      </c>
      <c r="I4" s="35" t="s">
        <v>442</v>
      </c>
    </row>
    <row r="5" spans="2:9" x14ac:dyDescent="0.25">
      <c r="B5" s="174">
        <v>44316</v>
      </c>
      <c r="C5" s="2">
        <v>2.9</v>
      </c>
      <c r="D5" s="2">
        <v>1.5</v>
      </c>
      <c r="E5" s="2">
        <v>1.6</v>
      </c>
      <c r="F5" s="108">
        <f>B5</f>
        <v>44316</v>
      </c>
      <c r="G5" s="35">
        <f>C5/100</f>
        <v>2.8999999999999998E-2</v>
      </c>
      <c r="H5" s="35">
        <f t="shared" ref="H5:I5" si="0">D5/100</f>
        <v>1.4999999999999999E-2</v>
      </c>
      <c r="I5" s="35">
        <f t="shared" si="0"/>
        <v>1.6E-2</v>
      </c>
    </row>
    <row r="6" spans="2:9" x14ac:dyDescent="0.25">
      <c r="B6" s="174">
        <v>44286</v>
      </c>
      <c r="C6" s="2">
        <v>1.5</v>
      </c>
      <c r="D6" s="2">
        <v>0.7</v>
      </c>
      <c r="E6" s="2">
        <v>1</v>
      </c>
      <c r="F6" s="108">
        <f t="shared" ref="F6:F69" si="1">B6</f>
        <v>44286</v>
      </c>
      <c r="G6" s="35">
        <f t="shared" ref="G6:G69" si="2">C6/100</f>
        <v>1.4999999999999999E-2</v>
      </c>
      <c r="H6" s="35">
        <f t="shared" ref="H6:H69" si="3">D6/100</f>
        <v>6.9999999999999993E-3</v>
      </c>
      <c r="I6" s="35">
        <f t="shared" ref="I6:I69" si="4">E6/100</f>
        <v>0.01</v>
      </c>
    </row>
    <row r="7" spans="2:9" x14ac:dyDescent="0.25">
      <c r="B7" s="174">
        <v>44255</v>
      </c>
      <c r="C7" s="2">
        <v>1.4</v>
      </c>
      <c r="D7" s="2">
        <v>0.4</v>
      </c>
      <c r="E7" s="2">
        <v>0.7</v>
      </c>
      <c r="F7" s="108">
        <f t="shared" si="1"/>
        <v>44255</v>
      </c>
      <c r="G7" s="35">
        <f t="shared" si="2"/>
        <v>1.3999999999999999E-2</v>
      </c>
      <c r="H7" s="35">
        <f t="shared" si="3"/>
        <v>4.0000000000000001E-3</v>
      </c>
      <c r="I7" s="35">
        <f t="shared" si="4"/>
        <v>6.9999999999999993E-3</v>
      </c>
    </row>
    <row r="8" spans="2:9" x14ac:dyDescent="0.25">
      <c r="B8" s="174">
        <v>44227</v>
      </c>
      <c r="C8" s="2">
        <v>1.4</v>
      </c>
      <c r="D8" s="2">
        <v>0.7</v>
      </c>
      <c r="E8" s="2">
        <v>0.9</v>
      </c>
      <c r="F8" s="108">
        <f t="shared" si="1"/>
        <v>44227</v>
      </c>
      <c r="G8" s="35">
        <f t="shared" si="2"/>
        <v>1.3999999999999999E-2</v>
      </c>
      <c r="H8" s="35">
        <f t="shared" si="3"/>
        <v>6.9999999999999993E-3</v>
      </c>
      <c r="I8" s="35">
        <f t="shared" si="4"/>
        <v>9.0000000000000011E-3</v>
      </c>
    </row>
    <row r="9" spans="2:9" x14ac:dyDescent="0.25">
      <c r="B9" s="174">
        <v>44196</v>
      </c>
      <c r="C9" s="2">
        <v>1.2</v>
      </c>
      <c r="D9" s="2">
        <v>0.6</v>
      </c>
      <c r="E9" s="2">
        <v>0.8</v>
      </c>
      <c r="F9" s="108">
        <f t="shared" si="1"/>
        <v>44196</v>
      </c>
      <c r="G9" s="35">
        <f t="shared" si="2"/>
        <v>1.2E-2</v>
      </c>
      <c r="H9" s="35">
        <f t="shared" si="3"/>
        <v>6.0000000000000001E-3</v>
      </c>
      <c r="I9" s="35">
        <f t="shared" si="4"/>
        <v>8.0000000000000002E-3</v>
      </c>
    </row>
    <row r="10" spans="2:9" x14ac:dyDescent="0.25">
      <c r="B10" s="174">
        <v>44165</v>
      </c>
      <c r="C10" s="2">
        <v>0.9</v>
      </c>
      <c r="D10" s="2">
        <v>0.3</v>
      </c>
      <c r="E10" s="2">
        <v>0.6</v>
      </c>
      <c r="F10" s="108">
        <f t="shared" si="1"/>
        <v>44165</v>
      </c>
      <c r="G10" s="35">
        <f t="shared" si="2"/>
        <v>9.0000000000000011E-3</v>
      </c>
      <c r="H10" s="35">
        <f t="shared" si="3"/>
        <v>3.0000000000000001E-3</v>
      </c>
      <c r="I10" s="35">
        <f t="shared" si="4"/>
        <v>6.0000000000000001E-3</v>
      </c>
    </row>
    <row r="11" spans="2:9" x14ac:dyDescent="0.25">
      <c r="B11" s="174">
        <v>44135</v>
      </c>
      <c r="C11" s="2">
        <v>1.3</v>
      </c>
      <c r="D11" s="2">
        <v>0.7</v>
      </c>
      <c r="E11" s="2">
        <v>0.9</v>
      </c>
      <c r="F11" s="108">
        <f t="shared" si="1"/>
        <v>44135</v>
      </c>
      <c r="G11" s="35">
        <f t="shared" si="2"/>
        <v>1.3000000000000001E-2</v>
      </c>
      <c r="H11" s="35">
        <f t="shared" si="3"/>
        <v>6.9999999999999993E-3</v>
      </c>
      <c r="I11" s="35">
        <f t="shared" si="4"/>
        <v>9.0000000000000011E-3</v>
      </c>
    </row>
    <row r="12" spans="2:9" x14ac:dyDescent="0.25">
      <c r="B12" s="174">
        <v>44104</v>
      </c>
      <c r="C12" s="2">
        <v>1.1000000000000001</v>
      </c>
      <c r="D12" s="2">
        <v>0.5</v>
      </c>
      <c r="E12" s="2">
        <v>0.7</v>
      </c>
      <c r="F12" s="108">
        <f t="shared" si="1"/>
        <v>44104</v>
      </c>
      <c r="G12" s="35">
        <f t="shared" si="2"/>
        <v>1.1000000000000001E-2</v>
      </c>
      <c r="H12" s="35">
        <f t="shared" si="3"/>
        <v>5.0000000000000001E-3</v>
      </c>
      <c r="I12" s="35">
        <f t="shared" si="4"/>
        <v>6.9999999999999993E-3</v>
      </c>
    </row>
    <row r="13" spans="2:9" x14ac:dyDescent="0.25">
      <c r="B13" s="174">
        <v>44074</v>
      </c>
      <c r="C13" s="2">
        <v>0.5</v>
      </c>
      <c r="D13" s="2">
        <v>0.2</v>
      </c>
      <c r="E13" s="2">
        <v>0.5</v>
      </c>
      <c r="F13" s="108">
        <f t="shared" si="1"/>
        <v>44074</v>
      </c>
      <c r="G13" s="35">
        <f t="shared" si="2"/>
        <v>5.0000000000000001E-3</v>
      </c>
      <c r="H13" s="35">
        <f t="shared" si="3"/>
        <v>2E-3</v>
      </c>
      <c r="I13" s="35">
        <f t="shared" si="4"/>
        <v>5.0000000000000001E-3</v>
      </c>
    </row>
    <row r="14" spans="2:9" x14ac:dyDescent="0.25">
      <c r="B14" s="174">
        <v>44043</v>
      </c>
      <c r="C14" s="2">
        <v>1.6</v>
      </c>
      <c r="D14" s="2">
        <v>1</v>
      </c>
      <c r="E14" s="2">
        <v>1.1000000000000001</v>
      </c>
      <c r="F14" s="108">
        <f t="shared" si="1"/>
        <v>44043</v>
      </c>
      <c r="G14" s="35">
        <f t="shared" si="2"/>
        <v>1.6E-2</v>
      </c>
      <c r="H14" s="35">
        <f t="shared" si="3"/>
        <v>0.01</v>
      </c>
      <c r="I14" s="35">
        <f t="shared" si="4"/>
        <v>1.1000000000000001E-2</v>
      </c>
    </row>
    <row r="15" spans="2:9" x14ac:dyDescent="0.25">
      <c r="B15" s="174">
        <v>44012</v>
      </c>
      <c r="C15" s="2">
        <v>1.1000000000000001</v>
      </c>
      <c r="D15" s="2">
        <v>0.6</v>
      </c>
      <c r="E15" s="2">
        <v>0.8</v>
      </c>
      <c r="F15" s="108">
        <f t="shared" si="1"/>
        <v>44012</v>
      </c>
      <c r="G15" s="35">
        <f t="shared" si="2"/>
        <v>1.1000000000000001E-2</v>
      </c>
      <c r="H15" s="35">
        <f t="shared" si="3"/>
        <v>6.0000000000000001E-3</v>
      </c>
      <c r="I15" s="35">
        <f t="shared" si="4"/>
        <v>8.0000000000000002E-3</v>
      </c>
    </row>
    <row r="16" spans="2:9" x14ac:dyDescent="0.25">
      <c r="B16" s="174">
        <v>43982</v>
      </c>
      <c r="C16" s="2">
        <v>1</v>
      </c>
      <c r="D16" s="2">
        <v>0.5</v>
      </c>
      <c r="E16" s="2">
        <v>0.7</v>
      </c>
      <c r="F16" s="108">
        <f t="shared" si="1"/>
        <v>43982</v>
      </c>
      <c r="G16" s="35">
        <f t="shared" si="2"/>
        <v>0.01</v>
      </c>
      <c r="H16" s="35">
        <f t="shared" si="3"/>
        <v>5.0000000000000001E-3</v>
      </c>
      <c r="I16" s="35">
        <f t="shared" si="4"/>
        <v>6.9999999999999993E-3</v>
      </c>
    </row>
    <row r="17" spans="2:9" x14ac:dyDescent="0.25">
      <c r="B17" s="174">
        <v>43951</v>
      </c>
      <c r="C17" s="2">
        <v>1.5</v>
      </c>
      <c r="D17" s="2">
        <v>0.8</v>
      </c>
      <c r="E17" s="2">
        <v>0.9</v>
      </c>
      <c r="F17" s="108">
        <f t="shared" si="1"/>
        <v>43951</v>
      </c>
      <c r="G17" s="35">
        <f t="shared" si="2"/>
        <v>1.4999999999999999E-2</v>
      </c>
      <c r="H17" s="35">
        <f t="shared" si="3"/>
        <v>8.0000000000000002E-3</v>
      </c>
      <c r="I17" s="35">
        <f t="shared" si="4"/>
        <v>9.0000000000000011E-3</v>
      </c>
    </row>
    <row r="18" spans="2:9" x14ac:dyDescent="0.25">
      <c r="B18" s="174">
        <v>43921</v>
      </c>
      <c r="C18" s="2">
        <v>2.6</v>
      </c>
      <c r="D18" s="2">
        <v>1.5</v>
      </c>
      <c r="E18" s="2">
        <v>1.5</v>
      </c>
      <c r="F18" s="108">
        <f t="shared" si="1"/>
        <v>43921</v>
      </c>
      <c r="G18" s="35">
        <f t="shared" si="2"/>
        <v>2.6000000000000002E-2</v>
      </c>
      <c r="H18" s="35">
        <f t="shared" si="3"/>
        <v>1.4999999999999999E-2</v>
      </c>
      <c r="I18" s="35">
        <f t="shared" si="4"/>
        <v>1.4999999999999999E-2</v>
      </c>
    </row>
    <row r="19" spans="2:9" x14ac:dyDescent="0.25">
      <c r="B19" s="174">
        <v>43890</v>
      </c>
      <c r="C19" s="2">
        <v>2.5</v>
      </c>
      <c r="D19" s="2">
        <v>1.7</v>
      </c>
      <c r="E19" s="2">
        <v>1.7</v>
      </c>
      <c r="F19" s="108">
        <f t="shared" si="1"/>
        <v>43890</v>
      </c>
      <c r="G19" s="35">
        <f t="shared" si="2"/>
        <v>2.5000000000000001E-2</v>
      </c>
      <c r="H19" s="35">
        <f t="shared" si="3"/>
        <v>1.7000000000000001E-2</v>
      </c>
      <c r="I19" s="35">
        <f t="shared" si="4"/>
        <v>1.7000000000000001E-2</v>
      </c>
    </row>
    <row r="20" spans="2:9" x14ac:dyDescent="0.25">
      <c r="B20" s="174">
        <v>43861</v>
      </c>
      <c r="C20" s="2">
        <v>2.7</v>
      </c>
      <c r="D20" s="2">
        <v>1.8</v>
      </c>
      <c r="E20" s="2">
        <v>1.8</v>
      </c>
      <c r="F20" s="108">
        <f t="shared" si="1"/>
        <v>43861</v>
      </c>
      <c r="G20" s="35">
        <f t="shared" si="2"/>
        <v>2.7000000000000003E-2</v>
      </c>
      <c r="H20" s="35">
        <f t="shared" si="3"/>
        <v>1.8000000000000002E-2</v>
      </c>
      <c r="I20" s="35">
        <f t="shared" si="4"/>
        <v>1.8000000000000002E-2</v>
      </c>
    </row>
    <row r="21" spans="2:9" x14ac:dyDescent="0.25">
      <c r="B21" s="174">
        <v>43830</v>
      </c>
      <c r="C21" s="2">
        <v>2.2000000000000002</v>
      </c>
      <c r="D21" s="2">
        <v>1.3</v>
      </c>
      <c r="E21" s="2">
        <v>1.4</v>
      </c>
      <c r="F21" s="108">
        <f t="shared" si="1"/>
        <v>43830</v>
      </c>
      <c r="G21" s="35">
        <f t="shared" si="2"/>
        <v>2.2000000000000002E-2</v>
      </c>
      <c r="H21" s="35">
        <f t="shared" si="3"/>
        <v>1.3000000000000001E-2</v>
      </c>
      <c r="I21" s="35">
        <f t="shared" si="4"/>
        <v>1.3999999999999999E-2</v>
      </c>
    </row>
    <row r="22" spans="2:9" x14ac:dyDescent="0.25">
      <c r="B22" s="174">
        <v>43799</v>
      </c>
      <c r="C22" s="2">
        <v>2.2000000000000002</v>
      </c>
      <c r="D22" s="2">
        <v>1.5</v>
      </c>
      <c r="E22" s="2">
        <v>1.5</v>
      </c>
      <c r="F22" s="108">
        <f t="shared" si="1"/>
        <v>43799</v>
      </c>
      <c r="G22" s="35">
        <f t="shared" si="2"/>
        <v>2.2000000000000002E-2</v>
      </c>
      <c r="H22" s="35">
        <f t="shared" si="3"/>
        <v>1.4999999999999999E-2</v>
      </c>
      <c r="I22" s="35">
        <f t="shared" si="4"/>
        <v>1.4999999999999999E-2</v>
      </c>
    </row>
    <row r="23" spans="2:9" x14ac:dyDescent="0.25">
      <c r="B23" s="174">
        <v>43769</v>
      </c>
      <c r="C23" s="2">
        <v>2.1</v>
      </c>
      <c r="D23" s="2">
        <v>1.5</v>
      </c>
      <c r="E23" s="2">
        <v>1.5</v>
      </c>
      <c r="F23" s="108">
        <f t="shared" si="1"/>
        <v>43769</v>
      </c>
      <c r="G23" s="35">
        <f t="shared" si="2"/>
        <v>2.1000000000000001E-2</v>
      </c>
      <c r="H23" s="35">
        <f t="shared" si="3"/>
        <v>1.4999999999999999E-2</v>
      </c>
      <c r="I23" s="35">
        <f t="shared" si="4"/>
        <v>1.4999999999999999E-2</v>
      </c>
    </row>
    <row r="24" spans="2:9" x14ac:dyDescent="0.25">
      <c r="B24" s="174">
        <v>43738</v>
      </c>
      <c r="C24" s="2">
        <v>2.4</v>
      </c>
      <c r="D24" s="2">
        <v>1.7</v>
      </c>
      <c r="E24" s="2">
        <v>1.7</v>
      </c>
      <c r="F24" s="108">
        <f t="shared" si="1"/>
        <v>43738</v>
      </c>
      <c r="G24" s="35">
        <f t="shared" si="2"/>
        <v>2.4E-2</v>
      </c>
      <c r="H24" s="35">
        <f t="shared" si="3"/>
        <v>1.7000000000000001E-2</v>
      </c>
      <c r="I24" s="35">
        <f t="shared" si="4"/>
        <v>1.7000000000000001E-2</v>
      </c>
    </row>
    <row r="25" spans="2:9" x14ac:dyDescent="0.25">
      <c r="B25" s="174">
        <v>43708</v>
      </c>
      <c r="C25" s="2">
        <v>2.6</v>
      </c>
      <c r="D25" s="2">
        <v>1.7</v>
      </c>
      <c r="E25" s="2">
        <v>1.7</v>
      </c>
      <c r="F25" s="108">
        <f t="shared" si="1"/>
        <v>43708</v>
      </c>
      <c r="G25" s="35">
        <f t="shared" si="2"/>
        <v>2.6000000000000002E-2</v>
      </c>
      <c r="H25" s="35">
        <f t="shared" si="3"/>
        <v>1.7000000000000001E-2</v>
      </c>
      <c r="I25" s="35">
        <f t="shared" si="4"/>
        <v>1.7000000000000001E-2</v>
      </c>
    </row>
    <row r="26" spans="2:9" x14ac:dyDescent="0.25">
      <c r="B26" s="174">
        <v>43677</v>
      </c>
      <c r="C26" s="2">
        <v>2.8</v>
      </c>
      <c r="D26" s="2">
        <v>2.1</v>
      </c>
      <c r="E26" s="2">
        <v>2</v>
      </c>
      <c r="F26" s="108">
        <f t="shared" si="1"/>
        <v>43677</v>
      </c>
      <c r="G26" s="35">
        <f t="shared" si="2"/>
        <v>2.7999999999999997E-2</v>
      </c>
      <c r="H26" s="35">
        <f t="shared" si="3"/>
        <v>2.1000000000000001E-2</v>
      </c>
      <c r="I26" s="35">
        <f t="shared" si="4"/>
        <v>0.02</v>
      </c>
    </row>
    <row r="27" spans="2:9" x14ac:dyDescent="0.25">
      <c r="B27" s="174">
        <v>43646</v>
      </c>
      <c r="C27" s="2">
        <v>2.9</v>
      </c>
      <c r="D27" s="2">
        <v>2</v>
      </c>
      <c r="E27" s="2">
        <v>1.9</v>
      </c>
      <c r="F27" s="108">
        <f t="shared" si="1"/>
        <v>43646</v>
      </c>
      <c r="G27" s="35">
        <f t="shared" si="2"/>
        <v>2.8999999999999998E-2</v>
      </c>
      <c r="H27" s="35">
        <f t="shared" si="3"/>
        <v>0.02</v>
      </c>
      <c r="I27" s="35">
        <f t="shared" si="4"/>
        <v>1.9E-2</v>
      </c>
    </row>
    <row r="28" spans="2:9" x14ac:dyDescent="0.25">
      <c r="B28" s="174">
        <v>43616</v>
      </c>
      <c r="C28" s="2">
        <v>3</v>
      </c>
      <c r="D28" s="2">
        <v>2</v>
      </c>
      <c r="E28" s="2">
        <v>1.9</v>
      </c>
      <c r="F28" s="108">
        <f t="shared" si="1"/>
        <v>43616</v>
      </c>
      <c r="G28" s="35">
        <f t="shared" si="2"/>
        <v>0.03</v>
      </c>
      <c r="H28" s="35">
        <f t="shared" si="3"/>
        <v>0.02</v>
      </c>
      <c r="I28" s="35">
        <f t="shared" si="4"/>
        <v>1.9E-2</v>
      </c>
    </row>
    <row r="29" spans="2:9" x14ac:dyDescent="0.25">
      <c r="B29" s="174">
        <v>43585</v>
      </c>
      <c r="C29" s="2">
        <v>3</v>
      </c>
      <c r="D29" s="2">
        <v>2.1</v>
      </c>
      <c r="E29" s="2">
        <v>2</v>
      </c>
      <c r="F29" s="108">
        <f t="shared" si="1"/>
        <v>43585</v>
      </c>
      <c r="G29" s="35">
        <f t="shared" si="2"/>
        <v>0.03</v>
      </c>
      <c r="H29" s="35">
        <f t="shared" si="3"/>
        <v>2.1000000000000001E-2</v>
      </c>
      <c r="I29" s="35">
        <f t="shared" si="4"/>
        <v>0.02</v>
      </c>
    </row>
    <row r="30" spans="2:9" x14ac:dyDescent="0.25">
      <c r="B30" s="174">
        <v>43555</v>
      </c>
      <c r="C30" s="2">
        <v>2.4</v>
      </c>
      <c r="D30" s="2">
        <v>1.9</v>
      </c>
      <c r="E30" s="2">
        <v>1.8</v>
      </c>
      <c r="F30" s="108">
        <f t="shared" si="1"/>
        <v>43555</v>
      </c>
      <c r="G30" s="35">
        <f t="shared" si="2"/>
        <v>2.4E-2</v>
      </c>
      <c r="H30" s="35">
        <f t="shared" si="3"/>
        <v>1.9E-2</v>
      </c>
      <c r="I30" s="35">
        <f t="shared" si="4"/>
        <v>1.8000000000000002E-2</v>
      </c>
    </row>
    <row r="31" spans="2:9" x14ac:dyDescent="0.25">
      <c r="B31" s="174">
        <v>43524</v>
      </c>
      <c r="C31" s="2">
        <v>2.5</v>
      </c>
      <c r="D31" s="2">
        <v>1.9</v>
      </c>
      <c r="E31" s="2">
        <v>1.8</v>
      </c>
      <c r="F31" s="108">
        <f t="shared" si="1"/>
        <v>43524</v>
      </c>
      <c r="G31" s="35">
        <f t="shared" si="2"/>
        <v>2.5000000000000001E-2</v>
      </c>
      <c r="H31" s="35">
        <f t="shared" si="3"/>
        <v>1.9E-2</v>
      </c>
      <c r="I31" s="35">
        <f t="shared" si="4"/>
        <v>1.8000000000000002E-2</v>
      </c>
    </row>
    <row r="32" spans="2:9" x14ac:dyDescent="0.25">
      <c r="B32" s="174">
        <v>43496</v>
      </c>
      <c r="C32" s="2">
        <v>2.5</v>
      </c>
      <c r="D32" s="2">
        <v>1.8</v>
      </c>
      <c r="E32" s="2">
        <v>1.8</v>
      </c>
      <c r="F32" s="108">
        <f t="shared" si="1"/>
        <v>43496</v>
      </c>
      <c r="G32" s="35">
        <f t="shared" si="2"/>
        <v>2.5000000000000001E-2</v>
      </c>
      <c r="H32" s="35">
        <f t="shared" si="3"/>
        <v>1.8000000000000002E-2</v>
      </c>
      <c r="I32" s="35">
        <f t="shared" si="4"/>
        <v>1.8000000000000002E-2</v>
      </c>
    </row>
    <row r="33" spans="2:9" x14ac:dyDescent="0.25">
      <c r="B33" s="174">
        <v>43465</v>
      </c>
      <c r="C33" s="2">
        <v>2.7</v>
      </c>
      <c r="D33" s="2">
        <v>2.1</v>
      </c>
      <c r="E33" s="2">
        <v>2</v>
      </c>
      <c r="F33" s="108">
        <f t="shared" si="1"/>
        <v>43465</v>
      </c>
      <c r="G33" s="35">
        <f t="shared" si="2"/>
        <v>2.7000000000000003E-2</v>
      </c>
      <c r="H33" s="35">
        <f t="shared" si="3"/>
        <v>2.1000000000000001E-2</v>
      </c>
      <c r="I33" s="35">
        <f t="shared" si="4"/>
        <v>0.02</v>
      </c>
    </row>
    <row r="34" spans="2:9" x14ac:dyDescent="0.25">
      <c r="B34" s="174">
        <v>43434</v>
      </c>
      <c r="C34" s="2">
        <v>3.2</v>
      </c>
      <c r="D34" s="2">
        <v>2.2999999999999998</v>
      </c>
      <c r="E34" s="2">
        <v>2.2000000000000002</v>
      </c>
      <c r="F34" s="108">
        <f t="shared" si="1"/>
        <v>43434</v>
      </c>
      <c r="G34" s="35">
        <f t="shared" si="2"/>
        <v>3.2000000000000001E-2</v>
      </c>
      <c r="H34" s="35">
        <f t="shared" si="3"/>
        <v>2.3E-2</v>
      </c>
      <c r="I34" s="35">
        <f t="shared" si="4"/>
        <v>2.2000000000000002E-2</v>
      </c>
    </row>
    <row r="35" spans="2:9" x14ac:dyDescent="0.25">
      <c r="B35" s="174">
        <v>43404</v>
      </c>
      <c r="C35" s="2">
        <v>3.3</v>
      </c>
      <c r="D35" s="2">
        <v>2.4</v>
      </c>
      <c r="E35" s="2">
        <v>2.2000000000000002</v>
      </c>
      <c r="F35" s="108">
        <f t="shared" si="1"/>
        <v>43404</v>
      </c>
      <c r="G35" s="35">
        <f t="shared" si="2"/>
        <v>3.3000000000000002E-2</v>
      </c>
      <c r="H35" s="35">
        <f t="shared" si="3"/>
        <v>2.4E-2</v>
      </c>
      <c r="I35" s="35">
        <f t="shared" si="4"/>
        <v>2.2000000000000002E-2</v>
      </c>
    </row>
    <row r="36" spans="2:9" x14ac:dyDescent="0.25">
      <c r="B36" s="174">
        <v>43373</v>
      </c>
      <c r="C36" s="2">
        <v>3.3</v>
      </c>
      <c r="D36" s="2">
        <v>2.4</v>
      </c>
      <c r="E36" s="2">
        <v>2.2000000000000002</v>
      </c>
      <c r="F36" s="108">
        <f t="shared" si="1"/>
        <v>43373</v>
      </c>
      <c r="G36" s="35">
        <f t="shared" si="2"/>
        <v>3.3000000000000002E-2</v>
      </c>
      <c r="H36" s="35">
        <f t="shared" si="3"/>
        <v>2.4E-2</v>
      </c>
      <c r="I36" s="35">
        <f t="shared" si="4"/>
        <v>2.2000000000000002E-2</v>
      </c>
    </row>
    <row r="37" spans="2:9" x14ac:dyDescent="0.25">
      <c r="B37" s="174">
        <v>43343</v>
      </c>
      <c r="C37" s="2">
        <v>3.5</v>
      </c>
      <c r="D37" s="2">
        <v>2.7</v>
      </c>
      <c r="E37" s="2">
        <v>2.4</v>
      </c>
      <c r="F37" s="108">
        <f t="shared" si="1"/>
        <v>43343</v>
      </c>
      <c r="G37" s="35">
        <f t="shared" si="2"/>
        <v>3.5000000000000003E-2</v>
      </c>
      <c r="H37" s="35">
        <f t="shared" si="3"/>
        <v>2.7000000000000003E-2</v>
      </c>
      <c r="I37" s="35">
        <f t="shared" si="4"/>
        <v>2.4E-2</v>
      </c>
    </row>
    <row r="38" spans="2:9" x14ac:dyDescent="0.25">
      <c r="B38" s="174">
        <v>43312</v>
      </c>
      <c r="C38" s="2">
        <v>3.2</v>
      </c>
      <c r="D38" s="2">
        <v>2.5</v>
      </c>
      <c r="E38" s="2">
        <v>2.2999999999999998</v>
      </c>
      <c r="F38" s="108">
        <f t="shared" si="1"/>
        <v>43312</v>
      </c>
      <c r="G38" s="35">
        <f t="shared" si="2"/>
        <v>3.2000000000000001E-2</v>
      </c>
      <c r="H38" s="35">
        <f t="shared" si="3"/>
        <v>2.5000000000000001E-2</v>
      </c>
      <c r="I38" s="35">
        <f t="shared" si="4"/>
        <v>2.3E-2</v>
      </c>
    </row>
    <row r="39" spans="2:9" x14ac:dyDescent="0.25">
      <c r="B39" s="174">
        <v>43281</v>
      </c>
      <c r="C39" s="2">
        <v>3.4</v>
      </c>
      <c r="D39" s="2">
        <v>2.4</v>
      </c>
      <c r="E39" s="2">
        <v>2.2999999999999998</v>
      </c>
      <c r="F39" s="108">
        <f t="shared" si="1"/>
        <v>43281</v>
      </c>
      <c r="G39" s="35">
        <f t="shared" si="2"/>
        <v>3.4000000000000002E-2</v>
      </c>
      <c r="H39" s="35">
        <f t="shared" si="3"/>
        <v>2.4E-2</v>
      </c>
      <c r="I39" s="35">
        <f t="shared" si="4"/>
        <v>2.3E-2</v>
      </c>
    </row>
    <row r="40" spans="2:9" x14ac:dyDescent="0.25">
      <c r="B40" s="174">
        <v>43251</v>
      </c>
      <c r="C40" s="2">
        <v>3.3</v>
      </c>
      <c r="D40" s="2">
        <v>2.4</v>
      </c>
      <c r="E40" s="2">
        <v>2.2999999999999998</v>
      </c>
      <c r="F40" s="108">
        <f t="shared" si="1"/>
        <v>43251</v>
      </c>
      <c r="G40" s="35">
        <f t="shared" si="2"/>
        <v>3.3000000000000002E-2</v>
      </c>
      <c r="H40" s="35">
        <f t="shared" si="3"/>
        <v>2.4E-2</v>
      </c>
      <c r="I40" s="35">
        <f t="shared" si="4"/>
        <v>2.3E-2</v>
      </c>
    </row>
    <row r="41" spans="2:9" x14ac:dyDescent="0.25">
      <c r="B41" s="174">
        <v>43220</v>
      </c>
      <c r="C41" s="2">
        <v>3.4</v>
      </c>
      <c r="D41" s="2">
        <v>2.4</v>
      </c>
      <c r="E41" s="2">
        <v>2.2000000000000002</v>
      </c>
      <c r="F41" s="108">
        <f t="shared" si="1"/>
        <v>43220</v>
      </c>
      <c r="G41" s="35">
        <f t="shared" si="2"/>
        <v>3.4000000000000002E-2</v>
      </c>
      <c r="H41" s="35">
        <f t="shared" si="3"/>
        <v>2.4E-2</v>
      </c>
      <c r="I41" s="35">
        <f t="shared" si="4"/>
        <v>2.2000000000000002E-2</v>
      </c>
    </row>
    <row r="42" spans="2:9" x14ac:dyDescent="0.25">
      <c r="B42" s="174">
        <v>43190</v>
      </c>
      <c r="C42" s="2">
        <v>3.3</v>
      </c>
      <c r="D42" s="2">
        <v>2.5</v>
      </c>
      <c r="E42" s="2">
        <v>2.2999999999999998</v>
      </c>
      <c r="F42" s="108">
        <f t="shared" si="1"/>
        <v>43190</v>
      </c>
      <c r="G42" s="35">
        <f t="shared" si="2"/>
        <v>3.3000000000000002E-2</v>
      </c>
      <c r="H42" s="35">
        <f t="shared" si="3"/>
        <v>2.5000000000000001E-2</v>
      </c>
      <c r="I42" s="35">
        <f t="shared" si="4"/>
        <v>2.3E-2</v>
      </c>
    </row>
    <row r="43" spans="2:9" x14ac:dyDescent="0.25">
      <c r="B43" s="174">
        <v>43159</v>
      </c>
      <c r="C43" s="2">
        <v>3.6</v>
      </c>
      <c r="D43" s="2">
        <v>2.7</v>
      </c>
      <c r="E43" s="2">
        <v>2.5</v>
      </c>
      <c r="F43" s="108">
        <f t="shared" si="1"/>
        <v>43159</v>
      </c>
      <c r="G43" s="35">
        <f t="shared" si="2"/>
        <v>3.6000000000000004E-2</v>
      </c>
      <c r="H43" s="35">
        <f t="shared" si="3"/>
        <v>2.7000000000000003E-2</v>
      </c>
      <c r="I43" s="35">
        <f t="shared" si="4"/>
        <v>2.5000000000000001E-2</v>
      </c>
    </row>
    <row r="44" spans="2:9" x14ac:dyDescent="0.25">
      <c r="B44" s="174">
        <v>43131</v>
      </c>
      <c r="C44" s="2">
        <v>4</v>
      </c>
      <c r="D44" s="2">
        <v>3</v>
      </c>
      <c r="E44" s="2">
        <v>2.7</v>
      </c>
      <c r="F44" s="108">
        <f t="shared" si="1"/>
        <v>43131</v>
      </c>
      <c r="G44" s="35">
        <f t="shared" si="2"/>
        <v>0.04</v>
      </c>
      <c r="H44" s="35">
        <f t="shared" si="3"/>
        <v>0.03</v>
      </c>
      <c r="I44" s="35">
        <f t="shared" si="4"/>
        <v>2.7000000000000003E-2</v>
      </c>
    </row>
    <row r="45" spans="2:9" x14ac:dyDescent="0.25">
      <c r="B45" s="174">
        <v>43100</v>
      </c>
      <c r="C45" s="2">
        <v>4.0999999999999996</v>
      </c>
      <c r="D45" s="2">
        <v>3</v>
      </c>
      <c r="E45" s="2">
        <v>2.7</v>
      </c>
      <c r="F45" s="108">
        <f t="shared" si="1"/>
        <v>43100</v>
      </c>
      <c r="G45" s="35">
        <f t="shared" si="2"/>
        <v>4.0999999999999995E-2</v>
      </c>
      <c r="H45" s="35">
        <f t="shared" si="3"/>
        <v>0.03</v>
      </c>
      <c r="I45" s="35">
        <f t="shared" si="4"/>
        <v>2.7000000000000003E-2</v>
      </c>
    </row>
    <row r="46" spans="2:9" x14ac:dyDescent="0.25">
      <c r="B46" s="174">
        <v>43069</v>
      </c>
      <c r="C46" s="2">
        <v>3.9</v>
      </c>
      <c r="D46" s="2">
        <v>3.1</v>
      </c>
      <c r="E46" s="2">
        <v>2.8</v>
      </c>
      <c r="F46" s="108">
        <f t="shared" si="1"/>
        <v>43069</v>
      </c>
      <c r="G46" s="35">
        <f t="shared" si="2"/>
        <v>3.9E-2</v>
      </c>
      <c r="H46" s="35">
        <f t="shared" si="3"/>
        <v>3.1E-2</v>
      </c>
      <c r="I46" s="35">
        <f t="shared" si="4"/>
        <v>2.7999999999999997E-2</v>
      </c>
    </row>
    <row r="47" spans="2:9" x14ac:dyDescent="0.25">
      <c r="B47" s="174">
        <v>43039</v>
      </c>
      <c r="C47" s="2">
        <v>4</v>
      </c>
      <c r="D47" s="2">
        <v>3</v>
      </c>
      <c r="E47" s="2">
        <v>2.8</v>
      </c>
      <c r="F47" s="108">
        <f t="shared" si="1"/>
        <v>43039</v>
      </c>
      <c r="G47" s="35">
        <f t="shared" si="2"/>
        <v>0.04</v>
      </c>
      <c r="H47" s="35">
        <f t="shared" si="3"/>
        <v>0.03</v>
      </c>
      <c r="I47" s="35">
        <f t="shared" si="4"/>
        <v>2.7999999999999997E-2</v>
      </c>
    </row>
    <row r="48" spans="2:9" x14ac:dyDescent="0.25">
      <c r="B48" s="174">
        <v>43008</v>
      </c>
      <c r="C48" s="2">
        <v>3.9</v>
      </c>
      <c r="D48" s="2">
        <v>3</v>
      </c>
      <c r="E48" s="2">
        <v>2.8</v>
      </c>
      <c r="F48" s="108">
        <f t="shared" si="1"/>
        <v>43008</v>
      </c>
      <c r="G48" s="35">
        <f t="shared" si="2"/>
        <v>3.9E-2</v>
      </c>
      <c r="H48" s="35">
        <f t="shared" si="3"/>
        <v>0.03</v>
      </c>
      <c r="I48" s="35">
        <f t="shared" si="4"/>
        <v>2.7999999999999997E-2</v>
      </c>
    </row>
    <row r="49" spans="2:9" x14ac:dyDescent="0.25">
      <c r="B49" s="174">
        <v>42978</v>
      </c>
      <c r="C49" s="2">
        <v>3.9</v>
      </c>
      <c r="D49" s="2">
        <v>2.9</v>
      </c>
      <c r="E49" s="2">
        <v>2.7</v>
      </c>
      <c r="F49" s="108">
        <f t="shared" si="1"/>
        <v>42978</v>
      </c>
      <c r="G49" s="35">
        <f t="shared" si="2"/>
        <v>3.9E-2</v>
      </c>
      <c r="H49" s="35">
        <f t="shared" si="3"/>
        <v>2.8999999999999998E-2</v>
      </c>
      <c r="I49" s="35">
        <f t="shared" si="4"/>
        <v>2.7000000000000003E-2</v>
      </c>
    </row>
    <row r="50" spans="2:9" x14ac:dyDescent="0.25">
      <c r="B50" s="174">
        <v>42947</v>
      </c>
      <c r="C50" s="2">
        <v>3.6</v>
      </c>
      <c r="D50" s="2">
        <v>2.6</v>
      </c>
      <c r="E50" s="2">
        <v>2.6</v>
      </c>
      <c r="F50" s="108">
        <f t="shared" si="1"/>
        <v>42947</v>
      </c>
      <c r="G50" s="35">
        <f t="shared" si="2"/>
        <v>3.6000000000000004E-2</v>
      </c>
      <c r="H50" s="35">
        <f t="shared" si="3"/>
        <v>2.6000000000000002E-2</v>
      </c>
      <c r="I50" s="35">
        <f t="shared" si="4"/>
        <v>2.6000000000000002E-2</v>
      </c>
    </row>
    <row r="51" spans="2:9" x14ac:dyDescent="0.25">
      <c r="B51" s="174">
        <v>42916</v>
      </c>
      <c r="C51" s="2">
        <v>3.5</v>
      </c>
      <c r="D51" s="2">
        <v>2.6</v>
      </c>
      <c r="E51" s="2">
        <v>2.6</v>
      </c>
      <c r="F51" s="108">
        <f t="shared" si="1"/>
        <v>42916</v>
      </c>
      <c r="G51" s="35">
        <f t="shared" si="2"/>
        <v>3.5000000000000003E-2</v>
      </c>
      <c r="H51" s="35">
        <f t="shared" si="3"/>
        <v>2.6000000000000002E-2</v>
      </c>
      <c r="I51" s="35">
        <f t="shared" si="4"/>
        <v>2.6000000000000002E-2</v>
      </c>
    </row>
    <row r="52" spans="2:9" x14ac:dyDescent="0.25">
      <c r="B52" s="174">
        <v>42886</v>
      </c>
      <c r="C52" s="2">
        <v>3.7</v>
      </c>
      <c r="D52" s="2">
        <v>2.9</v>
      </c>
      <c r="E52" s="2">
        <v>2.7</v>
      </c>
      <c r="F52" s="108">
        <f t="shared" si="1"/>
        <v>42886</v>
      </c>
      <c r="G52" s="35">
        <f t="shared" si="2"/>
        <v>3.7000000000000005E-2</v>
      </c>
      <c r="H52" s="35">
        <f t="shared" si="3"/>
        <v>2.8999999999999998E-2</v>
      </c>
      <c r="I52" s="35">
        <f t="shared" si="4"/>
        <v>2.7000000000000003E-2</v>
      </c>
    </row>
    <row r="53" spans="2:9" x14ac:dyDescent="0.25">
      <c r="B53" s="174">
        <v>42855</v>
      </c>
      <c r="C53" s="2">
        <v>3.5</v>
      </c>
      <c r="D53" s="2">
        <v>2.7</v>
      </c>
      <c r="E53" s="2">
        <v>2.6</v>
      </c>
      <c r="F53" s="108">
        <f t="shared" si="1"/>
        <v>42855</v>
      </c>
      <c r="G53" s="35">
        <f t="shared" si="2"/>
        <v>3.5000000000000003E-2</v>
      </c>
      <c r="H53" s="35">
        <f t="shared" si="3"/>
        <v>2.7000000000000003E-2</v>
      </c>
      <c r="I53" s="35">
        <f t="shared" si="4"/>
        <v>2.6000000000000002E-2</v>
      </c>
    </row>
    <row r="54" spans="2:9" x14ac:dyDescent="0.25">
      <c r="B54" s="174">
        <v>42825</v>
      </c>
      <c r="C54" s="2">
        <v>3.1</v>
      </c>
      <c r="D54" s="2">
        <v>2.2999999999999998</v>
      </c>
      <c r="E54" s="2">
        <v>2.2999999999999998</v>
      </c>
      <c r="F54" s="108">
        <f t="shared" si="1"/>
        <v>42825</v>
      </c>
      <c r="G54" s="35">
        <f t="shared" si="2"/>
        <v>3.1E-2</v>
      </c>
      <c r="H54" s="35">
        <f t="shared" si="3"/>
        <v>2.3E-2</v>
      </c>
      <c r="I54" s="35">
        <f t="shared" si="4"/>
        <v>2.3E-2</v>
      </c>
    </row>
    <row r="55" spans="2:9" x14ac:dyDescent="0.25">
      <c r="B55" s="174">
        <v>42794</v>
      </c>
      <c r="C55" s="2">
        <v>3.2</v>
      </c>
      <c r="D55" s="2">
        <v>2.2999999999999998</v>
      </c>
      <c r="E55" s="2">
        <v>2.2999999999999998</v>
      </c>
      <c r="F55" s="108">
        <f t="shared" si="1"/>
        <v>42794</v>
      </c>
      <c r="G55" s="35">
        <f t="shared" si="2"/>
        <v>3.2000000000000001E-2</v>
      </c>
      <c r="H55" s="35">
        <f t="shared" si="3"/>
        <v>2.3E-2</v>
      </c>
      <c r="I55" s="35">
        <f t="shared" si="4"/>
        <v>2.3E-2</v>
      </c>
    </row>
    <row r="56" spans="2:9" x14ac:dyDescent="0.25">
      <c r="B56" s="174">
        <v>42766</v>
      </c>
      <c r="C56" s="2">
        <v>2.6</v>
      </c>
      <c r="D56" s="2">
        <v>1.8</v>
      </c>
      <c r="E56" s="2">
        <v>1.9</v>
      </c>
      <c r="F56" s="108">
        <f t="shared" si="1"/>
        <v>42766</v>
      </c>
      <c r="G56" s="35">
        <f t="shared" si="2"/>
        <v>2.6000000000000002E-2</v>
      </c>
      <c r="H56" s="35">
        <f t="shared" si="3"/>
        <v>1.8000000000000002E-2</v>
      </c>
      <c r="I56" s="35">
        <f t="shared" si="4"/>
        <v>1.9E-2</v>
      </c>
    </row>
    <row r="57" spans="2:9" x14ac:dyDescent="0.25">
      <c r="B57" s="174">
        <v>42735</v>
      </c>
      <c r="C57" s="2">
        <v>2.5</v>
      </c>
      <c r="D57" s="2">
        <v>1.6</v>
      </c>
      <c r="E57" s="2">
        <v>1.8</v>
      </c>
      <c r="F57" s="108">
        <f t="shared" si="1"/>
        <v>42735</v>
      </c>
      <c r="G57" s="35">
        <f t="shared" si="2"/>
        <v>2.5000000000000001E-2</v>
      </c>
      <c r="H57" s="35">
        <f t="shared" si="3"/>
        <v>1.6E-2</v>
      </c>
      <c r="I57" s="35">
        <f t="shared" si="4"/>
        <v>1.8000000000000002E-2</v>
      </c>
    </row>
    <row r="58" spans="2:9" x14ac:dyDescent="0.25">
      <c r="B58" s="174">
        <v>42704</v>
      </c>
      <c r="C58" s="2">
        <v>2.2000000000000002</v>
      </c>
      <c r="D58" s="2">
        <v>1.2</v>
      </c>
      <c r="E58" s="2">
        <v>1.5</v>
      </c>
      <c r="F58" s="108">
        <f t="shared" si="1"/>
        <v>42704</v>
      </c>
      <c r="G58" s="35">
        <f t="shared" si="2"/>
        <v>2.2000000000000002E-2</v>
      </c>
      <c r="H58" s="35">
        <f t="shared" si="3"/>
        <v>1.2E-2</v>
      </c>
      <c r="I58" s="35">
        <f t="shared" si="4"/>
        <v>1.4999999999999999E-2</v>
      </c>
    </row>
    <row r="59" spans="2:9" x14ac:dyDescent="0.25">
      <c r="B59" s="174">
        <v>42674</v>
      </c>
      <c r="C59" s="2">
        <v>2</v>
      </c>
      <c r="D59" s="2">
        <v>0.9</v>
      </c>
      <c r="E59" s="2">
        <v>1.3</v>
      </c>
      <c r="F59" s="108">
        <f t="shared" si="1"/>
        <v>42674</v>
      </c>
      <c r="G59" s="35">
        <f t="shared" si="2"/>
        <v>0.02</v>
      </c>
      <c r="H59" s="35">
        <f t="shared" si="3"/>
        <v>9.0000000000000011E-3</v>
      </c>
      <c r="I59" s="35">
        <f t="shared" si="4"/>
        <v>1.3000000000000001E-2</v>
      </c>
    </row>
    <row r="60" spans="2:9" x14ac:dyDescent="0.25">
      <c r="B60" s="174">
        <v>42643</v>
      </c>
      <c r="C60" s="2">
        <v>2</v>
      </c>
      <c r="D60" s="2">
        <v>1</v>
      </c>
      <c r="E60" s="2">
        <v>1.3</v>
      </c>
      <c r="F60" s="108">
        <f t="shared" si="1"/>
        <v>42643</v>
      </c>
      <c r="G60" s="35">
        <f t="shared" si="2"/>
        <v>0.02</v>
      </c>
      <c r="H60" s="35">
        <f t="shared" si="3"/>
        <v>0.01</v>
      </c>
      <c r="I60" s="35">
        <f t="shared" si="4"/>
        <v>1.3000000000000001E-2</v>
      </c>
    </row>
    <row r="61" spans="2:9" x14ac:dyDescent="0.25">
      <c r="B61" s="174">
        <v>42613</v>
      </c>
      <c r="C61" s="2">
        <v>1.8</v>
      </c>
      <c r="D61" s="2">
        <v>0.6</v>
      </c>
      <c r="E61" s="2">
        <v>1</v>
      </c>
      <c r="F61" s="108">
        <f t="shared" si="1"/>
        <v>42613</v>
      </c>
      <c r="G61" s="35">
        <f t="shared" si="2"/>
        <v>1.8000000000000002E-2</v>
      </c>
      <c r="H61" s="35">
        <f t="shared" si="3"/>
        <v>6.0000000000000001E-3</v>
      </c>
      <c r="I61" s="35">
        <f t="shared" si="4"/>
        <v>0.01</v>
      </c>
    </row>
    <row r="62" spans="2:9" x14ac:dyDescent="0.25">
      <c r="B62" s="174">
        <v>42582</v>
      </c>
      <c r="C62" s="2">
        <v>1.9</v>
      </c>
      <c r="D62" s="2">
        <v>0.6</v>
      </c>
      <c r="E62" s="2">
        <v>0.9</v>
      </c>
      <c r="F62" s="108">
        <f t="shared" si="1"/>
        <v>42582</v>
      </c>
      <c r="G62" s="35">
        <f t="shared" si="2"/>
        <v>1.9E-2</v>
      </c>
      <c r="H62" s="35">
        <f t="shared" si="3"/>
        <v>6.0000000000000001E-3</v>
      </c>
      <c r="I62" s="35">
        <f t="shared" si="4"/>
        <v>9.0000000000000011E-3</v>
      </c>
    </row>
    <row r="63" spans="2:9" x14ac:dyDescent="0.25">
      <c r="B63" s="174">
        <v>42551</v>
      </c>
      <c r="C63" s="2">
        <v>1.6</v>
      </c>
      <c r="D63" s="2">
        <v>0.5</v>
      </c>
      <c r="E63" s="2">
        <v>0.8</v>
      </c>
      <c r="F63" s="108">
        <f t="shared" si="1"/>
        <v>42551</v>
      </c>
      <c r="G63" s="35">
        <f t="shared" si="2"/>
        <v>1.6E-2</v>
      </c>
      <c r="H63" s="35">
        <f t="shared" si="3"/>
        <v>5.0000000000000001E-3</v>
      </c>
      <c r="I63" s="35">
        <f t="shared" si="4"/>
        <v>8.0000000000000002E-3</v>
      </c>
    </row>
    <row r="64" spans="2:9" x14ac:dyDescent="0.25">
      <c r="B64" s="174">
        <v>42521</v>
      </c>
      <c r="C64" s="2">
        <v>1.4</v>
      </c>
      <c r="D64" s="2">
        <v>0.3</v>
      </c>
      <c r="E64" s="2">
        <v>0.7</v>
      </c>
      <c r="F64" s="108">
        <f t="shared" si="1"/>
        <v>42521</v>
      </c>
      <c r="G64" s="35">
        <f t="shared" si="2"/>
        <v>1.3999999999999999E-2</v>
      </c>
      <c r="H64" s="35">
        <f t="shared" si="3"/>
        <v>3.0000000000000001E-3</v>
      </c>
      <c r="I64" s="35">
        <f t="shared" si="4"/>
        <v>6.9999999999999993E-3</v>
      </c>
    </row>
    <row r="65" spans="2:9" x14ac:dyDescent="0.25">
      <c r="B65" s="174">
        <v>42490</v>
      </c>
      <c r="C65" s="2">
        <v>1.3</v>
      </c>
      <c r="D65" s="2">
        <v>0.3</v>
      </c>
      <c r="E65" s="2">
        <v>0.7</v>
      </c>
      <c r="F65" s="108">
        <f t="shared" si="1"/>
        <v>42490</v>
      </c>
      <c r="G65" s="35">
        <f t="shared" si="2"/>
        <v>1.3000000000000001E-2</v>
      </c>
      <c r="H65" s="35">
        <f t="shared" si="3"/>
        <v>3.0000000000000001E-3</v>
      </c>
      <c r="I65" s="35">
        <f t="shared" si="4"/>
        <v>6.9999999999999993E-3</v>
      </c>
    </row>
    <row r="66" spans="2:9" x14ac:dyDescent="0.25">
      <c r="B66" s="174">
        <v>42460</v>
      </c>
      <c r="C66" s="2">
        <v>1.6</v>
      </c>
      <c r="D66" s="2">
        <v>0.5</v>
      </c>
      <c r="E66" s="2">
        <v>0.8</v>
      </c>
      <c r="F66" s="108">
        <f t="shared" si="1"/>
        <v>42460</v>
      </c>
      <c r="G66" s="35">
        <f t="shared" si="2"/>
        <v>1.6E-2</v>
      </c>
      <c r="H66" s="35">
        <f t="shared" si="3"/>
        <v>5.0000000000000001E-3</v>
      </c>
      <c r="I66" s="35">
        <f t="shared" si="4"/>
        <v>8.0000000000000002E-3</v>
      </c>
    </row>
    <row r="67" spans="2:9" x14ac:dyDescent="0.25">
      <c r="B67" s="174">
        <v>42429</v>
      </c>
      <c r="C67" s="2">
        <v>1.3</v>
      </c>
      <c r="D67" s="2">
        <v>0.3</v>
      </c>
      <c r="E67" s="2">
        <v>0.6</v>
      </c>
      <c r="F67" s="108">
        <f t="shared" si="1"/>
        <v>42429</v>
      </c>
      <c r="G67" s="35">
        <f t="shared" si="2"/>
        <v>1.3000000000000001E-2</v>
      </c>
      <c r="H67" s="35">
        <f t="shared" si="3"/>
        <v>3.0000000000000001E-3</v>
      </c>
      <c r="I67" s="35">
        <f t="shared" si="4"/>
        <v>6.0000000000000001E-3</v>
      </c>
    </row>
    <row r="68" spans="2:9" x14ac:dyDescent="0.25">
      <c r="B68" s="174">
        <v>42400</v>
      </c>
      <c r="C68" s="2">
        <v>1.3</v>
      </c>
      <c r="D68" s="2">
        <v>0.3</v>
      </c>
      <c r="E68" s="2">
        <v>0.6</v>
      </c>
      <c r="F68" s="108">
        <f t="shared" si="1"/>
        <v>42400</v>
      </c>
      <c r="G68" s="35">
        <f t="shared" si="2"/>
        <v>1.3000000000000001E-2</v>
      </c>
      <c r="H68" s="35">
        <f t="shared" si="3"/>
        <v>3.0000000000000001E-3</v>
      </c>
      <c r="I68" s="35">
        <f t="shared" si="4"/>
        <v>6.0000000000000001E-3</v>
      </c>
    </row>
    <row r="69" spans="2:9" x14ac:dyDescent="0.25">
      <c r="B69" s="174">
        <v>42369</v>
      </c>
      <c r="C69" s="2">
        <v>1.2</v>
      </c>
      <c r="D69" s="2">
        <v>0.2</v>
      </c>
      <c r="E69" s="2">
        <v>0.5</v>
      </c>
      <c r="F69" s="108">
        <f t="shared" si="1"/>
        <v>42369</v>
      </c>
      <c r="G69" s="35">
        <f t="shared" si="2"/>
        <v>1.2E-2</v>
      </c>
      <c r="H69" s="35">
        <f t="shared" si="3"/>
        <v>2E-3</v>
      </c>
      <c r="I69" s="35">
        <f t="shared" si="4"/>
        <v>5.0000000000000001E-3</v>
      </c>
    </row>
    <row r="70" spans="2:9" x14ac:dyDescent="0.25">
      <c r="B70" s="174">
        <v>42338</v>
      </c>
      <c r="C70" s="2">
        <v>1.1000000000000001</v>
      </c>
      <c r="D70" s="2">
        <v>0.1</v>
      </c>
      <c r="E70" s="2">
        <v>0.4</v>
      </c>
      <c r="F70" s="108">
        <f t="shared" ref="F70:F133" si="5">B70</f>
        <v>42338</v>
      </c>
      <c r="G70" s="35">
        <f t="shared" ref="G70:G133" si="6">C70/100</f>
        <v>1.1000000000000001E-2</v>
      </c>
      <c r="H70" s="35">
        <f t="shared" ref="H70:H133" si="7">D70/100</f>
        <v>1E-3</v>
      </c>
      <c r="I70" s="35">
        <f t="shared" ref="I70:I133" si="8">E70/100</f>
        <v>4.0000000000000001E-3</v>
      </c>
    </row>
    <row r="71" spans="2:9" x14ac:dyDescent="0.25">
      <c r="B71" s="174">
        <v>42308</v>
      </c>
      <c r="C71" s="2">
        <v>0.7</v>
      </c>
      <c r="D71" s="2">
        <v>-0.1</v>
      </c>
      <c r="E71" s="2">
        <v>0.2</v>
      </c>
      <c r="F71" s="108">
        <f t="shared" si="5"/>
        <v>42308</v>
      </c>
      <c r="G71" s="35">
        <f t="shared" si="6"/>
        <v>6.9999999999999993E-3</v>
      </c>
      <c r="H71" s="35">
        <f t="shared" si="7"/>
        <v>-1E-3</v>
      </c>
      <c r="I71" s="35">
        <f t="shared" si="8"/>
        <v>2E-3</v>
      </c>
    </row>
    <row r="72" spans="2:9" x14ac:dyDescent="0.25">
      <c r="B72" s="174">
        <v>42277</v>
      </c>
      <c r="C72" s="2">
        <v>0.8</v>
      </c>
      <c r="D72" s="2">
        <v>-0.1</v>
      </c>
      <c r="E72" s="2">
        <v>0.2</v>
      </c>
      <c r="F72" s="108">
        <f t="shared" si="5"/>
        <v>42277</v>
      </c>
      <c r="G72" s="35">
        <f t="shared" si="6"/>
        <v>8.0000000000000002E-3</v>
      </c>
      <c r="H72" s="35">
        <f t="shared" si="7"/>
        <v>-1E-3</v>
      </c>
      <c r="I72" s="35">
        <f t="shared" si="8"/>
        <v>2E-3</v>
      </c>
    </row>
    <row r="73" spans="2:9" x14ac:dyDescent="0.25">
      <c r="B73" s="174">
        <v>42247</v>
      </c>
      <c r="C73" s="2">
        <v>1.1000000000000001</v>
      </c>
      <c r="D73" s="2">
        <v>0</v>
      </c>
      <c r="E73" s="2">
        <v>0.4</v>
      </c>
      <c r="F73" s="108">
        <f t="shared" si="5"/>
        <v>42247</v>
      </c>
      <c r="G73" s="35">
        <f t="shared" si="6"/>
        <v>1.1000000000000001E-2</v>
      </c>
      <c r="H73" s="35">
        <f t="shared" si="7"/>
        <v>0</v>
      </c>
      <c r="I73" s="35">
        <f t="shared" si="8"/>
        <v>4.0000000000000001E-3</v>
      </c>
    </row>
    <row r="74" spans="2:9" x14ac:dyDescent="0.25">
      <c r="B74" s="174">
        <v>42216</v>
      </c>
      <c r="C74" s="2">
        <v>1</v>
      </c>
      <c r="D74" s="2">
        <v>0.1</v>
      </c>
      <c r="E74" s="2">
        <v>0.5</v>
      </c>
      <c r="F74" s="108">
        <f t="shared" si="5"/>
        <v>42216</v>
      </c>
      <c r="G74" s="35">
        <f t="shared" si="6"/>
        <v>0.01</v>
      </c>
      <c r="H74" s="35">
        <f t="shared" si="7"/>
        <v>1E-3</v>
      </c>
      <c r="I74" s="35">
        <f t="shared" si="8"/>
        <v>5.0000000000000001E-3</v>
      </c>
    </row>
    <row r="75" spans="2:9" x14ac:dyDescent="0.25">
      <c r="B75" s="174">
        <v>42185</v>
      </c>
      <c r="C75" s="2">
        <v>1</v>
      </c>
      <c r="D75" s="2">
        <v>0</v>
      </c>
      <c r="E75" s="2">
        <v>0.3</v>
      </c>
      <c r="F75" s="108">
        <f t="shared" si="5"/>
        <v>42185</v>
      </c>
      <c r="G75" s="35">
        <f t="shared" si="6"/>
        <v>0.01</v>
      </c>
      <c r="H75" s="35">
        <f t="shared" si="7"/>
        <v>0</v>
      </c>
      <c r="I75" s="35">
        <f t="shared" si="8"/>
        <v>3.0000000000000001E-3</v>
      </c>
    </row>
    <row r="76" spans="2:9" x14ac:dyDescent="0.25">
      <c r="B76" s="174">
        <v>42155</v>
      </c>
      <c r="C76" s="2">
        <v>1</v>
      </c>
      <c r="D76" s="2">
        <v>0.1</v>
      </c>
      <c r="E76" s="2">
        <v>0.4</v>
      </c>
      <c r="F76" s="108">
        <f t="shared" si="5"/>
        <v>42155</v>
      </c>
      <c r="G76" s="35">
        <f t="shared" si="6"/>
        <v>0.01</v>
      </c>
      <c r="H76" s="35">
        <f t="shared" si="7"/>
        <v>1E-3</v>
      </c>
      <c r="I76" s="35">
        <f t="shared" si="8"/>
        <v>4.0000000000000001E-3</v>
      </c>
    </row>
    <row r="77" spans="2:9" x14ac:dyDescent="0.25">
      <c r="B77" s="174">
        <v>42124</v>
      </c>
      <c r="C77" s="2">
        <v>0.9</v>
      </c>
      <c r="D77" s="2">
        <v>-0.1</v>
      </c>
      <c r="E77" s="2">
        <v>0.3</v>
      </c>
      <c r="F77" s="108">
        <f t="shared" si="5"/>
        <v>42124</v>
      </c>
      <c r="G77" s="35">
        <f t="shared" si="6"/>
        <v>9.0000000000000011E-3</v>
      </c>
      <c r="H77" s="35">
        <f t="shared" si="7"/>
        <v>-1E-3</v>
      </c>
      <c r="I77" s="35">
        <f t="shared" si="8"/>
        <v>3.0000000000000001E-3</v>
      </c>
    </row>
    <row r="78" spans="2:9" x14ac:dyDescent="0.25">
      <c r="B78" s="174">
        <v>42094</v>
      </c>
      <c r="C78" s="2">
        <v>0.9</v>
      </c>
      <c r="D78" s="2">
        <v>0</v>
      </c>
      <c r="E78" s="2">
        <v>0.3</v>
      </c>
      <c r="F78" s="108">
        <f t="shared" si="5"/>
        <v>42094</v>
      </c>
      <c r="G78" s="35">
        <f t="shared" si="6"/>
        <v>9.0000000000000011E-3</v>
      </c>
      <c r="H78" s="35">
        <f t="shared" si="7"/>
        <v>0</v>
      </c>
      <c r="I78" s="35">
        <f t="shared" si="8"/>
        <v>3.0000000000000001E-3</v>
      </c>
    </row>
    <row r="79" spans="2:9" x14ac:dyDescent="0.25">
      <c r="B79" s="174">
        <v>42063</v>
      </c>
      <c r="C79" s="2">
        <v>1</v>
      </c>
      <c r="D79" s="2">
        <v>0</v>
      </c>
      <c r="E79" s="2">
        <v>0.4</v>
      </c>
      <c r="F79" s="108">
        <f t="shared" si="5"/>
        <v>42063</v>
      </c>
      <c r="G79" s="35">
        <f t="shared" si="6"/>
        <v>0.01</v>
      </c>
      <c r="H79" s="35">
        <f t="shared" si="7"/>
        <v>0</v>
      </c>
      <c r="I79" s="35">
        <f t="shared" si="8"/>
        <v>4.0000000000000001E-3</v>
      </c>
    </row>
    <row r="80" spans="2:9" x14ac:dyDescent="0.25">
      <c r="B80" s="174">
        <v>42035</v>
      </c>
      <c r="C80" s="2">
        <v>1.1000000000000001</v>
      </c>
      <c r="D80" s="2">
        <v>0.3</v>
      </c>
      <c r="E80" s="2">
        <v>0.5</v>
      </c>
      <c r="F80" s="108">
        <f t="shared" si="5"/>
        <v>42035</v>
      </c>
      <c r="G80" s="35">
        <f t="shared" si="6"/>
        <v>1.1000000000000001E-2</v>
      </c>
      <c r="H80" s="35">
        <f t="shared" si="7"/>
        <v>3.0000000000000001E-3</v>
      </c>
      <c r="I80" s="35">
        <f t="shared" si="8"/>
        <v>5.0000000000000001E-3</v>
      </c>
    </row>
    <row r="81" spans="2:9" x14ac:dyDescent="0.25">
      <c r="B81" s="174">
        <v>42004</v>
      </c>
      <c r="C81" s="2">
        <v>1.6</v>
      </c>
      <c r="D81" s="2">
        <v>0.5</v>
      </c>
      <c r="E81" s="2">
        <v>0.7</v>
      </c>
      <c r="F81" s="108">
        <f t="shared" si="5"/>
        <v>42004</v>
      </c>
      <c r="G81" s="35">
        <f t="shared" si="6"/>
        <v>1.6E-2</v>
      </c>
      <c r="H81" s="35">
        <f t="shared" si="7"/>
        <v>5.0000000000000001E-3</v>
      </c>
      <c r="I81" s="35">
        <f t="shared" si="8"/>
        <v>6.9999999999999993E-3</v>
      </c>
    </row>
    <row r="82" spans="2:9" x14ac:dyDescent="0.25">
      <c r="B82" s="174">
        <v>41973</v>
      </c>
      <c r="C82" s="2">
        <v>2</v>
      </c>
      <c r="D82" s="2">
        <v>1</v>
      </c>
      <c r="E82" s="2">
        <v>1.1000000000000001</v>
      </c>
      <c r="F82" s="108">
        <f t="shared" si="5"/>
        <v>41973</v>
      </c>
      <c r="G82" s="35">
        <f t="shared" si="6"/>
        <v>0.02</v>
      </c>
      <c r="H82" s="35">
        <f t="shared" si="7"/>
        <v>0.01</v>
      </c>
      <c r="I82" s="35">
        <f t="shared" si="8"/>
        <v>1.1000000000000001E-2</v>
      </c>
    </row>
    <row r="83" spans="2:9" x14ac:dyDescent="0.25">
      <c r="B83" s="174">
        <v>41943</v>
      </c>
      <c r="C83" s="2">
        <v>2.2999999999999998</v>
      </c>
      <c r="D83" s="2">
        <v>1.3</v>
      </c>
      <c r="E83" s="2">
        <v>1.3</v>
      </c>
      <c r="F83" s="108">
        <f t="shared" si="5"/>
        <v>41943</v>
      </c>
      <c r="G83" s="35">
        <f t="shared" si="6"/>
        <v>2.3E-2</v>
      </c>
      <c r="H83" s="35">
        <f t="shared" si="7"/>
        <v>1.3000000000000001E-2</v>
      </c>
      <c r="I83" s="35">
        <f t="shared" si="8"/>
        <v>1.3000000000000001E-2</v>
      </c>
    </row>
    <row r="84" spans="2:9" x14ac:dyDescent="0.25">
      <c r="B84" s="174">
        <v>41912</v>
      </c>
      <c r="C84" s="2">
        <v>2.2999999999999998</v>
      </c>
      <c r="D84" s="2">
        <v>1.2</v>
      </c>
      <c r="E84" s="2">
        <v>1.3</v>
      </c>
      <c r="F84" s="108">
        <f t="shared" si="5"/>
        <v>41912</v>
      </c>
      <c r="G84" s="35">
        <f t="shared" si="6"/>
        <v>2.3E-2</v>
      </c>
      <c r="H84" s="35">
        <f t="shared" si="7"/>
        <v>1.2E-2</v>
      </c>
      <c r="I84" s="35">
        <f t="shared" si="8"/>
        <v>1.3000000000000001E-2</v>
      </c>
    </row>
    <row r="85" spans="2:9" x14ac:dyDescent="0.25">
      <c r="B85" s="174">
        <v>41882</v>
      </c>
      <c r="C85" s="2">
        <v>2.4</v>
      </c>
      <c r="D85" s="2">
        <v>1.5</v>
      </c>
      <c r="E85" s="2">
        <v>1.5</v>
      </c>
      <c r="F85" s="108">
        <f t="shared" si="5"/>
        <v>41882</v>
      </c>
      <c r="G85" s="35">
        <f t="shared" si="6"/>
        <v>2.4E-2</v>
      </c>
      <c r="H85" s="35">
        <f t="shared" si="7"/>
        <v>1.4999999999999999E-2</v>
      </c>
      <c r="I85" s="35">
        <f t="shared" si="8"/>
        <v>1.4999999999999999E-2</v>
      </c>
    </row>
    <row r="86" spans="2:9" x14ac:dyDescent="0.25">
      <c r="B86" s="174">
        <v>41851</v>
      </c>
      <c r="C86" s="2">
        <v>2.5</v>
      </c>
      <c r="D86" s="2">
        <v>1.6</v>
      </c>
      <c r="E86" s="2">
        <v>1.6</v>
      </c>
      <c r="F86" s="108">
        <f t="shared" si="5"/>
        <v>41851</v>
      </c>
      <c r="G86" s="35">
        <f t="shared" si="6"/>
        <v>2.5000000000000001E-2</v>
      </c>
      <c r="H86" s="35">
        <f t="shared" si="7"/>
        <v>1.6E-2</v>
      </c>
      <c r="I86" s="35">
        <f t="shared" si="8"/>
        <v>1.6E-2</v>
      </c>
    </row>
    <row r="87" spans="2:9" x14ac:dyDescent="0.25">
      <c r="B87" s="174">
        <v>41820</v>
      </c>
      <c r="C87" s="2">
        <v>2.6</v>
      </c>
      <c r="D87" s="2">
        <v>1.9</v>
      </c>
      <c r="E87" s="2">
        <v>1.8</v>
      </c>
      <c r="F87" s="108">
        <f t="shared" si="5"/>
        <v>41820</v>
      </c>
      <c r="G87" s="35">
        <f t="shared" si="6"/>
        <v>2.6000000000000002E-2</v>
      </c>
      <c r="H87" s="35">
        <f t="shared" si="7"/>
        <v>1.9E-2</v>
      </c>
      <c r="I87" s="35">
        <f t="shared" si="8"/>
        <v>1.8000000000000002E-2</v>
      </c>
    </row>
    <row r="88" spans="2:9" x14ac:dyDescent="0.25">
      <c r="B88" s="174">
        <v>41790</v>
      </c>
      <c r="C88" s="2">
        <v>2.4</v>
      </c>
      <c r="D88" s="2">
        <v>1.5</v>
      </c>
      <c r="E88" s="2">
        <v>1.5</v>
      </c>
      <c r="F88" s="108">
        <f t="shared" si="5"/>
        <v>41790</v>
      </c>
      <c r="G88" s="35">
        <f t="shared" si="6"/>
        <v>2.4E-2</v>
      </c>
      <c r="H88" s="35">
        <f t="shared" si="7"/>
        <v>1.4999999999999999E-2</v>
      </c>
      <c r="I88" s="35">
        <f t="shared" si="8"/>
        <v>1.4999999999999999E-2</v>
      </c>
    </row>
    <row r="89" spans="2:9" x14ac:dyDescent="0.25">
      <c r="B89" s="174">
        <v>41759</v>
      </c>
      <c r="C89" s="2">
        <v>2.5</v>
      </c>
      <c r="D89" s="2">
        <v>1.8</v>
      </c>
      <c r="E89" s="2">
        <v>1.7</v>
      </c>
      <c r="F89" s="108">
        <f t="shared" si="5"/>
        <v>41759</v>
      </c>
      <c r="G89" s="35">
        <f t="shared" si="6"/>
        <v>2.5000000000000001E-2</v>
      </c>
      <c r="H89" s="35">
        <f t="shared" si="7"/>
        <v>1.8000000000000002E-2</v>
      </c>
      <c r="I89" s="35">
        <f t="shared" si="8"/>
        <v>1.7000000000000001E-2</v>
      </c>
    </row>
    <row r="90" spans="2:9" x14ac:dyDescent="0.25">
      <c r="B90" s="174">
        <v>41729</v>
      </c>
      <c r="C90" s="2">
        <v>2.5</v>
      </c>
      <c r="D90" s="2">
        <v>1.6</v>
      </c>
      <c r="E90" s="2">
        <v>1.5</v>
      </c>
      <c r="F90" s="108">
        <f t="shared" si="5"/>
        <v>41729</v>
      </c>
      <c r="G90" s="35">
        <f t="shared" si="6"/>
        <v>2.5000000000000001E-2</v>
      </c>
      <c r="H90" s="35">
        <f t="shared" si="7"/>
        <v>1.6E-2</v>
      </c>
      <c r="I90" s="35">
        <f t="shared" si="8"/>
        <v>1.4999999999999999E-2</v>
      </c>
    </row>
    <row r="91" spans="2:9" x14ac:dyDescent="0.25">
      <c r="B91" s="174">
        <v>41698</v>
      </c>
      <c r="C91" s="2">
        <v>2.7</v>
      </c>
      <c r="D91" s="2">
        <v>1.7</v>
      </c>
      <c r="E91" s="2">
        <v>1.6</v>
      </c>
      <c r="F91" s="108">
        <f t="shared" si="5"/>
        <v>41698</v>
      </c>
      <c r="G91" s="35">
        <f t="shared" si="6"/>
        <v>2.7000000000000003E-2</v>
      </c>
      <c r="H91" s="35">
        <f t="shared" si="7"/>
        <v>1.7000000000000001E-2</v>
      </c>
      <c r="I91" s="35">
        <f t="shared" si="8"/>
        <v>1.6E-2</v>
      </c>
    </row>
    <row r="92" spans="2:9" x14ac:dyDescent="0.25">
      <c r="B92" s="174">
        <v>41670</v>
      </c>
      <c r="C92" s="2">
        <v>2.8</v>
      </c>
      <c r="D92" s="2">
        <v>1.9</v>
      </c>
      <c r="E92" s="2">
        <v>1.8</v>
      </c>
      <c r="F92" s="108">
        <f t="shared" si="5"/>
        <v>41670</v>
      </c>
      <c r="G92" s="35">
        <f t="shared" si="6"/>
        <v>2.7999999999999997E-2</v>
      </c>
      <c r="H92" s="35">
        <f t="shared" si="7"/>
        <v>1.9E-2</v>
      </c>
      <c r="I92" s="35">
        <f t="shared" si="8"/>
        <v>1.8000000000000002E-2</v>
      </c>
    </row>
    <row r="93" spans="2:9" x14ac:dyDescent="0.25">
      <c r="B93" s="174">
        <v>41639</v>
      </c>
      <c r="C93" s="2">
        <v>2.7</v>
      </c>
      <c r="D93" s="2">
        <v>2</v>
      </c>
      <c r="E93" s="2">
        <v>1.9</v>
      </c>
      <c r="F93" s="108">
        <f t="shared" si="5"/>
        <v>41639</v>
      </c>
      <c r="G93" s="35">
        <f t="shared" si="6"/>
        <v>2.7000000000000003E-2</v>
      </c>
      <c r="H93" s="35">
        <f t="shared" si="7"/>
        <v>0.02</v>
      </c>
      <c r="I93" s="35">
        <f t="shared" si="8"/>
        <v>1.9E-2</v>
      </c>
    </row>
    <row r="94" spans="2:9" x14ac:dyDescent="0.25">
      <c r="B94" s="174">
        <v>41608</v>
      </c>
      <c r="C94" s="2">
        <v>2.6</v>
      </c>
      <c r="D94" s="2">
        <v>2.1</v>
      </c>
      <c r="E94" s="2">
        <v>1.9</v>
      </c>
      <c r="F94" s="108">
        <f t="shared" si="5"/>
        <v>41608</v>
      </c>
      <c r="G94" s="35">
        <f t="shared" si="6"/>
        <v>2.6000000000000002E-2</v>
      </c>
      <c r="H94" s="35">
        <f t="shared" si="7"/>
        <v>2.1000000000000001E-2</v>
      </c>
      <c r="I94" s="35">
        <f t="shared" si="8"/>
        <v>1.9E-2</v>
      </c>
    </row>
    <row r="95" spans="2:9" x14ac:dyDescent="0.25">
      <c r="B95" s="174">
        <v>41578</v>
      </c>
      <c r="C95" s="2">
        <v>2.6</v>
      </c>
      <c r="D95" s="2">
        <v>2.2000000000000002</v>
      </c>
      <c r="E95" s="2">
        <v>2</v>
      </c>
      <c r="F95" s="108">
        <f t="shared" si="5"/>
        <v>41578</v>
      </c>
      <c r="G95" s="35">
        <f t="shared" si="6"/>
        <v>2.6000000000000002E-2</v>
      </c>
      <c r="H95" s="35">
        <f t="shared" si="7"/>
        <v>2.2000000000000002E-2</v>
      </c>
      <c r="I95" s="35">
        <f t="shared" si="8"/>
        <v>0.02</v>
      </c>
    </row>
    <row r="96" spans="2:9" x14ac:dyDescent="0.25">
      <c r="B96" s="174">
        <v>41547</v>
      </c>
      <c r="C96" s="2">
        <v>3.2</v>
      </c>
      <c r="D96" s="2">
        <v>2.7</v>
      </c>
      <c r="E96" s="2">
        <v>2.4</v>
      </c>
      <c r="F96" s="108">
        <f t="shared" si="5"/>
        <v>41547</v>
      </c>
      <c r="G96" s="35">
        <f t="shared" si="6"/>
        <v>3.2000000000000001E-2</v>
      </c>
      <c r="H96" s="35">
        <f t="shared" si="7"/>
        <v>2.7000000000000003E-2</v>
      </c>
      <c r="I96" s="35">
        <f t="shared" si="8"/>
        <v>2.4E-2</v>
      </c>
    </row>
    <row r="97" spans="2:9" x14ac:dyDescent="0.25">
      <c r="B97" s="174">
        <v>41517</v>
      </c>
      <c r="C97" s="2">
        <v>3.3</v>
      </c>
      <c r="D97" s="2">
        <v>2.7</v>
      </c>
      <c r="E97" s="2">
        <v>2.4</v>
      </c>
      <c r="F97" s="108">
        <f t="shared" si="5"/>
        <v>41517</v>
      </c>
      <c r="G97" s="35">
        <f t="shared" si="6"/>
        <v>3.3000000000000002E-2</v>
      </c>
      <c r="H97" s="35">
        <f t="shared" si="7"/>
        <v>2.7000000000000003E-2</v>
      </c>
      <c r="I97" s="35">
        <f t="shared" si="8"/>
        <v>2.4E-2</v>
      </c>
    </row>
    <row r="98" spans="2:9" x14ac:dyDescent="0.25">
      <c r="B98" s="174">
        <v>41486</v>
      </c>
      <c r="C98" s="2">
        <v>3.1</v>
      </c>
      <c r="D98" s="2">
        <v>2.8</v>
      </c>
      <c r="E98" s="2">
        <v>2.5</v>
      </c>
      <c r="F98" s="108">
        <f t="shared" si="5"/>
        <v>41486</v>
      </c>
      <c r="G98" s="35">
        <f t="shared" si="6"/>
        <v>3.1E-2</v>
      </c>
      <c r="H98" s="35">
        <f t="shared" si="7"/>
        <v>2.7999999999999997E-2</v>
      </c>
      <c r="I98" s="35">
        <f t="shared" si="8"/>
        <v>2.5000000000000001E-2</v>
      </c>
    </row>
    <row r="99" spans="2:9" x14ac:dyDescent="0.25">
      <c r="B99" s="174">
        <v>41455</v>
      </c>
      <c r="C99" s="2">
        <v>3.3</v>
      </c>
      <c r="D99" s="2">
        <v>2.9</v>
      </c>
      <c r="E99" s="2">
        <v>2.6</v>
      </c>
      <c r="F99" s="108">
        <f t="shared" si="5"/>
        <v>41455</v>
      </c>
      <c r="G99" s="35">
        <f t="shared" si="6"/>
        <v>3.3000000000000002E-2</v>
      </c>
      <c r="H99" s="35">
        <f t="shared" si="7"/>
        <v>2.8999999999999998E-2</v>
      </c>
      <c r="I99" s="35">
        <f t="shared" si="8"/>
        <v>2.6000000000000002E-2</v>
      </c>
    </row>
    <row r="100" spans="2:9" x14ac:dyDescent="0.25">
      <c r="B100" s="174">
        <v>41425</v>
      </c>
      <c r="C100" s="2">
        <v>3.1</v>
      </c>
      <c r="D100" s="2">
        <v>2.7</v>
      </c>
      <c r="E100" s="2">
        <v>2.4</v>
      </c>
      <c r="F100" s="108">
        <f t="shared" si="5"/>
        <v>41425</v>
      </c>
      <c r="G100" s="35">
        <f t="shared" si="6"/>
        <v>3.1E-2</v>
      </c>
      <c r="H100" s="35">
        <f t="shared" si="7"/>
        <v>2.7000000000000003E-2</v>
      </c>
      <c r="I100" s="35">
        <f t="shared" si="8"/>
        <v>2.4E-2</v>
      </c>
    </row>
    <row r="101" spans="2:9" x14ac:dyDescent="0.25">
      <c r="B101" s="174">
        <v>41394</v>
      </c>
      <c r="C101" s="2">
        <v>2.9</v>
      </c>
      <c r="D101" s="2">
        <v>2.4</v>
      </c>
      <c r="E101" s="2">
        <v>2.2000000000000002</v>
      </c>
      <c r="F101" s="108">
        <f t="shared" si="5"/>
        <v>41394</v>
      </c>
      <c r="G101" s="35">
        <f t="shared" si="6"/>
        <v>2.8999999999999998E-2</v>
      </c>
      <c r="H101" s="35">
        <f t="shared" si="7"/>
        <v>2.4E-2</v>
      </c>
      <c r="I101" s="35">
        <f t="shared" si="8"/>
        <v>2.2000000000000002E-2</v>
      </c>
    </row>
    <row r="102" spans="2:9" x14ac:dyDescent="0.25">
      <c r="B102" s="174">
        <v>41364</v>
      </c>
      <c r="C102" s="2">
        <v>3.3</v>
      </c>
      <c r="D102" s="2">
        <v>2.8</v>
      </c>
      <c r="E102" s="2">
        <v>2.5</v>
      </c>
      <c r="F102" s="108">
        <f t="shared" si="5"/>
        <v>41364</v>
      </c>
      <c r="G102" s="35">
        <f t="shared" si="6"/>
        <v>3.3000000000000002E-2</v>
      </c>
      <c r="H102" s="35">
        <f t="shared" si="7"/>
        <v>2.7999999999999997E-2</v>
      </c>
      <c r="I102" s="35">
        <f t="shared" si="8"/>
        <v>2.5000000000000001E-2</v>
      </c>
    </row>
    <row r="103" spans="2:9" x14ac:dyDescent="0.25">
      <c r="B103" s="174">
        <v>41333</v>
      </c>
      <c r="C103" s="2">
        <v>3.2</v>
      </c>
      <c r="D103" s="2">
        <v>2.8</v>
      </c>
      <c r="E103" s="2">
        <v>2.5</v>
      </c>
      <c r="F103" s="108">
        <f t="shared" si="5"/>
        <v>41333</v>
      </c>
      <c r="G103" s="35">
        <f t="shared" si="6"/>
        <v>3.2000000000000001E-2</v>
      </c>
      <c r="H103" s="35">
        <f t="shared" si="7"/>
        <v>2.7999999999999997E-2</v>
      </c>
      <c r="I103" s="35">
        <f t="shared" si="8"/>
        <v>2.5000000000000001E-2</v>
      </c>
    </row>
    <row r="104" spans="2:9" x14ac:dyDescent="0.25">
      <c r="B104" s="174">
        <v>41305</v>
      </c>
      <c r="C104" s="2">
        <v>3.3</v>
      </c>
      <c r="D104" s="2">
        <v>2.7</v>
      </c>
      <c r="E104" s="2">
        <v>2.4</v>
      </c>
      <c r="F104" s="108">
        <f t="shared" si="5"/>
        <v>41305</v>
      </c>
      <c r="G104" s="35">
        <f t="shared" si="6"/>
        <v>3.3000000000000002E-2</v>
      </c>
      <c r="H104" s="35">
        <f t="shared" si="7"/>
        <v>2.7000000000000003E-2</v>
      </c>
      <c r="I104" s="35">
        <f t="shared" si="8"/>
        <v>2.4E-2</v>
      </c>
    </row>
    <row r="105" spans="2:9" x14ac:dyDescent="0.25">
      <c r="B105" s="174">
        <v>41274</v>
      </c>
      <c r="C105" s="2">
        <v>3.1</v>
      </c>
      <c r="D105" s="2">
        <v>2.7</v>
      </c>
      <c r="E105" s="2">
        <v>2.4</v>
      </c>
      <c r="F105" s="108">
        <f t="shared" si="5"/>
        <v>41274</v>
      </c>
      <c r="G105" s="35">
        <f t="shared" si="6"/>
        <v>3.1E-2</v>
      </c>
      <c r="H105" s="35">
        <f t="shared" si="7"/>
        <v>2.7000000000000003E-2</v>
      </c>
      <c r="I105" s="35">
        <f t="shared" si="8"/>
        <v>2.4E-2</v>
      </c>
    </row>
    <row r="106" spans="2:9" x14ac:dyDescent="0.25">
      <c r="B106" s="174">
        <v>41243</v>
      </c>
      <c r="C106" s="2">
        <v>3</v>
      </c>
      <c r="D106" s="2">
        <v>2.7</v>
      </c>
      <c r="E106" s="2">
        <v>2.4</v>
      </c>
      <c r="F106" s="108">
        <f t="shared" si="5"/>
        <v>41243</v>
      </c>
      <c r="G106" s="35">
        <f t="shared" si="6"/>
        <v>0.03</v>
      </c>
      <c r="H106" s="35">
        <f t="shared" si="7"/>
        <v>2.7000000000000003E-2</v>
      </c>
      <c r="I106" s="35">
        <f t="shared" si="8"/>
        <v>2.4E-2</v>
      </c>
    </row>
    <row r="107" spans="2:9" x14ac:dyDescent="0.25">
      <c r="B107" s="174">
        <v>41213</v>
      </c>
      <c r="C107" s="2">
        <v>3.2</v>
      </c>
      <c r="D107" s="2">
        <v>2.7</v>
      </c>
      <c r="E107" s="2">
        <v>2.4</v>
      </c>
      <c r="F107" s="108">
        <f t="shared" si="5"/>
        <v>41213</v>
      </c>
      <c r="G107" s="35">
        <f t="shared" si="6"/>
        <v>3.2000000000000001E-2</v>
      </c>
      <c r="H107" s="35">
        <f t="shared" si="7"/>
        <v>2.7000000000000003E-2</v>
      </c>
      <c r="I107" s="35">
        <f t="shared" si="8"/>
        <v>2.4E-2</v>
      </c>
    </row>
    <row r="108" spans="2:9" x14ac:dyDescent="0.25">
      <c r="B108" s="174">
        <v>41182</v>
      </c>
      <c r="C108" s="2">
        <v>2.6</v>
      </c>
      <c r="D108" s="2">
        <v>2.2000000000000002</v>
      </c>
      <c r="E108" s="2">
        <v>2.1</v>
      </c>
      <c r="F108" s="108">
        <f t="shared" si="5"/>
        <v>41182</v>
      </c>
      <c r="G108" s="35">
        <f t="shared" si="6"/>
        <v>2.6000000000000002E-2</v>
      </c>
      <c r="H108" s="35">
        <f t="shared" si="7"/>
        <v>2.2000000000000002E-2</v>
      </c>
      <c r="I108" s="35">
        <f t="shared" si="8"/>
        <v>2.1000000000000001E-2</v>
      </c>
    </row>
    <row r="109" spans="2:9" x14ac:dyDescent="0.25">
      <c r="B109" s="174">
        <v>41152</v>
      </c>
      <c r="C109" s="2">
        <v>2.9</v>
      </c>
      <c r="D109" s="2">
        <v>2.5</v>
      </c>
      <c r="E109" s="2">
        <v>2.2999999999999998</v>
      </c>
      <c r="F109" s="108">
        <f t="shared" si="5"/>
        <v>41152</v>
      </c>
      <c r="G109" s="35">
        <f t="shared" si="6"/>
        <v>2.8999999999999998E-2</v>
      </c>
      <c r="H109" s="35">
        <f t="shared" si="7"/>
        <v>2.5000000000000001E-2</v>
      </c>
      <c r="I109" s="35">
        <f t="shared" si="8"/>
        <v>2.3E-2</v>
      </c>
    </row>
    <row r="110" spans="2:9" x14ac:dyDescent="0.25">
      <c r="B110" s="174">
        <v>41121</v>
      </c>
      <c r="C110" s="2">
        <v>3.2</v>
      </c>
      <c r="D110" s="2">
        <v>2.6</v>
      </c>
      <c r="E110" s="2">
        <v>2.4</v>
      </c>
      <c r="F110" s="108">
        <f t="shared" si="5"/>
        <v>41121</v>
      </c>
      <c r="G110" s="35">
        <f t="shared" si="6"/>
        <v>3.2000000000000001E-2</v>
      </c>
      <c r="H110" s="35">
        <f t="shared" si="7"/>
        <v>2.6000000000000002E-2</v>
      </c>
      <c r="I110" s="35">
        <f t="shared" si="8"/>
        <v>2.4E-2</v>
      </c>
    </row>
    <row r="111" spans="2:9" x14ac:dyDescent="0.25">
      <c r="B111" s="174">
        <v>41090</v>
      </c>
      <c r="C111" s="2">
        <v>2.8</v>
      </c>
      <c r="D111" s="2">
        <v>2.4</v>
      </c>
      <c r="E111" s="2">
        <v>2.2999999999999998</v>
      </c>
      <c r="F111" s="108">
        <f t="shared" si="5"/>
        <v>41090</v>
      </c>
      <c r="G111" s="35">
        <f t="shared" si="6"/>
        <v>2.7999999999999997E-2</v>
      </c>
      <c r="H111" s="35">
        <f t="shared" si="7"/>
        <v>2.4E-2</v>
      </c>
      <c r="I111" s="35">
        <f t="shared" si="8"/>
        <v>2.3E-2</v>
      </c>
    </row>
    <row r="112" spans="2:9" x14ac:dyDescent="0.25">
      <c r="B112" s="174">
        <v>41060</v>
      </c>
      <c r="C112" s="2">
        <v>3.1</v>
      </c>
      <c r="D112" s="2">
        <v>2.8</v>
      </c>
      <c r="E112" s="2">
        <v>2.5</v>
      </c>
      <c r="F112" s="108">
        <f t="shared" si="5"/>
        <v>41060</v>
      </c>
      <c r="G112" s="35">
        <f t="shared" si="6"/>
        <v>3.1E-2</v>
      </c>
      <c r="H112" s="35">
        <f t="shared" si="7"/>
        <v>2.7999999999999997E-2</v>
      </c>
      <c r="I112" s="35">
        <f t="shared" si="8"/>
        <v>2.5000000000000001E-2</v>
      </c>
    </row>
    <row r="113" spans="2:9" x14ac:dyDescent="0.25">
      <c r="B113" s="174">
        <v>41029</v>
      </c>
      <c r="C113" s="2">
        <v>3.5</v>
      </c>
      <c r="D113" s="2">
        <v>3</v>
      </c>
      <c r="E113" s="2">
        <v>2.8</v>
      </c>
      <c r="F113" s="108">
        <f t="shared" si="5"/>
        <v>41029</v>
      </c>
      <c r="G113" s="35">
        <f t="shared" si="6"/>
        <v>3.5000000000000003E-2</v>
      </c>
      <c r="H113" s="35">
        <f t="shared" si="7"/>
        <v>0.03</v>
      </c>
      <c r="I113" s="35">
        <f t="shared" si="8"/>
        <v>2.7999999999999997E-2</v>
      </c>
    </row>
    <row r="114" spans="2:9" x14ac:dyDescent="0.25">
      <c r="B114" s="174">
        <v>40999</v>
      </c>
      <c r="C114" s="2">
        <v>3.6</v>
      </c>
      <c r="D114" s="2">
        <v>3.5</v>
      </c>
      <c r="E114" s="2">
        <v>3.1</v>
      </c>
      <c r="F114" s="108">
        <f t="shared" si="5"/>
        <v>40999</v>
      </c>
      <c r="G114" s="35">
        <f t="shared" si="6"/>
        <v>3.6000000000000004E-2</v>
      </c>
      <c r="H114" s="35">
        <f t="shared" si="7"/>
        <v>3.5000000000000003E-2</v>
      </c>
      <c r="I114" s="35">
        <f t="shared" si="8"/>
        <v>3.1E-2</v>
      </c>
    </row>
    <row r="115" spans="2:9" x14ac:dyDescent="0.25">
      <c r="B115" s="174">
        <v>40968</v>
      </c>
      <c r="C115" s="2">
        <v>3.7</v>
      </c>
      <c r="D115" s="2">
        <v>3.4</v>
      </c>
      <c r="E115" s="2">
        <v>3.1</v>
      </c>
      <c r="F115" s="108">
        <f t="shared" si="5"/>
        <v>40968</v>
      </c>
      <c r="G115" s="35">
        <f t="shared" si="6"/>
        <v>3.7000000000000005E-2</v>
      </c>
      <c r="H115" s="35">
        <f t="shared" si="7"/>
        <v>3.4000000000000002E-2</v>
      </c>
      <c r="I115" s="35">
        <f t="shared" si="8"/>
        <v>3.1E-2</v>
      </c>
    </row>
    <row r="116" spans="2:9" x14ac:dyDescent="0.25">
      <c r="B116" s="174">
        <v>40939</v>
      </c>
      <c r="C116" s="2">
        <v>3.9</v>
      </c>
      <c r="D116" s="2">
        <v>3.6</v>
      </c>
      <c r="E116" s="2">
        <v>3.2</v>
      </c>
      <c r="F116" s="108">
        <f t="shared" si="5"/>
        <v>40939</v>
      </c>
      <c r="G116" s="35">
        <f t="shared" si="6"/>
        <v>3.9E-2</v>
      </c>
      <c r="H116" s="35">
        <f t="shared" si="7"/>
        <v>3.6000000000000004E-2</v>
      </c>
      <c r="I116" s="35">
        <f t="shared" si="8"/>
        <v>3.2000000000000001E-2</v>
      </c>
    </row>
    <row r="117" spans="2:9" x14ac:dyDescent="0.25">
      <c r="B117" s="174">
        <v>40908</v>
      </c>
      <c r="C117" s="2">
        <v>4.8</v>
      </c>
      <c r="D117" s="2">
        <v>4.2</v>
      </c>
      <c r="E117" s="2">
        <v>3.7</v>
      </c>
      <c r="F117" s="108">
        <f t="shared" si="5"/>
        <v>40908</v>
      </c>
      <c r="G117" s="35">
        <f t="shared" si="6"/>
        <v>4.8000000000000001E-2</v>
      </c>
      <c r="H117" s="35">
        <f t="shared" si="7"/>
        <v>4.2000000000000003E-2</v>
      </c>
      <c r="I117" s="35">
        <f t="shared" si="8"/>
        <v>3.7000000000000005E-2</v>
      </c>
    </row>
    <row r="118" spans="2:9" x14ac:dyDescent="0.25">
      <c r="B118" s="174">
        <v>40877</v>
      </c>
      <c r="C118" s="2">
        <v>5.2</v>
      </c>
      <c r="D118" s="2">
        <v>4.8</v>
      </c>
      <c r="E118" s="2">
        <v>4.0999999999999996</v>
      </c>
      <c r="F118" s="108">
        <f t="shared" si="5"/>
        <v>40877</v>
      </c>
      <c r="G118" s="35">
        <f t="shared" si="6"/>
        <v>5.2000000000000005E-2</v>
      </c>
      <c r="H118" s="35">
        <f t="shared" si="7"/>
        <v>4.8000000000000001E-2</v>
      </c>
      <c r="I118" s="35">
        <f t="shared" si="8"/>
        <v>4.0999999999999995E-2</v>
      </c>
    </row>
    <row r="119" spans="2:9" x14ac:dyDescent="0.25">
      <c r="B119" s="174">
        <v>40847</v>
      </c>
      <c r="C119" s="2">
        <v>5.4</v>
      </c>
      <c r="D119" s="2">
        <v>5</v>
      </c>
      <c r="E119" s="2">
        <v>4.3</v>
      </c>
      <c r="F119" s="108">
        <f t="shared" si="5"/>
        <v>40847</v>
      </c>
      <c r="G119" s="35">
        <f t="shared" si="6"/>
        <v>5.4000000000000006E-2</v>
      </c>
      <c r="H119" s="35">
        <f t="shared" si="7"/>
        <v>0.05</v>
      </c>
      <c r="I119" s="35">
        <f t="shared" si="8"/>
        <v>4.2999999999999997E-2</v>
      </c>
    </row>
    <row r="120" spans="2:9" x14ac:dyDescent="0.25">
      <c r="B120" s="174">
        <v>40816</v>
      </c>
      <c r="C120" s="2">
        <v>5.6</v>
      </c>
      <c r="D120" s="2">
        <v>5.2</v>
      </c>
      <c r="E120" s="2">
        <v>4.5</v>
      </c>
      <c r="F120" s="108">
        <f t="shared" si="5"/>
        <v>40816</v>
      </c>
      <c r="G120" s="35">
        <f t="shared" si="6"/>
        <v>5.5999999999999994E-2</v>
      </c>
      <c r="H120" s="35">
        <f t="shared" si="7"/>
        <v>5.2000000000000005E-2</v>
      </c>
      <c r="I120" s="35">
        <f t="shared" si="8"/>
        <v>4.4999999999999998E-2</v>
      </c>
    </row>
    <row r="121" spans="2:9" x14ac:dyDescent="0.25">
      <c r="B121" s="174">
        <v>40786</v>
      </c>
      <c r="C121" s="2">
        <v>5.2</v>
      </c>
      <c r="D121" s="2">
        <v>4.5</v>
      </c>
      <c r="E121" s="2">
        <v>3.9</v>
      </c>
      <c r="F121" s="108">
        <f t="shared" si="5"/>
        <v>40786</v>
      </c>
      <c r="G121" s="35">
        <f t="shared" si="6"/>
        <v>5.2000000000000005E-2</v>
      </c>
      <c r="H121" s="35">
        <f t="shared" si="7"/>
        <v>4.4999999999999998E-2</v>
      </c>
      <c r="I121" s="35">
        <f t="shared" si="8"/>
        <v>3.9E-2</v>
      </c>
    </row>
    <row r="122" spans="2:9" x14ac:dyDescent="0.25">
      <c r="B122" s="174">
        <v>40755</v>
      </c>
      <c r="C122" s="2">
        <v>5</v>
      </c>
      <c r="D122" s="2">
        <v>4.4000000000000004</v>
      </c>
      <c r="E122" s="2">
        <v>3.8</v>
      </c>
      <c r="F122" s="108">
        <f t="shared" si="5"/>
        <v>40755</v>
      </c>
      <c r="G122" s="35">
        <f t="shared" si="6"/>
        <v>0.05</v>
      </c>
      <c r="H122" s="35">
        <f t="shared" si="7"/>
        <v>4.4000000000000004E-2</v>
      </c>
      <c r="I122" s="35">
        <f t="shared" si="8"/>
        <v>3.7999999999999999E-2</v>
      </c>
    </row>
    <row r="123" spans="2:9" x14ac:dyDescent="0.25">
      <c r="B123" s="174">
        <v>40724</v>
      </c>
      <c r="C123" s="2">
        <v>5</v>
      </c>
      <c r="D123" s="2">
        <v>4.2</v>
      </c>
      <c r="E123" s="2">
        <v>3.6</v>
      </c>
      <c r="F123" s="108">
        <f t="shared" si="5"/>
        <v>40724</v>
      </c>
      <c r="G123" s="35">
        <f t="shared" si="6"/>
        <v>0.05</v>
      </c>
      <c r="H123" s="35">
        <f t="shared" si="7"/>
        <v>4.2000000000000003E-2</v>
      </c>
      <c r="I123" s="35">
        <f t="shared" si="8"/>
        <v>3.6000000000000004E-2</v>
      </c>
    </row>
    <row r="124" spans="2:9" x14ac:dyDescent="0.25">
      <c r="B124" s="174">
        <v>40694</v>
      </c>
      <c r="C124" s="2">
        <v>5.2</v>
      </c>
      <c r="D124" s="2">
        <v>4.5</v>
      </c>
      <c r="E124" s="2">
        <v>3.8</v>
      </c>
      <c r="F124" s="108">
        <f t="shared" si="5"/>
        <v>40694</v>
      </c>
      <c r="G124" s="35">
        <f t="shared" si="6"/>
        <v>5.2000000000000005E-2</v>
      </c>
      <c r="H124" s="35">
        <f t="shared" si="7"/>
        <v>4.4999999999999998E-2</v>
      </c>
      <c r="I124" s="35">
        <f t="shared" si="8"/>
        <v>3.7999999999999999E-2</v>
      </c>
    </row>
    <row r="125" spans="2:9" x14ac:dyDescent="0.25">
      <c r="B125" s="174">
        <v>40663</v>
      </c>
      <c r="C125" s="2">
        <v>5.2</v>
      </c>
      <c r="D125" s="2">
        <v>4.5</v>
      </c>
      <c r="E125" s="2">
        <v>3.8</v>
      </c>
      <c r="F125" s="108">
        <f t="shared" si="5"/>
        <v>40663</v>
      </c>
      <c r="G125" s="35">
        <f t="shared" si="6"/>
        <v>5.2000000000000005E-2</v>
      </c>
      <c r="H125" s="35">
        <f t="shared" si="7"/>
        <v>4.4999999999999998E-2</v>
      </c>
      <c r="I125" s="35">
        <f t="shared" si="8"/>
        <v>3.7999999999999999E-2</v>
      </c>
    </row>
    <row r="126" spans="2:9" x14ac:dyDescent="0.25">
      <c r="B126" s="174">
        <v>40633</v>
      </c>
      <c r="C126" s="2">
        <v>5.3</v>
      </c>
      <c r="D126" s="2">
        <v>4</v>
      </c>
      <c r="E126" s="2">
        <v>3.5</v>
      </c>
      <c r="F126" s="108">
        <f t="shared" si="5"/>
        <v>40633</v>
      </c>
      <c r="G126" s="35">
        <f t="shared" si="6"/>
        <v>5.2999999999999999E-2</v>
      </c>
      <c r="H126" s="35">
        <f t="shared" si="7"/>
        <v>0.04</v>
      </c>
      <c r="I126" s="35">
        <f t="shared" si="8"/>
        <v>3.5000000000000003E-2</v>
      </c>
    </row>
    <row r="127" spans="2:9" x14ac:dyDescent="0.25">
      <c r="B127" s="174">
        <v>40602</v>
      </c>
      <c r="C127" s="2">
        <v>5.5</v>
      </c>
      <c r="D127" s="2">
        <v>4.4000000000000004</v>
      </c>
      <c r="E127" s="2">
        <v>3.7</v>
      </c>
      <c r="F127" s="108">
        <f t="shared" si="5"/>
        <v>40602</v>
      </c>
      <c r="G127" s="35">
        <f t="shared" si="6"/>
        <v>5.5E-2</v>
      </c>
      <c r="H127" s="35">
        <f t="shared" si="7"/>
        <v>4.4000000000000004E-2</v>
      </c>
      <c r="I127" s="35">
        <f t="shared" si="8"/>
        <v>3.7000000000000005E-2</v>
      </c>
    </row>
    <row r="128" spans="2:9" x14ac:dyDescent="0.25">
      <c r="B128" s="174">
        <v>40574</v>
      </c>
      <c r="C128" s="2">
        <v>5.0999999999999996</v>
      </c>
      <c r="D128" s="2">
        <v>4</v>
      </c>
      <c r="E128" s="2">
        <v>3.4</v>
      </c>
      <c r="F128" s="108">
        <f t="shared" si="5"/>
        <v>40574</v>
      </c>
      <c r="G128" s="35">
        <f t="shared" si="6"/>
        <v>5.0999999999999997E-2</v>
      </c>
      <c r="H128" s="35">
        <f t="shared" si="7"/>
        <v>0.04</v>
      </c>
      <c r="I128" s="35">
        <f t="shared" si="8"/>
        <v>3.4000000000000002E-2</v>
      </c>
    </row>
    <row r="129" spans="2:9" x14ac:dyDescent="0.25">
      <c r="B129" s="174">
        <v>40543</v>
      </c>
      <c r="C129" s="2">
        <v>4.8</v>
      </c>
      <c r="D129" s="2">
        <v>3.7</v>
      </c>
      <c r="E129" s="2">
        <v>3.1</v>
      </c>
      <c r="F129" s="108">
        <f t="shared" si="5"/>
        <v>40543</v>
      </c>
      <c r="G129" s="35">
        <f t="shared" si="6"/>
        <v>4.8000000000000001E-2</v>
      </c>
      <c r="H129" s="35">
        <f t="shared" si="7"/>
        <v>3.7000000000000005E-2</v>
      </c>
      <c r="I129" s="35">
        <f t="shared" si="8"/>
        <v>3.1E-2</v>
      </c>
    </row>
    <row r="130" spans="2:9" x14ac:dyDescent="0.25">
      <c r="B130" s="174">
        <v>40512</v>
      </c>
      <c r="C130" s="2">
        <v>4.7</v>
      </c>
      <c r="D130" s="2">
        <v>3.3</v>
      </c>
      <c r="E130" s="2">
        <v>2.6</v>
      </c>
      <c r="F130" s="108">
        <f t="shared" si="5"/>
        <v>40512</v>
      </c>
      <c r="G130" s="35">
        <f t="shared" si="6"/>
        <v>4.7E-2</v>
      </c>
      <c r="H130" s="35">
        <f t="shared" si="7"/>
        <v>3.3000000000000002E-2</v>
      </c>
      <c r="I130" s="35">
        <f t="shared" si="8"/>
        <v>2.6000000000000002E-2</v>
      </c>
    </row>
    <row r="131" spans="2:9" x14ac:dyDescent="0.25">
      <c r="B131" s="174">
        <v>40482</v>
      </c>
      <c r="C131" s="2">
        <v>4.5</v>
      </c>
      <c r="D131" s="2">
        <v>3.2</v>
      </c>
      <c r="E131" s="2">
        <v>2.5</v>
      </c>
      <c r="F131" s="108">
        <f t="shared" si="5"/>
        <v>40482</v>
      </c>
      <c r="G131" s="35">
        <f t="shared" si="6"/>
        <v>4.4999999999999998E-2</v>
      </c>
      <c r="H131" s="35">
        <f t="shared" si="7"/>
        <v>3.2000000000000001E-2</v>
      </c>
      <c r="I131" s="35">
        <f t="shared" si="8"/>
        <v>2.5000000000000001E-2</v>
      </c>
    </row>
    <row r="132" spans="2:9" x14ac:dyDescent="0.25">
      <c r="B132" s="174">
        <v>40451</v>
      </c>
      <c r="C132" s="2">
        <v>4.5999999999999996</v>
      </c>
      <c r="D132" s="2">
        <v>3.1</v>
      </c>
      <c r="E132" s="2">
        <v>2.4</v>
      </c>
      <c r="F132" s="108">
        <f t="shared" si="5"/>
        <v>40451</v>
      </c>
      <c r="G132" s="35">
        <f t="shared" si="6"/>
        <v>4.5999999999999999E-2</v>
      </c>
      <c r="H132" s="35">
        <f t="shared" si="7"/>
        <v>3.1E-2</v>
      </c>
      <c r="I132" s="35">
        <f t="shared" si="8"/>
        <v>2.4E-2</v>
      </c>
    </row>
    <row r="133" spans="2:9" x14ac:dyDescent="0.25">
      <c r="B133" s="174">
        <v>40421</v>
      </c>
      <c r="C133" s="2">
        <v>4.7</v>
      </c>
      <c r="D133" s="2">
        <v>3.1</v>
      </c>
      <c r="E133" s="2">
        <v>2.4</v>
      </c>
      <c r="F133" s="108">
        <f t="shared" si="5"/>
        <v>40421</v>
      </c>
      <c r="G133" s="35">
        <f t="shared" si="6"/>
        <v>4.7E-2</v>
      </c>
      <c r="H133" s="35">
        <f t="shared" si="7"/>
        <v>3.1E-2</v>
      </c>
      <c r="I133" s="35">
        <f t="shared" si="8"/>
        <v>2.4E-2</v>
      </c>
    </row>
    <row r="134" spans="2:9" x14ac:dyDescent="0.25">
      <c r="B134" s="174">
        <v>40390</v>
      </c>
      <c r="C134" s="2">
        <v>4.8</v>
      </c>
      <c r="D134" s="2">
        <v>3.1</v>
      </c>
      <c r="E134" s="2">
        <v>2.2999999999999998</v>
      </c>
      <c r="F134" s="108">
        <f t="shared" ref="F134:F197" si="9">B134</f>
        <v>40390</v>
      </c>
      <c r="G134" s="35">
        <f t="shared" ref="G134:G197" si="10">C134/100</f>
        <v>4.8000000000000001E-2</v>
      </c>
      <c r="H134" s="35">
        <f t="shared" ref="H134:H197" si="11">D134/100</f>
        <v>3.1E-2</v>
      </c>
      <c r="I134" s="35">
        <f t="shared" ref="I134:I197" si="12">E134/100</f>
        <v>2.3E-2</v>
      </c>
    </row>
    <row r="135" spans="2:9" x14ac:dyDescent="0.25">
      <c r="B135" s="174">
        <v>40359</v>
      </c>
      <c r="C135" s="2">
        <v>5</v>
      </c>
      <c r="D135" s="2">
        <v>3.2</v>
      </c>
      <c r="E135" s="2">
        <v>2.4</v>
      </c>
      <c r="F135" s="108">
        <f t="shared" si="9"/>
        <v>40359</v>
      </c>
      <c r="G135" s="35">
        <f t="shared" si="10"/>
        <v>0.05</v>
      </c>
      <c r="H135" s="35">
        <f t="shared" si="11"/>
        <v>3.2000000000000001E-2</v>
      </c>
      <c r="I135" s="35">
        <f t="shared" si="12"/>
        <v>2.4E-2</v>
      </c>
    </row>
    <row r="136" spans="2:9" x14ac:dyDescent="0.25">
      <c r="B136" s="174">
        <v>40329</v>
      </c>
      <c r="C136" s="2">
        <v>5.0999999999999996</v>
      </c>
      <c r="D136" s="2">
        <v>3.4</v>
      </c>
      <c r="E136" s="2">
        <v>2.5</v>
      </c>
      <c r="F136" s="108">
        <f t="shared" si="9"/>
        <v>40329</v>
      </c>
      <c r="G136" s="35">
        <f t="shared" si="10"/>
        <v>5.0999999999999997E-2</v>
      </c>
      <c r="H136" s="35">
        <f t="shared" si="11"/>
        <v>3.4000000000000002E-2</v>
      </c>
      <c r="I136" s="35">
        <f t="shared" si="12"/>
        <v>2.5000000000000001E-2</v>
      </c>
    </row>
    <row r="137" spans="2:9" x14ac:dyDescent="0.25">
      <c r="B137" s="174">
        <v>40298</v>
      </c>
      <c r="C137" s="2">
        <v>5.3</v>
      </c>
      <c r="D137" s="2">
        <v>3.7</v>
      </c>
      <c r="E137" s="2">
        <v>2.7</v>
      </c>
      <c r="F137" s="108">
        <f t="shared" si="9"/>
        <v>40298</v>
      </c>
      <c r="G137" s="35">
        <f t="shared" si="10"/>
        <v>5.2999999999999999E-2</v>
      </c>
      <c r="H137" s="35">
        <f t="shared" si="11"/>
        <v>3.7000000000000005E-2</v>
      </c>
      <c r="I137" s="35">
        <f t="shared" si="12"/>
        <v>2.7000000000000003E-2</v>
      </c>
    </row>
    <row r="138" spans="2:9" x14ac:dyDescent="0.25">
      <c r="B138" s="174">
        <v>40268</v>
      </c>
      <c r="C138" s="2">
        <v>4.4000000000000004</v>
      </c>
      <c r="D138" s="2">
        <v>3.4</v>
      </c>
      <c r="E138" s="2">
        <v>2.4</v>
      </c>
      <c r="F138" s="108">
        <f t="shared" si="9"/>
        <v>40268</v>
      </c>
      <c r="G138" s="35">
        <f t="shared" si="10"/>
        <v>4.4000000000000004E-2</v>
      </c>
      <c r="H138" s="35">
        <f t="shared" si="11"/>
        <v>3.4000000000000002E-2</v>
      </c>
      <c r="I138" s="35">
        <f t="shared" si="12"/>
        <v>2.4E-2</v>
      </c>
    </row>
    <row r="139" spans="2:9" x14ac:dyDescent="0.25">
      <c r="B139" s="174">
        <v>40237</v>
      </c>
      <c r="C139" s="2">
        <v>3.7</v>
      </c>
      <c r="D139" s="2">
        <v>3</v>
      </c>
      <c r="E139" s="2">
        <v>2.1</v>
      </c>
      <c r="F139" s="108">
        <f t="shared" si="9"/>
        <v>40237</v>
      </c>
      <c r="G139" s="35">
        <f t="shared" si="10"/>
        <v>3.7000000000000005E-2</v>
      </c>
      <c r="H139" s="35">
        <f t="shared" si="11"/>
        <v>0.03</v>
      </c>
      <c r="I139" s="35">
        <f t="shared" si="12"/>
        <v>2.1000000000000001E-2</v>
      </c>
    </row>
    <row r="140" spans="2:9" x14ac:dyDescent="0.25">
      <c r="B140" s="174">
        <v>40209</v>
      </c>
      <c r="C140" s="2">
        <v>3.7</v>
      </c>
      <c r="D140" s="2">
        <v>3.5</v>
      </c>
      <c r="E140" s="2">
        <v>2.6</v>
      </c>
      <c r="F140" s="108">
        <f t="shared" si="9"/>
        <v>40209</v>
      </c>
      <c r="G140" s="35">
        <f t="shared" si="10"/>
        <v>3.7000000000000005E-2</v>
      </c>
      <c r="H140" s="35">
        <f t="shared" si="11"/>
        <v>3.5000000000000003E-2</v>
      </c>
      <c r="I140" s="35">
        <f t="shared" si="12"/>
        <v>2.6000000000000002E-2</v>
      </c>
    </row>
    <row r="141" spans="2:9" x14ac:dyDescent="0.25">
      <c r="B141" s="174">
        <v>40178</v>
      </c>
      <c r="C141" s="2">
        <v>2.4</v>
      </c>
      <c r="D141" s="2">
        <v>2.9</v>
      </c>
      <c r="E141" s="2">
        <v>2.1</v>
      </c>
      <c r="F141" s="108">
        <f t="shared" si="9"/>
        <v>40178</v>
      </c>
      <c r="G141" s="35">
        <f t="shared" si="10"/>
        <v>2.4E-2</v>
      </c>
      <c r="H141" s="35">
        <f t="shared" si="11"/>
        <v>2.8999999999999998E-2</v>
      </c>
      <c r="I141" s="35">
        <f t="shared" si="12"/>
        <v>2.1000000000000001E-2</v>
      </c>
    </row>
    <row r="142" spans="2:9" x14ac:dyDescent="0.25">
      <c r="B142" s="174">
        <v>40147</v>
      </c>
      <c r="C142" s="2">
        <v>0.3</v>
      </c>
      <c r="D142" s="2">
        <v>1.9</v>
      </c>
      <c r="E142" s="2">
        <v>1.5</v>
      </c>
      <c r="F142" s="108">
        <f t="shared" si="9"/>
        <v>40147</v>
      </c>
      <c r="G142" s="35">
        <f t="shared" si="10"/>
        <v>3.0000000000000001E-3</v>
      </c>
      <c r="H142" s="35">
        <f t="shared" si="11"/>
        <v>1.9E-2</v>
      </c>
      <c r="I142" s="35">
        <f t="shared" si="12"/>
        <v>1.4999999999999999E-2</v>
      </c>
    </row>
    <row r="143" spans="2:9" x14ac:dyDescent="0.25">
      <c r="B143" s="174">
        <v>40117</v>
      </c>
      <c r="C143" s="2">
        <v>-0.8</v>
      </c>
      <c r="D143" s="2">
        <v>1.5</v>
      </c>
      <c r="E143" s="2">
        <v>1.2</v>
      </c>
      <c r="F143" s="108">
        <f t="shared" si="9"/>
        <v>40117</v>
      </c>
      <c r="G143" s="35">
        <f t="shared" si="10"/>
        <v>-8.0000000000000002E-3</v>
      </c>
      <c r="H143" s="35">
        <f t="shared" si="11"/>
        <v>1.4999999999999999E-2</v>
      </c>
      <c r="I143" s="35">
        <f t="shared" si="12"/>
        <v>1.2E-2</v>
      </c>
    </row>
    <row r="144" spans="2:9" x14ac:dyDescent="0.25">
      <c r="B144" s="174">
        <v>40086</v>
      </c>
      <c r="C144" s="2">
        <v>-1.4</v>
      </c>
      <c r="D144" s="2">
        <v>1.1000000000000001</v>
      </c>
      <c r="E144" s="2">
        <v>1</v>
      </c>
      <c r="F144" s="108">
        <f t="shared" si="9"/>
        <v>40086</v>
      </c>
      <c r="G144" s="35">
        <f t="shared" si="10"/>
        <v>-1.3999999999999999E-2</v>
      </c>
      <c r="H144" s="35">
        <f t="shared" si="11"/>
        <v>1.1000000000000001E-2</v>
      </c>
      <c r="I144" s="35">
        <f t="shared" si="12"/>
        <v>0.01</v>
      </c>
    </row>
    <row r="145" spans="2:9" x14ac:dyDescent="0.25">
      <c r="B145" s="174">
        <v>40056</v>
      </c>
      <c r="C145" s="2">
        <v>-1.3</v>
      </c>
      <c r="D145" s="2">
        <v>1.6</v>
      </c>
      <c r="E145" s="2">
        <v>1.4</v>
      </c>
      <c r="F145" s="108">
        <f t="shared" si="9"/>
        <v>40056</v>
      </c>
      <c r="G145" s="35">
        <f t="shared" si="10"/>
        <v>-1.3000000000000001E-2</v>
      </c>
      <c r="H145" s="35">
        <f t="shared" si="11"/>
        <v>1.6E-2</v>
      </c>
      <c r="I145" s="35">
        <f t="shared" si="12"/>
        <v>1.3999999999999999E-2</v>
      </c>
    </row>
    <row r="146" spans="2:9" x14ac:dyDescent="0.25">
      <c r="B146" s="174">
        <v>40025</v>
      </c>
      <c r="C146" s="2">
        <v>-1.4</v>
      </c>
      <c r="D146" s="2">
        <v>1.8</v>
      </c>
      <c r="E146" s="2">
        <v>1.6</v>
      </c>
      <c r="F146" s="108">
        <f t="shared" si="9"/>
        <v>40025</v>
      </c>
      <c r="G146" s="35">
        <f t="shared" si="10"/>
        <v>-1.3999999999999999E-2</v>
      </c>
      <c r="H146" s="35">
        <f t="shared" si="11"/>
        <v>1.8000000000000002E-2</v>
      </c>
      <c r="I146" s="35">
        <f t="shared" si="12"/>
        <v>1.6E-2</v>
      </c>
    </row>
    <row r="147" spans="2:9" x14ac:dyDescent="0.25">
      <c r="B147" s="174">
        <v>39994</v>
      </c>
      <c r="C147" s="2">
        <v>-1.6</v>
      </c>
      <c r="D147" s="2">
        <v>1.8</v>
      </c>
      <c r="E147" s="2">
        <v>1.7</v>
      </c>
      <c r="F147" s="108">
        <f t="shared" si="9"/>
        <v>39994</v>
      </c>
      <c r="G147" s="35">
        <f t="shared" si="10"/>
        <v>-1.6E-2</v>
      </c>
      <c r="H147" s="35">
        <f t="shared" si="11"/>
        <v>1.8000000000000002E-2</v>
      </c>
      <c r="I147" s="35">
        <f t="shared" si="12"/>
        <v>1.7000000000000001E-2</v>
      </c>
    </row>
    <row r="148" spans="2:9" x14ac:dyDescent="0.25">
      <c r="B148" s="174">
        <v>39964</v>
      </c>
      <c r="C148" s="2">
        <v>-1.1000000000000001</v>
      </c>
      <c r="D148" s="2">
        <v>2.2000000000000002</v>
      </c>
      <c r="E148" s="2">
        <v>2.1</v>
      </c>
      <c r="F148" s="108">
        <f t="shared" si="9"/>
        <v>39964</v>
      </c>
      <c r="G148" s="35">
        <f t="shared" si="10"/>
        <v>-1.1000000000000001E-2</v>
      </c>
      <c r="H148" s="35">
        <f t="shared" si="11"/>
        <v>2.2000000000000002E-2</v>
      </c>
      <c r="I148" s="35">
        <f t="shared" si="12"/>
        <v>2.1000000000000001E-2</v>
      </c>
    </row>
    <row r="149" spans="2:9" x14ac:dyDescent="0.25">
      <c r="B149" s="174">
        <v>39933</v>
      </c>
      <c r="C149" s="2">
        <v>-1.2</v>
      </c>
      <c r="D149" s="2">
        <v>2.2999999999999998</v>
      </c>
      <c r="E149" s="2">
        <v>2.2999999999999998</v>
      </c>
      <c r="F149" s="108">
        <f t="shared" si="9"/>
        <v>39933</v>
      </c>
      <c r="G149" s="35">
        <f t="shared" si="10"/>
        <v>-1.2E-2</v>
      </c>
      <c r="H149" s="35">
        <f t="shared" si="11"/>
        <v>2.3E-2</v>
      </c>
      <c r="I149" s="35">
        <f t="shared" si="12"/>
        <v>2.3E-2</v>
      </c>
    </row>
    <row r="150" spans="2:9" x14ac:dyDescent="0.25">
      <c r="B150" s="174">
        <v>39903</v>
      </c>
      <c r="C150" s="2">
        <v>-0.4</v>
      </c>
      <c r="D150" s="2">
        <v>2.9</v>
      </c>
      <c r="E150" s="2">
        <v>2.8</v>
      </c>
      <c r="F150" s="108">
        <f t="shared" si="9"/>
        <v>39903</v>
      </c>
      <c r="G150" s="35">
        <f t="shared" si="10"/>
        <v>-4.0000000000000001E-3</v>
      </c>
      <c r="H150" s="35">
        <f t="shared" si="11"/>
        <v>2.8999999999999998E-2</v>
      </c>
      <c r="I150" s="35">
        <f t="shared" si="12"/>
        <v>2.7999999999999997E-2</v>
      </c>
    </row>
    <row r="151" spans="2:9" x14ac:dyDescent="0.25">
      <c r="B151" s="174">
        <v>39872</v>
      </c>
      <c r="C151" s="2">
        <v>0</v>
      </c>
      <c r="D151" s="2">
        <v>3.2</v>
      </c>
      <c r="E151" s="2">
        <v>3.1</v>
      </c>
      <c r="F151" s="108">
        <f t="shared" si="9"/>
        <v>39872</v>
      </c>
      <c r="G151" s="35">
        <f t="shared" si="10"/>
        <v>0</v>
      </c>
      <c r="H151" s="35">
        <f t="shared" si="11"/>
        <v>3.2000000000000001E-2</v>
      </c>
      <c r="I151" s="35">
        <f t="shared" si="12"/>
        <v>3.1E-2</v>
      </c>
    </row>
    <row r="152" spans="2:9" x14ac:dyDescent="0.25">
      <c r="B152" s="174">
        <v>39844</v>
      </c>
      <c r="C152" s="2">
        <v>0.1</v>
      </c>
      <c r="D152" s="2">
        <v>3</v>
      </c>
      <c r="E152" s="2">
        <v>2.9</v>
      </c>
      <c r="F152" s="108">
        <f t="shared" si="9"/>
        <v>39844</v>
      </c>
      <c r="G152" s="35">
        <f t="shared" si="10"/>
        <v>1E-3</v>
      </c>
      <c r="H152" s="35">
        <f t="shared" si="11"/>
        <v>0.03</v>
      </c>
      <c r="I152" s="35">
        <f t="shared" si="12"/>
        <v>2.8999999999999998E-2</v>
      </c>
    </row>
    <row r="153" spans="2:9" x14ac:dyDescent="0.25">
      <c r="B153" s="174">
        <v>39813</v>
      </c>
      <c r="C153" s="2">
        <v>0.9</v>
      </c>
      <c r="D153" s="2">
        <v>3.1</v>
      </c>
      <c r="E153" s="2">
        <v>3</v>
      </c>
      <c r="F153" s="108">
        <f t="shared" si="9"/>
        <v>39813</v>
      </c>
      <c r="G153" s="35">
        <f t="shared" si="10"/>
        <v>9.0000000000000011E-3</v>
      </c>
      <c r="H153" s="35">
        <f t="shared" si="11"/>
        <v>3.1E-2</v>
      </c>
      <c r="I153" s="35">
        <f t="shared" si="12"/>
        <v>0.03</v>
      </c>
    </row>
    <row r="154" spans="2:9" x14ac:dyDescent="0.25">
      <c r="B154" s="174">
        <v>39782</v>
      </c>
      <c r="C154" s="2">
        <v>3</v>
      </c>
      <c r="D154" s="2">
        <v>4.0999999999999996</v>
      </c>
      <c r="E154" s="2">
        <v>3.8</v>
      </c>
      <c r="F154" s="108">
        <f t="shared" si="9"/>
        <v>39782</v>
      </c>
      <c r="G154" s="35">
        <f t="shared" si="10"/>
        <v>0.03</v>
      </c>
      <c r="H154" s="35">
        <f t="shared" si="11"/>
        <v>4.0999999999999995E-2</v>
      </c>
      <c r="I154" s="35">
        <f t="shared" si="12"/>
        <v>3.7999999999999999E-2</v>
      </c>
    </row>
    <row r="155" spans="2:9" x14ac:dyDescent="0.25">
      <c r="B155" s="174">
        <v>39752</v>
      </c>
      <c r="C155" s="2">
        <v>4.2</v>
      </c>
      <c r="D155" s="2">
        <v>4.5</v>
      </c>
      <c r="E155" s="2">
        <v>4.2</v>
      </c>
      <c r="F155" s="108">
        <f t="shared" si="9"/>
        <v>39752</v>
      </c>
      <c r="G155" s="35">
        <f t="shared" si="10"/>
        <v>4.2000000000000003E-2</v>
      </c>
      <c r="H155" s="35">
        <f t="shared" si="11"/>
        <v>4.4999999999999998E-2</v>
      </c>
      <c r="I155" s="35">
        <f t="shared" si="12"/>
        <v>4.2000000000000003E-2</v>
      </c>
    </row>
    <row r="156" spans="2:9" x14ac:dyDescent="0.25">
      <c r="B156" s="174">
        <v>39721</v>
      </c>
      <c r="C156" s="2">
        <v>5</v>
      </c>
      <c r="D156" s="2">
        <v>5.2</v>
      </c>
      <c r="E156" s="2">
        <v>4.8</v>
      </c>
      <c r="F156" s="108">
        <f t="shared" si="9"/>
        <v>39721</v>
      </c>
      <c r="G156" s="35">
        <f t="shared" si="10"/>
        <v>0.05</v>
      </c>
      <c r="H156" s="35">
        <f t="shared" si="11"/>
        <v>5.2000000000000005E-2</v>
      </c>
      <c r="I156" s="35">
        <f t="shared" si="12"/>
        <v>4.8000000000000001E-2</v>
      </c>
    </row>
    <row r="157" spans="2:9" x14ac:dyDescent="0.25">
      <c r="B157" s="174">
        <v>39691</v>
      </c>
      <c r="C157" s="2">
        <v>4.8</v>
      </c>
      <c r="D157" s="2">
        <v>4.7</v>
      </c>
      <c r="E157" s="2">
        <v>4.4000000000000004</v>
      </c>
      <c r="F157" s="108">
        <f t="shared" si="9"/>
        <v>39691</v>
      </c>
      <c r="G157" s="35">
        <f t="shared" si="10"/>
        <v>4.8000000000000001E-2</v>
      </c>
      <c r="H157" s="35">
        <f t="shared" si="11"/>
        <v>4.7E-2</v>
      </c>
      <c r="I157" s="35">
        <f t="shared" si="12"/>
        <v>4.4000000000000004E-2</v>
      </c>
    </row>
    <row r="158" spans="2:9" x14ac:dyDescent="0.25">
      <c r="B158" s="174">
        <v>39660</v>
      </c>
      <c r="C158" s="2">
        <v>5</v>
      </c>
      <c r="D158" s="2">
        <v>4.4000000000000004</v>
      </c>
      <c r="E158" s="2">
        <v>4.2</v>
      </c>
      <c r="F158" s="108">
        <f t="shared" si="9"/>
        <v>39660</v>
      </c>
      <c r="G158" s="35">
        <f t="shared" si="10"/>
        <v>0.05</v>
      </c>
      <c r="H158" s="35">
        <f t="shared" si="11"/>
        <v>4.4000000000000004E-2</v>
      </c>
      <c r="I158" s="35">
        <f t="shared" si="12"/>
        <v>4.2000000000000003E-2</v>
      </c>
    </row>
    <row r="159" spans="2:9" x14ac:dyDescent="0.25">
      <c r="B159" s="174">
        <v>39629</v>
      </c>
      <c r="C159" s="2">
        <v>4.5999999999999996</v>
      </c>
      <c r="D159" s="2">
        <v>3.8</v>
      </c>
      <c r="E159" s="2">
        <v>3.7</v>
      </c>
      <c r="F159" s="108">
        <f t="shared" si="9"/>
        <v>39629</v>
      </c>
      <c r="G159" s="35">
        <f t="shared" si="10"/>
        <v>4.5999999999999999E-2</v>
      </c>
      <c r="H159" s="35">
        <f t="shared" si="11"/>
        <v>3.7999999999999999E-2</v>
      </c>
      <c r="I159" s="35">
        <f t="shared" si="12"/>
        <v>3.7000000000000005E-2</v>
      </c>
    </row>
    <row r="160" spans="2:9" x14ac:dyDescent="0.25">
      <c r="B160" s="174">
        <v>39599</v>
      </c>
      <c r="C160" s="2">
        <v>4.3</v>
      </c>
      <c r="D160" s="2">
        <v>3.3</v>
      </c>
      <c r="E160" s="2">
        <v>3.3</v>
      </c>
      <c r="F160" s="108">
        <f t="shared" si="9"/>
        <v>39599</v>
      </c>
      <c r="G160" s="35">
        <f t="shared" si="10"/>
        <v>4.2999999999999997E-2</v>
      </c>
      <c r="H160" s="35">
        <f t="shared" si="11"/>
        <v>3.3000000000000002E-2</v>
      </c>
      <c r="I160" s="35">
        <f t="shared" si="12"/>
        <v>3.3000000000000002E-2</v>
      </c>
    </row>
    <row r="161" spans="2:9" x14ac:dyDescent="0.25">
      <c r="B161" s="174">
        <v>39568</v>
      </c>
      <c r="C161" s="2">
        <v>4.2</v>
      </c>
      <c r="D161" s="2">
        <v>3</v>
      </c>
      <c r="E161" s="2">
        <v>3</v>
      </c>
      <c r="F161" s="108">
        <f t="shared" si="9"/>
        <v>39568</v>
      </c>
      <c r="G161" s="35">
        <f t="shared" si="10"/>
        <v>4.2000000000000003E-2</v>
      </c>
      <c r="H161" s="35">
        <f t="shared" si="11"/>
        <v>0.03</v>
      </c>
      <c r="I161" s="35">
        <f t="shared" si="12"/>
        <v>0.03</v>
      </c>
    </row>
    <row r="162" spans="2:9" x14ac:dyDescent="0.25">
      <c r="B162" s="174">
        <v>39538</v>
      </c>
      <c r="C162" s="2">
        <v>3.8</v>
      </c>
      <c r="D162" s="2">
        <v>2.5</v>
      </c>
      <c r="E162" s="2">
        <v>2.6</v>
      </c>
      <c r="F162" s="108">
        <f t="shared" si="9"/>
        <v>39538</v>
      </c>
      <c r="G162" s="35">
        <f t="shared" si="10"/>
        <v>3.7999999999999999E-2</v>
      </c>
      <c r="H162" s="35">
        <f t="shared" si="11"/>
        <v>2.5000000000000001E-2</v>
      </c>
      <c r="I162" s="35">
        <f t="shared" si="12"/>
        <v>2.6000000000000002E-2</v>
      </c>
    </row>
    <row r="163" spans="2:9" x14ac:dyDescent="0.25">
      <c r="B163" s="174">
        <v>39507</v>
      </c>
      <c r="C163" s="2">
        <v>4.0999999999999996</v>
      </c>
      <c r="D163" s="2">
        <v>2.5</v>
      </c>
      <c r="E163" s="2">
        <v>2.6</v>
      </c>
      <c r="F163" s="108">
        <f t="shared" si="9"/>
        <v>39507</v>
      </c>
      <c r="G163" s="35">
        <f t="shared" si="10"/>
        <v>4.0999999999999995E-2</v>
      </c>
      <c r="H163" s="35">
        <f t="shared" si="11"/>
        <v>2.5000000000000001E-2</v>
      </c>
      <c r="I163" s="35">
        <f t="shared" si="12"/>
        <v>2.6000000000000002E-2</v>
      </c>
    </row>
    <row r="164" spans="2:9" x14ac:dyDescent="0.25">
      <c r="B164" s="174">
        <v>39478</v>
      </c>
      <c r="C164" s="2">
        <v>4.0999999999999996</v>
      </c>
      <c r="D164" s="2">
        <v>2.2000000000000002</v>
      </c>
      <c r="E164" s="2">
        <v>2.4</v>
      </c>
      <c r="F164" s="108">
        <f t="shared" si="9"/>
        <v>39478</v>
      </c>
      <c r="G164" s="35">
        <f t="shared" si="10"/>
        <v>4.0999999999999995E-2</v>
      </c>
      <c r="H164" s="35">
        <f t="shared" si="11"/>
        <v>2.2000000000000002E-2</v>
      </c>
      <c r="I164" s="35">
        <f t="shared" si="12"/>
        <v>2.4E-2</v>
      </c>
    </row>
    <row r="165" spans="2:9" x14ac:dyDescent="0.25">
      <c r="B165" s="174">
        <v>39447</v>
      </c>
      <c r="C165" s="2">
        <v>4</v>
      </c>
      <c r="D165" s="2">
        <v>2.1</v>
      </c>
      <c r="E165" s="2">
        <v>2.2999999999999998</v>
      </c>
      <c r="F165" s="108">
        <f t="shared" si="9"/>
        <v>39447</v>
      </c>
      <c r="G165" s="35">
        <f t="shared" si="10"/>
        <v>0.04</v>
      </c>
      <c r="H165" s="35">
        <f t="shared" si="11"/>
        <v>2.1000000000000001E-2</v>
      </c>
      <c r="I165" s="35">
        <f t="shared" si="12"/>
        <v>2.3E-2</v>
      </c>
    </row>
    <row r="166" spans="2:9" x14ac:dyDescent="0.25">
      <c r="B166" s="174">
        <v>39416</v>
      </c>
      <c r="C166" s="2">
        <v>4.3</v>
      </c>
      <c r="D166" s="2">
        <v>2.1</v>
      </c>
      <c r="E166" s="2">
        <v>2.2000000000000002</v>
      </c>
      <c r="F166" s="108">
        <f t="shared" si="9"/>
        <v>39416</v>
      </c>
      <c r="G166" s="35">
        <f t="shared" si="10"/>
        <v>4.2999999999999997E-2</v>
      </c>
      <c r="H166" s="35">
        <f t="shared" si="11"/>
        <v>2.1000000000000001E-2</v>
      </c>
      <c r="I166" s="35">
        <f t="shared" si="12"/>
        <v>2.2000000000000002E-2</v>
      </c>
    </row>
    <row r="167" spans="2:9" x14ac:dyDescent="0.25">
      <c r="B167" s="174">
        <v>39386</v>
      </c>
      <c r="C167" s="2">
        <v>4.2</v>
      </c>
      <c r="D167" s="2">
        <v>2.1</v>
      </c>
      <c r="E167" s="2">
        <v>2.2999999999999998</v>
      </c>
      <c r="F167" s="108">
        <f t="shared" si="9"/>
        <v>39386</v>
      </c>
      <c r="G167" s="35">
        <f t="shared" si="10"/>
        <v>4.2000000000000003E-2</v>
      </c>
      <c r="H167" s="35">
        <f t="shared" si="11"/>
        <v>2.1000000000000001E-2</v>
      </c>
      <c r="I167" s="35">
        <f t="shared" si="12"/>
        <v>2.3E-2</v>
      </c>
    </row>
    <row r="168" spans="2:9" x14ac:dyDescent="0.25">
      <c r="B168" s="174">
        <v>39355</v>
      </c>
      <c r="C168" s="2">
        <v>3.9</v>
      </c>
      <c r="D168" s="2">
        <v>1.8</v>
      </c>
      <c r="E168" s="2">
        <v>2</v>
      </c>
      <c r="F168" s="108">
        <f t="shared" si="9"/>
        <v>39355</v>
      </c>
      <c r="G168" s="35">
        <f t="shared" si="10"/>
        <v>3.9E-2</v>
      </c>
      <c r="H168" s="35">
        <f t="shared" si="11"/>
        <v>1.8000000000000002E-2</v>
      </c>
      <c r="I168" s="35">
        <f t="shared" si="12"/>
        <v>0.02</v>
      </c>
    </row>
    <row r="169" spans="2:9" x14ac:dyDescent="0.25">
      <c r="B169" s="174">
        <v>39325</v>
      </c>
      <c r="C169" s="2">
        <v>4.0999999999999996</v>
      </c>
      <c r="D169" s="2">
        <v>1.8</v>
      </c>
      <c r="E169" s="2">
        <v>2</v>
      </c>
      <c r="F169" s="108">
        <f t="shared" si="9"/>
        <v>39325</v>
      </c>
      <c r="G169" s="35">
        <f t="shared" si="10"/>
        <v>4.0999999999999995E-2</v>
      </c>
      <c r="H169" s="35">
        <f t="shared" si="11"/>
        <v>1.8000000000000002E-2</v>
      </c>
      <c r="I169" s="35">
        <f t="shared" si="12"/>
        <v>0.02</v>
      </c>
    </row>
    <row r="170" spans="2:9" x14ac:dyDescent="0.25">
      <c r="B170" s="174">
        <v>39294</v>
      </c>
      <c r="C170" s="2">
        <v>3.8</v>
      </c>
      <c r="D170" s="2">
        <v>1.9</v>
      </c>
      <c r="E170" s="2">
        <v>2</v>
      </c>
      <c r="F170" s="108">
        <f t="shared" si="9"/>
        <v>39294</v>
      </c>
      <c r="G170" s="35">
        <f t="shared" si="10"/>
        <v>3.7999999999999999E-2</v>
      </c>
      <c r="H170" s="35">
        <f t="shared" si="11"/>
        <v>1.9E-2</v>
      </c>
      <c r="I170" s="35">
        <f t="shared" si="12"/>
        <v>0.02</v>
      </c>
    </row>
    <row r="171" spans="2:9" x14ac:dyDescent="0.25">
      <c r="B171" s="174">
        <v>39263</v>
      </c>
      <c r="C171" s="2">
        <v>4.4000000000000004</v>
      </c>
      <c r="D171" s="2">
        <v>2.4</v>
      </c>
      <c r="E171" s="2">
        <v>2.5</v>
      </c>
      <c r="F171" s="108">
        <f t="shared" si="9"/>
        <v>39263</v>
      </c>
      <c r="G171" s="35">
        <f t="shared" si="10"/>
        <v>4.4000000000000004E-2</v>
      </c>
      <c r="H171" s="35">
        <f t="shared" si="11"/>
        <v>2.4E-2</v>
      </c>
      <c r="I171" s="35">
        <f t="shared" si="12"/>
        <v>2.5000000000000001E-2</v>
      </c>
    </row>
    <row r="172" spans="2:9" x14ac:dyDescent="0.25">
      <c r="B172" s="174">
        <v>39233</v>
      </c>
      <c r="C172" s="2">
        <v>4.3</v>
      </c>
      <c r="D172" s="2">
        <v>2.5</v>
      </c>
      <c r="E172" s="2">
        <v>2.5</v>
      </c>
      <c r="F172" s="108">
        <f t="shared" si="9"/>
        <v>39233</v>
      </c>
      <c r="G172" s="35">
        <f t="shared" si="10"/>
        <v>4.2999999999999997E-2</v>
      </c>
      <c r="H172" s="35">
        <f t="shared" si="11"/>
        <v>2.5000000000000001E-2</v>
      </c>
      <c r="I172" s="35">
        <f t="shared" si="12"/>
        <v>2.5000000000000001E-2</v>
      </c>
    </row>
    <row r="173" spans="2:9" x14ac:dyDescent="0.25">
      <c r="B173" s="174">
        <v>39202</v>
      </c>
      <c r="C173" s="2">
        <v>4.5</v>
      </c>
      <c r="D173" s="2">
        <v>2.8</v>
      </c>
      <c r="E173" s="2">
        <v>2.7</v>
      </c>
      <c r="F173" s="108">
        <f t="shared" si="9"/>
        <v>39202</v>
      </c>
      <c r="G173" s="35">
        <f t="shared" si="10"/>
        <v>4.4999999999999998E-2</v>
      </c>
      <c r="H173" s="35">
        <f t="shared" si="11"/>
        <v>2.7999999999999997E-2</v>
      </c>
      <c r="I173" s="35">
        <f t="shared" si="12"/>
        <v>2.7000000000000003E-2</v>
      </c>
    </row>
    <row r="174" spans="2:9" x14ac:dyDescent="0.25">
      <c r="B174" s="174">
        <v>39172</v>
      </c>
      <c r="C174" s="2">
        <v>4.8</v>
      </c>
      <c r="D174" s="2">
        <v>3.1</v>
      </c>
      <c r="E174" s="2">
        <v>2.9</v>
      </c>
      <c r="F174" s="108">
        <f t="shared" si="9"/>
        <v>39172</v>
      </c>
      <c r="G174" s="35">
        <f t="shared" si="10"/>
        <v>4.8000000000000001E-2</v>
      </c>
      <c r="H174" s="35">
        <f t="shared" si="11"/>
        <v>3.1E-2</v>
      </c>
      <c r="I174" s="35">
        <f t="shared" si="12"/>
        <v>2.8999999999999998E-2</v>
      </c>
    </row>
    <row r="175" spans="2:9" x14ac:dyDescent="0.25">
      <c r="B175" s="174">
        <v>39141</v>
      </c>
      <c r="C175" s="2">
        <v>4.5999999999999996</v>
      </c>
      <c r="D175" s="2">
        <v>2.8</v>
      </c>
      <c r="E175" s="2">
        <v>2.7</v>
      </c>
      <c r="F175" s="108">
        <f t="shared" si="9"/>
        <v>39141</v>
      </c>
      <c r="G175" s="35">
        <f t="shared" si="10"/>
        <v>4.5999999999999999E-2</v>
      </c>
      <c r="H175" s="35">
        <f t="shared" si="11"/>
        <v>2.7999999999999997E-2</v>
      </c>
      <c r="I175" s="35">
        <f t="shared" si="12"/>
        <v>2.7000000000000003E-2</v>
      </c>
    </row>
    <row r="176" spans="2:9" x14ac:dyDescent="0.25">
      <c r="B176" s="174">
        <v>39113</v>
      </c>
      <c r="C176" s="2">
        <v>4.2</v>
      </c>
      <c r="D176" s="2">
        <v>2.7</v>
      </c>
      <c r="E176" s="2">
        <v>2.7</v>
      </c>
      <c r="F176" s="108">
        <f t="shared" si="9"/>
        <v>39113</v>
      </c>
      <c r="G176" s="35">
        <f t="shared" si="10"/>
        <v>4.2000000000000003E-2</v>
      </c>
      <c r="H176" s="35">
        <f t="shared" si="11"/>
        <v>2.7000000000000003E-2</v>
      </c>
      <c r="I176" s="35">
        <f t="shared" si="12"/>
        <v>2.7000000000000003E-2</v>
      </c>
    </row>
    <row r="177" spans="2:9" x14ac:dyDescent="0.25">
      <c r="B177" s="174">
        <v>39082</v>
      </c>
      <c r="C177" s="2">
        <v>4.4000000000000004</v>
      </c>
      <c r="D177" s="2">
        <v>3</v>
      </c>
      <c r="E177" s="2">
        <v>2.9</v>
      </c>
      <c r="F177" s="108">
        <f t="shared" si="9"/>
        <v>39082</v>
      </c>
      <c r="G177" s="35">
        <f t="shared" si="10"/>
        <v>4.4000000000000004E-2</v>
      </c>
      <c r="H177" s="35">
        <f t="shared" si="11"/>
        <v>0.03</v>
      </c>
      <c r="I177" s="35">
        <f t="shared" si="12"/>
        <v>2.8999999999999998E-2</v>
      </c>
    </row>
    <row r="178" spans="2:9" x14ac:dyDescent="0.25">
      <c r="B178" s="174">
        <v>39051</v>
      </c>
      <c r="C178" s="2">
        <v>3.9</v>
      </c>
      <c r="D178" s="2">
        <v>2.7</v>
      </c>
      <c r="E178" s="2">
        <v>2.8</v>
      </c>
      <c r="F178" s="108">
        <f t="shared" si="9"/>
        <v>39051</v>
      </c>
      <c r="G178" s="35">
        <f t="shared" si="10"/>
        <v>3.9E-2</v>
      </c>
      <c r="H178" s="35">
        <f t="shared" si="11"/>
        <v>2.7000000000000003E-2</v>
      </c>
      <c r="I178" s="35">
        <f t="shared" si="12"/>
        <v>2.7999999999999997E-2</v>
      </c>
    </row>
    <row r="179" spans="2:9" x14ac:dyDescent="0.25">
      <c r="B179" s="174">
        <v>39021</v>
      </c>
      <c r="C179" s="2">
        <v>3.7</v>
      </c>
      <c r="D179" s="2">
        <v>2.4</v>
      </c>
      <c r="E179" s="2">
        <v>2.5</v>
      </c>
      <c r="F179" s="108">
        <f t="shared" si="9"/>
        <v>39021</v>
      </c>
      <c r="G179" s="35">
        <f t="shared" si="10"/>
        <v>3.7000000000000005E-2</v>
      </c>
      <c r="H179" s="35">
        <f t="shared" si="11"/>
        <v>2.4E-2</v>
      </c>
      <c r="I179" s="35">
        <f t="shared" si="12"/>
        <v>2.5000000000000001E-2</v>
      </c>
    </row>
    <row r="180" spans="2:9" x14ac:dyDescent="0.25">
      <c r="B180" s="174">
        <v>38990</v>
      </c>
      <c r="C180" s="2">
        <v>3.6</v>
      </c>
      <c r="D180" s="2">
        <v>2.4</v>
      </c>
      <c r="E180" s="2">
        <v>2.5</v>
      </c>
      <c r="F180" s="108">
        <f t="shared" si="9"/>
        <v>38990</v>
      </c>
      <c r="G180" s="35">
        <f t="shared" si="10"/>
        <v>3.6000000000000004E-2</v>
      </c>
      <c r="H180" s="35">
        <f t="shared" si="11"/>
        <v>2.4E-2</v>
      </c>
      <c r="I180" s="35">
        <f t="shared" si="12"/>
        <v>2.5000000000000001E-2</v>
      </c>
    </row>
    <row r="181" spans="2:9" x14ac:dyDescent="0.25">
      <c r="B181" s="174">
        <v>38960</v>
      </c>
      <c r="C181" s="2">
        <v>3.4</v>
      </c>
      <c r="D181" s="2">
        <v>2.5</v>
      </c>
      <c r="E181" s="2">
        <v>2.6</v>
      </c>
      <c r="F181" s="108">
        <f t="shared" si="9"/>
        <v>38960</v>
      </c>
      <c r="G181" s="35">
        <f t="shared" si="10"/>
        <v>3.4000000000000002E-2</v>
      </c>
      <c r="H181" s="35">
        <f t="shared" si="11"/>
        <v>2.5000000000000001E-2</v>
      </c>
      <c r="I181" s="35">
        <f t="shared" si="12"/>
        <v>2.6000000000000002E-2</v>
      </c>
    </row>
    <row r="182" spans="2:9" x14ac:dyDescent="0.25">
      <c r="B182" s="174">
        <v>38929</v>
      </c>
      <c r="C182" s="2">
        <v>3.3</v>
      </c>
      <c r="D182" s="2">
        <v>2.4</v>
      </c>
      <c r="E182" s="2">
        <v>2.5</v>
      </c>
      <c r="F182" s="108">
        <f t="shared" si="9"/>
        <v>38929</v>
      </c>
      <c r="G182" s="35">
        <f t="shared" si="10"/>
        <v>3.3000000000000002E-2</v>
      </c>
      <c r="H182" s="35">
        <f t="shared" si="11"/>
        <v>2.4E-2</v>
      </c>
      <c r="I182" s="35">
        <f t="shared" si="12"/>
        <v>2.5000000000000001E-2</v>
      </c>
    </row>
    <row r="183" spans="2:9" x14ac:dyDescent="0.25">
      <c r="B183" s="174">
        <v>38898</v>
      </c>
      <c r="C183" s="2">
        <v>3.3</v>
      </c>
      <c r="D183" s="2">
        <v>2.5</v>
      </c>
      <c r="E183" s="2">
        <v>2.6</v>
      </c>
      <c r="F183" s="108">
        <f t="shared" si="9"/>
        <v>38898</v>
      </c>
      <c r="G183" s="35">
        <f t="shared" si="10"/>
        <v>3.3000000000000002E-2</v>
      </c>
      <c r="H183" s="35">
        <f t="shared" si="11"/>
        <v>2.5000000000000001E-2</v>
      </c>
      <c r="I183" s="35">
        <f t="shared" si="12"/>
        <v>2.6000000000000002E-2</v>
      </c>
    </row>
    <row r="184" spans="2:9" x14ac:dyDescent="0.25">
      <c r="B184" s="174">
        <v>38868</v>
      </c>
      <c r="C184" s="2">
        <v>3</v>
      </c>
      <c r="D184" s="2">
        <v>2.2000000000000002</v>
      </c>
      <c r="E184" s="2">
        <v>2.4</v>
      </c>
      <c r="F184" s="108">
        <f t="shared" si="9"/>
        <v>38868</v>
      </c>
      <c r="G184" s="35">
        <f t="shared" si="10"/>
        <v>0.03</v>
      </c>
      <c r="H184" s="35">
        <f t="shared" si="11"/>
        <v>2.2000000000000002E-2</v>
      </c>
      <c r="I184" s="35">
        <f t="shared" si="12"/>
        <v>2.4E-2</v>
      </c>
    </row>
    <row r="185" spans="2:9" x14ac:dyDescent="0.25">
      <c r="B185" s="174">
        <v>38837</v>
      </c>
      <c r="C185" s="2">
        <v>2.6</v>
      </c>
      <c r="D185" s="2">
        <v>2</v>
      </c>
      <c r="E185" s="2">
        <v>2.2000000000000002</v>
      </c>
      <c r="F185" s="108">
        <f t="shared" si="9"/>
        <v>38837</v>
      </c>
      <c r="G185" s="35">
        <f t="shared" si="10"/>
        <v>2.6000000000000002E-2</v>
      </c>
      <c r="H185" s="35">
        <f t="shared" si="11"/>
        <v>0.02</v>
      </c>
      <c r="I185" s="35">
        <f t="shared" si="12"/>
        <v>2.2000000000000002E-2</v>
      </c>
    </row>
    <row r="186" spans="2:9" x14ac:dyDescent="0.25">
      <c r="B186" s="174">
        <v>38807</v>
      </c>
      <c r="C186" s="2">
        <v>2.4</v>
      </c>
      <c r="D186" s="2">
        <v>1.8</v>
      </c>
      <c r="E186" s="2">
        <v>2</v>
      </c>
      <c r="F186" s="108">
        <f t="shared" si="9"/>
        <v>38807</v>
      </c>
      <c r="G186" s="35">
        <f t="shared" si="10"/>
        <v>2.4E-2</v>
      </c>
      <c r="H186" s="35">
        <f t="shared" si="11"/>
        <v>1.8000000000000002E-2</v>
      </c>
      <c r="I186" s="35">
        <f t="shared" si="12"/>
        <v>0.02</v>
      </c>
    </row>
    <row r="187" spans="2:9" x14ac:dyDescent="0.25">
      <c r="B187" s="174">
        <v>38776</v>
      </c>
      <c r="C187" s="2">
        <v>2.4</v>
      </c>
      <c r="D187" s="2">
        <v>2</v>
      </c>
      <c r="E187" s="2">
        <v>2.2000000000000002</v>
      </c>
      <c r="F187" s="108">
        <f t="shared" si="9"/>
        <v>38776</v>
      </c>
      <c r="G187" s="35">
        <f t="shared" si="10"/>
        <v>2.4E-2</v>
      </c>
      <c r="H187" s="35">
        <f t="shared" si="11"/>
        <v>0.02</v>
      </c>
      <c r="I187" s="35">
        <f t="shared" si="12"/>
        <v>2.2000000000000002E-2</v>
      </c>
    </row>
    <row r="188" spans="2:9" x14ac:dyDescent="0.25">
      <c r="B188" s="174">
        <v>38748</v>
      </c>
      <c r="C188" s="2">
        <v>2.4</v>
      </c>
      <c r="D188" s="2">
        <v>1.9</v>
      </c>
      <c r="E188" s="2">
        <v>2.2000000000000002</v>
      </c>
      <c r="F188" s="108">
        <f t="shared" si="9"/>
        <v>38748</v>
      </c>
      <c r="G188" s="35">
        <f t="shared" si="10"/>
        <v>2.4E-2</v>
      </c>
      <c r="H188" s="35">
        <f t="shared" si="11"/>
        <v>1.9E-2</v>
      </c>
      <c r="I188" s="35">
        <f t="shared" si="12"/>
        <v>2.2000000000000002E-2</v>
      </c>
    </row>
    <row r="189" spans="2:9" x14ac:dyDescent="0.25">
      <c r="B189" s="174">
        <v>38717</v>
      </c>
      <c r="C189" s="2">
        <v>2.2000000000000002</v>
      </c>
      <c r="D189" s="2">
        <v>1.9</v>
      </c>
      <c r="E189" s="2">
        <v>2.1</v>
      </c>
      <c r="F189" s="108">
        <f t="shared" si="9"/>
        <v>38717</v>
      </c>
      <c r="G189" s="35">
        <f t="shared" si="10"/>
        <v>2.2000000000000002E-2</v>
      </c>
      <c r="H189" s="35">
        <f t="shared" si="11"/>
        <v>1.9E-2</v>
      </c>
      <c r="I189" s="35">
        <f t="shared" si="12"/>
        <v>2.1000000000000001E-2</v>
      </c>
    </row>
    <row r="190" spans="2:9" x14ac:dyDescent="0.25">
      <c r="B190" s="174">
        <v>38686</v>
      </c>
      <c r="C190" s="2">
        <v>2.4</v>
      </c>
      <c r="D190" s="2">
        <v>2.1</v>
      </c>
      <c r="E190" s="2">
        <v>2.2000000000000002</v>
      </c>
      <c r="F190" s="108">
        <f t="shared" si="9"/>
        <v>38686</v>
      </c>
      <c r="G190" s="35">
        <f t="shared" si="10"/>
        <v>2.4E-2</v>
      </c>
      <c r="H190" s="35">
        <f t="shared" si="11"/>
        <v>2.1000000000000001E-2</v>
      </c>
      <c r="I190" s="35">
        <f t="shared" si="12"/>
        <v>2.2000000000000002E-2</v>
      </c>
    </row>
    <row r="191" spans="2:9" x14ac:dyDescent="0.25">
      <c r="B191" s="174">
        <v>38656</v>
      </c>
      <c r="C191" s="2">
        <v>2.5</v>
      </c>
      <c r="D191" s="2">
        <v>2.2999999999999998</v>
      </c>
      <c r="E191" s="2">
        <v>2.4</v>
      </c>
      <c r="F191" s="108">
        <f t="shared" si="9"/>
        <v>38656</v>
      </c>
      <c r="G191" s="35">
        <f t="shared" si="10"/>
        <v>2.5000000000000001E-2</v>
      </c>
      <c r="H191" s="35">
        <f t="shared" si="11"/>
        <v>2.3E-2</v>
      </c>
      <c r="I191" s="35">
        <f t="shared" si="12"/>
        <v>2.4E-2</v>
      </c>
    </row>
    <row r="192" spans="2:9" x14ac:dyDescent="0.25">
      <c r="B192" s="174">
        <v>38625</v>
      </c>
      <c r="C192" s="2">
        <v>2.7</v>
      </c>
      <c r="D192" s="2">
        <v>2.5</v>
      </c>
      <c r="E192" s="2">
        <v>2.5</v>
      </c>
      <c r="F192" s="108">
        <f t="shared" si="9"/>
        <v>38625</v>
      </c>
      <c r="G192" s="35">
        <f t="shared" si="10"/>
        <v>2.7000000000000003E-2</v>
      </c>
      <c r="H192" s="35">
        <f t="shared" si="11"/>
        <v>2.5000000000000001E-2</v>
      </c>
      <c r="I192" s="35">
        <f t="shared" si="12"/>
        <v>2.5000000000000001E-2</v>
      </c>
    </row>
    <row r="193" spans="2:9" x14ac:dyDescent="0.25">
      <c r="B193" s="174">
        <v>38595</v>
      </c>
      <c r="C193" s="2">
        <v>2.8</v>
      </c>
      <c r="D193" s="2">
        <v>2.4</v>
      </c>
      <c r="E193" s="2">
        <v>2.4</v>
      </c>
      <c r="F193" s="108">
        <f t="shared" si="9"/>
        <v>38595</v>
      </c>
      <c r="G193" s="35">
        <f t="shared" si="10"/>
        <v>2.7999999999999997E-2</v>
      </c>
      <c r="H193" s="35">
        <f t="shared" si="11"/>
        <v>2.4E-2</v>
      </c>
      <c r="I193" s="35">
        <f t="shared" si="12"/>
        <v>2.4E-2</v>
      </c>
    </row>
    <row r="194" spans="2:9" x14ac:dyDescent="0.25">
      <c r="B194" s="174">
        <v>38564</v>
      </c>
      <c r="C194" s="2">
        <v>2.9</v>
      </c>
      <c r="D194" s="2">
        <v>2.2999999999999998</v>
      </c>
      <c r="E194" s="2">
        <v>2.2999999999999998</v>
      </c>
      <c r="F194" s="108">
        <f t="shared" si="9"/>
        <v>38564</v>
      </c>
      <c r="G194" s="35">
        <f t="shared" si="10"/>
        <v>2.8999999999999998E-2</v>
      </c>
      <c r="H194" s="35">
        <f t="shared" si="11"/>
        <v>2.3E-2</v>
      </c>
      <c r="I194" s="35">
        <f t="shared" si="12"/>
        <v>2.3E-2</v>
      </c>
    </row>
    <row r="195" spans="2:9" x14ac:dyDescent="0.25">
      <c r="B195" s="174">
        <v>38533</v>
      </c>
      <c r="C195" s="2">
        <v>2.9</v>
      </c>
      <c r="D195" s="2">
        <v>2</v>
      </c>
      <c r="E195" s="2">
        <v>2</v>
      </c>
      <c r="F195" s="108">
        <f t="shared" si="9"/>
        <v>38533</v>
      </c>
      <c r="G195" s="35">
        <f t="shared" si="10"/>
        <v>2.8999999999999998E-2</v>
      </c>
      <c r="H195" s="35">
        <f t="shared" si="11"/>
        <v>0.02</v>
      </c>
      <c r="I195" s="35">
        <f t="shared" si="12"/>
        <v>0.02</v>
      </c>
    </row>
    <row r="196" spans="2:9" x14ac:dyDescent="0.25">
      <c r="B196" s="174">
        <v>38503</v>
      </c>
      <c r="C196" s="2">
        <v>2.9</v>
      </c>
      <c r="D196" s="2">
        <v>1.9</v>
      </c>
      <c r="E196" s="2">
        <v>1.9</v>
      </c>
      <c r="F196" s="108">
        <f t="shared" si="9"/>
        <v>38503</v>
      </c>
      <c r="G196" s="35">
        <f t="shared" si="10"/>
        <v>2.8999999999999998E-2</v>
      </c>
      <c r="H196" s="35">
        <f t="shared" si="11"/>
        <v>1.9E-2</v>
      </c>
      <c r="I196" s="35">
        <f t="shared" si="12"/>
        <v>1.9E-2</v>
      </c>
    </row>
    <row r="197" spans="2:9" x14ac:dyDescent="0.25">
      <c r="B197" s="174">
        <v>38472</v>
      </c>
      <c r="C197" s="2">
        <v>3.2</v>
      </c>
      <c r="D197" s="2">
        <v>1.9</v>
      </c>
      <c r="E197" s="2">
        <v>1.9</v>
      </c>
      <c r="F197" s="108">
        <f t="shared" si="9"/>
        <v>38472</v>
      </c>
      <c r="G197" s="35">
        <f t="shared" si="10"/>
        <v>3.2000000000000001E-2</v>
      </c>
      <c r="H197" s="35">
        <f t="shared" si="11"/>
        <v>1.9E-2</v>
      </c>
      <c r="I197" s="35">
        <f t="shared" si="12"/>
        <v>1.9E-2</v>
      </c>
    </row>
    <row r="198" spans="2:9" x14ac:dyDescent="0.25">
      <c r="B198" s="174">
        <v>38442</v>
      </c>
      <c r="C198" s="2">
        <v>3.2</v>
      </c>
      <c r="D198" s="2">
        <v>1.9</v>
      </c>
      <c r="E198" s="2">
        <v>2</v>
      </c>
      <c r="F198" s="108">
        <f t="shared" ref="F198:F244" si="13">B198</f>
        <v>38442</v>
      </c>
      <c r="G198" s="35">
        <f t="shared" ref="G198:G244" si="14">C198/100</f>
        <v>3.2000000000000001E-2</v>
      </c>
      <c r="H198" s="35">
        <f t="shared" ref="H198:H244" si="15">D198/100</f>
        <v>1.9E-2</v>
      </c>
      <c r="I198" s="35">
        <f t="shared" ref="I198:I244" si="16">E198/100</f>
        <v>0.02</v>
      </c>
    </row>
    <row r="199" spans="2:9" x14ac:dyDescent="0.25">
      <c r="B199" s="174">
        <v>38411</v>
      </c>
      <c r="C199" s="2">
        <v>3.2</v>
      </c>
      <c r="D199" s="2">
        <v>1.7</v>
      </c>
      <c r="E199" s="2">
        <v>1.7</v>
      </c>
      <c r="F199" s="108">
        <f t="shared" si="13"/>
        <v>38411</v>
      </c>
      <c r="G199" s="35">
        <f t="shared" si="14"/>
        <v>3.2000000000000001E-2</v>
      </c>
      <c r="H199" s="35">
        <f t="shared" si="15"/>
        <v>1.7000000000000001E-2</v>
      </c>
      <c r="I199" s="35">
        <f t="shared" si="16"/>
        <v>1.7000000000000001E-2</v>
      </c>
    </row>
    <row r="200" spans="2:9" x14ac:dyDescent="0.25">
      <c r="B200" s="174">
        <v>38383</v>
      </c>
      <c r="C200" s="2">
        <v>3.2</v>
      </c>
      <c r="D200" s="2">
        <v>1.6</v>
      </c>
      <c r="E200" s="2">
        <v>1.7</v>
      </c>
      <c r="F200" s="108">
        <f t="shared" si="13"/>
        <v>38383</v>
      </c>
      <c r="G200" s="35">
        <f t="shared" si="14"/>
        <v>3.2000000000000001E-2</v>
      </c>
      <c r="H200" s="35">
        <f t="shared" si="15"/>
        <v>1.6E-2</v>
      </c>
      <c r="I200" s="35">
        <f t="shared" si="16"/>
        <v>1.7000000000000001E-2</v>
      </c>
    </row>
    <row r="201" spans="2:9" x14ac:dyDescent="0.25">
      <c r="B201" s="174">
        <v>38352</v>
      </c>
      <c r="C201" s="2">
        <v>3.5</v>
      </c>
      <c r="D201" s="2">
        <v>1.7</v>
      </c>
      <c r="E201" s="2">
        <v>1.8</v>
      </c>
      <c r="F201" s="108">
        <f t="shared" si="13"/>
        <v>38352</v>
      </c>
      <c r="G201" s="35">
        <f t="shared" si="14"/>
        <v>3.5000000000000003E-2</v>
      </c>
      <c r="H201" s="35">
        <f t="shared" si="15"/>
        <v>1.7000000000000001E-2</v>
      </c>
      <c r="I201" s="35">
        <f t="shared" si="16"/>
        <v>1.8000000000000002E-2</v>
      </c>
    </row>
    <row r="202" spans="2:9" x14ac:dyDescent="0.25">
      <c r="B202" s="174">
        <v>38321</v>
      </c>
      <c r="C202" s="2">
        <v>3.4</v>
      </c>
      <c r="D202" s="2">
        <v>1.5</v>
      </c>
      <c r="E202" s="2">
        <v>1.5</v>
      </c>
      <c r="F202" s="108">
        <f t="shared" si="13"/>
        <v>38321</v>
      </c>
      <c r="G202" s="35">
        <f t="shared" si="14"/>
        <v>3.4000000000000002E-2</v>
      </c>
      <c r="H202" s="35">
        <f t="shared" si="15"/>
        <v>1.4999999999999999E-2</v>
      </c>
      <c r="I202" s="35">
        <f t="shared" si="16"/>
        <v>1.4999999999999999E-2</v>
      </c>
    </row>
    <row r="203" spans="2:9" x14ac:dyDescent="0.25">
      <c r="B203" s="174">
        <v>38291</v>
      </c>
      <c r="C203" s="2">
        <v>3.3</v>
      </c>
      <c r="D203" s="2">
        <v>1.2</v>
      </c>
      <c r="E203" s="2">
        <v>1.3</v>
      </c>
      <c r="F203" s="108">
        <f t="shared" si="13"/>
        <v>38291</v>
      </c>
      <c r="G203" s="35">
        <f t="shared" si="14"/>
        <v>3.3000000000000002E-2</v>
      </c>
      <c r="H203" s="35">
        <f t="shared" si="15"/>
        <v>1.2E-2</v>
      </c>
      <c r="I203" s="35">
        <f t="shared" si="16"/>
        <v>1.3000000000000001E-2</v>
      </c>
    </row>
    <row r="204" spans="2:9" x14ac:dyDescent="0.25">
      <c r="B204" s="174">
        <v>38260</v>
      </c>
      <c r="C204" s="2">
        <v>3.1</v>
      </c>
      <c r="D204" s="2">
        <v>1.1000000000000001</v>
      </c>
      <c r="E204" s="2">
        <v>1.2</v>
      </c>
      <c r="F204" s="108">
        <f t="shared" si="13"/>
        <v>38260</v>
      </c>
      <c r="G204" s="35">
        <f t="shared" si="14"/>
        <v>3.1E-2</v>
      </c>
      <c r="H204" s="35">
        <f t="shared" si="15"/>
        <v>1.1000000000000001E-2</v>
      </c>
      <c r="I204" s="35">
        <f t="shared" si="16"/>
        <v>1.2E-2</v>
      </c>
    </row>
    <row r="205" spans="2:9" x14ac:dyDescent="0.25">
      <c r="B205" s="174">
        <v>38230</v>
      </c>
      <c r="C205" s="2">
        <v>3.2</v>
      </c>
      <c r="D205" s="2">
        <v>1.3</v>
      </c>
      <c r="E205" s="2">
        <v>1.4</v>
      </c>
      <c r="F205" s="108">
        <f t="shared" si="13"/>
        <v>38230</v>
      </c>
      <c r="G205" s="35">
        <f t="shared" si="14"/>
        <v>3.2000000000000001E-2</v>
      </c>
      <c r="H205" s="35">
        <f t="shared" si="15"/>
        <v>1.3000000000000001E-2</v>
      </c>
      <c r="I205" s="35">
        <f t="shared" si="16"/>
        <v>1.3999999999999999E-2</v>
      </c>
    </row>
    <row r="206" spans="2:9" x14ac:dyDescent="0.25">
      <c r="B206" s="174">
        <v>38199</v>
      </c>
      <c r="C206" s="2">
        <v>3</v>
      </c>
      <c r="D206" s="2">
        <v>1.4</v>
      </c>
      <c r="E206" s="2">
        <v>1.4</v>
      </c>
      <c r="F206" s="108">
        <f t="shared" si="13"/>
        <v>38199</v>
      </c>
      <c r="G206" s="35">
        <f t="shared" si="14"/>
        <v>0.03</v>
      </c>
      <c r="H206" s="35">
        <f t="shared" si="15"/>
        <v>1.3999999999999999E-2</v>
      </c>
      <c r="I206" s="35">
        <f t="shared" si="16"/>
        <v>1.3999999999999999E-2</v>
      </c>
    </row>
    <row r="207" spans="2:9" x14ac:dyDescent="0.25">
      <c r="B207" s="174">
        <v>38168</v>
      </c>
      <c r="C207" s="2">
        <v>3</v>
      </c>
      <c r="D207" s="2">
        <v>1.6</v>
      </c>
      <c r="E207" s="2">
        <v>1.5</v>
      </c>
      <c r="F207" s="108">
        <f t="shared" si="13"/>
        <v>38168</v>
      </c>
      <c r="G207" s="35">
        <f t="shared" si="14"/>
        <v>0.03</v>
      </c>
      <c r="H207" s="35">
        <f t="shared" si="15"/>
        <v>1.6E-2</v>
      </c>
      <c r="I207" s="35">
        <f t="shared" si="16"/>
        <v>1.4999999999999999E-2</v>
      </c>
    </row>
    <row r="208" spans="2:9" x14ac:dyDescent="0.25">
      <c r="B208" s="174">
        <v>38138</v>
      </c>
      <c r="C208" s="2">
        <v>2.8</v>
      </c>
      <c r="D208" s="2">
        <v>1.5</v>
      </c>
      <c r="E208" s="2">
        <v>1.4</v>
      </c>
      <c r="F208" s="108">
        <f t="shared" si="13"/>
        <v>38138</v>
      </c>
      <c r="G208" s="35">
        <f t="shared" si="14"/>
        <v>2.7999999999999997E-2</v>
      </c>
      <c r="H208" s="35">
        <f t="shared" si="15"/>
        <v>1.4999999999999999E-2</v>
      </c>
      <c r="I208" s="35">
        <f t="shared" si="16"/>
        <v>1.3999999999999999E-2</v>
      </c>
    </row>
    <row r="209" spans="2:9" x14ac:dyDescent="0.25">
      <c r="B209" s="174">
        <v>38107</v>
      </c>
      <c r="C209" s="2">
        <v>2.5</v>
      </c>
      <c r="D209" s="2">
        <v>1.1000000000000001</v>
      </c>
      <c r="E209" s="2">
        <v>1.1000000000000001</v>
      </c>
      <c r="F209" s="108">
        <f t="shared" si="13"/>
        <v>38107</v>
      </c>
      <c r="G209" s="35">
        <f t="shared" si="14"/>
        <v>2.5000000000000001E-2</v>
      </c>
      <c r="H209" s="35">
        <f t="shared" si="15"/>
        <v>1.1000000000000001E-2</v>
      </c>
      <c r="I209" s="35">
        <f t="shared" si="16"/>
        <v>1.1000000000000001E-2</v>
      </c>
    </row>
    <row r="210" spans="2:9" x14ac:dyDescent="0.25">
      <c r="B210" s="174">
        <v>38077</v>
      </c>
      <c r="C210" s="2">
        <v>2.6</v>
      </c>
      <c r="D210" s="2">
        <v>1.1000000000000001</v>
      </c>
      <c r="E210" s="2">
        <v>1.2</v>
      </c>
      <c r="F210" s="108">
        <f t="shared" si="13"/>
        <v>38077</v>
      </c>
      <c r="G210" s="35">
        <f t="shared" si="14"/>
        <v>2.6000000000000002E-2</v>
      </c>
      <c r="H210" s="35">
        <f t="shared" si="15"/>
        <v>1.1000000000000001E-2</v>
      </c>
      <c r="I210" s="35">
        <f t="shared" si="16"/>
        <v>1.2E-2</v>
      </c>
    </row>
    <row r="211" spans="2:9" x14ac:dyDescent="0.25">
      <c r="B211" s="174">
        <v>38046</v>
      </c>
      <c r="C211" s="2">
        <v>2.5</v>
      </c>
      <c r="D211" s="2">
        <v>1.3</v>
      </c>
      <c r="E211" s="2">
        <v>1.4</v>
      </c>
      <c r="F211" s="108">
        <f t="shared" si="13"/>
        <v>38046</v>
      </c>
      <c r="G211" s="35">
        <f t="shared" si="14"/>
        <v>2.5000000000000001E-2</v>
      </c>
      <c r="H211" s="35">
        <f t="shared" si="15"/>
        <v>1.3000000000000001E-2</v>
      </c>
      <c r="I211" s="35">
        <f t="shared" si="16"/>
        <v>1.3999999999999999E-2</v>
      </c>
    </row>
    <row r="212" spans="2:9" x14ac:dyDescent="0.25">
      <c r="B212" s="174">
        <v>38017</v>
      </c>
      <c r="C212" s="2">
        <v>2.6</v>
      </c>
      <c r="D212" s="2">
        <v>1.4</v>
      </c>
      <c r="E212" s="2">
        <v>1.5</v>
      </c>
      <c r="F212" s="108">
        <f t="shared" si="13"/>
        <v>38017</v>
      </c>
      <c r="G212" s="35">
        <f t="shared" si="14"/>
        <v>2.6000000000000002E-2</v>
      </c>
      <c r="H212" s="35">
        <f t="shared" si="15"/>
        <v>1.3999999999999999E-2</v>
      </c>
      <c r="I212" s="35">
        <f t="shared" si="16"/>
        <v>1.4999999999999999E-2</v>
      </c>
    </row>
    <row r="213" spans="2:9" x14ac:dyDescent="0.25">
      <c r="B213" s="174">
        <v>37986</v>
      </c>
      <c r="C213" s="2">
        <v>2.8</v>
      </c>
      <c r="D213" s="2">
        <v>1.3</v>
      </c>
      <c r="E213" s="2">
        <v>1.3</v>
      </c>
      <c r="F213" s="108">
        <f t="shared" si="13"/>
        <v>37986</v>
      </c>
      <c r="G213" s="35">
        <f t="shared" si="14"/>
        <v>2.7999999999999997E-2</v>
      </c>
      <c r="H213" s="35">
        <f t="shared" si="15"/>
        <v>1.3000000000000001E-2</v>
      </c>
      <c r="I213" s="35">
        <f t="shared" si="16"/>
        <v>1.3000000000000001E-2</v>
      </c>
    </row>
    <row r="214" spans="2:9" x14ac:dyDescent="0.25">
      <c r="B214" s="174">
        <v>37955</v>
      </c>
      <c r="C214" s="2">
        <v>2.5</v>
      </c>
      <c r="D214" s="2">
        <v>1.3</v>
      </c>
      <c r="E214" s="2">
        <v>1.3</v>
      </c>
      <c r="F214" s="108">
        <f t="shared" si="13"/>
        <v>37955</v>
      </c>
      <c r="G214" s="35">
        <f t="shared" si="14"/>
        <v>2.5000000000000001E-2</v>
      </c>
      <c r="H214" s="35">
        <f t="shared" si="15"/>
        <v>1.3000000000000001E-2</v>
      </c>
      <c r="I214" s="35">
        <f t="shared" si="16"/>
        <v>1.3000000000000001E-2</v>
      </c>
    </row>
    <row r="215" spans="2:9" x14ac:dyDescent="0.25">
      <c r="B215" s="174">
        <v>37925</v>
      </c>
      <c r="C215" s="2">
        <v>2.6</v>
      </c>
      <c r="D215" s="2">
        <v>1.4</v>
      </c>
      <c r="E215" s="2">
        <v>1.3</v>
      </c>
      <c r="F215" s="108">
        <f t="shared" si="13"/>
        <v>37925</v>
      </c>
      <c r="G215" s="35">
        <f t="shared" si="14"/>
        <v>2.6000000000000002E-2</v>
      </c>
      <c r="H215" s="35">
        <f t="shared" si="15"/>
        <v>1.3999999999999999E-2</v>
      </c>
      <c r="I215" s="35">
        <f t="shared" si="16"/>
        <v>1.3000000000000001E-2</v>
      </c>
    </row>
    <row r="216" spans="2:9" x14ac:dyDescent="0.25">
      <c r="B216" s="174">
        <v>37894</v>
      </c>
      <c r="C216" s="2">
        <v>2.8</v>
      </c>
      <c r="D216" s="2">
        <v>1.4</v>
      </c>
      <c r="E216" s="2">
        <v>1.3</v>
      </c>
      <c r="F216" s="108">
        <f t="shared" si="13"/>
        <v>37894</v>
      </c>
      <c r="G216" s="35">
        <f t="shared" si="14"/>
        <v>2.7999999999999997E-2</v>
      </c>
      <c r="H216" s="35">
        <f t="shared" si="15"/>
        <v>1.3999999999999999E-2</v>
      </c>
      <c r="I216" s="35">
        <f t="shared" si="16"/>
        <v>1.3000000000000001E-2</v>
      </c>
    </row>
    <row r="217" spans="2:9" x14ac:dyDescent="0.25">
      <c r="B217" s="174">
        <v>37864</v>
      </c>
      <c r="C217" s="2">
        <v>2.9</v>
      </c>
      <c r="D217" s="2">
        <v>1.4</v>
      </c>
      <c r="E217" s="2">
        <v>1.4</v>
      </c>
      <c r="F217" s="108">
        <f t="shared" si="13"/>
        <v>37864</v>
      </c>
      <c r="G217" s="35">
        <f t="shared" si="14"/>
        <v>2.8999999999999998E-2</v>
      </c>
      <c r="H217" s="35">
        <f t="shared" si="15"/>
        <v>1.3999999999999999E-2</v>
      </c>
      <c r="I217" s="35">
        <f t="shared" si="16"/>
        <v>1.3999999999999999E-2</v>
      </c>
    </row>
    <row r="218" spans="2:9" x14ac:dyDescent="0.25">
      <c r="B218" s="174">
        <v>37833</v>
      </c>
      <c r="C218" s="2">
        <v>3.1</v>
      </c>
      <c r="D218" s="2">
        <v>1.3</v>
      </c>
      <c r="E218" s="2">
        <v>1.3</v>
      </c>
      <c r="F218" s="108">
        <f t="shared" si="13"/>
        <v>37833</v>
      </c>
      <c r="G218" s="35">
        <f t="shared" si="14"/>
        <v>3.1E-2</v>
      </c>
      <c r="H218" s="35">
        <f t="shared" si="15"/>
        <v>1.3000000000000001E-2</v>
      </c>
      <c r="I218" s="35">
        <f t="shared" si="16"/>
        <v>1.3000000000000001E-2</v>
      </c>
    </row>
    <row r="219" spans="2:9" x14ac:dyDescent="0.25">
      <c r="B219" s="174">
        <v>37802</v>
      </c>
      <c r="C219" s="2">
        <v>2.9</v>
      </c>
      <c r="D219" s="2">
        <v>1.1000000000000001</v>
      </c>
      <c r="E219" s="2">
        <v>1.2</v>
      </c>
      <c r="F219" s="108">
        <f t="shared" si="13"/>
        <v>37802</v>
      </c>
      <c r="G219" s="35">
        <f t="shared" si="14"/>
        <v>2.8999999999999998E-2</v>
      </c>
      <c r="H219" s="35">
        <f t="shared" si="15"/>
        <v>1.1000000000000001E-2</v>
      </c>
      <c r="I219" s="35">
        <f t="shared" si="16"/>
        <v>1.2E-2</v>
      </c>
    </row>
    <row r="220" spans="2:9" x14ac:dyDescent="0.25">
      <c r="B220" s="174">
        <v>37772</v>
      </c>
      <c r="C220" s="2">
        <v>3</v>
      </c>
      <c r="D220" s="2">
        <v>1.3</v>
      </c>
      <c r="E220" s="2">
        <v>1.3</v>
      </c>
      <c r="F220" s="108">
        <f t="shared" si="13"/>
        <v>37772</v>
      </c>
      <c r="G220" s="35">
        <f t="shared" si="14"/>
        <v>0.03</v>
      </c>
      <c r="H220" s="35">
        <f t="shared" si="15"/>
        <v>1.3000000000000001E-2</v>
      </c>
      <c r="I220" s="35">
        <f t="shared" si="16"/>
        <v>1.3000000000000001E-2</v>
      </c>
    </row>
    <row r="221" spans="2:9" x14ac:dyDescent="0.25">
      <c r="B221" s="174">
        <v>37741</v>
      </c>
      <c r="C221" s="2">
        <v>3.1</v>
      </c>
      <c r="D221" s="2">
        <v>1.4</v>
      </c>
      <c r="E221" s="2">
        <v>1.5</v>
      </c>
      <c r="F221" s="108">
        <f t="shared" si="13"/>
        <v>37741</v>
      </c>
      <c r="G221" s="35">
        <f t="shared" si="14"/>
        <v>3.1E-2</v>
      </c>
      <c r="H221" s="35">
        <f t="shared" si="15"/>
        <v>1.3999999999999999E-2</v>
      </c>
      <c r="I221" s="35">
        <f t="shared" si="16"/>
        <v>1.4999999999999999E-2</v>
      </c>
    </row>
    <row r="222" spans="2:9" x14ac:dyDescent="0.25">
      <c r="B222" s="174">
        <v>37711</v>
      </c>
      <c r="C222" s="2">
        <v>3.1</v>
      </c>
      <c r="D222" s="2">
        <v>1.5</v>
      </c>
      <c r="E222" s="2">
        <v>1.6</v>
      </c>
      <c r="F222" s="108">
        <f t="shared" si="13"/>
        <v>37711</v>
      </c>
      <c r="G222" s="35">
        <f t="shared" si="14"/>
        <v>3.1E-2</v>
      </c>
      <c r="H222" s="35">
        <f t="shared" si="15"/>
        <v>1.4999999999999999E-2</v>
      </c>
      <c r="I222" s="35">
        <f t="shared" si="16"/>
        <v>1.6E-2</v>
      </c>
    </row>
    <row r="223" spans="2:9" x14ac:dyDescent="0.25">
      <c r="B223" s="174">
        <v>37680</v>
      </c>
      <c r="C223" s="2">
        <v>3.2</v>
      </c>
      <c r="D223" s="2">
        <v>1.6</v>
      </c>
      <c r="E223" s="2">
        <v>1.6</v>
      </c>
      <c r="F223" s="108">
        <f t="shared" si="13"/>
        <v>37680</v>
      </c>
      <c r="G223" s="35">
        <f t="shared" si="14"/>
        <v>3.2000000000000001E-2</v>
      </c>
      <c r="H223" s="35">
        <f t="shared" si="15"/>
        <v>1.6E-2</v>
      </c>
      <c r="I223" s="35">
        <f t="shared" si="16"/>
        <v>1.6E-2</v>
      </c>
    </row>
    <row r="224" spans="2:9" x14ac:dyDescent="0.25">
      <c r="B224" s="174">
        <v>37652</v>
      </c>
      <c r="C224" s="2">
        <v>2.9</v>
      </c>
      <c r="D224" s="2">
        <v>1.3</v>
      </c>
      <c r="E224" s="2">
        <v>1.4</v>
      </c>
      <c r="F224" s="108">
        <f t="shared" si="13"/>
        <v>37652</v>
      </c>
      <c r="G224" s="35">
        <f t="shared" si="14"/>
        <v>2.8999999999999998E-2</v>
      </c>
      <c r="H224" s="35">
        <f t="shared" si="15"/>
        <v>1.3000000000000001E-2</v>
      </c>
      <c r="I224" s="35">
        <f t="shared" si="16"/>
        <v>1.3999999999999999E-2</v>
      </c>
    </row>
    <row r="225" spans="2:9" x14ac:dyDescent="0.25">
      <c r="B225" s="174">
        <v>37621</v>
      </c>
      <c r="C225" s="2">
        <v>2.9</v>
      </c>
      <c r="D225" s="2">
        <v>1.7</v>
      </c>
      <c r="E225" s="2">
        <v>1.7</v>
      </c>
      <c r="F225" s="108">
        <f t="shared" si="13"/>
        <v>37621</v>
      </c>
      <c r="G225" s="35">
        <f t="shared" si="14"/>
        <v>2.8999999999999998E-2</v>
      </c>
      <c r="H225" s="35">
        <f t="shared" si="15"/>
        <v>1.7000000000000001E-2</v>
      </c>
      <c r="I225" s="35">
        <f t="shared" si="16"/>
        <v>1.7000000000000001E-2</v>
      </c>
    </row>
    <row r="226" spans="2:9" x14ac:dyDescent="0.25">
      <c r="B226" s="174">
        <v>37590</v>
      </c>
      <c r="C226" s="2">
        <v>2.6</v>
      </c>
      <c r="D226" s="2">
        <v>1.5</v>
      </c>
      <c r="E226" s="2">
        <v>1.6</v>
      </c>
      <c r="F226" s="108">
        <f t="shared" si="13"/>
        <v>37590</v>
      </c>
      <c r="G226" s="35">
        <f t="shared" si="14"/>
        <v>2.6000000000000002E-2</v>
      </c>
      <c r="H226" s="35">
        <f t="shared" si="15"/>
        <v>1.4999999999999999E-2</v>
      </c>
      <c r="I226" s="35">
        <f t="shared" si="16"/>
        <v>1.6E-2</v>
      </c>
    </row>
    <row r="227" spans="2:9" x14ac:dyDescent="0.25">
      <c r="B227" s="174">
        <v>37560</v>
      </c>
      <c r="C227" s="2">
        <v>2.1</v>
      </c>
      <c r="D227" s="2">
        <v>1.4</v>
      </c>
      <c r="E227" s="2">
        <v>1.5</v>
      </c>
      <c r="F227" s="108">
        <f t="shared" si="13"/>
        <v>37560</v>
      </c>
      <c r="G227" s="35">
        <f t="shared" si="14"/>
        <v>2.1000000000000001E-2</v>
      </c>
      <c r="H227" s="35">
        <f t="shared" si="15"/>
        <v>1.3999999999999999E-2</v>
      </c>
      <c r="I227" s="35">
        <f t="shared" si="16"/>
        <v>1.4999999999999999E-2</v>
      </c>
    </row>
    <row r="228" spans="2:9" x14ac:dyDescent="0.25">
      <c r="B228" s="174">
        <v>37529</v>
      </c>
      <c r="C228" s="2">
        <v>1.7</v>
      </c>
      <c r="D228" s="2">
        <v>1</v>
      </c>
      <c r="E228" s="2">
        <v>1.2</v>
      </c>
      <c r="F228" s="108">
        <f t="shared" si="13"/>
        <v>37529</v>
      </c>
      <c r="G228" s="35">
        <f t="shared" si="14"/>
        <v>1.7000000000000001E-2</v>
      </c>
      <c r="H228" s="35">
        <f t="shared" si="15"/>
        <v>0.01</v>
      </c>
      <c r="I228" s="35">
        <f t="shared" si="16"/>
        <v>1.2E-2</v>
      </c>
    </row>
    <row r="229" spans="2:9" x14ac:dyDescent="0.25">
      <c r="B229" s="174">
        <v>37499</v>
      </c>
      <c r="C229" s="2">
        <v>1.4</v>
      </c>
      <c r="D229" s="2">
        <v>1</v>
      </c>
      <c r="E229" s="2">
        <v>1.3</v>
      </c>
      <c r="F229" s="108">
        <f t="shared" si="13"/>
        <v>37499</v>
      </c>
      <c r="G229" s="35">
        <f t="shared" si="14"/>
        <v>1.3999999999999999E-2</v>
      </c>
      <c r="H229" s="35">
        <f t="shared" si="15"/>
        <v>0.01</v>
      </c>
      <c r="I229" s="35">
        <f t="shared" si="16"/>
        <v>1.3000000000000001E-2</v>
      </c>
    </row>
    <row r="230" spans="2:9" x14ac:dyDescent="0.25">
      <c r="B230" s="174">
        <v>37468</v>
      </c>
      <c r="C230" s="2">
        <v>1.5</v>
      </c>
      <c r="D230" s="2">
        <v>1.1000000000000001</v>
      </c>
      <c r="E230" s="2">
        <v>1.4</v>
      </c>
      <c r="F230" s="108">
        <f t="shared" si="13"/>
        <v>37468</v>
      </c>
      <c r="G230" s="35">
        <f t="shared" si="14"/>
        <v>1.4999999999999999E-2</v>
      </c>
      <c r="H230" s="35">
        <f t="shared" si="15"/>
        <v>1.1000000000000001E-2</v>
      </c>
      <c r="I230" s="35">
        <f t="shared" si="16"/>
        <v>1.3999999999999999E-2</v>
      </c>
    </row>
    <row r="231" spans="2:9" x14ac:dyDescent="0.25">
      <c r="B231" s="174">
        <v>37437</v>
      </c>
      <c r="C231" s="2">
        <v>1</v>
      </c>
      <c r="D231" s="2">
        <v>0.6</v>
      </c>
      <c r="E231" s="2">
        <v>1.1000000000000001</v>
      </c>
      <c r="F231" s="108">
        <f t="shared" si="13"/>
        <v>37437</v>
      </c>
      <c r="G231" s="35">
        <f t="shared" si="14"/>
        <v>0.01</v>
      </c>
      <c r="H231" s="35">
        <f t="shared" si="15"/>
        <v>6.0000000000000001E-3</v>
      </c>
      <c r="I231" s="35">
        <f t="shared" si="16"/>
        <v>1.1000000000000001E-2</v>
      </c>
    </row>
    <row r="232" spans="2:9" x14ac:dyDescent="0.25">
      <c r="B232" s="174">
        <v>37407</v>
      </c>
      <c r="C232" s="2">
        <v>1.1000000000000001</v>
      </c>
      <c r="D232" s="2">
        <v>0.8</v>
      </c>
      <c r="E232" s="2">
        <v>1.2</v>
      </c>
      <c r="F232" s="108">
        <f t="shared" si="13"/>
        <v>37407</v>
      </c>
      <c r="G232" s="35">
        <f t="shared" si="14"/>
        <v>1.1000000000000001E-2</v>
      </c>
      <c r="H232" s="35">
        <f t="shared" si="15"/>
        <v>8.0000000000000002E-3</v>
      </c>
      <c r="I232" s="35">
        <f t="shared" si="16"/>
        <v>1.2E-2</v>
      </c>
    </row>
    <row r="233" spans="2:9" x14ac:dyDescent="0.25">
      <c r="B233" s="174">
        <v>37376</v>
      </c>
      <c r="C233" s="2">
        <v>1.5</v>
      </c>
      <c r="D233" s="2">
        <v>1.4</v>
      </c>
      <c r="E233" s="2">
        <v>1.6</v>
      </c>
      <c r="F233" s="108">
        <f t="shared" si="13"/>
        <v>37376</v>
      </c>
      <c r="G233" s="35">
        <f t="shared" si="14"/>
        <v>1.4999999999999999E-2</v>
      </c>
      <c r="H233" s="35">
        <f t="shared" si="15"/>
        <v>1.3999999999999999E-2</v>
      </c>
      <c r="I233" s="35">
        <f t="shared" si="16"/>
        <v>1.6E-2</v>
      </c>
    </row>
    <row r="234" spans="2:9" x14ac:dyDescent="0.25">
      <c r="B234" s="174">
        <v>37346</v>
      </c>
      <c r="C234" s="2">
        <v>1.3</v>
      </c>
      <c r="D234" s="2">
        <v>1.5</v>
      </c>
      <c r="E234" s="2">
        <v>1.7</v>
      </c>
      <c r="F234" s="108">
        <f t="shared" si="13"/>
        <v>37346</v>
      </c>
      <c r="G234" s="35">
        <f t="shared" si="14"/>
        <v>1.3000000000000001E-2</v>
      </c>
      <c r="H234" s="35">
        <f t="shared" si="15"/>
        <v>1.4999999999999999E-2</v>
      </c>
      <c r="I234" s="35">
        <f t="shared" si="16"/>
        <v>1.7000000000000001E-2</v>
      </c>
    </row>
    <row r="235" spans="2:9" x14ac:dyDescent="0.25">
      <c r="B235" s="174">
        <v>37315</v>
      </c>
      <c r="C235" s="2">
        <v>1</v>
      </c>
      <c r="D235" s="2">
        <v>1.5</v>
      </c>
      <c r="E235" s="2">
        <v>1.7</v>
      </c>
      <c r="F235" s="108">
        <f t="shared" si="13"/>
        <v>37315</v>
      </c>
      <c r="G235" s="35">
        <f t="shared" si="14"/>
        <v>0.01</v>
      </c>
      <c r="H235" s="35">
        <f t="shared" si="15"/>
        <v>1.4999999999999999E-2</v>
      </c>
      <c r="I235" s="35">
        <f t="shared" si="16"/>
        <v>1.7000000000000001E-2</v>
      </c>
    </row>
    <row r="236" spans="2:9" x14ac:dyDescent="0.25">
      <c r="B236" s="174">
        <v>37287</v>
      </c>
      <c r="C236" s="2">
        <v>1.3</v>
      </c>
      <c r="D236" s="2">
        <v>1.6</v>
      </c>
      <c r="E236" s="2">
        <v>1.8</v>
      </c>
      <c r="F236" s="108">
        <f t="shared" si="13"/>
        <v>37287</v>
      </c>
      <c r="G236" s="35">
        <f t="shared" si="14"/>
        <v>1.3000000000000001E-2</v>
      </c>
      <c r="H236" s="35">
        <f t="shared" si="15"/>
        <v>1.6E-2</v>
      </c>
      <c r="I236" s="35">
        <f t="shared" si="16"/>
        <v>1.8000000000000002E-2</v>
      </c>
    </row>
    <row r="237" spans="2:9" x14ac:dyDescent="0.25">
      <c r="B237" s="174">
        <v>37256</v>
      </c>
      <c r="C237" s="2">
        <v>0.7</v>
      </c>
      <c r="D237" s="2">
        <v>1.1000000000000001</v>
      </c>
      <c r="E237" s="2">
        <v>1.4</v>
      </c>
      <c r="F237" s="108">
        <f t="shared" si="13"/>
        <v>37256</v>
      </c>
      <c r="G237" s="35">
        <f t="shared" si="14"/>
        <v>6.9999999999999993E-3</v>
      </c>
      <c r="H237" s="35">
        <f t="shared" si="15"/>
        <v>1.1000000000000001E-2</v>
      </c>
      <c r="I237" s="35">
        <f t="shared" si="16"/>
        <v>1.3999999999999999E-2</v>
      </c>
    </row>
    <row r="238" spans="2:9" x14ac:dyDescent="0.25">
      <c r="B238" s="174">
        <v>37225</v>
      </c>
      <c r="C238" s="2">
        <v>0.9</v>
      </c>
      <c r="D238" s="2">
        <v>0.8</v>
      </c>
      <c r="E238" s="2">
        <v>1.2</v>
      </c>
      <c r="F238" s="108">
        <f t="shared" si="13"/>
        <v>37225</v>
      </c>
      <c r="G238" s="35">
        <f t="shared" si="14"/>
        <v>9.0000000000000011E-3</v>
      </c>
      <c r="H238" s="35">
        <f t="shared" si="15"/>
        <v>8.0000000000000002E-3</v>
      </c>
      <c r="I238" s="35">
        <f t="shared" si="16"/>
        <v>1.2E-2</v>
      </c>
    </row>
    <row r="239" spans="2:9" x14ac:dyDescent="0.25">
      <c r="B239" s="174">
        <v>37195</v>
      </c>
      <c r="C239" s="2">
        <v>1.6</v>
      </c>
      <c r="D239" s="2">
        <v>1.2</v>
      </c>
      <c r="E239" s="2">
        <v>1.6</v>
      </c>
      <c r="F239" s="108">
        <f t="shared" si="13"/>
        <v>37195</v>
      </c>
      <c r="G239" s="35">
        <f t="shared" si="14"/>
        <v>1.6E-2</v>
      </c>
      <c r="H239" s="35">
        <f t="shared" si="15"/>
        <v>1.2E-2</v>
      </c>
      <c r="I239" s="35">
        <f t="shared" si="16"/>
        <v>1.6E-2</v>
      </c>
    </row>
    <row r="240" spans="2:9" x14ac:dyDescent="0.25">
      <c r="B240" s="174">
        <v>37164</v>
      </c>
      <c r="C240" s="2">
        <v>1.7</v>
      </c>
      <c r="D240" s="2">
        <v>1.3</v>
      </c>
      <c r="E240" s="2">
        <v>1.7</v>
      </c>
      <c r="F240" s="108">
        <f t="shared" si="13"/>
        <v>37164</v>
      </c>
      <c r="G240" s="35">
        <f t="shared" si="14"/>
        <v>1.7000000000000001E-2</v>
      </c>
      <c r="H240" s="35">
        <f t="shared" si="15"/>
        <v>1.3000000000000001E-2</v>
      </c>
      <c r="I240" s="35">
        <f t="shared" si="16"/>
        <v>1.7000000000000001E-2</v>
      </c>
    </row>
    <row r="241" spans="2:9" x14ac:dyDescent="0.25">
      <c r="B241" s="174">
        <v>37134</v>
      </c>
      <c r="C241" s="2">
        <v>2.1</v>
      </c>
      <c r="D241" s="2">
        <v>1.8</v>
      </c>
      <c r="E241" s="2">
        <v>2.1</v>
      </c>
      <c r="F241" s="108">
        <f t="shared" si="13"/>
        <v>37134</v>
      </c>
      <c r="G241" s="35">
        <f t="shared" si="14"/>
        <v>2.1000000000000001E-2</v>
      </c>
      <c r="H241" s="35">
        <f t="shared" si="15"/>
        <v>1.8000000000000002E-2</v>
      </c>
      <c r="I241" s="35">
        <f t="shared" si="16"/>
        <v>2.1000000000000001E-2</v>
      </c>
    </row>
    <row r="242" spans="2:9" x14ac:dyDescent="0.25">
      <c r="B242" s="174">
        <v>37103</v>
      </c>
      <c r="C242" s="2">
        <v>1.6</v>
      </c>
      <c r="D242" s="2">
        <v>1.4</v>
      </c>
      <c r="E242" s="2">
        <v>1.7</v>
      </c>
      <c r="F242" s="108">
        <f t="shared" si="13"/>
        <v>37103</v>
      </c>
      <c r="G242" s="35">
        <f t="shared" si="14"/>
        <v>1.6E-2</v>
      </c>
      <c r="H242" s="35">
        <f t="shared" si="15"/>
        <v>1.3999999999999999E-2</v>
      </c>
      <c r="I242" s="35">
        <f t="shared" si="16"/>
        <v>1.7000000000000001E-2</v>
      </c>
    </row>
    <row r="243" spans="2:9" x14ac:dyDescent="0.25">
      <c r="B243" s="174">
        <v>37072</v>
      </c>
      <c r="C243" s="2">
        <v>1.9</v>
      </c>
      <c r="D243" s="2">
        <v>1.7</v>
      </c>
      <c r="E243" s="2">
        <v>1.9</v>
      </c>
      <c r="F243" s="108">
        <f t="shared" si="13"/>
        <v>37072</v>
      </c>
      <c r="G243" s="35">
        <f t="shared" si="14"/>
        <v>1.9E-2</v>
      </c>
      <c r="H243" s="35">
        <f t="shared" si="15"/>
        <v>1.7000000000000001E-2</v>
      </c>
      <c r="I243" s="35">
        <f t="shared" si="16"/>
        <v>1.9E-2</v>
      </c>
    </row>
    <row r="244" spans="2:9" x14ac:dyDescent="0.25">
      <c r="B244" s="174">
        <v>37042</v>
      </c>
      <c r="C244" s="2">
        <v>2.1</v>
      </c>
      <c r="D244" s="2">
        <v>1.7</v>
      </c>
      <c r="E244" s="2">
        <v>1.9</v>
      </c>
      <c r="F244" s="108">
        <f t="shared" si="13"/>
        <v>37042</v>
      </c>
      <c r="G244" s="35">
        <f t="shared" si="14"/>
        <v>2.1000000000000001E-2</v>
      </c>
      <c r="H244" s="35">
        <f t="shared" si="15"/>
        <v>1.7000000000000001E-2</v>
      </c>
      <c r="I244" s="35">
        <f t="shared" si="16"/>
        <v>1.9E-2</v>
      </c>
    </row>
  </sheetData>
  <sheetProtection algorithmName="SHA-512" hashValue="qExQxhYfPHcQVz3+a3sTw/oH0sNLv+Kd1Y0gwGjqYACUlrGBubc0fvmIEmmGpQxvzr+XefSQt72lxSIvLygU+A==" saltValue="lF3OcuDlitjDubBe2d7/oQ==" spinCount="100000" sheet="1" objects="1" scenario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08AA-37D6-4C25-8A4A-0CD8A85D7370}">
  <dimension ref="B2:AH354"/>
  <sheetViews>
    <sheetView topLeftCell="C1" workbookViewId="0">
      <selection activeCell="M50" sqref="M50"/>
    </sheetView>
  </sheetViews>
  <sheetFormatPr defaultRowHeight="15" x14ac:dyDescent="0.25"/>
  <cols>
    <col min="1" max="1" width="3.85546875" style="2" customWidth="1"/>
    <col min="2" max="2" width="10.7109375" style="2" bestFit="1" customWidth="1"/>
    <col min="3" max="26" width="9.140625" style="2"/>
    <col min="27" max="27" width="7.28515625" style="2" bestFit="1" customWidth="1"/>
    <col min="28" max="28" width="6.5703125" style="2" customWidth="1"/>
    <col min="29" max="29" width="3" style="2" customWidth="1"/>
    <col min="30" max="33" width="8.7109375" style="2" customWidth="1"/>
    <col min="34" max="16384" width="9.140625" style="2"/>
  </cols>
  <sheetData>
    <row r="2" spans="2:34" x14ac:dyDescent="0.25">
      <c r="B2" s="108">
        <v>44335</v>
      </c>
      <c r="D2" s="34"/>
      <c r="E2" s="34"/>
      <c r="F2" s="34"/>
      <c r="H2" s="34"/>
    </row>
    <row r="3" spans="2:34" x14ac:dyDescent="0.25">
      <c r="D3" s="200" t="s">
        <v>413</v>
      </c>
      <c r="E3" s="200"/>
      <c r="F3" s="200"/>
      <c r="H3" s="34"/>
      <c r="O3" s="200" t="s">
        <v>448</v>
      </c>
      <c r="P3" s="200"/>
      <c r="Q3" s="200"/>
      <c r="AA3" s="2" t="s">
        <v>393</v>
      </c>
      <c r="AD3" s="2">
        <f>comps!C15</f>
        <v>920.94631210867635</v>
      </c>
    </row>
    <row r="4" spans="2:34" x14ac:dyDescent="0.25">
      <c r="B4" s="2" t="s">
        <v>337</v>
      </c>
      <c r="C4" s="2" t="s">
        <v>443</v>
      </c>
      <c r="D4" s="34" t="s">
        <v>400</v>
      </c>
      <c r="E4" s="34" t="s">
        <v>402</v>
      </c>
      <c r="F4" s="34" t="s">
        <v>401</v>
      </c>
      <c r="H4" s="34" t="s">
        <v>451</v>
      </c>
      <c r="I4" s="2" t="s">
        <v>444</v>
      </c>
      <c r="K4" s="200" t="s">
        <v>446</v>
      </c>
      <c r="L4" s="200"/>
      <c r="M4" s="200"/>
      <c r="O4" s="175" t="s">
        <v>450</v>
      </c>
      <c r="P4" s="34" t="s">
        <v>424</v>
      </c>
      <c r="Q4" s="175" t="s">
        <v>449</v>
      </c>
      <c r="AA4" s="2" t="s">
        <v>828</v>
      </c>
      <c r="AD4" s="2">
        <f>capstack!C3</f>
        <v>2500</v>
      </c>
    </row>
    <row r="5" spans="2:34" x14ac:dyDescent="0.25">
      <c r="B5" s="108">
        <v>44335</v>
      </c>
      <c r="C5" s="108" t="s">
        <v>452</v>
      </c>
      <c r="D5" s="176">
        <v>13.428485628621591</v>
      </c>
      <c r="E5" s="176">
        <v>12.437956597697502</v>
      </c>
      <c r="F5" s="176">
        <v>13.641434681124975</v>
      </c>
      <c r="H5" s="176">
        <v>13.039695639411239</v>
      </c>
      <c r="I5" s="169">
        <v>2.9815879140251633E-2</v>
      </c>
      <c r="K5" s="2" t="s">
        <v>445</v>
      </c>
      <c r="L5" s="177">
        <v>8.8958807694498095E-3</v>
      </c>
      <c r="O5" s="178">
        <v>-9.3793575747374708E-2</v>
      </c>
      <c r="P5" s="178">
        <v>8.8958807694498095E-3</v>
      </c>
      <c r="Q5" s="178">
        <v>0.11158533728627432</v>
      </c>
      <c r="AA5" s="2" t="s">
        <v>827</v>
      </c>
      <c r="AD5" s="2">
        <f>model!G86</f>
        <v>238.88747499999999</v>
      </c>
    </row>
    <row r="6" spans="2:34" x14ac:dyDescent="0.25">
      <c r="B6" s="108">
        <v>44334</v>
      </c>
      <c r="C6" s="108" t="s">
        <v>453</v>
      </c>
      <c r="D6" s="176">
        <v>13.404273314741262</v>
      </c>
      <c r="E6" s="176">
        <v>12.610036600008014</v>
      </c>
      <c r="F6" s="176">
        <v>13.643197359514527</v>
      </c>
      <c r="H6" s="176">
        <v>13.12661697976127</v>
      </c>
      <c r="I6" s="169">
        <v>2.1152162465628788E-2</v>
      </c>
      <c r="K6" s="2" t="s">
        <v>447</v>
      </c>
      <c r="L6" s="179">
        <v>0.10268945651682451</v>
      </c>
      <c r="O6" s="178">
        <v>-9.3793575747374708E-2</v>
      </c>
      <c r="P6" s="178">
        <v>8.8958807694498095E-3</v>
      </c>
      <c r="Q6" s="178">
        <v>0.11158533728627432</v>
      </c>
      <c r="AA6" s="2" t="s">
        <v>335</v>
      </c>
      <c r="AD6" s="2">
        <f ca="1">model!G98</f>
        <v>6656.3309220196161</v>
      </c>
    </row>
    <row r="7" spans="2:34" x14ac:dyDescent="0.25">
      <c r="B7" s="108">
        <v>44333</v>
      </c>
      <c r="C7" s="108" t="s">
        <v>454</v>
      </c>
      <c r="D7" s="176">
        <v>13.406933225119342</v>
      </c>
      <c r="E7" s="176">
        <v>12.607552550389077</v>
      </c>
      <c r="F7" s="176">
        <v>13.644960503913277</v>
      </c>
      <c r="H7" s="176">
        <v>13.126256527151178</v>
      </c>
      <c r="I7" s="169">
        <v>2.1382844178581717E-2</v>
      </c>
      <c r="O7" s="178">
        <v>-9.3793575747374708E-2</v>
      </c>
      <c r="P7" s="178">
        <v>8.8958807694498095E-3</v>
      </c>
      <c r="Q7" s="178">
        <v>0.11158533728627432</v>
      </c>
      <c r="AA7" s="2" t="s">
        <v>826</v>
      </c>
      <c r="AD7" s="181">
        <f>H5</f>
        <v>13.039695639411239</v>
      </c>
    </row>
    <row r="8" spans="2:34" x14ac:dyDescent="0.25">
      <c r="B8" s="108">
        <v>44330</v>
      </c>
      <c r="C8" s="108" t="s">
        <v>455</v>
      </c>
      <c r="D8" s="176">
        <v>13.455743022123384</v>
      </c>
      <c r="E8" s="176">
        <v>12.805209667390329</v>
      </c>
      <c r="F8" s="176">
        <v>13.65025273501354</v>
      </c>
      <c r="H8" s="176">
        <v>13.227731201201934</v>
      </c>
      <c r="I8" s="169">
        <v>1.7237409609648813E-2</v>
      </c>
      <c r="O8" s="178">
        <v>-9.3793575747374708E-2</v>
      </c>
      <c r="P8" s="178">
        <v>8.8958807694498095E-3</v>
      </c>
      <c r="Q8" s="178">
        <v>0.11158533728627432</v>
      </c>
    </row>
    <row r="9" spans="2:34" x14ac:dyDescent="0.25">
      <c r="B9" s="108">
        <v>44329</v>
      </c>
      <c r="C9" s="108" t="s">
        <v>456</v>
      </c>
      <c r="D9" s="176">
        <v>13.458417707423513</v>
      </c>
      <c r="E9" s="176">
        <v>12.802736362527339</v>
      </c>
      <c r="F9" s="176">
        <v>13.65201774529835</v>
      </c>
      <c r="H9" s="176">
        <v>13.227377053912845</v>
      </c>
      <c r="I9" s="169">
        <v>1.7466853221842937E-2</v>
      </c>
      <c r="L9" s="175"/>
      <c r="M9" s="34"/>
      <c r="N9" s="175"/>
      <c r="O9" s="178">
        <v>-9.3793575747374708E-2</v>
      </c>
      <c r="P9" s="178">
        <v>8.8958807694498095E-3</v>
      </c>
      <c r="Q9" s="178">
        <v>0.11158533728627432</v>
      </c>
      <c r="AA9" s="2" t="s">
        <v>405</v>
      </c>
      <c r="AD9" s="201" t="s">
        <v>825</v>
      </c>
      <c r="AE9" s="201"/>
      <c r="AF9" s="201"/>
      <c r="AG9" s="201"/>
      <c r="AH9" s="201"/>
    </row>
    <row r="10" spans="2:34" x14ac:dyDescent="0.25">
      <c r="B10" s="108">
        <v>44328</v>
      </c>
      <c r="C10" s="108" t="s">
        <v>457</v>
      </c>
      <c r="D10" s="176">
        <v>13.461093665564862</v>
      </c>
      <c r="E10" s="176">
        <v>12.800262770717161</v>
      </c>
      <c r="F10" s="176">
        <v>13.735054407295026</v>
      </c>
      <c r="H10" s="176">
        <v>13.267658589006093</v>
      </c>
      <c r="I10" s="169">
        <v>1.4579443332906949E-2</v>
      </c>
      <c r="K10" s="108"/>
      <c r="L10" s="178"/>
      <c r="M10" s="178"/>
      <c r="N10" s="178"/>
      <c r="O10" s="178">
        <v>-9.3793575747374708E-2</v>
      </c>
      <c r="P10" s="178">
        <v>8.8958807694498095E-3</v>
      </c>
      <c r="Q10" s="178">
        <v>0.11158533728627432</v>
      </c>
      <c r="AD10" s="182">
        <f>O5</f>
        <v>-9.3793575747374708E-2</v>
      </c>
      <c r="AE10" s="182">
        <f>AF10-0.5*L6</f>
        <v>-4.2448847488962445E-2</v>
      </c>
      <c r="AF10" s="182">
        <f>P5</f>
        <v>8.8958807694498095E-3</v>
      </c>
      <c r="AG10" s="182">
        <f>AF10+0.5*(L6)</f>
        <v>6.0240609027862067E-2</v>
      </c>
      <c r="AH10" s="182">
        <f>Q5</f>
        <v>0.11158533728627432</v>
      </c>
    </row>
    <row r="11" spans="2:34" x14ac:dyDescent="0.25">
      <c r="B11" s="108">
        <v>44327</v>
      </c>
      <c r="C11" s="108" t="s">
        <v>458</v>
      </c>
      <c r="D11" s="176">
        <v>13.463770897456245</v>
      </c>
      <c r="E11" s="176">
        <v>12.797788891909867</v>
      </c>
      <c r="F11" s="176">
        <v>13.736831103221391</v>
      </c>
      <c r="H11" s="176">
        <v>13.267309997565629</v>
      </c>
      <c r="I11" s="169">
        <v>1.4807892476068174E-2</v>
      </c>
      <c r="K11" s="108"/>
      <c r="L11" s="178"/>
      <c r="M11" s="178"/>
      <c r="N11" s="178"/>
      <c r="O11" s="178">
        <v>-9.3793575747374708E-2</v>
      </c>
      <c r="P11" s="178">
        <v>8.8958807694498095E-3</v>
      </c>
      <c r="Q11" s="178">
        <v>0.11158533728627432</v>
      </c>
    </row>
    <row r="12" spans="2:34" x14ac:dyDescent="0.25">
      <c r="B12" s="108">
        <v>44326</v>
      </c>
      <c r="C12" s="108" t="s">
        <v>459</v>
      </c>
      <c r="D12" s="176">
        <v>13.466449404007321</v>
      </c>
      <c r="E12" s="176">
        <v>12.7953147260555</v>
      </c>
      <c r="F12" s="176">
        <v>13.738608269297881</v>
      </c>
      <c r="H12" s="176">
        <v>13.266961497676689</v>
      </c>
      <c r="I12" s="169">
        <v>1.503644269756621E-2</v>
      </c>
      <c r="O12" s="178">
        <v>-9.3793575747374708E-2</v>
      </c>
      <c r="P12" s="178">
        <v>8.8958807694498095E-3</v>
      </c>
      <c r="Q12" s="178">
        <v>0.11158533728627432</v>
      </c>
      <c r="AA12" s="202" t="s">
        <v>393</v>
      </c>
      <c r="AB12" s="191">
        <f>(0.95)*AB13</f>
        <v>831.15404667808036</v>
      </c>
      <c r="AD12" s="188">
        <f t="shared" ref="AD12:AH16" ca="1" si="0">((1+AD$10)*$AD$7*$AB12-$AD$6)/$AD$5*100</f>
        <v>1324.9461891144811</v>
      </c>
      <c r="AE12" s="188">
        <f t="shared" ca="1" si="0"/>
        <v>1557.8901511709591</v>
      </c>
      <c r="AF12" s="188">
        <f t="shared" ca="1" si="0"/>
        <v>1790.834113227439</v>
      </c>
      <c r="AG12" s="188">
        <f t="shared" ca="1" si="0"/>
        <v>2023.7780752839165</v>
      </c>
      <c r="AH12" s="188">
        <f t="shared" ca="1" si="0"/>
        <v>2256.7220373403961</v>
      </c>
    </row>
    <row r="13" spans="2:34" x14ac:dyDescent="0.25">
      <c r="B13" s="108">
        <v>44323</v>
      </c>
      <c r="C13" s="108" t="s">
        <v>460</v>
      </c>
      <c r="D13" s="176">
        <v>13.474492580728459</v>
      </c>
      <c r="E13" s="176">
        <v>12.787890505710285</v>
      </c>
      <c r="F13" s="176">
        <v>13.743942590295122</v>
      </c>
      <c r="H13" s="176">
        <v>13.265916548002703</v>
      </c>
      <c r="I13" s="169">
        <v>1.5722700498757236E-2</v>
      </c>
      <c r="O13" s="178">
        <v>-9.3793575747374708E-2</v>
      </c>
      <c r="P13" s="178">
        <v>8.8958807694498095E-3</v>
      </c>
      <c r="Q13" s="178">
        <v>0.11158533728627432</v>
      </c>
      <c r="AA13" s="202"/>
      <c r="AB13" s="191">
        <f>(0.95)*AB14</f>
        <v>874.89899650324253</v>
      </c>
      <c r="AD13" s="188">
        <f t="shared" ca="1" si="0"/>
        <v>1541.3321767080108</v>
      </c>
      <c r="AE13" s="189">
        <f t="shared" ca="1" si="0"/>
        <v>1786.5363472937772</v>
      </c>
      <c r="AF13" s="189">
        <f t="shared" ca="1" si="0"/>
        <v>2031.7405178795457</v>
      </c>
      <c r="AG13" s="189">
        <f t="shared" ca="1" si="0"/>
        <v>2276.9446884653112</v>
      </c>
      <c r="AH13" s="188">
        <f t="shared" ca="1" si="0"/>
        <v>2522.1488590510789</v>
      </c>
    </row>
    <row r="14" spans="2:34" x14ac:dyDescent="0.25">
      <c r="B14" s="108">
        <v>44322</v>
      </c>
      <c r="C14" s="108" t="s">
        <v>461</v>
      </c>
      <c r="D14" s="176">
        <v>13.407476020731551</v>
      </c>
      <c r="E14" s="176">
        <v>12.548379607369718</v>
      </c>
      <c r="F14" s="176">
        <v>13.612290785293803</v>
      </c>
      <c r="H14" s="176">
        <v>13.08033519633176</v>
      </c>
      <c r="I14" s="169">
        <v>2.5010125466168098E-2</v>
      </c>
      <c r="O14" s="178">
        <v>-9.3793575747374708E-2</v>
      </c>
      <c r="P14" s="178">
        <v>8.8958807694498095E-3</v>
      </c>
      <c r="Q14" s="178">
        <v>0.11158533728627432</v>
      </c>
      <c r="AA14" s="202" t="s">
        <v>393</v>
      </c>
      <c r="AB14" s="191">
        <f>AD3</f>
        <v>920.94631210867635</v>
      </c>
      <c r="AD14" s="188">
        <f t="shared" ca="1" si="0"/>
        <v>1769.1069004906738</v>
      </c>
      <c r="AE14" s="189">
        <f t="shared" ca="1" si="0"/>
        <v>2027.2165537388489</v>
      </c>
      <c r="AF14" s="189">
        <f t="shared" ca="1" si="0"/>
        <v>2285.3262069870257</v>
      </c>
      <c r="AG14" s="189">
        <f t="shared" ca="1" si="0"/>
        <v>2543.4358602352004</v>
      </c>
      <c r="AH14" s="188">
        <f t="shared" ca="1" si="0"/>
        <v>2801.5455134833774</v>
      </c>
    </row>
    <row r="15" spans="2:34" x14ac:dyDescent="0.25">
      <c r="B15" s="108">
        <v>44321</v>
      </c>
      <c r="C15" s="108" t="s">
        <v>462</v>
      </c>
      <c r="D15" s="176">
        <v>13.410313208396936</v>
      </c>
      <c r="E15" s="176">
        <v>12.546012122517336</v>
      </c>
      <c r="F15" s="176">
        <v>13.482207677893907</v>
      </c>
      <c r="H15" s="176">
        <v>13.014109900205622</v>
      </c>
      <c r="I15" s="169">
        <v>3.0444134192001426E-2</v>
      </c>
      <c r="O15" s="178">
        <v>-9.3793575747374708E-2</v>
      </c>
      <c r="P15" s="178">
        <v>8.8958807694498095E-3</v>
      </c>
      <c r="Q15" s="178">
        <v>0.11158533728627432</v>
      </c>
      <c r="AA15" s="202"/>
      <c r="AB15" s="191">
        <f>1.05*AB14</f>
        <v>966.99362771411018</v>
      </c>
      <c r="AD15" s="188">
        <f t="shared" ca="1" si="0"/>
        <v>1996.8816242733369</v>
      </c>
      <c r="AE15" s="189">
        <f t="shared" ca="1" si="0"/>
        <v>2267.8967601839199</v>
      </c>
      <c r="AF15" s="189">
        <f t="shared" ca="1" si="0"/>
        <v>2538.9118960945066</v>
      </c>
      <c r="AG15" s="189">
        <f t="shared" ca="1" si="0"/>
        <v>2809.92703200509</v>
      </c>
      <c r="AH15" s="188">
        <f t="shared" ca="1" si="0"/>
        <v>3080.9421679156749</v>
      </c>
    </row>
    <row r="16" spans="2:34" x14ac:dyDescent="0.25">
      <c r="B16" s="108">
        <v>44320</v>
      </c>
      <c r="C16" s="108" t="s">
        <v>463</v>
      </c>
      <c r="D16" s="176">
        <v>13.413151748810913</v>
      </c>
      <c r="E16" s="176">
        <v>12.543644312043153</v>
      </c>
      <c r="F16" s="176">
        <v>13.483634768072088</v>
      </c>
      <c r="H16" s="176">
        <v>13.013639540057621</v>
      </c>
      <c r="I16" s="169">
        <v>3.0699498593267593E-2</v>
      </c>
      <c r="O16" s="178">
        <v>-9.3793575747374708E-2</v>
      </c>
      <c r="P16" s="178">
        <v>8.8958807694498095E-3</v>
      </c>
      <c r="Q16" s="178">
        <v>0.11158533728627432</v>
      </c>
      <c r="AA16" s="202"/>
      <c r="AB16" s="191">
        <f>1.05*AB15</f>
        <v>1015.3433090998158</v>
      </c>
      <c r="AD16" s="188">
        <f t="shared" ca="1" si="0"/>
        <v>2236.0450842451332</v>
      </c>
      <c r="AE16" s="188">
        <f t="shared" ca="1" si="0"/>
        <v>2520.6109769512464</v>
      </c>
      <c r="AF16" s="188">
        <f t="shared" ca="1" si="0"/>
        <v>2805.1768696573613</v>
      </c>
      <c r="AG16" s="188">
        <f t="shared" ca="1" si="0"/>
        <v>3089.7427623634735</v>
      </c>
      <c r="AH16" s="188">
        <f t="shared" ca="1" si="0"/>
        <v>3374.3086550695884</v>
      </c>
    </row>
    <row r="17" spans="2:34" x14ac:dyDescent="0.25">
      <c r="B17" s="108">
        <v>44316</v>
      </c>
      <c r="C17" s="108" t="s">
        <v>464</v>
      </c>
      <c r="D17" s="176">
        <v>13.326014048774532</v>
      </c>
      <c r="E17" s="176">
        <v>12.190279442470903</v>
      </c>
      <c r="F17" s="176">
        <v>13.482196047808802</v>
      </c>
      <c r="H17" s="176">
        <v>12.836237745139853</v>
      </c>
      <c r="I17" s="169">
        <v>3.815575197024712E-2</v>
      </c>
      <c r="O17" s="178">
        <v>-9.3793575747374708E-2</v>
      </c>
      <c r="P17" s="178">
        <v>8.8958807694498095E-3</v>
      </c>
      <c r="Q17" s="178">
        <v>0.11158533728627432</v>
      </c>
    </row>
    <row r="18" spans="2:34" x14ac:dyDescent="0.25">
      <c r="B18" s="108">
        <v>44315</v>
      </c>
      <c r="C18" s="108" t="s">
        <v>465</v>
      </c>
      <c r="D18" s="176">
        <v>13.328831157577188</v>
      </c>
      <c r="E18" s="176">
        <v>12.191023755134054</v>
      </c>
      <c r="F18" s="176">
        <v>13.483995504529879</v>
      </c>
      <c r="H18" s="176">
        <v>12.837509629831967</v>
      </c>
      <c r="I18" s="169">
        <v>3.8272339566817637E-2</v>
      </c>
      <c r="O18" s="178">
        <v>-9.3793575747374708E-2</v>
      </c>
      <c r="P18" s="178">
        <v>8.8958807694498095E-3</v>
      </c>
      <c r="Q18" s="178">
        <v>0.11158533728627432</v>
      </c>
      <c r="AA18" s="2" t="s">
        <v>824</v>
      </c>
      <c r="AD18" s="201" t="s">
        <v>825</v>
      </c>
      <c r="AE18" s="201"/>
      <c r="AF18" s="201"/>
      <c r="AG18" s="201"/>
      <c r="AH18" s="201"/>
    </row>
    <row r="19" spans="2:34" x14ac:dyDescent="0.25">
      <c r="B19" s="108">
        <v>44314</v>
      </c>
      <c r="C19" s="108" t="s">
        <v>466</v>
      </c>
      <c r="D19" s="176">
        <v>13.385432946800043</v>
      </c>
      <c r="E19" s="176">
        <v>12.266684123463852</v>
      </c>
      <c r="F19" s="176">
        <v>13.52635764437235</v>
      </c>
      <c r="H19" s="176">
        <v>12.8965208839181</v>
      </c>
      <c r="I19" s="169">
        <v>3.791038430307303E-2</v>
      </c>
      <c r="O19" s="178">
        <v>-9.3793575747374708E-2</v>
      </c>
      <c r="P19" s="178">
        <v>8.8958807694498095E-3</v>
      </c>
      <c r="Q19" s="178">
        <v>0.11158533728627432</v>
      </c>
      <c r="AD19" s="182">
        <f>AD10</f>
        <v>-9.3793575747374708E-2</v>
      </c>
      <c r="AE19" s="182">
        <f>AE10</f>
        <v>-4.2448847488962445E-2</v>
      </c>
      <c r="AF19" s="182">
        <f>AF10</f>
        <v>8.8958807694498095E-3</v>
      </c>
      <c r="AG19" s="182">
        <f>AG10</f>
        <v>6.0240609027862067E-2</v>
      </c>
      <c r="AH19" s="182">
        <f>AH10</f>
        <v>0.11158533728627432</v>
      </c>
    </row>
    <row r="20" spans="2:34" x14ac:dyDescent="0.25">
      <c r="B20" s="108">
        <v>44313</v>
      </c>
      <c r="C20" s="108" t="s">
        <v>467</v>
      </c>
      <c r="D20" s="176">
        <v>13.325746613842432</v>
      </c>
      <c r="E20" s="176">
        <v>12.451728414136529</v>
      </c>
      <c r="F20" s="176">
        <v>13.52283902231034</v>
      </c>
      <c r="H20" s="176">
        <v>12.987283718223434</v>
      </c>
      <c r="I20" s="169">
        <v>2.6061099685076972E-2</v>
      </c>
      <c r="O20" s="178">
        <v>-9.3793575747374708E-2</v>
      </c>
      <c r="P20" s="178">
        <v>8.8958807694498095E-3</v>
      </c>
      <c r="Q20" s="178">
        <v>0.11158533728627432</v>
      </c>
    </row>
    <row r="21" spans="2:34" x14ac:dyDescent="0.25">
      <c r="B21" s="108">
        <v>44312</v>
      </c>
      <c r="C21" s="108" t="s">
        <v>468</v>
      </c>
      <c r="D21" s="176">
        <v>13.328562251371538</v>
      </c>
      <c r="E21" s="176">
        <v>12.452583689471547</v>
      </c>
      <c r="F21" s="176">
        <v>13.524715971811059</v>
      </c>
      <c r="H21" s="176">
        <v>12.988649830641304</v>
      </c>
      <c r="I21" s="169">
        <v>2.6169958014292893E-2</v>
      </c>
      <c r="O21" s="178">
        <v>-9.3793575747374708E-2</v>
      </c>
      <c r="P21" s="178">
        <v>8.8958807694498095E-3</v>
      </c>
      <c r="Q21" s="178">
        <v>0.11158533728627432</v>
      </c>
      <c r="AA21" s="202" t="s">
        <v>393</v>
      </c>
      <c r="AB21" s="191">
        <f>AB12</f>
        <v>831.15404667808036</v>
      </c>
      <c r="AD21" s="183">
        <f ca="1">evebitda!AD12/$AD$4-1</f>
        <v>-0.47002152435420763</v>
      </c>
      <c r="AE21" s="183">
        <f ca="1">evebitda!AE12/$AD$4-1</f>
        <v>-0.37684393953161632</v>
      </c>
      <c r="AF21" s="183">
        <f ca="1">evebitda!AF12/$AD$4-1</f>
        <v>-0.28366635470902435</v>
      </c>
      <c r="AG21" s="183">
        <f ca="1">evebitda!AG12/$AD$4-1</f>
        <v>-0.19048876988643337</v>
      </c>
      <c r="AH21" s="183">
        <f ca="1">evebitda!AH12/$AD$4-1</f>
        <v>-9.731118506384151E-2</v>
      </c>
    </row>
    <row r="22" spans="2:34" x14ac:dyDescent="0.25">
      <c r="B22" s="108">
        <v>44309</v>
      </c>
      <c r="C22" s="108" t="s">
        <v>469</v>
      </c>
      <c r="D22" s="176">
        <v>12.995379039908258</v>
      </c>
      <c r="E22" s="176">
        <v>11.852921510093223</v>
      </c>
      <c r="F22" s="176">
        <v>13.55978610400039</v>
      </c>
      <c r="H22" s="176">
        <v>12.706353807046806</v>
      </c>
      <c r="I22" s="169">
        <v>2.2746512276492936E-2</v>
      </c>
      <c r="O22" s="178">
        <v>-9.3793575747374708E-2</v>
      </c>
      <c r="P22" s="178">
        <v>8.8958807694498095E-3</v>
      </c>
      <c r="Q22" s="178">
        <v>0.11158533728627432</v>
      </c>
      <c r="AA22" s="202"/>
      <c r="AB22" s="191">
        <f>AB13</f>
        <v>874.89899650324253</v>
      </c>
      <c r="AD22" s="183">
        <f ca="1">evebitda!AD13/$AD$4-1</f>
        <v>-0.38346712931679572</v>
      </c>
      <c r="AE22" s="184">
        <f ca="1">evebitda!AE13/$AD$4-1</f>
        <v>-0.28538546108248908</v>
      </c>
      <c r="AF22" s="184">
        <f ca="1">evebitda!AF13/$AD$4-1</f>
        <v>-0.18730379284818177</v>
      </c>
      <c r="AG22" s="184">
        <f ca="1">evebitda!AG13/$AD$4-1</f>
        <v>-8.9222124613875575E-2</v>
      </c>
      <c r="AH22" s="183">
        <f ca="1">evebitda!AH13/$AD$4-1</f>
        <v>8.8595436204315092E-3</v>
      </c>
    </row>
    <row r="23" spans="2:34" x14ac:dyDescent="0.25">
      <c r="B23" s="108">
        <v>44308</v>
      </c>
      <c r="C23" s="108" t="s">
        <v>470</v>
      </c>
      <c r="D23" s="176">
        <v>12.998003288792443</v>
      </c>
      <c r="E23" s="176">
        <v>11.853729634511694</v>
      </c>
      <c r="F23" s="176">
        <v>13.561637914259027</v>
      </c>
      <c r="H23" s="176">
        <v>12.707683774385361</v>
      </c>
      <c r="I23" s="169">
        <v>2.2845981971338691E-2</v>
      </c>
      <c r="O23" s="178">
        <v>-9.3793575747374708E-2</v>
      </c>
      <c r="P23" s="178">
        <v>8.8958807694498095E-3</v>
      </c>
      <c r="Q23" s="178">
        <v>0.11158533728627432</v>
      </c>
      <c r="AA23" s="202"/>
      <c r="AB23" s="191">
        <f>AB14</f>
        <v>920.94631210867635</v>
      </c>
      <c r="AD23" s="183">
        <f ca="1">evebitda!AD14/$AD$4-1</f>
        <v>-0.29235723980373052</v>
      </c>
      <c r="AE23" s="184">
        <f ca="1">evebitda!AE14/$AD$4-1</f>
        <v>-0.18911337850446042</v>
      </c>
      <c r="AF23" s="184">
        <f ca="1">evebitda!AF14/$AD$4-1</f>
        <v>-8.586951720518976E-2</v>
      </c>
      <c r="AG23" s="184">
        <f ca="1">evebitda!AG14/$AD$4-1</f>
        <v>1.7374344094080119E-2</v>
      </c>
      <c r="AH23" s="183">
        <f ca="1">evebitda!AH14/$AD$4-1</f>
        <v>0.12061820539335089</v>
      </c>
    </row>
    <row r="24" spans="2:34" x14ac:dyDescent="0.25">
      <c r="B24" s="108">
        <v>44307</v>
      </c>
      <c r="C24" s="108" t="s">
        <v>471</v>
      </c>
      <c r="D24" s="176">
        <v>13.000628748314657</v>
      </c>
      <c r="E24" s="176">
        <v>11.854537883848741</v>
      </c>
      <c r="F24" s="176">
        <v>13.563490239950358</v>
      </c>
      <c r="H24" s="176">
        <v>12.709014061899548</v>
      </c>
      <c r="I24" s="169">
        <v>2.2945500335021407E-2</v>
      </c>
      <c r="O24" s="178">
        <v>-9.3793575747374708E-2</v>
      </c>
      <c r="P24" s="178">
        <v>8.8958807694498095E-3</v>
      </c>
      <c r="Q24" s="178">
        <v>0.11158533728627432</v>
      </c>
      <c r="AA24" s="202"/>
      <c r="AB24" s="191">
        <f>AB15</f>
        <v>966.99362771411018</v>
      </c>
      <c r="AD24" s="183">
        <f ca="1">evebitda!AD15/$AD$4-1</f>
        <v>-0.20124735029066521</v>
      </c>
      <c r="AE24" s="184">
        <f ca="1">evebitda!AE15/$AD$4-1</f>
        <v>-9.2841295926431977E-2</v>
      </c>
      <c r="AF24" s="184">
        <f ca="1">evebitda!AF15/$AD$4-1</f>
        <v>1.5564758437802695E-2</v>
      </c>
      <c r="AG24" s="184">
        <f ca="1">evebitda!AG15/$AD$4-1</f>
        <v>0.12397081280203603</v>
      </c>
      <c r="AH24" s="183">
        <f ca="1">evebitda!AH15/$AD$4-1</f>
        <v>0.23237686716627004</v>
      </c>
    </row>
    <row r="25" spans="2:34" x14ac:dyDescent="0.25">
      <c r="B25" s="108">
        <v>44306</v>
      </c>
      <c r="C25" s="108" t="s">
        <v>472</v>
      </c>
      <c r="D25" s="176">
        <v>13.00325541931285</v>
      </c>
      <c r="E25" s="176">
        <v>11.85534625813334</v>
      </c>
      <c r="F25" s="176">
        <v>13.565343081289621</v>
      </c>
      <c r="H25" s="176">
        <v>12.71034466971148</v>
      </c>
      <c r="I25" s="169">
        <v>2.3045067400836894E-2</v>
      </c>
      <c r="O25" s="178">
        <v>-9.3793575747374708E-2</v>
      </c>
      <c r="P25" s="178">
        <v>8.8958807694498095E-3</v>
      </c>
      <c r="Q25" s="178">
        <v>0.11158533728627432</v>
      </c>
      <c r="AA25" s="202"/>
      <c r="AB25" s="191">
        <f>AB16</f>
        <v>1015.3433090998158</v>
      </c>
      <c r="AD25" s="183">
        <f ca="1">evebitda!AD16/$AD$4-1</f>
        <v>-0.10558196630194672</v>
      </c>
      <c r="AE25" s="183">
        <f ca="1">evebitda!AE16/$AD$4-1</f>
        <v>8.244390780498545E-3</v>
      </c>
      <c r="AF25" s="183">
        <f ca="1">evebitda!AF16/$AD$4-1</f>
        <v>0.12207074786294458</v>
      </c>
      <c r="AG25" s="183">
        <f ca="1">evebitda!AG16/$AD$4-1</f>
        <v>0.23589710494538929</v>
      </c>
      <c r="AH25" s="183">
        <f ca="1">evebitda!AH16/$AD$4-1</f>
        <v>0.34972346202783533</v>
      </c>
    </row>
    <row r="26" spans="2:34" x14ac:dyDescent="0.25">
      <c r="B26" s="108">
        <v>44305</v>
      </c>
      <c r="C26" s="108" t="s">
        <v>473</v>
      </c>
      <c r="D26" s="176">
        <v>13.005883302625733</v>
      </c>
      <c r="E26" s="176">
        <v>11.856154757394464</v>
      </c>
      <c r="F26" s="176">
        <v>13.567196438492141</v>
      </c>
      <c r="H26" s="176">
        <v>12.711675597943302</v>
      </c>
      <c r="I26" s="169">
        <v>2.3144683202113381E-2</v>
      </c>
      <c r="O26" s="178">
        <v>-9.3793575747374708E-2</v>
      </c>
      <c r="P26" s="178">
        <v>8.8958807694498095E-3</v>
      </c>
      <c r="Q26" s="178">
        <v>0.11158533728627432</v>
      </c>
    </row>
    <row r="27" spans="2:34" x14ac:dyDescent="0.25">
      <c r="B27" s="108">
        <v>44302</v>
      </c>
      <c r="C27" s="108" t="s">
        <v>474</v>
      </c>
      <c r="D27" s="176">
        <v>13.01377423485134</v>
      </c>
      <c r="E27" s="176">
        <v>11.858581005326853</v>
      </c>
      <c r="F27" s="176">
        <v>13.572759607434612</v>
      </c>
      <c r="H27" s="176">
        <v>12.715670306380733</v>
      </c>
      <c r="I27" s="169">
        <v>2.3443823352436111E-2</v>
      </c>
      <c r="O27" s="178">
        <v>-9.3793575747374708E-2</v>
      </c>
      <c r="P27" s="178">
        <v>8.8958807694498095E-3</v>
      </c>
      <c r="Q27" s="178">
        <v>0.11158533728627432</v>
      </c>
    </row>
    <row r="28" spans="2:34" x14ac:dyDescent="0.25">
      <c r="B28" s="108">
        <v>44301</v>
      </c>
      <c r="C28" s="108" t="s">
        <v>475</v>
      </c>
      <c r="D28" s="176">
        <v>13.016406975825673</v>
      </c>
      <c r="E28" s="176">
        <v>11.859390004783998</v>
      </c>
      <c r="F28" s="176">
        <v>13.57461503024609</v>
      </c>
      <c r="H28" s="176">
        <v>12.717002517515045</v>
      </c>
      <c r="I28" s="169">
        <v>2.3543634429438853E-2</v>
      </c>
      <c r="O28" s="178">
        <v>-9.3793575747374708E-2</v>
      </c>
      <c r="P28" s="178">
        <v>8.8958807694498095E-3</v>
      </c>
      <c r="Q28" s="178">
        <v>0.11158533728627432</v>
      </c>
    </row>
    <row r="29" spans="2:34" x14ac:dyDescent="0.25">
      <c r="B29" s="108">
        <v>44300</v>
      </c>
      <c r="C29" s="108" t="s">
        <v>476</v>
      </c>
      <c r="D29" s="176">
        <v>13.01904093331992</v>
      </c>
      <c r="E29" s="176">
        <v>11.860199129362687</v>
      </c>
      <c r="F29" s="176">
        <v>13.576470969999379</v>
      </c>
      <c r="H29" s="176">
        <v>12.718335049681034</v>
      </c>
      <c r="I29" s="169">
        <v>2.3643494408997157E-2</v>
      </c>
      <c r="O29" s="178">
        <v>-9.3793575747374708E-2</v>
      </c>
      <c r="P29" s="178">
        <v>8.8958807694498095E-3</v>
      </c>
      <c r="Q29" s="178">
        <v>0.11158533728627432</v>
      </c>
    </row>
    <row r="30" spans="2:34" x14ac:dyDescent="0.25">
      <c r="B30" s="108">
        <v>44299</v>
      </c>
      <c r="C30" s="108" t="s">
        <v>477</v>
      </c>
      <c r="D30" s="176">
        <v>13.021676108177461</v>
      </c>
      <c r="E30" s="176">
        <v>11.861008379091938</v>
      </c>
      <c r="F30" s="176">
        <v>13.578327426910546</v>
      </c>
      <c r="H30" s="176">
        <v>12.719667903001241</v>
      </c>
      <c r="I30" s="169">
        <v>2.374340332462288E-2</v>
      </c>
      <c r="O30" s="178">
        <v>-9.3793575747374708E-2</v>
      </c>
      <c r="P30" s="178">
        <v>8.8958807694498095E-3</v>
      </c>
      <c r="Q30" s="178">
        <v>0.11158533728627432</v>
      </c>
    </row>
    <row r="31" spans="2:34" x14ac:dyDescent="0.25">
      <c r="B31" s="108">
        <v>44298</v>
      </c>
      <c r="C31" s="108" t="s">
        <v>478</v>
      </c>
      <c r="D31" s="176">
        <v>13.024312501242449</v>
      </c>
      <c r="E31" s="176">
        <v>11.861817754000795</v>
      </c>
      <c r="F31" s="176">
        <v>13.580184401195794</v>
      </c>
      <c r="H31" s="176">
        <v>12.721001077598295</v>
      </c>
      <c r="I31" s="169">
        <v>2.384336120985675E-2</v>
      </c>
      <c r="O31" s="178">
        <v>-9.3793575747374708E-2</v>
      </c>
      <c r="P31" s="178">
        <v>8.8958807694498095E-3</v>
      </c>
      <c r="Q31" s="178">
        <v>0.11158533728627432</v>
      </c>
    </row>
    <row r="32" spans="2:34" x14ac:dyDescent="0.25">
      <c r="B32" s="108">
        <v>44295</v>
      </c>
      <c r="C32" s="108" t="s">
        <v>479</v>
      </c>
      <c r="D32" s="176">
        <v>13.0322289981354</v>
      </c>
      <c r="E32" s="176">
        <v>11.864246630095506</v>
      </c>
      <c r="F32" s="176">
        <v>13.585758430459624</v>
      </c>
      <c r="H32" s="176">
        <v>12.725002530277564</v>
      </c>
      <c r="I32" s="169">
        <v>2.4143529019096777E-2</v>
      </c>
      <c r="O32" s="178">
        <v>-9.3793575747374708E-2</v>
      </c>
      <c r="P32" s="178">
        <v>8.8958807694498095E-3</v>
      </c>
      <c r="Q32" s="178">
        <v>0.11158533728627432</v>
      </c>
    </row>
    <row r="33" spans="2:17" x14ac:dyDescent="0.25">
      <c r="B33" s="108">
        <v>44294</v>
      </c>
      <c r="C33" s="108" t="s">
        <v>480</v>
      </c>
      <c r="D33" s="176">
        <v>13.034870272487385</v>
      </c>
      <c r="E33" s="176">
        <v>11.865056506013346</v>
      </c>
      <c r="F33" s="176">
        <v>13.39371976587231</v>
      </c>
      <c r="H33" s="176">
        <v>12.629388135942829</v>
      </c>
      <c r="I33" s="169">
        <v>3.2106237624494716E-2</v>
      </c>
      <c r="O33" s="178">
        <v>-9.3793575747374708E-2</v>
      </c>
      <c r="P33" s="178">
        <v>8.8958807694498095E-3</v>
      </c>
      <c r="Q33" s="178">
        <v>0.11158533728627432</v>
      </c>
    </row>
    <row r="34" spans="2:17" x14ac:dyDescent="0.25">
      <c r="B34" s="108">
        <v>44293</v>
      </c>
      <c r="C34" s="108" t="s">
        <v>481</v>
      </c>
      <c r="D34" s="176">
        <v>13.037512769279333</v>
      </c>
      <c r="E34" s="176">
        <v>11.865866507256113</v>
      </c>
      <c r="F34" s="176">
        <v>13.395552292860554</v>
      </c>
      <c r="H34" s="176">
        <v>12.630709400058333</v>
      </c>
      <c r="I34" s="169">
        <v>3.2207483866196984E-2</v>
      </c>
      <c r="O34" s="178">
        <v>-9.3793575747374708E-2</v>
      </c>
      <c r="P34" s="178">
        <v>8.8958807694498095E-3</v>
      </c>
      <c r="Q34" s="178">
        <v>0.11158533728627432</v>
      </c>
    </row>
    <row r="35" spans="2:17" x14ac:dyDescent="0.25">
      <c r="B35" s="108">
        <v>44292</v>
      </c>
      <c r="C35" s="108" t="s">
        <v>482</v>
      </c>
      <c r="D35" s="176">
        <v>13.040156489360093</v>
      </c>
      <c r="E35" s="176">
        <v>11.86667663385291</v>
      </c>
      <c r="F35" s="176">
        <v>13.397385330981201</v>
      </c>
      <c r="H35" s="176">
        <v>12.632030982417056</v>
      </c>
      <c r="I35" s="169">
        <v>3.2308779760841233E-2</v>
      </c>
      <c r="O35" s="178">
        <v>-9.3793575747374708E-2</v>
      </c>
      <c r="P35" s="178">
        <v>8.8958807694498095E-3</v>
      </c>
      <c r="Q35" s="178">
        <v>0.11158533728627432</v>
      </c>
    </row>
    <row r="36" spans="2:17" x14ac:dyDescent="0.25">
      <c r="B36" s="108">
        <v>44287</v>
      </c>
      <c r="C36" s="108" t="s">
        <v>483</v>
      </c>
      <c r="D36" s="176">
        <v>13.053393468861168</v>
      </c>
      <c r="E36" s="176">
        <v>11.870729148166124</v>
      </c>
      <c r="F36" s="176">
        <v>13.406558196060468</v>
      </c>
      <c r="H36" s="176">
        <v>12.638643672113297</v>
      </c>
      <c r="I36" s="169">
        <v>3.281600522238004E-2</v>
      </c>
      <c r="O36" s="178">
        <v>-9.3793575747374708E-2</v>
      </c>
      <c r="P36" s="178">
        <v>8.8958807694498095E-3</v>
      </c>
      <c r="Q36" s="178">
        <v>0.11158533728627432</v>
      </c>
    </row>
    <row r="37" spans="2:17" x14ac:dyDescent="0.25">
      <c r="B37" s="108">
        <v>44286</v>
      </c>
      <c r="C37" s="108" t="s">
        <v>484</v>
      </c>
      <c r="D37" s="176">
        <v>13.033675764126814</v>
      </c>
      <c r="E37" s="176">
        <v>11.787995975935829</v>
      </c>
      <c r="F37" s="176">
        <v>13.390608592513191</v>
      </c>
      <c r="H37" s="176">
        <v>12.589302284224509</v>
      </c>
      <c r="I37" s="169">
        <v>3.5297705136458912E-2</v>
      </c>
      <c r="O37" s="178">
        <v>-9.3793575747374708E-2</v>
      </c>
      <c r="P37" s="178">
        <v>8.8958807694498095E-3</v>
      </c>
      <c r="Q37" s="178">
        <v>0.11158533728627432</v>
      </c>
    </row>
    <row r="38" spans="2:17" x14ac:dyDescent="0.25">
      <c r="B38" s="108">
        <v>44285</v>
      </c>
      <c r="C38" s="108" t="s">
        <v>485</v>
      </c>
      <c r="D38" s="176">
        <v>13.005226727676355</v>
      </c>
      <c r="E38" s="176">
        <v>11.841385938067189</v>
      </c>
      <c r="F38" s="176">
        <v>13.338298356115356</v>
      </c>
      <c r="H38" s="176">
        <v>12.589842147091272</v>
      </c>
      <c r="I38" s="169">
        <v>3.2993628969450794E-2</v>
      </c>
      <c r="O38" s="178">
        <v>-9.3793575747374708E-2</v>
      </c>
      <c r="P38" s="178">
        <v>8.8958807694498095E-3</v>
      </c>
      <c r="Q38" s="178">
        <v>0.11158533728627432</v>
      </c>
    </row>
    <row r="39" spans="2:17" x14ac:dyDescent="0.25">
      <c r="B39" s="108">
        <v>44284</v>
      </c>
      <c r="C39" s="108" t="s">
        <v>486</v>
      </c>
      <c r="D39" s="176">
        <v>13.007909177918281</v>
      </c>
      <c r="E39" s="176">
        <v>11.842218028674205</v>
      </c>
      <c r="F39" s="176">
        <v>13.406290760901332</v>
      </c>
      <c r="H39" s="176">
        <v>12.624254394787769</v>
      </c>
      <c r="I39" s="169">
        <v>3.0390292458690737E-2</v>
      </c>
      <c r="O39" s="178">
        <v>-9.3793575747374708E-2</v>
      </c>
      <c r="P39" s="178">
        <v>8.8958807694498095E-3</v>
      </c>
      <c r="Q39" s="178">
        <v>0.11158533728627432</v>
      </c>
    </row>
    <row r="40" spans="2:17" x14ac:dyDescent="0.25">
      <c r="B40" s="108">
        <v>44281</v>
      </c>
      <c r="C40" s="108" t="s">
        <v>487</v>
      </c>
      <c r="D40" s="176">
        <v>13.015088739585686</v>
      </c>
      <c r="E40" s="176">
        <v>11.844714959609158</v>
      </c>
      <c r="F40" s="176">
        <v>13.279987840800031</v>
      </c>
      <c r="H40" s="176">
        <v>12.562351400204594</v>
      </c>
      <c r="I40" s="169">
        <v>3.6039219486705187E-2</v>
      </c>
      <c r="O40" s="178">
        <v>-9.3793575747374708E-2</v>
      </c>
      <c r="P40" s="178">
        <v>8.8958807694498095E-3</v>
      </c>
      <c r="Q40" s="178">
        <v>0.11158533728627432</v>
      </c>
    </row>
    <row r="41" spans="2:17" x14ac:dyDescent="0.25">
      <c r="B41" s="108">
        <v>44280</v>
      </c>
      <c r="C41" s="108" t="s">
        <v>488</v>
      </c>
      <c r="D41" s="176">
        <v>12.77236887835301</v>
      </c>
      <c r="E41" s="176">
        <v>11.594461612650614</v>
      </c>
      <c r="F41" s="176">
        <v>13.361172381801293</v>
      </c>
      <c r="H41" s="176">
        <v>12.477816997225954</v>
      </c>
      <c r="I41" s="169">
        <v>2.3606042723061327E-2</v>
      </c>
      <c r="O41" s="178">
        <v>-9.3793575747374708E-2</v>
      </c>
      <c r="P41" s="178">
        <v>8.8958807694498095E-3</v>
      </c>
      <c r="Q41" s="178">
        <v>0.11158533728627432</v>
      </c>
    </row>
    <row r="42" spans="2:17" x14ac:dyDescent="0.25">
      <c r="B42" s="108">
        <v>44279</v>
      </c>
      <c r="C42" s="108" t="s">
        <v>489</v>
      </c>
      <c r="D42" s="176">
        <v>12.774805227348148</v>
      </c>
      <c r="E42" s="176">
        <v>11.595237130757777</v>
      </c>
      <c r="F42" s="176">
        <v>13.174982709791834</v>
      </c>
      <c r="H42" s="176">
        <v>12.385109920274806</v>
      </c>
      <c r="I42" s="169">
        <v>3.1464824259282542E-2</v>
      </c>
      <c r="O42" s="178">
        <v>-9.3793575747374708E-2</v>
      </c>
      <c r="P42" s="178">
        <v>8.8958807694498095E-3</v>
      </c>
      <c r="Q42" s="178">
        <v>0.11158533728627432</v>
      </c>
    </row>
    <row r="43" spans="2:17" x14ac:dyDescent="0.25">
      <c r="B43" s="108">
        <v>44278</v>
      </c>
      <c r="C43" s="108" t="s">
        <v>490</v>
      </c>
      <c r="D43" s="176">
        <v>12.777242689188752</v>
      </c>
      <c r="E43" s="176">
        <v>11.59601275711055</v>
      </c>
      <c r="F43" s="176">
        <v>13.175660142271695</v>
      </c>
      <c r="H43" s="176">
        <v>12.385836449691123</v>
      </c>
      <c r="I43" s="169">
        <v>3.160111479652139E-2</v>
      </c>
      <c r="O43" s="178">
        <v>-9.3793575747374708E-2</v>
      </c>
      <c r="P43" s="178">
        <v>8.8958807694498095E-3</v>
      </c>
      <c r="Q43" s="178">
        <v>0.11158533728627432</v>
      </c>
    </row>
    <row r="44" spans="2:17" x14ac:dyDescent="0.25">
      <c r="B44" s="108">
        <v>44277</v>
      </c>
      <c r="C44" s="108" t="s">
        <v>491</v>
      </c>
      <c r="D44" s="176">
        <v>12.779681264637469</v>
      </c>
      <c r="E44" s="176">
        <v>11.596788491731591</v>
      </c>
      <c r="F44" s="176">
        <v>13.176337668558928</v>
      </c>
      <c r="H44" s="176">
        <v>12.386563080145258</v>
      </c>
      <c r="I44" s="169">
        <v>3.1737470834209969E-2</v>
      </c>
      <c r="O44" s="178">
        <v>-9.3793575747374708E-2</v>
      </c>
      <c r="P44" s="178">
        <v>8.8958807694498095E-3</v>
      </c>
      <c r="Q44" s="178">
        <v>0.11158533728627432</v>
      </c>
    </row>
    <row r="45" spans="2:17" x14ac:dyDescent="0.25">
      <c r="B45" s="108">
        <v>44274</v>
      </c>
      <c r="C45" s="108" t="s">
        <v>492</v>
      </c>
      <c r="D45" s="176">
        <v>12.78700368026916</v>
      </c>
      <c r="E45" s="176">
        <v>11.599116345431103</v>
      </c>
      <c r="F45" s="176">
        <v>13.188977599450933</v>
      </c>
      <c r="H45" s="176">
        <v>12.394046972441018</v>
      </c>
      <c r="I45" s="169">
        <v>3.1705278243813861E-2</v>
      </c>
      <c r="O45" s="178">
        <v>-9.3793575747374708E-2</v>
      </c>
      <c r="P45" s="178">
        <v>8.8958807694498095E-3</v>
      </c>
      <c r="Q45" s="178">
        <v>0.11158533728627432</v>
      </c>
    </row>
    <row r="46" spans="2:17" x14ac:dyDescent="0.25">
      <c r="B46" s="108">
        <v>44273</v>
      </c>
      <c r="C46" s="108" t="s">
        <v>493</v>
      </c>
      <c r="D46" s="176">
        <v>12.766295383449252</v>
      </c>
      <c r="E46" s="176">
        <v>11.599892513352009</v>
      </c>
      <c r="F46" s="176">
        <v>13.185678414409637</v>
      </c>
      <c r="H46" s="176">
        <v>12.392785463880823</v>
      </c>
      <c r="I46" s="169">
        <v>3.0139303279075991E-2</v>
      </c>
      <c r="O46" s="178">
        <v>-9.3793575747374708E-2</v>
      </c>
      <c r="P46" s="178">
        <v>8.8958807694498095E-3</v>
      </c>
      <c r="Q46" s="178">
        <v>0.11158533728627432</v>
      </c>
    </row>
    <row r="47" spans="2:17" x14ac:dyDescent="0.25">
      <c r="B47" s="108">
        <v>44272</v>
      </c>
      <c r="C47" s="108" t="s">
        <v>494</v>
      </c>
      <c r="D47" s="176">
        <v>12.768734243756711</v>
      </c>
      <c r="E47" s="176">
        <v>11.600668789654609</v>
      </c>
      <c r="F47" s="176">
        <v>13.186356869208518</v>
      </c>
      <c r="H47" s="176">
        <v>12.393512829431565</v>
      </c>
      <c r="I47" s="169">
        <v>3.0275630443863166E-2</v>
      </c>
      <c r="O47" s="178">
        <v>-9.3793575747374708E-2</v>
      </c>
      <c r="P47" s="178">
        <v>8.8958807694498095E-3</v>
      </c>
      <c r="Q47" s="178">
        <v>0.11158533728627432</v>
      </c>
    </row>
    <row r="48" spans="2:17" x14ac:dyDescent="0.25">
      <c r="B48" s="108">
        <v>44271</v>
      </c>
      <c r="C48" s="108" t="s">
        <v>495</v>
      </c>
      <c r="D48" s="176">
        <v>12.776321314519496</v>
      </c>
      <c r="E48" s="176">
        <v>11.038569443122562</v>
      </c>
      <c r="F48" s="176">
        <v>13.209579528263056</v>
      </c>
      <c r="H48" s="176">
        <v>12.124074485692809</v>
      </c>
      <c r="I48" s="169">
        <v>5.3797659326192848E-2</v>
      </c>
      <c r="O48" s="178">
        <v>-9.3793575747374708E-2</v>
      </c>
      <c r="P48" s="178">
        <v>8.8958807694498095E-3</v>
      </c>
      <c r="Q48" s="178">
        <v>0.11158533728627432</v>
      </c>
    </row>
    <row r="49" spans="2:17" x14ac:dyDescent="0.25">
      <c r="B49" s="108">
        <v>44270</v>
      </c>
      <c r="C49" s="108" t="s">
        <v>496</v>
      </c>
      <c r="D49" s="176">
        <v>12.77876358481041</v>
      </c>
      <c r="E49" s="176">
        <v>11.039306631653936</v>
      </c>
      <c r="F49" s="176">
        <v>13.210259732710394</v>
      </c>
      <c r="H49" s="176">
        <v>12.124783182182165</v>
      </c>
      <c r="I49" s="169">
        <v>5.3937492555685029E-2</v>
      </c>
      <c r="O49" s="178">
        <v>-9.3793575747374708E-2</v>
      </c>
      <c r="P49" s="178">
        <v>8.8958807694498095E-3</v>
      </c>
      <c r="Q49" s="178">
        <v>0.11158533728627432</v>
      </c>
    </row>
    <row r="50" spans="2:17" x14ac:dyDescent="0.25">
      <c r="B50" s="108">
        <v>44267</v>
      </c>
      <c r="C50" s="108" t="s">
        <v>497</v>
      </c>
      <c r="D50" s="176">
        <v>12.786097105841312</v>
      </c>
      <c r="E50" s="176">
        <v>11.041518815096124</v>
      </c>
      <c r="F50" s="176">
        <v>13.212300911591223</v>
      </c>
      <c r="H50" s="176">
        <v>12.126909863343673</v>
      </c>
      <c r="I50" s="169">
        <v>5.4357396065932706E-2</v>
      </c>
      <c r="O50" s="178">
        <v>-9.3793575747374708E-2</v>
      </c>
      <c r="P50" s="178">
        <v>8.8958807694498095E-3</v>
      </c>
      <c r="Q50" s="178">
        <v>0.11158533728627432</v>
      </c>
    </row>
    <row r="51" spans="2:17" x14ac:dyDescent="0.25">
      <c r="B51" s="108">
        <v>44266</v>
      </c>
      <c r="C51" s="108" t="s">
        <v>498</v>
      </c>
      <c r="D51" s="176">
        <v>12.788543852132172</v>
      </c>
      <c r="E51" s="176">
        <v>11.042256415598132</v>
      </c>
      <c r="F51" s="176">
        <v>13.212981493129737</v>
      </c>
      <c r="H51" s="176">
        <v>12.127618954363935</v>
      </c>
      <c r="I51" s="169">
        <v>5.4497498664435984E-2</v>
      </c>
      <c r="O51" s="178">
        <v>-9.3793575747374708E-2</v>
      </c>
      <c r="P51" s="178">
        <v>8.8958807694498095E-3</v>
      </c>
      <c r="Q51" s="178">
        <v>0.11158533728627432</v>
      </c>
    </row>
    <row r="52" spans="2:17" x14ac:dyDescent="0.25">
      <c r="B52" s="108">
        <v>44265</v>
      </c>
      <c r="C52" s="108" t="s">
        <v>499</v>
      </c>
      <c r="D52" s="176">
        <v>12.790991719345655</v>
      </c>
      <c r="E52" s="176">
        <v>11.042994119146758</v>
      </c>
      <c r="F52" s="176">
        <v>13.213662168990046</v>
      </c>
      <c r="H52" s="176">
        <v>12.128328144068401</v>
      </c>
      <c r="I52" s="169">
        <v>5.4637668721170041E-2</v>
      </c>
      <c r="O52" s="178">
        <v>-9.3793575747374708E-2</v>
      </c>
      <c r="P52" s="178">
        <v>8.8958807694498095E-3</v>
      </c>
      <c r="Q52" s="178">
        <v>0.11158533728627432</v>
      </c>
    </row>
    <row r="53" spans="2:17" x14ac:dyDescent="0.25">
      <c r="B53" s="108">
        <v>44264</v>
      </c>
      <c r="C53" s="108" t="s">
        <v>500</v>
      </c>
      <c r="D53" s="176">
        <v>12.793440708252231</v>
      </c>
      <c r="E53" s="176">
        <v>11.043731925763597</v>
      </c>
      <c r="F53" s="176">
        <v>13.133821778203343</v>
      </c>
      <c r="H53" s="176">
        <v>12.08877685198347</v>
      </c>
      <c r="I53" s="169">
        <v>5.8290748923299329E-2</v>
      </c>
      <c r="O53" s="178">
        <v>-9.3793575747374708E-2</v>
      </c>
      <c r="P53" s="178">
        <v>8.8958807694498095E-3</v>
      </c>
      <c r="Q53" s="178">
        <v>0.11158533728627432</v>
      </c>
    </row>
    <row r="54" spans="2:17" x14ac:dyDescent="0.25">
      <c r="B54" s="108">
        <v>44263</v>
      </c>
      <c r="C54" s="108" t="s">
        <v>501</v>
      </c>
      <c r="D54" s="176">
        <v>12.786210625919836</v>
      </c>
      <c r="E54" s="176">
        <v>11.064251595547095</v>
      </c>
      <c r="F54" s="176">
        <v>13.201408316995762</v>
      </c>
      <c r="H54" s="176">
        <v>12.132829956271429</v>
      </c>
      <c r="I54" s="169">
        <v>5.3852289367220196E-2</v>
      </c>
      <c r="O54" s="178">
        <v>-9.3793575747374708E-2</v>
      </c>
      <c r="P54" s="178">
        <v>8.8958807694498095E-3</v>
      </c>
      <c r="Q54" s="178">
        <v>0.11158533728627432</v>
      </c>
    </row>
    <row r="55" spans="2:17" x14ac:dyDescent="0.25">
      <c r="B55" s="108">
        <v>44260</v>
      </c>
      <c r="C55" s="108" t="s">
        <v>502</v>
      </c>
      <c r="D55" s="176">
        <v>12.793634640920441</v>
      </c>
      <c r="E55" s="176">
        <v>11.066582160243874</v>
      </c>
      <c r="F55" s="176">
        <v>13.203212086300049</v>
      </c>
      <c r="H55" s="176">
        <v>12.134897123271962</v>
      </c>
      <c r="I55" s="169">
        <v>5.4284557253078791E-2</v>
      </c>
      <c r="O55" s="178">
        <v>-9.3793575747374708E-2</v>
      </c>
      <c r="P55" s="178">
        <v>8.8958807694498095E-3</v>
      </c>
      <c r="Q55" s="178">
        <v>0.11158533728627432</v>
      </c>
    </row>
    <row r="56" spans="2:17" x14ac:dyDescent="0.25">
      <c r="B56" s="108">
        <v>44259</v>
      </c>
      <c r="C56" s="108" t="s">
        <v>503</v>
      </c>
      <c r="D56" s="176">
        <v>12.796111592322086</v>
      </c>
      <c r="E56" s="176">
        <v>11.067359242805351</v>
      </c>
      <c r="F56" s="176">
        <v>13.086342132977766</v>
      </c>
      <c r="H56" s="176">
        <v>12.076850687891557</v>
      </c>
      <c r="I56" s="169">
        <v>5.9556992383094753E-2</v>
      </c>
      <c r="O56" s="178">
        <v>-9.3793575747374708E-2</v>
      </c>
      <c r="P56" s="178">
        <v>8.8958807694498095E-3</v>
      </c>
      <c r="Q56" s="178">
        <v>0.11158533728627432</v>
      </c>
    </row>
    <row r="57" spans="2:17" x14ac:dyDescent="0.25">
      <c r="B57" s="108">
        <v>44258</v>
      </c>
      <c r="C57" s="108" t="s">
        <v>504</v>
      </c>
      <c r="D57" s="176">
        <v>12.798589684904012</v>
      </c>
      <c r="E57" s="176">
        <v>11.068136439239806</v>
      </c>
      <c r="F57" s="176">
        <v>13.090047697692505</v>
      </c>
      <c r="H57" s="176">
        <v>12.079092068466156</v>
      </c>
      <c r="I57" s="169">
        <v>5.9565537902984245E-2</v>
      </c>
      <c r="O57" s="178">
        <v>-9.3793575747374708E-2</v>
      </c>
      <c r="P57" s="178">
        <v>8.8958807694498095E-3</v>
      </c>
      <c r="Q57" s="178">
        <v>0.11158533728627432</v>
      </c>
    </row>
    <row r="58" spans="2:17" x14ac:dyDescent="0.25">
      <c r="B58" s="108">
        <v>44257</v>
      </c>
      <c r="C58" s="108" t="s">
        <v>505</v>
      </c>
      <c r="D58" s="176">
        <v>12.801068919455057</v>
      </c>
      <c r="E58" s="176">
        <v>11.068913749572275</v>
      </c>
      <c r="F58" s="176">
        <v>13.090659735490018</v>
      </c>
      <c r="H58" s="176">
        <v>12.079786742531146</v>
      </c>
      <c r="I58" s="169">
        <v>5.9709843583942046E-2</v>
      </c>
      <c r="O58" s="178">
        <v>-9.3793575747374708E-2</v>
      </c>
      <c r="P58" s="178">
        <v>8.8958807694498095E-3</v>
      </c>
      <c r="Q58" s="178">
        <v>0.11158533728627432</v>
      </c>
    </row>
    <row r="59" spans="2:17" x14ac:dyDescent="0.25">
      <c r="B59" s="108">
        <v>44256</v>
      </c>
      <c r="C59" s="108" t="s">
        <v>506</v>
      </c>
      <c r="D59" s="176">
        <v>13.021972605696867</v>
      </c>
      <c r="E59" s="176">
        <v>10.495935088580994</v>
      </c>
      <c r="F59" s="176">
        <v>13.19197172287911</v>
      </c>
      <c r="H59" s="176">
        <v>11.843953405730051</v>
      </c>
      <c r="I59" s="169">
        <v>9.9461654365922803E-2</v>
      </c>
      <c r="O59" s="178">
        <v>-9.3793575747374708E-2</v>
      </c>
      <c r="P59" s="178">
        <v>8.8958807694498095E-3</v>
      </c>
      <c r="Q59" s="178">
        <v>0.11158533728627432</v>
      </c>
    </row>
    <row r="60" spans="2:17" x14ac:dyDescent="0.25">
      <c r="B60" s="108">
        <v>44253</v>
      </c>
      <c r="C60" s="108" t="s">
        <v>507</v>
      </c>
      <c r="D60" s="176">
        <v>13.029658768383246</v>
      </c>
      <c r="E60" s="176">
        <v>10.498247502915651</v>
      </c>
      <c r="F60" s="176">
        <v>13.19395575425351</v>
      </c>
      <c r="H60" s="176">
        <v>11.846101628584581</v>
      </c>
      <c r="I60" s="169">
        <v>9.9911108051170983E-2</v>
      </c>
      <c r="O60" s="178">
        <v>-9.3793575747374708E-2</v>
      </c>
      <c r="P60" s="178">
        <v>8.8958807694498095E-3</v>
      </c>
      <c r="Q60" s="178">
        <v>0.11158533728627432</v>
      </c>
    </row>
    <row r="61" spans="2:17" x14ac:dyDescent="0.25">
      <c r="B61" s="108">
        <v>44252</v>
      </c>
      <c r="C61" s="108" t="s">
        <v>508</v>
      </c>
      <c r="D61" s="176">
        <v>13.032223209513102</v>
      </c>
      <c r="E61" s="176">
        <v>10.499018527960892</v>
      </c>
      <c r="F61" s="176">
        <v>13.194617286145006</v>
      </c>
      <c r="H61" s="176">
        <v>11.846817907052948</v>
      </c>
      <c r="I61" s="169">
        <v>0.10006107224408578</v>
      </c>
      <c r="O61" s="178">
        <v>-9.3793575747374708E-2</v>
      </c>
      <c r="P61" s="178">
        <v>8.8958807694498095E-3</v>
      </c>
      <c r="Q61" s="178">
        <v>0.11158533728627432</v>
      </c>
    </row>
    <row r="62" spans="2:17" x14ac:dyDescent="0.25">
      <c r="B62" s="108">
        <v>44251</v>
      </c>
      <c r="C62" s="108" t="s">
        <v>509</v>
      </c>
      <c r="D62" s="176">
        <v>13.034788845483641</v>
      </c>
      <c r="E62" s="176">
        <v>10.499789663178985</v>
      </c>
      <c r="F62" s="176">
        <v>13.195278912119971</v>
      </c>
      <c r="H62" s="176">
        <v>11.847534287649477</v>
      </c>
      <c r="I62" s="169">
        <v>0.10021110967130298</v>
      </c>
      <c r="O62" s="178">
        <v>-9.3793575747374708E-2</v>
      </c>
      <c r="P62" s="178">
        <v>8.8958807694498095E-3</v>
      </c>
      <c r="Q62" s="178">
        <v>0.11158533728627432</v>
      </c>
    </row>
    <row r="63" spans="2:17" x14ac:dyDescent="0.25">
      <c r="B63" s="108">
        <v>44250</v>
      </c>
      <c r="C63" s="108" t="s">
        <v>510</v>
      </c>
      <c r="D63" s="176">
        <v>13.037355677130121</v>
      </c>
      <c r="E63" s="176">
        <v>10.500560908593554</v>
      </c>
      <c r="F63" s="176">
        <v>13.195940632198468</v>
      </c>
      <c r="H63" s="176">
        <v>11.84825077039601</v>
      </c>
      <c r="I63" s="169">
        <v>0.10036122038412643</v>
      </c>
      <c r="O63" s="178">
        <v>-9.3793575747374708E-2</v>
      </c>
      <c r="P63" s="178">
        <v>8.8958807694498095E-3</v>
      </c>
      <c r="Q63" s="178">
        <v>0.11158533728627432</v>
      </c>
    </row>
    <row r="64" spans="2:17" x14ac:dyDescent="0.25">
      <c r="B64" s="108">
        <v>44249</v>
      </c>
      <c r="C64" s="108" t="s">
        <v>511</v>
      </c>
      <c r="D64" s="176">
        <v>13.039923705288571</v>
      </c>
      <c r="E64" s="176">
        <v>10.501332264228207</v>
      </c>
      <c r="F64" s="176">
        <v>13.168048880756194</v>
      </c>
      <c r="H64" s="176">
        <v>11.8346905724922</v>
      </c>
      <c r="I64" s="169">
        <v>0.10183900672466573</v>
      </c>
      <c r="O64" s="178">
        <v>-9.3793575747374708E-2</v>
      </c>
      <c r="P64" s="178">
        <v>8.8958807694498095E-3</v>
      </c>
      <c r="Q64" s="178">
        <v>0.11158533728627432</v>
      </c>
    </row>
    <row r="65" spans="2:17" x14ac:dyDescent="0.25">
      <c r="B65" s="108">
        <v>44246</v>
      </c>
      <c r="C65" s="108" t="s">
        <v>512</v>
      </c>
      <c r="D65" s="176">
        <v>13.047634977207816</v>
      </c>
      <c r="E65" s="176">
        <v>13.163760557183322</v>
      </c>
      <c r="F65" s="176">
        <v>13.170014708095431</v>
      </c>
      <c r="H65" s="176">
        <v>13.166887632639376</v>
      </c>
      <c r="I65" s="169">
        <v>-9.0570117068475842E-3</v>
      </c>
      <c r="O65" s="178">
        <v>-9.3793575747374708E-2</v>
      </c>
      <c r="P65" s="178">
        <v>8.8958807694498095E-3</v>
      </c>
      <c r="Q65" s="178">
        <v>0.11158533728627432</v>
      </c>
    </row>
    <row r="66" spans="2:17" x14ac:dyDescent="0.25">
      <c r="B66" s="108">
        <v>44245</v>
      </c>
      <c r="C66" s="108" t="s">
        <v>513</v>
      </c>
      <c r="D66" s="176">
        <v>13.050207799790114</v>
      </c>
      <c r="E66" s="176">
        <v>13.158250884806042</v>
      </c>
      <c r="F66" s="176">
        <v>13.170670169359694</v>
      </c>
      <c r="H66" s="176">
        <v>13.164460527082868</v>
      </c>
      <c r="I66" s="169">
        <v>-8.6788765143627211E-3</v>
      </c>
      <c r="O66" s="178">
        <v>-9.3793575747374708E-2</v>
      </c>
      <c r="P66" s="178">
        <v>8.8958807694498095E-3</v>
      </c>
      <c r="Q66" s="178">
        <v>0.11158533728627432</v>
      </c>
    </row>
    <row r="67" spans="2:17" x14ac:dyDescent="0.25">
      <c r="B67" s="108">
        <v>44244</v>
      </c>
      <c r="C67" s="108" t="s">
        <v>514</v>
      </c>
      <c r="D67" s="176">
        <v>13.052781823076275</v>
      </c>
      <c r="E67" s="176">
        <v>13.152740424749984</v>
      </c>
      <c r="F67" s="176">
        <v>13.171325723399013</v>
      </c>
      <c r="H67" s="176">
        <v>13.162033074074499</v>
      </c>
      <c r="I67" s="169">
        <v>-8.3004844603693506E-3</v>
      </c>
      <c r="O67" s="178">
        <v>-9.3793575747374708E-2</v>
      </c>
      <c r="P67" s="178">
        <v>8.8958807694498095E-3</v>
      </c>
      <c r="Q67" s="178">
        <v>0.11158533728627432</v>
      </c>
    </row>
    <row r="68" spans="2:17" x14ac:dyDescent="0.25">
      <c r="B68" s="108">
        <v>44243</v>
      </c>
      <c r="C68" s="108" t="s">
        <v>515</v>
      </c>
      <c r="D68" s="176">
        <v>13.055357047907025</v>
      </c>
      <c r="E68" s="176">
        <v>13.147229176846224</v>
      </c>
      <c r="F68" s="176">
        <v>13.171981370233118</v>
      </c>
      <c r="H68" s="176">
        <v>13.159605273539672</v>
      </c>
      <c r="I68" s="169">
        <v>-7.9218353032413091E-3</v>
      </c>
      <c r="O68" s="178">
        <v>-9.3793575747374708E-2</v>
      </c>
      <c r="P68" s="178">
        <v>8.8958807694498095E-3</v>
      </c>
      <c r="Q68" s="178">
        <v>0.11158533728627432</v>
      </c>
    </row>
    <row r="69" spans="2:17" x14ac:dyDescent="0.25">
      <c r="B69" s="108">
        <v>44242</v>
      </c>
      <c r="C69" s="108" t="s">
        <v>516</v>
      </c>
      <c r="D69" s="176">
        <v>13.057933475123868</v>
      </c>
      <c r="E69" s="176">
        <v>13.141717140925788</v>
      </c>
      <c r="F69" s="176">
        <v>13.172637109881684</v>
      </c>
      <c r="H69" s="176">
        <v>13.157177125403736</v>
      </c>
      <c r="I69" s="169">
        <v>-7.5429288010609996E-3</v>
      </c>
      <c r="O69" s="178">
        <v>-9.3793575747374708E-2</v>
      </c>
      <c r="P69" s="178">
        <v>8.8958807694498095E-3</v>
      </c>
      <c r="Q69" s="178">
        <v>0.11158533728627432</v>
      </c>
    </row>
    <row r="70" spans="2:17" x14ac:dyDescent="0.25">
      <c r="B70" s="108">
        <v>44239</v>
      </c>
      <c r="C70" s="108" t="s">
        <v>517</v>
      </c>
      <c r="D70" s="176">
        <v>13.065669979517899</v>
      </c>
      <c r="E70" s="176">
        <v>13.125176303373978</v>
      </c>
      <c r="F70" s="176">
        <v>13.174604885911377</v>
      </c>
      <c r="H70" s="176">
        <v>13.149890594642677</v>
      </c>
      <c r="I70" s="169">
        <v>-6.4046628006996231E-3</v>
      </c>
      <c r="O70" s="178">
        <v>-9.3793575747374708E-2</v>
      </c>
      <c r="P70" s="178">
        <v>8.8958807694498095E-3</v>
      </c>
      <c r="Q70" s="178">
        <v>0.11158533728627432</v>
      </c>
    </row>
    <row r="71" spans="2:17" x14ac:dyDescent="0.25">
      <c r="B71" s="108">
        <v>44238</v>
      </c>
      <c r="C71" s="108" t="s">
        <v>518</v>
      </c>
      <c r="D71" s="176">
        <v>13.036452716377205</v>
      </c>
      <c r="E71" s="176">
        <v>13.119661113696145</v>
      </c>
      <c r="F71" s="176">
        <v>13.175260997014993</v>
      </c>
      <c r="H71" s="176">
        <v>13.147461055355569</v>
      </c>
      <c r="I71" s="169">
        <v>-8.4433289827577918E-3</v>
      </c>
      <c r="O71" s="178">
        <v>-9.3793575747374708E-2</v>
      </c>
      <c r="P71" s="178">
        <v>8.8958807694498095E-3</v>
      </c>
      <c r="Q71" s="178">
        <v>0.11158533728627432</v>
      </c>
    </row>
    <row r="72" spans="2:17" x14ac:dyDescent="0.25">
      <c r="B72" s="108">
        <v>44237</v>
      </c>
      <c r="C72" s="108" t="s">
        <v>519</v>
      </c>
      <c r="D72" s="176">
        <v>13.039067258382067</v>
      </c>
      <c r="E72" s="176">
        <v>13.114145135156045</v>
      </c>
      <c r="F72" s="176">
        <v>13.1759172010317</v>
      </c>
      <c r="H72" s="176">
        <v>13.145031168093873</v>
      </c>
      <c r="I72" s="169">
        <v>-8.0611379582731235E-3</v>
      </c>
      <c r="O72" s="178">
        <v>-9.3793575747374708E-2</v>
      </c>
      <c r="P72" s="178">
        <v>8.8958807694498095E-3</v>
      </c>
      <c r="Q72" s="178">
        <v>0.11158533728627432</v>
      </c>
    </row>
    <row r="73" spans="2:17" x14ac:dyDescent="0.25">
      <c r="B73" s="108">
        <v>44236</v>
      </c>
      <c r="C73" s="108" t="s">
        <v>520</v>
      </c>
      <c r="D73" s="176">
        <v>13.041683038242827</v>
      </c>
      <c r="E73" s="176">
        <v>13.108628367584409</v>
      </c>
      <c r="F73" s="176">
        <v>13.176573497981211</v>
      </c>
      <c r="H73" s="176">
        <v>13.142600932782809</v>
      </c>
      <c r="I73" s="169">
        <v>-7.6786851442969262E-3</v>
      </c>
      <c r="O73" s="178">
        <v>-9.3793575747374708E-2</v>
      </c>
      <c r="P73" s="178">
        <v>8.8958807694498095E-3</v>
      </c>
      <c r="Q73" s="178">
        <v>0.11158533728627432</v>
      </c>
    </row>
    <row r="74" spans="2:17" x14ac:dyDescent="0.25">
      <c r="B74" s="108">
        <v>44235</v>
      </c>
      <c r="C74" s="108" t="s">
        <v>521</v>
      </c>
      <c r="D74" s="176">
        <v>13.044300056838782</v>
      </c>
      <c r="E74" s="176">
        <v>13.103110810811932</v>
      </c>
      <c r="F74" s="176">
        <v>13.177229887883298</v>
      </c>
      <c r="H74" s="176">
        <v>13.140170349347615</v>
      </c>
      <c r="I74" s="169">
        <v>-7.2959702926219672E-3</v>
      </c>
      <c r="O74" s="178">
        <v>-9.3793575747374708E-2</v>
      </c>
      <c r="P74" s="178">
        <v>8.8958807694498095E-3</v>
      </c>
      <c r="Q74" s="178">
        <v>0.11158533728627432</v>
      </c>
    </row>
    <row r="75" spans="2:17" x14ac:dyDescent="0.25">
      <c r="B75" s="108">
        <v>44232</v>
      </c>
      <c r="C75" s="108" t="s">
        <v>522</v>
      </c>
      <c r="D75" s="176">
        <v>13.052158553843377</v>
      </c>
      <c r="E75" s="176">
        <v>13.086553403595575</v>
      </c>
      <c r="F75" s="176">
        <v>13.179199615502412</v>
      </c>
      <c r="H75" s="176">
        <v>13.132876509548993</v>
      </c>
      <c r="I75" s="169">
        <v>-6.1462510248173619E-3</v>
      </c>
      <c r="O75" s="178">
        <v>-9.3793575747374708E-2</v>
      </c>
      <c r="P75" s="178">
        <v>8.8958807694498095E-3</v>
      </c>
      <c r="Q75" s="178">
        <v>0.11158533728627432</v>
      </c>
    </row>
    <row r="76" spans="2:17" x14ac:dyDescent="0.25">
      <c r="B76" s="108">
        <v>44231</v>
      </c>
      <c r="C76" s="108" t="s">
        <v>523</v>
      </c>
      <c r="D76" s="176">
        <v>13.322547406611406</v>
      </c>
      <c r="E76" s="176">
        <v>13.578504454417605</v>
      </c>
      <c r="F76" s="176">
        <v>13.171136543997457</v>
      </c>
      <c r="H76" s="176">
        <v>13.37482049920753</v>
      </c>
      <c r="I76" s="169">
        <v>-3.9083210574094585E-3</v>
      </c>
      <c r="O76" s="178">
        <v>-9.3793575747374708E-2</v>
      </c>
      <c r="P76" s="178">
        <v>8.8958807694498095E-3</v>
      </c>
      <c r="Q76" s="178">
        <v>0.11158533728627432</v>
      </c>
    </row>
    <row r="77" spans="2:17" x14ac:dyDescent="0.25">
      <c r="B77" s="108">
        <v>44230</v>
      </c>
      <c r="C77" s="108" t="s">
        <v>524</v>
      </c>
      <c r="D77" s="176">
        <v>13.222762550868177</v>
      </c>
      <c r="E77" s="176">
        <v>13.573061988199202</v>
      </c>
      <c r="F77" s="176">
        <v>13.320091936167849</v>
      </c>
      <c r="H77" s="176">
        <v>13.446576962183524</v>
      </c>
      <c r="I77" s="169">
        <v>-1.6644712772982406E-2</v>
      </c>
      <c r="O77" s="178">
        <v>-9.3793575747374708E-2</v>
      </c>
      <c r="P77" s="178">
        <v>8.8958807694498095E-3</v>
      </c>
      <c r="Q77" s="178">
        <v>0.11158533728627432</v>
      </c>
    </row>
    <row r="78" spans="2:17" x14ac:dyDescent="0.25">
      <c r="B78" s="108">
        <v>44229</v>
      </c>
      <c r="C78" s="108" t="s">
        <v>525</v>
      </c>
      <c r="D78" s="176">
        <v>13.225339507735635</v>
      </c>
      <c r="E78" s="176">
        <v>13.567618794853189</v>
      </c>
      <c r="F78" s="176">
        <v>13.226909396107231</v>
      </c>
      <c r="H78" s="176">
        <v>13.39726409548021</v>
      </c>
      <c r="I78" s="169">
        <v>-1.2832813216138383E-2</v>
      </c>
      <c r="O78" s="178">
        <v>-9.3793575747374708E-2</v>
      </c>
      <c r="P78" s="178">
        <v>8.8958807694498095E-3</v>
      </c>
      <c r="Q78" s="178">
        <v>0.11158533728627432</v>
      </c>
    </row>
    <row r="79" spans="2:17" x14ac:dyDescent="0.25">
      <c r="B79" s="108">
        <v>44228</v>
      </c>
      <c r="C79" s="108" t="s">
        <v>526</v>
      </c>
      <c r="D79" s="176">
        <v>13.227917675836798</v>
      </c>
      <c r="E79" s="176">
        <v>13.56217487423385</v>
      </c>
      <c r="F79" s="176">
        <v>13.227966684630482</v>
      </c>
      <c r="H79" s="176">
        <v>13.395070779432167</v>
      </c>
      <c r="I79" s="169">
        <v>-1.24787025278007E-2</v>
      </c>
      <c r="O79" s="178">
        <v>-9.3793575747374708E-2</v>
      </c>
      <c r="P79" s="178">
        <v>8.8958807694498095E-3</v>
      </c>
      <c r="Q79" s="178">
        <v>0.11158533728627432</v>
      </c>
    </row>
    <row r="80" spans="2:17" x14ac:dyDescent="0.25">
      <c r="B80" s="108">
        <v>44225</v>
      </c>
      <c r="C80" s="108" t="s">
        <v>527</v>
      </c>
      <c r="D80" s="176">
        <v>13.235659456088213</v>
      </c>
      <c r="E80" s="176">
        <v>13.545838747277946</v>
      </c>
      <c r="F80" s="176">
        <v>13.231139809446001</v>
      </c>
      <c r="H80" s="176">
        <v>13.388489278361973</v>
      </c>
      <c r="I80" s="169">
        <v>-1.1415016219997187E-2</v>
      </c>
      <c r="O80" s="178">
        <v>-9.3793575747374708E-2</v>
      </c>
      <c r="P80" s="178">
        <v>8.8958807694498095E-3</v>
      </c>
      <c r="Q80" s="178">
        <v>0.11158533728627432</v>
      </c>
    </row>
    <row r="81" spans="2:17" x14ac:dyDescent="0.25">
      <c r="B81" s="108">
        <v>44224</v>
      </c>
      <c r="C81" s="108" t="s">
        <v>528</v>
      </c>
      <c r="D81" s="176">
        <v>13.238242477673902</v>
      </c>
      <c r="E81" s="176">
        <v>13.540391916107209</v>
      </c>
      <c r="F81" s="176">
        <v>13.232197937674748</v>
      </c>
      <c r="H81" s="176">
        <v>13.386294926890979</v>
      </c>
      <c r="I81" s="169">
        <v>-1.1060002041316408E-2</v>
      </c>
      <c r="O81" s="178">
        <v>-9.3793575747374708E-2</v>
      </c>
      <c r="P81" s="178">
        <v>8.8958807694498095E-3</v>
      </c>
      <c r="Q81" s="178">
        <v>0.11158533728627432</v>
      </c>
    </row>
    <row r="82" spans="2:17" x14ac:dyDescent="0.25">
      <c r="B82" s="108">
        <v>44223</v>
      </c>
      <c r="C82" s="108" t="s">
        <v>529</v>
      </c>
      <c r="D82" s="176">
        <v>13.240826714772169</v>
      </c>
      <c r="E82" s="176">
        <v>13.534944356933897</v>
      </c>
      <c r="F82" s="176">
        <v>13.233256275986164</v>
      </c>
      <c r="H82" s="176">
        <v>13.384100316460032</v>
      </c>
      <c r="I82" s="169">
        <v>-1.0704761493132375E-2</v>
      </c>
      <c r="O82" s="178">
        <v>-9.3793575747374708E-2</v>
      </c>
      <c r="P82" s="178">
        <v>8.8958807694498095E-3</v>
      </c>
      <c r="Q82" s="178">
        <v>0.11158533728627432</v>
      </c>
    </row>
    <row r="83" spans="2:17" x14ac:dyDescent="0.25">
      <c r="B83" s="108">
        <v>44222</v>
      </c>
      <c r="C83" s="108" t="s">
        <v>530</v>
      </c>
      <c r="D83" s="176">
        <v>13.243412168241209</v>
      </c>
      <c r="E83" s="176">
        <v>13.529496069612073</v>
      </c>
      <c r="F83" s="176">
        <v>13.234314824442841</v>
      </c>
      <c r="H83" s="176">
        <v>13.381905447027457</v>
      </c>
      <c r="I83" s="169">
        <v>-1.0349294376236329E-2</v>
      </c>
      <c r="O83" s="178">
        <v>-9.3793575747374708E-2</v>
      </c>
      <c r="P83" s="178">
        <v>8.8958807694498095E-3</v>
      </c>
      <c r="Q83" s="178">
        <v>0.11158533728627432</v>
      </c>
    </row>
    <row r="84" spans="2:17" x14ac:dyDescent="0.25">
      <c r="B84" s="108">
        <v>44221</v>
      </c>
      <c r="C84" s="108" t="s">
        <v>531</v>
      </c>
      <c r="D84" s="176">
        <v>13.245998838940018</v>
      </c>
      <c r="E84" s="176">
        <v>13.524047053995714</v>
      </c>
      <c r="F84" s="176">
        <v>13.235373583107361</v>
      </c>
      <c r="H84" s="176">
        <v>13.379710318551538</v>
      </c>
      <c r="I84" s="169">
        <v>-9.9936004911947984E-3</v>
      </c>
      <c r="O84" s="178">
        <v>-9.3793575747374708E-2</v>
      </c>
      <c r="P84" s="178">
        <v>8.8958807694498095E-3</v>
      </c>
      <c r="Q84" s="178">
        <v>0.11158533728627432</v>
      </c>
    </row>
    <row r="85" spans="2:17" x14ac:dyDescent="0.25">
      <c r="B85" s="108">
        <v>44218</v>
      </c>
      <c r="C85" s="108" t="s">
        <v>532</v>
      </c>
      <c r="D85" s="176">
        <v>13.253766163017204</v>
      </c>
      <c r="E85" s="176">
        <v>13.507695635918877</v>
      </c>
      <c r="F85" s="176">
        <v>13.238551120974314</v>
      </c>
      <c r="H85" s="176">
        <v>13.373123378446596</v>
      </c>
      <c r="I85" s="169">
        <v>-8.9251562295282749E-3</v>
      </c>
      <c r="O85" s="178">
        <v>-9.3793575747374708E-2</v>
      </c>
      <c r="P85" s="178">
        <v>8.8958807694498095E-3</v>
      </c>
      <c r="Q85" s="178">
        <v>0.11158533728627432</v>
      </c>
    </row>
    <row r="86" spans="2:17" x14ac:dyDescent="0.25">
      <c r="B86" s="108">
        <v>44217</v>
      </c>
      <c r="C86" s="108" t="s">
        <v>533</v>
      </c>
      <c r="D86" s="176">
        <v>13.256357711241284</v>
      </c>
      <c r="E86" s="176">
        <v>13.502243705663611</v>
      </c>
      <c r="F86" s="176">
        <v>13.239610721096664</v>
      </c>
      <c r="H86" s="176">
        <v>13.370927213380138</v>
      </c>
      <c r="I86" s="169">
        <v>-8.5685532731197833E-3</v>
      </c>
      <c r="O86" s="178">
        <v>-9.3793575747374708E-2</v>
      </c>
      <c r="P86" s="178">
        <v>8.8958807694498095E-3</v>
      </c>
      <c r="Q86" s="178">
        <v>0.11158533728627432</v>
      </c>
    </row>
    <row r="87" spans="2:17" x14ac:dyDescent="0.25">
      <c r="B87" s="108">
        <v>44216</v>
      </c>
      <c r="C87" s="108" t="s">
        <v>534</v>
      </c>
      <c r="D87" s="176">
        <v>13.258950481002289</v>
      </c>
      <c r="E87" s="176">
        <v>13.496791046383226</v>
      </c>
      <c r="F87" s="176">
        <v>13.240670531740227</v>
      </c>
      <c r="H87" s="176">
        <v>13.368730789061726</v>
      </c>
      <c r="I87" s="169">
        <v>-8.211722548056577E-3</v>
      </c>
      <c r="O87" s="178">
        <v>-9.3793575747374708E-2</v>
      </c>
      <c r="P87" s="178">
        <v>8.8958807694498095E-3</v>
      </c>
      <c r="Q87" s="178">
        <v>0.11158533728627432</v>
      </c>
    </row>
    <row r="88" spans="2:17" x14ac:dyDescent="0.25">
      <c r="B88" s="108">
        <v>44215</v>
      </c>
      <c r="C88" s="108" t="s">
        <v>535</v>
      </c>
      <c r="D88" s="176">
        <v>13.261544473164088</v>
      </c>
      <c r="E88" s="176">
        <v>13.491337657931476</v>
      </c>
      <c r="F88" s="176">
        <v>13.24173055296772</v>
      </c>
      <c r="H88" s="176">
        <v>13.366534105449599</v>
      </c>
      <c r="I88" s="169">
        <v>-7.8546638535643698E-3</v>
      </c>
      <c r="O88" s="178">
        <v>-9.3793575747374708E-2</v>
      </c>
      <c r="P88" s="178">
        <v>8.8958807694498095E-3</v>
      </c>
      <c r="Q88" s="178">
        <v>0.11158533728627432</v>
      </c>
    </row>
    <row r="89" spans="2:17" x14ac:dyDescent="0.25">
      <c r="B89" s="108">
        <v>44214</v>
      </c>
      <c r="C89" s="108" t="s">
        <v>536</v>
      </c>
      <c r="D89" s="176">
        <v>13.264139688591362</v>
      </c>
      <c r="E89" s="176">
        <v>13.485883540162103</v>
      </c>
      <c r="F89" s="176">
        <v>13.242790784841942</v>
      </c>
      <c r="H89" s="176">
        <v>13.364337162502022</v>
      </c>
      <c r="I89" s="169">
        <v>-7.4973769886468311E-3</v>
      </c>
      <c r="O89" s="178">
        <v>-9.3793575747374708E-2</v>
      </c>
      <c r="P89" s="178">
        <v>8.8958807694498095E-3</v>
      </c>
      <c r="Q89" s="178">
        <v>0.11158533728627432</v>
      </c>
    </row>
    <row r="90" spans="2:17" x14ac:dyDescent="0.25">
      <c r="B90" s="108">
        <v>44211</v>
      </c>
      <c r="C90" s="108" t="s">
        <v>537</v>
      </c>
      <c r="D90" s="176">
        <v>13.271932683125097</v>
      </c>
      <c r="E90" s="176">
        <v>13.469516809484833</v>
      </c>
      <c r="F90" s="176">
        <v>13.245972744972979</v>
      </c>
      <c r="H90" s="176">
        <v>13.357744777228906</v>
      </c>
      <c r="I90" s="169">
        <v>-6.4241453579868546E-3</v>
      </c>
      <c r="O90" s="178">
        <v>-9.3793575747374708E-2</v>
      </c>
      <c r="P90" s="178">
        <v>8.8958807694498095E-3</v>
      </c>
      <c r="Q90" s="178">
        <v>0.11158533728627432</v>
      </c>
    </row>
    <row r="91" spans="2:17" x14ac:dyDescent="0.25">
      <c r="B91" s="108">
        <v>44210</v>
      </c>
      <c r="C91" s="108" t="s">
        <v>538</v>
      </c>
      <c r="D91" s="176">
        <v>13.274532800277427</v>
      </c>
      <c r="E91" s="176">
        <v>13.464059772981379</v>
      </c>
      <c r="F91" s="176">
        <v>13.247033820062271</v>
      </c>
      <c r="H91" s="176">
        <v>13.355546796521825</v>
      </c>
      <c r="I91" s="169">
        <v>-6.0659437968871854E-3</v>
      </c>
      <c r="O91" s="178">
        <v>-9.3793575747374708E-2</v>
      </c>
      <c r="P91" s="178">
        <v>8.8958807694498095E-3</v>
      </c>
      <c r="Q91" s="178">
        <v>0.11158533728627432</v>
      </c>
    </row>
    <row r="92" spans="2:17" x14ac:dyDescent="0.25">
      <c r="B92" s="108">
        <v>44209</v>
      </c>
      <c r="C92" s="108" t="s">
        <v>539</v>
      </c>
      <c r="D92" s="176">
        <v>13.277134145030907</v>
      </c>
      <c r="E92" s="176">
        <v>13.458602006428336</v>
      </c>
      <c r="F92" s="176">
        <v>13.248095106112496</v>
      </c>
      <c r="H92" s="176">
        <v>13.353348556270415</v>
      </c>
      <c r="I92" s="169">
        <v>-5.7075130569942401E-3</v>
      </c>
      <c r="O92" s="178">
        <v>-9.3793575747374708E-2</v>
      </c>
      <c r="P92" s="178">
        <v>8.8958807694498095E-3</v>
      </c>
      <c r="Q92" s="178">
        <v>0.11158533728627432</v>
      </c>
    </row>
    <row r="93" spans="2:17" x14ac:dyDescent="0.25">
      <c r="B93" s="108">
        <v>44208</v>
      </c>
      <c r="C93" s="108" t="s">
        <v>540</v>
      </c>
      <c r="D93" s="176">
        <v>13.279736718255121</v>
      </c>
      <c r="E93" s="176">
        <v>13.453143509679185</v>
      </c>
      <c r="F93" s="176">
        <v>13.249156603186597</v>
      </c>
      <c r="H93" s="176">
        <v>13.351150056432891</v>
      </c>
      <c r="I93" s="169">
        <v>-5.3488529359582149E-3</v>
      </c>
      <c r="O93" s="178">
        <v>-9.3793575747374708E-2</v>
      </c>
      <c r="P93" s="178">
        <v>8.8958807694498095E-3</v>
      </c>
      <c r="Q93" s="178">
        <v>0.11158533728627432</v>
      </c>
    </row>
    <row r="94" spans="2:17" x14ac:dyDescent="0.25">
      <c r="B94" s="108">
        <v>44207</v>
      </c>
      <c r="C94" s="108" t="s">
        <v>541</v>
      </c>
      <c r="D94" s="176">
        <v>13.335506721368644</v>
      </c>
      <c r="E94" s="176">
        <v>13.312778936150986</v>
      </c>
      <c r="F94" s="176">
        <v>13.441700849419723</v>
      </c>
      <c r="H94" s="176">
        <v>13.377239892785354</v>
      </c>
      <c r="I94" s="169">
        <v>-3.1197146609607262E-3</v>
      </c>
      <c r="O94" s="178">
        <v>-9.3793575747374708E-2</v>
      </c>
      <c r="P94" s="178">
        <v>8.8958807694498095E-3</v>
      </c>
      <c r="Q94" s="178">
        <v>0.11158533728627432</v>
      </c>
    </row>
    <row r="95" spans="2:17" x14ac:dyDescent="0.25">
      <c r="B95" s="108">
        <v>44204</v>
      </c>
      <c r="C95" s="108" t="s">
        <v>542</v>
      </c>
      <c r="D95" s="176">
        <v>13.343538861183259</v>
      </c>
      <c r="E95" s="176">
        <v>13.306503882599802</v>
      </c>
      <c r="F95" s="176">
        <v>13.443730801188291</v>
      </c>
      <c r="H95" s="176">
        <v>13.375117341894047</v>
      </c>
      <c r="I95" s="169">
        <v>-2.3609871901367763E-3</v>
      </c>
      <c r="O95" s="178">
        <v>-9.3793575747374708E-2</v>
      </c>
      <c r="P95" s="178">
        <v>8.8958807694498095E-3</v>
      </c>
      <c r="Q95" s="178">
        <v>0.11158533728627432</v>
      </c>
    </row>
    <row r="96" spans="2:17" x14ac:dyDescent="0.25">
      <c r="B96" s="108">
        <v>44203</v>
      </c>
      <c r="C96" s="108" t="s">
        <v>543</v>
      </c>
      <c r="D96" s="176">
        <v>13.372404127500747</v>
      </c>
      <c r="E96" s="176">
        <v>13.300955979549913</v>
      </c>
      <c r="F96" s="176">
        <v>13.374275513064159</v>
      </c>
      <c r="H96" s="176">
        <v>13.337615746307037</v>
      </c>
      <c r="I96" s="169">
        <v>2.6082908561331219E-3</v>
      </c>
      <c r="O96" s="178">
        <v>-9.3793575747374708E-2</v>
      </c>
      <c r="P96" s="178">
        <v>8.8958807694498095E-3</v>
      </c>
      <c r="Q96" s="178">
        <v>0.11158533728627432</v>
      </c>
    </row>
    <row r="97" spans="2:17" x14ac:dyDescent="0.25">
      <c r="B97" s="108">
        <v>44202</v>
      </c>
      <c r="C97" s="108" t="s">
        <v>544</v>
      </c>
      <c r="D97" s="176">
        <v>13.375091498269681</v>
      </c>
      <c r="E97" s="176">
        <v>13.295407342755272</v>
      </c>
      <c r="F97" s="176">
        <v>13.423911115820824</v>
      </c>
      <c r="H97" s="176">
        <v>13.359659229288049</v>
      </c>
      <c r="I97" s="169">
        <v>1.155139417613249E-3</v>
      </c>
      <c r="O97" s="178">
        <v>-9.3793575747374708E-2</v>
      </c>
      <c r="P97" s="178">
        <v>8.8958807694498095E-3</v>
      </c>
      <c r="Q97" s="178">
        <v>0.11158533728627432</v>
      </c>
    </row>
    <row r="98" spans="2:17" x14ac:dyDescent="0.25">
      <c r="B98" s="108">
        <v>44201</v>
      </c>
      <c r="C98" s="108" t="s">
        <v>545</v>
      </c>
      <c r="D98" s="176">
        <v>13.173556883104792</v>
      </c>
      <c r="E98" s="176">
        <v>13.289857972070301</v>
      </c>
      <c r="F98" s="176">
        <v>13.320614433726423</v>
      </c>
      <c r="H98" s="176">
        <v>13.305236202898362</v>
      </c>
      <c r="I98" s="169">
        <v>-9.8968043697627017E-3</v>
      </c>
      <c r="O98" s="178">
        <v>-9.3793575747374708E-2</v>
      </c>
      <c r="P98" s="178">
        <v>8.8958807694498095E-3</v>
      </c>
      <c r="Q98" s="178">
        <v>0.11158533728627432</v>
      </c>
    </row>
    <row r="99" spans="2:17" x14ac:dyDescent="0.25">
      <c r="B99" s="108">
        <v>44200</v>
      </c>
      <c r="C99" s="108" t="s">
        <v>546</v>
      </c>
      <c r="D99" s="176">
        <v>13.187085717052046</v>
      </c>
      <c r="E99" s="176">
        <v>13.284307867349392</v>
      </c>
      <c r="F99" s="176">
        <v>13.321299363848441</v>
      </c>
      <c r="H99" s="176">
        <v>13.302803615598917</v>
      </c>
      <c r="I99" s="169">
        <v>-8.698760193015187E-3</v>
      </c>
      <c r="O99" s="178">
        <v>-9.3793575747374708E-2</v>
      </c>
      <c r="P99" s="178">
        <v>8.8958807694498095E-3</v>
      </c>
      <c r="Q99" s="178">
        <v>0.11158533728627432</v>
      </c>
    </row>
    <row r="100" spans="2:17" x14ac:dyDescent="0.25">
      <c r="B100" s="108">
        <v>44196</v>
      </c>
      <c r="C100" s="108" t="s">
        <v>547</v>
      </c>
      <c r="D100" s="176">
        <v>13.19748131907518</v>
      </c>
      <c r="E100" s="176">
        <v>13.262100105192779</v>
      </c>
      <c r="F100" s="176">
        <v>13.324040130648099</v>
      </c>
      <c r="H100" s="176">
        <v>13.29307011792044</v>
      </c>
      <c r="I100" s="169">
        <v>-7.1908744930485602E-3</v>
      </c>
      <c r="O100" s="178">
        <v>-9.3793575747374708E-2</v>
      </c>
      <c r="P100" s="178">
        <v>8.8958807694498095E-3</v>
      </c>
      <c r="Q100" s="178">
        <v>0.11158533728627432</v>
      </c>
    </row>
    <row r="101" spans="2:17" x14ac:dyDescent="0.25">
      <c r="B101" s="108">
        <v>44195</v>
      </c>
      <c r="C101" s="108" t="s">
        <v>548</v>
      </c>
      <c r="D101" s="176">
        <v>13.200083246006802</v>
      </c>
      <c r="E101" s="176">
        <v>13.256546328106653</v>
      </c>
      <c r="F101" s="176">
        <v>13.324725584045796</v>
      </c>
      <c r="H101" s="176">
        <v>13.290635956076224</v>
      </c>
      <c r="I101" s="169">
        <v>-6.8132714167092878E-3</v>
      </c>
      <c r="O101" s="178">
        <v>-9.3793575747374708E-2</v>
      </c>
      <c r="P101" s="178">
        <v>8.8958807694498095E-3</v>
      </c>
      <c r="Q101" s="178">
        <v>0.11158533728627432</v>
      </c>
    </row>
    <row r="102" spans="2:17" x14ac:dyDescent="0.25">
      <c r="B102" s="108">
        <v>44194</v>
      </c>
      <c r="C102" s="108" t="s">
        <v>549</v>
      </c>
      <c r="D102" s="176">
        <v>13.202686385200805</v>
      </c>
      <c r="E102" s="176">
        <v>13.250991816110108</v>
      </c>
      <c r="F102" s="176">
        <v>13.325411142170587</v>
      </c>
      <c r="H102" s="176">
        <v>13.288201479140348</v>
      </c>
      <c r="I102" s="169">
        <v>-6.4354152120423835E-3</v>
      </c>
      <c r="O102" s="178">
        <v>-9.3793575747374708E-2</v>
      </c>
      <c r="P102" s="178">
        <v>8.8958807694498095E-3</v>
      </c>
      <c r="Q102" s="178">
        <v>0.11158533728627432</v>
      </c>
    </row>
    <row r="103" spans="2:17" x14ac:dyDescent="0.25">
      <c r="B103" s="108">
        <v>44189</v>
      </c>
      <c r="C103" s="108" t="s">
        <v>550</v>
      </c>
      <c r="D103" s="176">
        <v>13.215720294793369</v>
      </c>
      <c r="E103" s="176">
        <v>13.223208227363898</v>
      </c>
      <c r="F103" s="176">
        <v>13.328840504541368</v>
      </c>
      <c r="H103" s="176">
        <v>13.276024365952633</v>
      </c>
      <c r="I103" s="169">
        <v>-4.5423290510010483E-3</v>
      </c>
      <c r="O103" s="178">
        <v>-9.3793575747374708E-2</v>
      </c>
      <c r="P103" s="178">
        <v>8.8958807694498095E-3</v>
      </c>
      <c r="Q103" s="178">
        <v>0.11158533728627432</v>
      </c>
    </row>
    <row r="104" spans="2:17" x14ac:dyDescent="0.25">
      <c r="B104" s="108">
        <v>44188</v>
      </c>
      <c r="C104" s="108" t="s">
        <v>551</v>
      </c>
      <c r="D104" s="176">
        <v>13.218330725384838</v>
      </c>
      <c r="E104" s="176">
        <v>13.217649302839979</v>
      </c>
      <c r="F104" s="176">
        <v>13.329526691533067</v>
      </c>
      <c r="H104" s="176">
        <v>13.273587997186523</v>
      </c>
      <c r="I104" s="169">
        <v>-4.1629491448278433E-3</v>
      </c>
      <c r="O104" s="178">
        <v>-9.3793575747374708E-2</v>
      </c>
      <c r="P104" s="178">
        <v>8.8958807694498095E-3</v>
      </c>
      <c r="Q104" s="178">
        <v>0.11158533728627432</v>
      </c>
    </row>
    <row r="105" spans="2:17" x14ac:dyDescent="0.25">
      <c r="B105" s="108">
        <v>44187</v>
      </c>
      <c r="C105" s="108" t="s">
        <v>552</v>
      </c>
      <c r="D105" s="176">
        <v>13.220942374187141</v>
      </c>
      <c r="E105" s="176">
        <v>13.21208964238366</v>
      </c>
      <c r="F105" s="176">
        <v>13.33021298342002</v>
      </c>
      <c r="H105" s="176">
        <v>13.271151312901839</v>
      </c>
      <c r="I105" s="169">
        <v>-3.7833144638993454E-3</v>
      </c>
      <c r="O105" s="178">
        <v>-9.3793575747374708E-2</v>
      </c>
      <c r="P105" s="178">
        <v>8.8958807694498095E-3</v>
      </c>
      <c r="Q105" s="178">
        <v>0.11158533728627432</v>
      </c>
    </row>
    <row r="106" spans="2:17" x14ac:dyDescent="0.25">
      <c r="B106" s="108">
        <v>44186</v>
      </c>
      <c r="C106" s="108" t="s">
        <v>553</v>
      </c>
      <c r="D106" s="176">
        <v>13.22355524205323</v>
      </c>
      <c r="E106" s="176">
        <v>13.206529245848785</v>
      </c>
      <c r="F106" s="176">
        <v>13.330899380226313</v>
      </c>
      <c r="H106" s="176">
        <v>13.268714313037549</v>
      </c>
      <c r="I106" s="169">
        <v>-3.4034247719046951E-3</v>
      </c>
      <c r="O106" s="178">
        <v>-9.3793575747374708E-2</v>
      </c>
      <c r="P106" s="178">
        <v>8.8958807694498095E-3</v>
      </c>
      <c r="Q106" s="178">
        <v>0.11158533728627432</v>
      </c>
    </row>
    <row r="107" spans="2:17" x14ac:dyDescent="0.25">
      <c r="B107" s="108">
        <v>44183</v>
      </c>
      <c r="C107" s="108" t="s">
        <v>554</v>
      </c>
      <c r="D107" s="176">
        <v>13.231401168575715</v>
      </c>
      <c r="E107" s="176">
        <v>13.189843638310752</v>
      </c>
      <c r="F107" s="176">
        <v>13.332959200401771</v>
      </c>
      <c r="H107" s="176">
        <v>13.261401419356261</v>
      </c>
      <c r="I107" s="169">
        <v>-2.2622232622230287E-3</v>
      </c>
      <c r="O107" s="178">
        <v>-9.3793575747374708E-2</v>
      </c>
      <c r="P107" s="178">
        <v>8.8958807694498095E-3</v>
      </c>
      <c r="Q107" s="178">
        <v>0.11158533728627432</v>
      </c>
    </row>
    <row r="108" spans="2:17" x14ac:dyDescent="0.25">
      <c r="B108" s="108">
        <v>44182</v>
      </c>
      <c r="C108" s="108" t="s">
        <v>555</v>
      </c>
      <c r="D108" s="176">
        <v>13.234018921242434</v>
      </c>
      <c r="E108" s="176">
        <v>13.184280295999372</v>
      </c>
      <c r="F108" s="176">
        <v>13.333646017126055</v>
      </c>
      <c r="H108" s="176">
        <v>13.258963156562714</v>
      </c>
      <c r="I108" s="169">
        <v>-1.8813111572705266E-3</v>
      </c>
      <c r="O108" s="178">
        <v>-9.3793575747374708E-2</v>
      </c>
      <c r="P108" s="178">
        <v>8.8958807694498095E-3</v>
      </c>
      <c r="Q108" s="178">
        <v>0.11158533728627432</v>
      </c>
    </row>
    <row r="109" spans="2:17" x14ac:dyDescent="0.25">
      <c r="B109" s="108">
        <v>44181</v>
      </c>
      <c r="C109" s="108" t="s">
        <v>556</v>
      </c>
      <c r="D109" s="176">
        <v>13.141931085282929</v>
      </c>
      <c r="E109" s="176">
        <v>13.178716216878099</v>
      </c>
      <c r="F109" s="176">
        <v>13.33433293889003</v>
      </c>
      <c r="H109" s="176">
        <v>13.256524577884065</v>
      </c>
      <c r="I109" s="169">
        <v>-8.644308840366266E-3</v>
      </c>
      <c r="O109" s="178">
        <v>-9.3793575747374708E-2</v>
      </c>
      <c r="P109" s="178">
        <v>8.8958807694498095E-3</v>
      </c>
      <c r="Q109" s="178">
        <v>0.11158533728627432</v>
      </c>
    </row>
    <row r="110" spans="2:17" x14ac:dyDescent="0.25">
      <c r="B110" s="108">
        <v>44180</v>
      </c>
      <c r="C110" s="108" t="s">
        <v>557</v>
      </c>
      <c r="D110" s="176">
        <v>13.144557299141141</v>
      </c>
      <c r="E110" s="176">
        <v>13.173151400800547</v>
      </c>
      <c r="F110" s="176">
        <v>13.335019965717825</v>
      </c>
      <c r="H110" s="176">
        <v>13.254085683259186</v>
      </c>
      <c r="I110" s="169">
        <v>-8.2637449866788115E-3</v>
      </c>
      <c r="O110" s="178">
        <v>-9.3793575747374708E-2</v>
      </c>
      <c r="P110" s="178">
        <v>8.8958807694498095E-3</v>
      </c>
      <c r="Q110" s="178">
        <v>0.11158533728627432</v>
      </c>
    </row>
    <row r="111" spans="2:17" x14ac:dyDescent="0.25">
      <c r="B111" s="108">
        <v>44179</v>
      </c>
      <c r="C111" s="108" t="s">
        <v>558</v>
      </c>
      <c r="D111" s="176">
        <v>13.14718475302093</v>
      </c>
      <c r="E111" s="176">
        <v>13.167585847620296</v>
      </c>
      <c r="F111" s="176">
        <v>13.33570709763352</v>
      </c>
      <c r="H111" s="176">
        <v>13.251646472626909</v>
      </c>
      <c r="I111" s="169">
        <v>-7.8829238179390915E-3</v>
      </c>
      <c r="O111" s="178">
        <v>-9.3793575747374708E-2</v>
      </c>
      <c r="P111" s="178">
        <v>8.8958807694498095E-3</v>
      </c>
      <c r="Q111" s="178">
        <v>0.11158533728627432</v>
      </c>
    </row>
    <row r="112" spans="2:17" x14ac:dyDescent="0.25">
      <c r="B112" s="108">
        <v>44176</v>
      </c>
      <c r="C112" s="108" t="s">
        <v>559</v>
      </c>
      <c r="D112" s="176">
        <v>13.518388915191707</v>
      </c>
      <c r="E112" s="176">
        <v>13.501692962978765</v>
      </c>
      <c r="F112" s="176">
        <v>13.329806203708291</v>
      </c>
      <c r="H112" s="176">
        <v>13.415749583343528</v>
      </c>
      <c r="I112" s="169">
        <v>7.6506594887260082E-3</v>
      </c>
      <c r="O112" s="178">
        <v>-9.3793575747374708E-2</v>
      </c>
      <c r="P112" s="178">
        <v>8.8958807694498095E-3</v>
      </c>
      <c r="Q112" s="178">
        <v>0.11158533728627432</v>
      </c>
    </row>
    <row r="113" spans="2:17" x14ac:dyDescent="0.25">
      <c r="B113" s="108">
        <v>44175</v>
      </c>
      <c r="C113" s="108" t="s">
        <v>560</v>
      </c>
      <c r="D113" s="176">
        <v>13.52078648275681</v>
      </c>
      <c r="E113" s="176">
        <v>13.495211969352923</v>
      </c>
      <c r="F113" s="176">
        <v>13.456871016128897</v>
      </c>
      <c r="H113" s="176">
        <v>13.47604149274091</v>
      </c>
      <c r="I113" s="169">
        <v>3.3203363198313074E-3</v>
      </c>
      <c r="O113" s="178">
        <v>-9.3793575747374708E-2</v>
      </c>
      <c r="P113" s="178">
        <v>8.8958807694498095E-3</v>
      </c>
      <c r="Q113" s="178">
        <v>0.11158533728627432</v>
      </c>
    </row>
    <row r="114" spans="2:17" x14ac:dyDescent="0.25">
      <c r="B114" s="108">
        <v>44174</v>
      </c>
      <c r="C114" s="108" t="s">
        <v>561</v>
      </c>
      <c r="D114" s="176">
        <v>13.523185120877708</v>
      </c>
      <c r="E114" s="176">
        <v>13.488730116985248</v>
      </c>
      <c r="F114" s="176">
        <v>13.457677944867605</v>
      </c>
      <c r="H114" s="176">
        <v>13.473204030926427</v>
      </c>
      <c r="I114" s="169">
        <v>3.7096662261295599E-3</v>
      </c>
      <c r="O114" s="178">
        <v>-9.3793575747374708E-2</v>
      </c>
      <c r="P114" s="178">
        <v>8.8958807694498095E-3</v>
      </c>
      <c r="Q114" s="178">
        <v>0.11158533728627432</v>
      </c>
    </row>
    <row r="115" spans="2:17" x14ac:dyDescent="0.25">
      <c r="B115" s="108">
        <v>44173</v>
      </c>
      <c r="C115" s="108" t="s">
        <v>562</v>
      </c>
      <c r="D115" s="176">
        <v>13.52558483027159</v>
      </c>
      <c r="E115" s="176">
        <v>13.482247405705046</v>
      </c>
      <c r="F115" s="176">
        <v>13.458485006343125</v>
      </c>
      <c r="H115" s="176">
        <v>13.470366206024085</v>
      </c>
      <c r="I115" s="169">
        <v>4.0992667462009802E-3</v>
      </c>
      <c r="O115" s="178">
        <v>-9.3793575747374708E-2</v>
      </c>
      <c r="P115" s="178">
        <v>8.8958807694498095E-3</v>
      </c>
      <c r="Q115" s="178">
        <v>0.11158533728627432</v>
      </c>
    </row>
    <row r="116" spans="2:17" x14ac:dyDescent="0.25">
      <c r="B116" s="108">
        <v>44172</v>
      </c>
      <c r="C116" s="108" t="s">
        <v>563</v>
      </c>
      <c r="D116" s="176">
        <v>13.527985611656293</v>
      </c>
      <c r="E116" s="176">
        <v>13.475763835341594</v>
      </c>
      <c r="F116" s="176">
        <v>13.459292200588228</v>
      </c>
      <c r="H116" s="176">
        <v>13.467528017964911</v>
      </c>
      <c r="I116" s="169">
        <v>4.4891381410705478E-3</v>
      </c>
      <c r="O116" s="178">
        <v>-9.3793575747374708E-2</v>
      </c>
      <c r="P116" s="178">
        <v>8.8958807694498095E-3</v>
      </c>
      <c r="Q116" s="178">
        <v>0.11158533728627432</v>
      </c>
    </row>
    <row r="117" spans="2:17" x14ac:dyDescent="0.25">
      <c r="B117" s="108">
        <v>44169</v>
      </c>
      <c r="C117" s="108" t="s">
        <v>564</v>
      </c>
      <c r="D117" s="176">
        <v>13.535194394943279</v>
      </c>
      <c r="E117" s="176">
        <v>13.456307968043685</v>
      </c>
      <c r="F117" s="176">
        <v>13.461714580268636</v>
      </c>
      <c r="H117" s="176">
        <v>13.459011274156161</v>
      </c>
      <c r="I117" s="169">
        <v>5.66038018954651E-3</v>
      </c>
      <c r="O117" s="178">
        <v>-9.3793575747374708E-2</v>
      </c>
      <c r="P117" s="178">
        <v>8.8958807694498095E-3</v>
      </c>
      <c r="Q117" s="178">
        <v>0.11158533728627432</v>
      </c>
    </row>
    <row r="118" spans="2:17" x14ac:dyDescent="0.25">
      <c r="B118" s="108">
        <v>44168</v>
      </c>
      <c r="C118" s="108" t="s">
        <v>565</v>
      </c>
      <c r="D118" s="176">
        <v>13.537599471482432</v>
      </c>
      <c r="E118" s="176">
        <v>13.44982095963897</v>
      </c>
      <c r="F118" s="176">
        <v>13.462522305919762</v>
      </c>
      <c r="H118" s="176">
        <v>13.456171632779366</v>
      </c>
      <c r="I118" s="169">
        <v>6.0513377002942015E-3</v>
      </c>
      <c r="O118" s="178">
        <v>-9.3793575747374708E-2</v>
      </c>
      <c r="P118" s="178">
        <v>8.8958807694498095E-3</v>
      </c>
      <c r="Q118" s="178">
        <v>0.11158533728627432</v>
      </c>
    </row>
    <row r="119" spans="2:17" x14ac:dyDescent="0.25">
      <c r="B119" s="108">
        <v>44167</v>
      </c>
      <c r="C119" s="108" t="s">
        <v>566</v>
      </c>
      <c r="D119" s="176">
        <v>13.540005623611211</v>
      </c>
      <c r="E119" s="176">
        <v>13.443333091296649</v>
      </c>
      <c r="F119" s="176">
        <v>13.280985042720292</v>
      </c>
      <c r="H119" s="176">
        <v>13.36215906700847</v>
      </c>
      <c r="I119" s="169">
        <v>1.3309717068243021E-2</v>
      </c>
      <c r="O119" s="178">
        <v>-9.3793575747374708E-2</v>
      </c>
      <c r="P119" s="178">
        <v>8.8958807694498095E-3</v>
      </c>
      <c r="Q119" s="178">
        <v>0.11158533728627432</v>
      </c>
    </row>
    <row r="120" spans="2:17" x14ac:dyDescent="0.25">
      <c r="B120" s="108">
        <v>44166</v>
      </c>
      <c r="C120" s="108" t="s">
        <v>567</v>
      </c>
      <c r="D120" s="176">
        <v>13.542412852051307</v>
      </c>
      <c r="E120" s="176">
        <v>13.436844362845722</v>
      </c>
      <c r="F120" s="176">
        <v>13.281778028080225</v>
      </c>
      <c r="H120" s="176">
        <v>13.359311195462974</v>
      </c>
      <c r="I120" s="169">
        <v>1.370592045572816E-2</v>
      </c>
      <c r="O120" s="178">
        <v>-9.3793575747374708E-2</v>
      </c>
      <c r="P120" s="178">
        <v>8.8958807694498095E-3</v>
      </c>
      <c r="Q120" s="178">
        <v>0.11158533728627432</v>
      </c>
    </row>
    <row r="121" spans="2:17" x14ac:dyDescent="0.25">
      <c r="B121" s="108">
        <v>44165</v>
      </c>
      <c r="C121" s="108" t="s">
        <v>568</v>
      </c>
      <c r="D121" s="176">
        <v>13.544821157525062</v>
      </c>
      <c r="E121" s="176">
        <v>13.430354774115139</v>
      </c>
      <c r="F121" s="176">
        <v>13.197593588013477</v>
      </c>
      <c r="H121" s="176">
        <v>13.313974181064308</v>
      </c>
      <c r="I121" s="169">
        <v>1.7338697921547297E-2</v>
      </c>
      <c r="O121" s="178">
        <v>-9.3793575747374708E-2</v>
      </c>
      <c r="P121" s="178">
        <v>8.8958807694498095E-3</v>
      </c>
      <c r="Q121" s="178">
        <v>0.11158533728627432</v>
      </c>
    </row>
    <row r="122" spans="2:17" x14ac:dyDescent="0.25">
      <c r="B122" s="108">
        <v>44162</v>
      </c>
      <c r="C122" s="108" t="s">
        <v>569</v>
      </c>
      <c r="D122" s="176">
        <v>13.696144352628815</v>
      </c>
      <c r="E122" s="176">
        <v>14.550787209396466</v>
      </c>
      <c r="F122" s="176">
        <v>13.228083515198149</v>
      </c>
      <c r="H122" s="176">
        <v>13.889435362297307</v>
      </c>
      <c r="I122" s="169">
        <v>-1.3916405140066201E-2</v>
      </c>
      <c r="O122" s="178">
        <v>-9.3793575747374708E-2</v>
      </c>
      <c r="P122" s="178">
        <v>8.8958807694498095E-3</v>
      </c>
      <c r="Q122" s="178">
        <v>0.11158533728627432</v>
      </c>
    </row>
    <row r="123" spans="2:17" x14ac:dyDescent="0.25">
      <c r="B123" s="108">
        <v>44161</v>
      </c>
      <c r="C123" s="108" t="s">
        <v>570</v>
      </c>
      <c r="D123" s="176">
        <v>13.69862764105063</v>
      </c>
      <c r="E123" s="176">
        <v>14.540624858959204</v>
      </c>
      <c r="F123" s="176">
        <v>13.332667664872806</v>
      </c>
      <c r="H123" s="176">
        <v>13.936646261916005</v>
      </c>
      <c r="I123" s="169">
        <v>-1.707861535639299E-2</v>
      </c>
      <c r="O123" s="178">
        <v>-9.3793575747374708E-2</v>
      </c>
      <c r="P123" s="178">
        <v>8.8958807694498095E-3</v>
      </c>
      <c r="Q123" s="178">
        <v>0.11158533728627432</v>
      </c>
    </row>
    <row r="124" spans="2:17" x14ac:dyDescent="0.25">
      <c r="B124" s="108">
        <v>44160</v>
      </c>
      <c r="C124" s="108" t="s">
        <v>571</v>
      </c>
      <c r="D124" s="176">
        <v>13.818257393086007</v>
      </c>
      <c r="E124" s="176">
        <v>14.530461216234672</v>
      </c>
      <c r="F124" s="176">
        <v>13.35952261177516</v>
      </c>
      <c r="H124" s="176">
        <v>13.944991914004916</v>
      </c>
      <c r="I124" s="169">
        <v>-9.0881745719501028E-3</v>
      </c>
      <c r="O124" s="178">
        <v>-9.3793575747374708E-2</v>
      </c>
      <c r="P124" s="178">
        <v>8.8958807694498095E-3</v>
      </c>
      <c r="Q124" s="178">
        <v>0.11158533728627432</v>
      </c>
    </row>
    <row r="125" spans="2:17" x14ac:dyDescent="0.25">
      <c r="B125" s="108">
        <v>44159</v>
      </c>
      <c r="C125" s="108" t="s">
        <v>572</v>
      </c>
      <c r="D125" s="176">
        <v>13.820873046674825</v>
      </c>
      <c r="E125" s="176">
        <v>14.520296280976355</v>
      </c>
      <c r="F125" s="176">
        <v>13.114036659458529</v>
      </c>
      <c r="H125" s="176">
        <v>13.817166470217442</v>
      </c>
      <c r="I125" s="169">
        <v>2.6825879715430823E-4</v>
      </c>
      <c r="O125" s="178">
        <v>-9.3793575747374708E-2</v>
      </c>
      <c r="P125" s="178">
        <v>8.8958807694498095E-3</v>
      </c>
      <c r="Q125" s="178">
        <v>0.11158533728627432</v>
      </c>
    </row>
    <row r="126" spans="2:17" x14ac:dyDescent="0.25">
      <c r="B126" s="108">
        <v>44158</v>
      </c>
      <c r="C126" s="108" t="s">
        <v>573</v>
      </c>
      <c r="D126" s="176">
        <v>13.823489910548767</v>
      </c>
      <c r="E126" s="176">
        <v>17.687273686391425</v>
      </c>
      <c r="F126" s="176">
        <v>13.114485384112564</v>
      </c>
      <c r="H126" s="176">
        <v>15.400879535251995</v>
      </c>
      <c r="I126" s="169">
        <v>-0.10242204811047617</v>
      </c>
      <c r="O126" s="178">
        <v>-9.3793575747374708E-2</v>
      </c>
      <c r="P126" s="178">
        <v>8.8958807694498095E-3</v>
      </c>
      <c r="Q126" s="178">
        <v>0.11158533728627432</v>
      </c>
    </row>
    <row r="127" spans="2:17" x14ac:dyDescent="0.25">
      <c r="B127" s="108">
        <v>44155</v>
      </c>
      <c r="C127" s="108" t="s">
        <v>574</v>
      </c>
      <c r="D127" s="176">
        <v>13.831347772287357</v>
      </c>
      <c r="E127" s="176">
        <v>17.629984367390811</v>
      </c>
      <c r="F127" s="176">
        <v>13.193715140823903</v>
      </c>
      <c r="H127" s="176">
        <v>15.411849754107358</v>
      </c>
      <c r="I127" s="169">
        <v>-0.10255108939138124</v>
      </c>
      <c r="O127" s="178">
        <v>-9.3793575747374708E-2</v>
      </c>
      <c r="P127" s="178">
        <v>8.8958807694498095E-3</v>
      </c>
      <c r="Q127" s="178">
        <v>0.11158533728627432</v>
      </c>
    </row>
    <row r="128" spans="2:17" x14ac:dyDescent="0.25">
      <c r="B128" s="108">
        <v>44154</v>
      </c>
      <c r="C128" s="108" t="s">
        <v>575</v>
      </c>
      <c r="D128" s="176">
        <v>13.791262610922999</v>
      </c>
      <c r="E128" s="176">
        <v>17.610883069103068</v>
      </c>
      <c r="F128" s="176">
        <v>13.229174759735473</v>
      </c>
      <c r="H128" s="176">
        <v>15.420028914419269</v>
      </c>
      <c r="I128" s="169">
        <v>-0.10562666986786329</v>
      </c>
      <c r="O128" s="178">
        <v>-9.3793575747374708E-2</v>
      </c>
      <c r="P128" s="178">
        <v>8.8958807694498095E-3</v>
      </c>
      <c r="Q128" s="178">
        <v>0.11158533728627432</v>
      </c>
    </row>
    <row r="129" spans="2:17" x14ac:dyDescent="0.25">
      <c r="B129" s="108">
        <v>44153</v>
      </c>
      <c r="C129" s="108" t="s">
        <v>576</v>
      </c>
      <c r="D129" s="176">
        <v>13.793544912406507</v>
      </c>
      <c r="E129" s="176">
        <v>17.591779340732241</v>
      </c>
      <c r="F129" s="176">
        <v>13.229862422621292</v>
      </c>
      <c r="H129" s="176">
        <v>15.410820881676766</v>
      </c>
      <c r="I129" s="169">
        <v>-0.10494418056556454</v>
      </c>
      <c r="O129" s="178">
        <v>-9.3793575747374708E-2</v>
      </c>
      <c r="P129" s="178">
        <v>8.8958807694498095E-3</v>
      </c>
      <c r="Q129" s="178">
        <v>0.11158533728627432</v>
      </c>
    </row>
    <row r="130" spans="2:17" x14ac:dyDescent="0.25">
      <c r="B130" s="108">
        <v>44152</v>
      </c>
      <c r="C130" s="108" t="s">
        <v>577</v>
      </c>
      <c r="D130" s="176">
        <v>13.795828161285469</v>
      </c>
      <c r="E130" s="176">
        <v>18.857089529577397</v>
      </c>
      <c r="F130" s="176">
        <v>12.90147310296298</v>
      </c>
      <c r="H130" s="176">
        <v>15.879281316270188</v>
      </c>
      <c r="I130" s="169">
        <v>-0.13120575884312702</v>
      </c>
      <c r="O130" s="178">
        <v>-9.3793575747374708E-2</v>
      </c>
      <c r="P130" s="178">
        <v>8.8958807694498095E-3</v>
      </c>
      <c r="Q130" s="178">
        <v>0.11158533728627432</v>
      </c>
    </row>
    <row r="131" spans="2:17" x14ac:dyDescent="0.25">
      <c r="B131" s="108">
        <v>44151</v>
      </c>
      <c r="C131" s="108" t="s">
        <v>578</v>
      </c>
      <c r="D131" s="176">
        <v>13.798112358149906</v>
      </c>
      <c r="E131" s="176">
        <v>19.166596262090732</v>
      </c>
      <c r="F131" s="176">
        <v>12.9021389449056</v>
      </c>
      <c r="H131" s="176">
        <v>16.034367603498165</v>
      </c>
      <c r="I131" s="169">
        <v>-0.13946638250082166</v>
      </c>
      <c r="O131" s="178">
        <v>-9.3793575747374708E-2</v>
      </c>
      <c r="P131" s="178">
        <v>8.8958807694498095E-3</v>
      </c>
      <c r="Q131" s="178">
        <v>0.11158533728627432</v>
      </c>
    </row>
    <row r="132" spans="2:17" x14ac:dyDescent="0.25">
      <c r="B132" s="108">
        <v>44148</v>
      </c>
      <c r="C132" s="108" t="s">
        <v>579</v>
      </c>
      <c r="D132" s="176">
        <v>13.838268217346634</v>
      </c>
      <c r="E132" s="176">
        <v>19.139377725031569</v>
      </c>
      <c r="F132" s="176">
        <v>12.904137005126666</v>
      </c>
      <c r="H132" s="176">
        <v>16.021757365079118</v>
      </c>
      <c r="I132" s="169">
        <v>-0.13628274963716513</v>
      </c>
      <c r="O132" s="178">
        <v>-9.3793575747374708E-2</v>
      </c>
      <c r="P132" s="178">
        <v>8.8958807694498095E-3</v>
      </c>
      <c r="Q132" s="178">
        <v>0.11158533728627432</v>
      </c>
    </row>
    <row r="133" spans="2:17" x14ac:dyDescent="0.25">
      <c r="B133" s="108">
        <v>44147</v>
      </c>
      <c r="C133" s="108" t="s">
        <v>580</v>
      </c>
      <c r="D133" s="176">
        <v>13.840563130242449</v>
      </c>
      <c r="E133" s="176">
        <v>19.130302567619292</v>
      </c>
      <c r="F133" s="176">
        <v>12.904803203390996</v>
      </c>
      <c r="H133" s="176">
        <v>16.017552885505143</v>
      </c>
      <c r="I133" s="169">
        <v>-0.13591275588874319</v>
      </c>
      <c r="O133" s="178">
        <v>-9.3793575747374708E-2</v>
      </c>
      <c r="P133" s="178">
        <v>8.8958807694498095E-3</v>
      </c>
      <c r="Q133" s="178">
        <v>0.11158533728627432</v>
      </c>
    </row>
    <row r="134" spans="2:17" x14ac:dyDescent="0.25">
      <c r="B134" s="108">
        <v>44146</v>
      </c>
      <c r="C134" s="108" t="s">
        <v>581</v>
      </c>
      <c r="D134" s="176">
        <v>13.842858996956581</v>
      </c>
      <c r="E134" s="176">
        <v>19.121226253975902</v>
      </c>
      <c r="F134" s="176">
        <v>12.905469490780442</v>
      </c>
      <c r="H134" s="176">
        <v>16.013347872378173</v>
      </c>
      <c r="I134" s="169">
        <v>-0.13554247948147824</v>
      </c>
      <c r="O134" s="178">
        <v>-9.3793575747374708E-2</v>
      </c>
      <c r="P134" s="178">
        <v>8.8958807694498095E-3</v>
      </c>
      <c r="Q134" s="178">
        <v>0.11158533728627432</v>
      </c>
    </row>
    <row r="135" spans="2:17" x14ac:dyDescent="0.25">
      <c r="B135" s="108">
        <v>44145</v>
      </c>
      <c r="C135" s="108" t="s">
        <v>582</v>
      </c>
      <c r="D135" s="176">
        <v>13.845155818083807</v>
      </c>
      <c r="E135" s="176">
        <v>19.112148783880425</v>
      </c>
      <c r="F135" s="176">
        <v>12.906135867312893</v>
      </c>
      <c r="H135" s="176">
        <v>16.00914232559666</v>
      </c>
      <c r="I135" s="169">
        <v>-0.13517192011297841</v>
      </c>
      <c r="O135" s="178">
        <v>-9.3793575747374708E-2</v>
      </c>
      <c r="P135" s="178">
        <v>8.8958807694498095E-3</v>
      </c>
      <c r="Q135" s="178">
        <v>0.11158533728627432</v>
      </c>
    </row>
    <row r="136" spans="2:17" x14ac:dyDescent="0.25">
      <c r="B136" s="108">
        <v>44144</v>
      </c>
      <c r="C136" s="108" t="s">
        <v>583</v>
      </c>
      <c r="D136" s="176">
        <v>13.847453594219381</v>
      </c>
      <c r="E136" s="176">
        <v>19.103070157111834</v>
      </c>
      <c r="F136" s="176">
        <v>12.906802333006244</v>
      </c>
      <c r="H136" s="176">
        <v>16.004936245059039</v>
      </c>
      <c r="I136" s="169">
        <v>-0.13480107748043701</v>
      </c>
      <c r="O136" s="178">
        <v>-9.3793575747374708E-2</v>
      </c>
      <c r="P136" s="178">
        <v>8.8958807694498095E-3</v>
      </c>
      <c r="Q136" s="178">
        <v>0.11158533728627432</v>
      </c>
    </row>
    <row r="137" spans="2:17" x14ac:dyDescent="0.25">
      <c r="B137" s="108">
        <v>44141</v>
      </c>
      <c r="C137" s="108" t="s">
        <v>584</v>
      </c>
      <c r="D137" s="176">
        <v>13.854352658636248</v>
      </c>
      <c r="E137" s="176">
        <v>19.075827334556084</v>
      </c>
      <c r="F137" s="176">
        <v>12.90880226523065</v>
      </c>
      <c r="H137" s="176">
        <v>15.992314799893368</v>
      </c>
      <c r="I137" s="169">
        <v>-0.13368684696422906</v>
      </c>
      <c r="O137" s="178">
        <v>-9.3793575747374708E-2</v>
      </c>
      <c r="P137" s="178">
        <v>8.8958807694498095E-3</v>
      </c>
      <c r="Q137" s="178">
        <v>0.11158533728627432</v>
      </c>
    </row>
    <row r="138" spans="2:17" x14ac:dyDescent="0.25">
      <c r="B138" s="108">
        <v>44140</v>
      </c>
      <c r="C138" s="108" t="s">
        <v>585</v>
      </c>
      <c r="D138" s="176">
        <v>13.856654260767746</v>
      </c>
      <c r="E138" s="176">
        <v>19.066744078883495</v>
      </c>
      <c r="F138" s="176">
        <v>12.909469087746588</v>
      </c>
      <c r="H138" s="176">
        <v>15.988106583315041</v>
      </c>
      <c r="I138" s="169">
        <v>-0.13331486823909766</v>
      </c>
      <c r="O138" s="178">
        <v>-9.3793575747374708E-2</v>
      </c>
      <c r="P138" s="178">
        <v>8.8958807694498095E-3</v>
      </c>
      <c r="Q138" s="178">
        <v>0.11158533728627432</v>
      </c>
    </row>
    <row r="139" spans="2:17" x14ac:dyDescent="0.25">
      <c r="B139" s="108">
        <v>44139</v>
      </c>
      <c r="C139" s="108" t="s">
        <v>586</v>
      </c>
      <c r="D139" s="176">
        <v>13.858956820891335</v>
      </c>
      <c r="E139" s="176">
        <v>19.05765966543175</v>
      </c>
      <c r="F139" s="176">
        <v>12.830724278449944</v>
      </c>
      <c r="H139" s="176">
        <v>15.944191971940846</v>
      </c>
      <c r="I139" s="169">
        <v>-0.13078336956298453</v>
      </c>
      <c r="O139" s="178">
        <v>-9.3793575747374708E-2</v>
      </c>
      <c r="P139" s="178">
        <v>8.8958807694498095E-3</v>
      </c>
      <c r="Q139" s="178">
        <v>0.11158533728627432</v>
      </c>
    </row>
    <row r="140" spans="2:17" x14ac:dyDescent="0.25">
      <c r="B140" s="108">
        <v>44138</v>
      </c>
      <c r="C140" s="108" t="s">
        <v>587</v>
      </c>
      <c r="D140" s="176">
        <v>13.861260339605257</v>
      </c>
      <c r="E140" s="176">
        <v>19.048574093979482</v>
      </c>
      <c r="F140" s="176">
        <v>12.831385964724113</v>
      </c>
      <c r="H140" s="176">
        <v>15.939980029351798</v>
      </c>
      <c r="I140" s="169">
        <v>-0.1304091777981401</v>
      </c>
      <c r="O140" s="178">
        <v>-9.3793575747374708E-2</v>
      </c>
      <c r="P140" s="178">
        <v>8.8958807694498095E-3</v>
      </c>
      <c r="Q140" s="178">
        <v>0.11158533728627432</v>
      </c>
    </row>
    <row r="141" spans="2:17" x14ac:dyDescent="0.25">
      <c r="B141" s="108">
        <v>44137</v>
      </c>
      <c r="C141" s="108" t="s">
        <v>588</v>
      </c>
      <c r="D141" s="176">
        <v>13.92856704670951</v>
      </c>
      <c r="E141" s="176">
        <v>18.998703987300399</v>
      </c>
      <c r="F141" s="176">
        <v>12.832047739573101</v>
      </c>
      <c r="H141" s="176">
        <v>15.915375863436751</v>
      </c>
      <c r="I141" s="169">
        <v>-0.12483580870318267</v>
      </c>
      <c r="O141" s="178">
        <v>-9.3793575747374708E-2</v>
      </c>
      <c r="P141" s="178">
        <v>8.8958807694498095E-3</v>
      </c>
      <c r="Q141" s="178">
        <v>0.11158533728627432</v>
      </c>
    </row>
    <row r="142" spans="2:17" x14ac:dyDescent="0.25">
      <c r="B142" s="108">
        <v>44134</v>
      </c>
      <c r="C142" s="108" t="s">
        <v>589</v>
      </c>
      <c r="D142" s="176">
        <v>13.935332541883016</v>
      </c>
      <c r="E142" s="176">
        <v>18.972211634946344</v>
      </c>
      <c r="F142" s="176">
        <v>12.795589303412852</v>
      </c>
      <c r="H142" s="176">
        <v>15.883900469179597</v>
      </c>
      <c r="I142" s="169">
        <v>-0.12267565709552852</v>
      </c>
      <c r="O142" s="178">
        <v>-9.3793575747374708E-2</v>
      </c>
      <c r="P142" s="178">
        <v>8.8958807694498095E-3</v>
      </c>
      <c r="Q142" s="178">
        <v>0.11158533728627432</v>
      </c>
    </row>
    <row r="143" spans="2:17" x14ac:dyDescent="0.25">
      <c r="B143" s="108">
        <v>44133</v>
      </c>
      <c r="C143" s="108" t="s">
        <v>590</v>
      </c>
      <c r="D143" s="176">
        <v>13.937589546409558</v>
      </c>
      <c r="E143" s="176">
        <v>18.963378154011867</v>
      </c>
      <c r="F143" s="176">
        <v>12.796382917102576</v>
      </c>
      <c r="H143" s="176">
        <v>15.879880535557222</v>
      </c>
      <c r="I143" s="169">
        <v>-0.12231143583219084</v>
      </c>
      <c r="O143" s="178">
        <v>-9.3793575747374708E-2</v>
      </c>
      <c r="P143" s="178">
        <v>8.8958807694498095E-3</v>
      </c>
      <c r="Q143" s="178">
        <v>0.11158533728627432</v>
      </c>
    </row>
    <row r="144" spans="2:17" x14ac:dyDescent="0.25">
      <c r="B144" s="108">
        <v>44132</v>
      </c>
      <c r="C144" s="108" t="s">
        <v>591</v>
      </c>
      <c r="D144" s="176">
        <v>13.939847471608394</v>
      </c>
      <c r="E144" s="176">
        <v>18.954543324154393</v>
      </c>
      <c r="F144" s="176">
        <v>12.797176644546616</v>
      </c>
      <c r="H144" s="176">
        <v>15.875859984350505</v>
      </c>
      <c r="I144" s="169">
        <v>-0.12194693797063716</v>
      </c>
      <c r="O144" s="178">
        <v>-9.3793575747374708E-2</v>
      </c>
      <c r="P144" s="178">
        <v>8.8958807694498095E-3</v>
      </c>
      <c r="Q144" s="178">
        <v>0.11158533728627432</v>
      </c>
    </row>
    <row r="145" spans="2:17" x14ac:dyDescent="0.25">
      <c r="B145" s="108">
        <v>44131</v>
      </c>
      <c r="C145" s="108" t="s">
        <v>592</v>
      </c>
      <c r="D145" s="176">
        <v>13.942106318042978</v>
      </c>
      <c r="E145" s="176">
        <v>18.945707145064901</v>
      </c>
      <c r="F145" s="176">
        <v>12.950316595983168</v>
      </c>
      <c r="H145" s="176">
        <v>15.948011870524034</v>
      </c>
      <c r="I145" s="169">
        <v>-0.1257777815044443</v>
      </c>
      <c r="O145" s="178">
        <v>-9.3793575747374708E-2</v>
      </c>
      <c r="P145" s="178">
        <v>8.8958807694498095E-3</v>
      </c>
      <c r="Q145" s="178">
        <v>0.11158533728627432</v>
      </c>
    </row>
    <row r="146" spans="2:17" x14ac:dyDescent="0.25">
      <c r="B146" s="108">
        <v>44130</v>
      </c>
      <c r="C146" s="108" t="s">
        <v>593</v>
      </c>
      <c r="D146" s="176">
        <v>13.944366086277219</v>
      </c>
      <c r="E146" s="176">
        <v>18.936869616434304</v>
      </c>
      <c r="F146" s="176">
        <v>12.951121471003152</v>
      </c>
      <c r="H146" s="176">
        <v>15.943995543718728</v>
      </c>
      <c r="I146" s="169">
        <v>-0.1254158314306153</v>
      </c>
      <c r="O146" s="178">
        <v>-9.3793575747374708E-2</v>
      </c>
      <c r="P146" s="178">
        <v>8.8958807694498095E-3</v>
      </c>
      <c r="Q146" s="178">
        <v>0.11158533728627432</v>
      </c>
    </row>
    <row r="147" spans="2:17" x14ac:dyDescent="0.25">
      <c r="B147" s="108">
        <v>44127</v>
      </c>
      <c r="C147" s="108" t="s">
        <v>594</v>
      </c>
      <c r="D147" s="176">
        <v>13.951150927423932</v>
      </c>
      <c r="E147" s="176">
        <v>18.91034893020344</v>
      </c>
      <c r="F147" s="176">
        <v>12.953536788522186</v>
      </c>
      <c r="H147" s="176">
        <v>15.931942859362813</v>
      </c>
      <c r="I147" s="169">
        <v>-0.12432833518322706</v>
      </c>
      <c r="O147" s="178">
        <v>-9.3793575747374708E-2</v>
      </c>
      <c r="P147" s="178">
        <v>8.8958807694498095E-3</v>
      </c>
      <c r="Q147" s="178">
        <v>0.11158533728627432</v>
      </c>
    </row>
    <row r="148" spans="2:17" x14ac:dyDescent="0.25">
      <c r="B148" s="108">
        <v>44126</v>
      </c>
      <c r="C148" s="108" t="s">
        <v>595</v>
      </c>
      <c r="D148" s="176">
        <v>13.953414388505148</v>
      </c>
      <c r="E148" s="176">
        <v>18.901506000315514</v>
      </c>
      <c r="F148" s="176">
        <v>12.954342125264299</v>
      </c>
      <c r="H148" s="176">
        <v>15.927924062789906</v>
      </c>
      <c r="I148" s="169">
        <v>-0.12396528678194274</v>
      </c>
      <c r="O148" s="178">
        <v>-9.3793575747374708E-2</v>
      </c>
      <c r="P148" s="178">
        <v>8.8958807694498095E-3</v>
      </c>
      <c r="Q148" s="178">
        <v>0.11158533728627432</v>
      </c>
    </row>
    <row r="149" spans="2:17" x14ac:dyDescent="0.25">
      <c r="B149" s="108">
        <v>44125</v>
      </c>
      <c r="C149" s="108" t="s">
        <v>596</v>
      </c>
      <c r="D149" s="176">
        <v>13.955678774212505</v>
      </c>
      <c r="E149" s="176">
        <v>18.892661719339557</v>
      </c>
      <c r="F149" s="176">
        <v>12.955147577499039</v>
      </c>
      <c r="H149" s="176">
        <v>15.923904648419299</v>
      </c>
      <c r="I149" s="169">
        <v>-0.12360196306514382</v>
      </c>
      <c r="O149" s="178">
        <v>-9.3793575747374708E-2</v>
      </c>
      <c r="P149" s="178">
        <v>8.8958807694498095E-3</v>
      </c>
      <c r="Q149" s="178">
        <v>0.11158533728627432</v>
      </c>
    </row>
    <row r="150" spans="2:17" x14ac:dyDescent="0.25">
      <c r="B150" s="108">
        <v>44124</v>
      </c>
      <c r="C150" s="108" t="s">
        <v>597</v>
      </c>
      <c r="D150" s="176">
        <v>13.957944085112675</v>
      </c>
      <c r="E150" s="176">
        <v>18.883816086965904</v>
      </c>
      <c r="F150" s="176">
        <v>12.955953145251241</v>
      </c>
      <c r="H150" s="176">
        <v>15.919884616108572</v>
      </c>
      <c r="I150" s="169">
        <v>-0.12323836373856012</v>
      </c>
      <c r="O150" s="178">
        <v>-9.3793575747374708E-2</v>
      </c>
      <c r="P150" s="178">
        <v>8.8958807694498095E-3</v>
      </c>
      <c r="Q150" s="178">
        <v>0.11158533728627432</v>
      </c>
    </row>
    <row r="151" spans="2:17" x14ac:dyDescent="0.25">
      <c r="B151" s="108">
        <v>44123</v>
      </c>
      <c r="C151" s="108" t="s">
        <v>598</v>
      </c>
      <c r="D151" s="176">
        <v>13.96021032177282</v>
      </c>
      <c r="E151" s="176">
        <v>18.874969102884801</v>
      </c>
      <c r="F151" s="176">
        <v>12.956758828545754</v>
      </c>
      <c r="H151" s="176">
        <v>15.915863965715278</v>
      </c>
      <c r="I151" s="169">
        <v>-0.12287448850751526</v>
      </c>
      <c r="O151" s="178">
        <v>-9.3793575747374708E-2</v>
      </c>
      <c r="P151" s="178">
        <v>8.8958807694498095E-3</v>
      </c>
      <c r="Q151" s="178">
        <v>0.11158533728627432</v>
      </c>
    </row>
    <row r="152" spans="2:17" x14ac:dyDescent="0.25">
      <c r="B152" s="108">
        <v>44120</v>
      </c>
      <c r="C152" s="108" t="s">
        <v>599</v>
      </c>
      <c r="D152" s="176">
        <v>13.967014591991425</v>
      </c>
      <c r="E152" s="176">
        <v>18.848420037297686</v>
      </c>
      <c r="F152" s="176">
        <v>12.959176571931796</v>
      </c>
      <c r="H152" s="176">
        <v>15.903798304614741</v>
      </c>
      <c r="I152" s="169">
        <v>-0.12178120443474982</v>
      </c>
      <c r="O152" s="178">
        <v>-9.3793575747374708E-2</v>
      </c>
      <c r="P152" s="178">
        <v>8.8958807694498095E-3</v>
      </c>
      <c r="Q152" s="178">
        <v>0.11158533728627432</v>
      </c>
    </row>
    <row r="153" spans="2:17" x14ac:dyDescent="0.25">
      <c r="B153" s="108">
        <v>44119</v>
      </c>
      <c r="C153" s="108" t="s">
        <v>600</v>
      </c>
      <c r="D153" s="176">
        <v>13.969284537372149</v>
      </c>
      <c r="E153" s="176">
        <v>18.839567643287229</v>
      </c>
      <c r="F153" s="176">
        <v>12.95737626886571</v>
      </c>
      <c r="H153" s="176">
        <v>15.89847195607647</v>
      </c>
      <c r="I153" s="169">
        <v>-0.12134420364637477</v>
      </c>
      <c r="O153" s="178">
        <v>-9.3793575747374708E-2</v>
      </c>
      <c r="P153" s="178">
        <v>8.8958807694498095E-3</v>
      </c>
      <c r="Q153" s="178">
        <v>0.11158533728627432</v>
      </c>
    </row>
    <row r="154" spans="2:17" x14ac:dyDescent="0.25">
      <c r="B154" s="108">
        <v>44118</v>
      </c>
      <c r="C154" s="108" t="s">
        <v>601</v>
      </c>
      <c r="D154" s="176">
        <v>13.971555411355524</v>
      </c>
      <c r="E154" s="176">
        <v>18.830713896019084</v>
      </c>
      <c r="F154" s="176">
        <v>12.958182343256746</v>
      </c>
      <c r="H154" s="176">
        <v>15.894448119637914</v>
      </c>
      <c r="I154" s="169">
        <v>-0.1209788911076829</v>
      </c>
      <c r="O154" s="178">
        <v>-9.3793575747374708E-2</v>
      </c>
      <c r="P154" s="178">
        <v>8.8958807694498095E-3</v>
      </c>
      <c r="Q154" s="178">
        <v>0.11158533728627432</v>
      </c>
    </row>
    <row r="155" spans="2:17" x14ac:dyDescent="0.25">
      <c r="B155" s="108">
        <v>44117</v>
      </c>
      <c r="C155" s="108" t="s">
        <v>602</v>
      </c>
      <c r="D155" s="176">
        <v>13.973827214511489</v>
      </c>
      <c r="E155" s="176">
        <v>18.821858795182923</v>
      </c>
      <c r="F155" s="176">
        <v>12.958988533312528</v>
      </c>
      <c r="H155" s="176">
        <v>15.890423664247725</v>
      </c>
      <c r="I155" s="169">
        <v>-0.12061330083026267</v>
      </c>
      <c r="O155" s="178">
        <v>-9.3793575747374708E-2</v>
      </c>
      <c r="P155" s="178">
        <v>8.8958807694498095E-3</v>
      </c>
      <c r="Q155" s="178">
        <v>0.11158533728627432</v>
      </c>
    </row>
    <row r="156" spans="2:17" x14ac:dyDescent="0.25">
      <c r="B156" s="108">
        <v>44116</v>
      </c>
      <c r="C156" s="108" t="s">
        <v>603</v>
      </c>
      <c r="D156" s="176">
        <v>13.976099947410438</v>
      </c>
      <c r="E156" s="176">
        <v>18.699573653457328</v>
      </c>
      <c r="F156" s="176">
        <v>12.918242433990995</v>
      </c>
      <c r="H156" s="176">
        <v>15.808908043724163</v>
      </c>
      <c r="I156" s="169">
        <v>-0.11593514816105943</v>
      </c>
      <c r="O156" s="178">
        <v>-9.3793575747374708E-2</v>
      </c>
      <c r="P156" s="178">
        <v>8.8958807694498095E-3</v>
      </c>
      <c r="Q156" s="178">
        <v>0.11158533728627432</v>
      </c>
    </row>
    <row r="157" spans="2:17" x14ac:dyDescent="0.25">
      <c r="B157" s="108">
        <v>44113</v>
      </c>
      <c r="C157" s="108" t="s">
        <v>604</v>
      </c>
      <c r="D157" s="176">
        <v>13.98292373027623</v>
      </c>
      <c r="E157" s="176">
        <v>18.673130579718524</v>
      </c>
      <c r="F157" s="176">
        <v>12.920903995926366</v>
      </c>
      <c r="H157" s="176">
        <v>15.797017287822445</v>
      </c>
      <c r="I157" s="169">
        <v>-0.11483772692612404</v>
      </c>
      <c r="O157" s="178">
        <v>-9.3793575747374708E-2</v>
      </c>
      <c r="P157" s="178">
        <v>8.8958807694498095E-3</v>
      </c>
      <c r="Q157" s="178">
        <v>0.11158533728627432</v>
      </c>
    </row>
    <row r="158" spans="2:17" x14ac:dyDescent="0.25">
      <c r="B158" s="108">
        <v>44112</v>
      </c>
      <c r="C158" s="108" t="s">
        <v>605</v>
      </c>
      <c r="D158" s="176">
        <v>13.98520018786048</v>
      </c>
      <c r="E158" s="176">
        <v>18.664313541943436</v>
      </c>
      <c r="F158" s="176">
        <v>12.921791460806753</v>
      </c>
      <c r="H158" s="176">
        <v>15.793052501375094</v>
      </c>
      <c r="I158" s="169">
        <v>-0.11447136728996532</v>
      </c>
      <c r="O158" s="178">
        <v>-9.3793575747374708E-2</v>
      </c>
      <c r="P158" s="178">
        <v>8.8958807694498095E-3</v>
      </c>
      <c r="Q158" s="178">
        <v>0.11158533728627432</v>
      </c>
    </row>
    <row r="159" spans="2:17" x14ac:dyDescent="0.25">
      <c r="B159" s="108">
        <v>44111</v>
      </c>
      <c r="C159" s="108" t="s">
        <v>606</v>
      </c>
      <c r="D159" s="176">
        <v>13.987477578046734</v>
      </c>
      <c r="E159" s="176">
        <v>18.655495163727998</v>
      </c>
      <c r="F159" s="176">
        <v>12.922679064525736</v>
      </c>
      <c r="H159" s="176">
        <v>15.789087114126868</v>
      </c>
      <c r="I159" s="169">
        <v>-0.11410473088518158</v>
      </c>
      <c r="O159" s="178">
        <v>-9.3793575747374708E-2</v>
      </c>
      <c r="P159" s="178">
        <v>8.8958807694498095E-3</v>
      </c>
      <c r="Q159" s="178">
        <v>0.11158533728627432</v>
      </c>
    </row>
    <row r="160" spans="2:17" x14ac:dyDescent="0.25">
      <c r="B160" s="108">
        <v>44110</v>
      </c>
      <c r="C160" s="108" t="s">
        <v>607</v>
      </c>
      <c r="D160" s="176">
        <v>13.989755901408204</v>
      </c>
      <c r="E160" s="176">
        <v>18.646675444766515</v>
      </c>
      <c r="F160" s="176">
        <v>12.923566807115886</v>
      </c>
      <c r="H160" s="176">
        <v>15.785121125941201</v>
      </c>
      <c r="I160" s="169">
        <v>-0.11373781741734634</v>
      </c>
      <c r="O160" s="178">
        <v>-9.3793575747374708E-2</v>
      </c>
      <c r="P160" s="178">
        <v>8.8958807694498095E-3</v>
      </c>
      <c r="Q160" s="178">
        <v>0.11158533728627432</v>
      </c>
    </row>
    <row r="161" spans="2:17" x14ac:dyDescent="0.25">
      <c r="B161" s="108">
        <v>44109</v>
      </c>
      <c r="C161" s="108" t="s">
        <v>608</v>
      </c>
      <c r="D161" s="176">
        <v>13.992035158518563</v>
      </c>
      <c r="E161" s="176">
        <v>18.637854384753194</v>
      </c>
      <c r="F161" s="176">
        <v>12.924454688609783</v>
      </c>
      <c r="H161" s="176">
        <v>15.781154536681488</v>
      </c>
      <c r="I161" s="169">
        <v>-0.11337062659163</v>
      </c>
      <c r="O161" s="178">
        <v>-9.3793575747374708E-2</v>
      </c>
      <c r="P161" s="178">
        <v>8.8958807694498095E-3</v>
      </c>
      <c r="Q161" s="178">
        <v>0.11158533728627432</v>
      </c>
    </row>
    <row r="162" spans="2:17" x14ac:dyDescent="0.25">
      <c r="B162" s="108">
        <v>44106</v>
      </c>
      <c r="C162" s="108" t="s">
        <v>609</v>
      </c>
      <c r="D162" s="176">
        <v>14.045651642535818</v>
      </c>
      <c r="E162" s="176">
        <v>18.689622261242548</v>
      </c>
      <c r="F162" s="176">
        <v>12.952140640318813</v>
      </c>
      <c r="H162" s="176">
        <v>15.82088145078068</v>
      </c>
      <c r="I162" s="169">
        <v>-0.11220802164327348</v>
      </c>
      <c r="O162" s="178">
        <v>-9.3793575747374708E-2</v>
      </c>
      <c r="P162" s="178">
        <v>8.8958807694498095E-3</v>
      </c>
      <c r="Q162" s="178">
        <v>0.11158533728627432</v>
      </c>
    </row>
    <row r="163" spans="2:17" x14ac:dyDescent="0.25">
      <c r="B163" s="108">
        <v>44105</v>
      </c>
      <c r="C163" s="108" t="s">
        <v>610</v>
      </c>
      <c r="D163" s="176">
        <v>13.887235747339449</v>
      </c>
      <c r="E163" s="176">
        <v>17.306727487865381</v>
      </c>
      <c r="F163" s="176">
        <v>12.861747772560115</v>
      </c>
      <c r="H163" s="176">
        <v>15.084237630212748</v>
      </c>
      <c r="I163" s="169">
        <v>-7.9354483283648469E-2</v>
      </c>
      <c r="O163" s="178">
        <v>-9.3793575747374708E-2</v>
      </c>
      <c r="P163" s="178">
        <v>8.8958807694498095E-3</v>
      </c>
      <c r="Q163" s="178">
        <v>0.11158533728627432</v>
      </c>
    </row>
    <row r="164" spans="2:17" x14ac:dyDescent="0.25">
      <c r="B164" s="108">
        <v>44104</v>
      </c>
      <c r="C164" s="108" t="s">
        <v>611</v>
      </c>
      <c r="D164" s="176">
        <v>13.889461390406021</v>
      </c>
      <c r="E164" s="176">
        <v>17.303744035941513</v>
      </c>
      <c r="F164" s="176">
        <v>12.821332113369863</v>
      </c>
      <c r="H164" s="176">
        <v>15.062538074655688</v>
      </c>
      <c r="I164" s="169">
        <v>-7.7880412878324368E-2</v>
      </c>
      <c r="O164" s="178">
        <v>-9.3793575747374708E-2</v>
      </c>
      <c r="P164" s="178">
        <v>8.8958807694498095E-3</v>
      </c>
      <c r="Q164" s="178">
        <v>0.11158533728627432</v>
      </c>
    </row>
    <row r="165" spans="2:17" x14ac:dyDescent="0.25">
      <c r="B165" s="108">
        <v>44103</v>
      </c>
      <c r="C165" s="108" t="s">
        <v>612</v>
      </c>
      <c r="D165" s="176">
        <v>13.891687956750493</v>
      </c>
      <c r="E165" s="176">
        <v>17.300760229287476</v>
      </c>
      <c r="F165" s="176">
        <v>12.8224860181633</v>
      </c>
      <c r="H165" s="176">
        <v>15.061623123725388</v>
      </c>
      <c r="I165" s="169">
        <v>-7.7676566287997795E-2</v>
      </c>
      <c r="O165" s="178">
        <v>-9.3793575747374708E-2</v>
      </c>
      <c r="P165" s="178">
        <v>8.8958807694498095E-3</v>
      </c>
      <c r="Q165" s="178">
        <v>0.11158533728627432</v>
      </c>
    </row>
    <row r="166" spans="2:17" x14ac:dyDescent="0.25">
      <c r="B166" s="108">
        <v>44102</v>
      </c>
      <c r="C166" s="108" t="s">
        <v>613</v>
      </c>
      <c r="D166" s="176">
        <v>13.872589273716645</v>
      </c>
      <c r="E166" s="176">
        <v>17.474446374004074</v>
      </c>
      <c r="F166" s="176">
        <v>12.669008472440852</v>
      </c>
      <c r="H166" s="176">
        <v>15.071727423222463</v>
      </c>
      <c r="I166" s="169">
        <v>-7.9562091048580807E-2</v>
      </c>
      <c r="O166" s="178">
        <v>-9.3793575747374708E-2</v>
      </c>
      <c r="P166" s="178">
        <v>8.8958807694498095E-3</v>
      </c>
      <c r="Q166" s="178">
        <v>0.11158533728627432</v>
      </c>
    </row>
    <row r="167" spans="2:17" x14ac:dyDescent="0.25">
      <c r="B167" s="108">
        <v>44099</v>
      </c>
      <c r="C167" s="108" t="s">
        <v>614</v>
      </c>
      <c r="D167" s="176">
        <v>13.879264011845715</v>
      </c>
      <c r="E167" s="176">
        <v>17.465523276710162</v>
      </c>
      <c r="F167" s="176">
        <v>12.672426500048312</v>
      </c>
      <c r="H167" s="176">
        <v>15.068974888379238</v>
      </c>
      <c r="I167" s="169">
        <v>-7.8951015934799473E-2</v>
      </c>
      <c r="O167" s="178">
        <v>-9.3793575747374708E-2</v>
      </c>
      <c r="P167" s="178">
        <v>8.8958807694498095E-3</v>
      </c>
      <c r="Q167" s="178">
        <v>0.11158533728627432</v>
      </c>
    </row>
    <row r="168" spans="2:17" x14ac:dyDescent="0.25">
      <c r="B168" s="108">
        <v>44098</v>
      </c>
      <c r="C168" s="108" t="s">
        <v>615</v>
      </c>
      <c r="D168" s="176">
        <v>13.881490772421673</v>
      </c>
      <c r="E168" s="176">
        <v>18.218102003978434</v>
      </c>
      <c r="F168" s="176">
        <v>12.673566291931028</v>
      </c>
      <c r="H168" s="176">
        <v>15.445834147954731</v>
      </c>
      <c r="I168" s="169">
        <v>-0.10127930680520747</v>
      </c>
      <c r="O168" s="178">
        <v>-9.3793575747374708E-2</v>
      </c>
      <c r="P168" s="178">
        <v>8.8958807694498095E-3</v>
      </c>
      <c r="Q168" s="178">
        <v>0.11158533728627432</v>
      </c>
    </row>
    <row r="169" spans="2:17" x14ac:dyDescent="0.25">
      <c r="B169" s="108">
        <v>44097</v>
      </c>
      <c r="C169" s="108" t="s">
        <v>616</v>
      </c>
      <c r="D169" s="176">
        <v>13.88371845789016</v>
      </c>
      <c r="E169" s="176">
        <v>18.219010455039641</v>
      </c>
      <c r="F169" s="176">
        <v>12.791712296429202</v>
      </c>
      <c r="H169" s="176">
        <v>15.50536137573442</v>
      </c>
      <c r="I169" s="169">
        <v>-0.10458594795359621</v>
      </c>
      <c r="O169" s="178">
        <v>-9.3793575747374708E-2</v>
      </c>
      <c r="P169" s="178">
        <v>8.8958807694498095E-3</v>
      </c>
      <c r="Q169" s="178">
        <v>0.11158533728627432</v>
      </c>
    </row>
    <row r="170" spans="2:17" x14ac:dyDescent="0.25">
      <c r="B170" s="108">
        <v>44096</v>
      </c>
      <c r="C170" s="108" t="s">
        <v>617</v>
      </c>
      <c r="D170" s="176">
        <v>13.885947068827534</v>
      </c>
      <c r="E170" s="176">
        <v>18.219919014159959</v>
      </c>
      <c r="F170" s="176">
        <v>12.792864076761147</v>
      </c>
      <c r="H170" s="176">
        <v>15.506391545460552</v>
      </c>
      <c r="I170" s="169">
        <v>-0.10450171285062115</v>
      </c>
      <c r="O170" s="178">
        <v>-9.3793575747374708E-2</v>
      </c>
      <c r="P170" s="178">
        <v>8.8958807694498095E-3</v>
      </c>
      <c r="Q170" s="178">
        <v>0.11158533728627432</v>
      </c>
    </row>
    <row r="171" spans="2:17" x14ac:dyDescent="0.25">
      <c r="B171" s="108">
        <v>44095</v>
      </c>
      <c r="C171" s="108" t="s">
        <v>618</v>
      </c>
      <c r="D171" s="176">
        <v>13.888176605810628</v>
      </c>
      <c r="E171" s="176">
        <v>18.220827681358667</v>
      </c>
      <c r="F171" s="176">
        <v>12.79401608428644</v>
      </c>
      <c r="H171" s="176">
        <v>15.507421882822554</v>
      </c>
      <c r="I171" s="169">
        <v>-0.10441743890424171</v>
      </c>
      <c r="O171" s="178">
        <v>-9.3793575747374708E-2</v>
      </c>
      <c r="P171" s="178">
        <v>8.8958807694498095E-3</v>
      </c>
      <c r="Q171" s="178">
        <v>0.11158533728627432</v>
      </c>
    </row>
    <row r="172" spans="2:17" x14ac:dyDescent="0.25">
      <c r="B172" s="108">
        <v>44092</v>
      </c>
      <c r="C172" s="108" t="s">
        <v>619</v>
      </c>
      <c r="D172" s="176">
        <v>13.894870778809771</v>
      </c>
      <c r="E172" s="176">
        <v>18.223554331618011</v>
      </c>
      <c r="F172" s="176">
        <v>12.797473470694699</v>
      </c>
      <c r="H172" s="176">
        <v>15.510513901156354</v>
      </c>
      <c r="I172" s="169">
        <v>-0.10416438376204495</v>
      </c>
      <c r="O172" s="178">
        <v>-9.3793575747374708E-2</v>
      </c>
      <c r="P172" s="178">
        <v>8.8958807694498095E-3</v>
      </c>
      <c r="Q172" s="178">
        <v>0.11158533728627432</v>
      </c>
    </row>
    <row r="173" spans="2:17" x14ac:dyDescent="0.25">
      <c r="B173" s="108">
        <v>44091</v>
      </c>
      <c r="C173" s="108" t="s">
        <v>620</v>
      </c>
      <c r="D173" s="176">
        <v>13.666253790538256</v>
      </c>
      <c r="E173" s="176">
        <v>17.952745277607534</v>
      </c>
      <c r="F173" s="176">
        <v>12.722014005856384</v>
      </c>
      <c r="H173" s="176">
        <v>15.337379641731959</v>
      </c>
      <c r="I173" s="169">
        <v>-0.10895771573957025</v>
      </c>
      <c r="O173" s="178">
        <v>-9.3793575747374708E-2</v>
      </c>
      <c r="P173" s="178">
        <v>8.8958807694498095E-3</v>
      </c>
      <c r="Q173" s="178">
        <v>0.11158533728627432</v>
      </c>
    </row>
    <row r="174" spans="2:17" x14ac:dyDescent="0.25">
      <c r="B174" s="108">
        <v>44090</v>
      </c>
      <c r="C174" s="108" t="s">
        <v>621</v>
      </c>
      <c r="D174" s="176">
        <v>13.668311385400267</v>
      </c>
      <c r="E174" s="176">
        <v>17.953706609563408</v>
      </c>
      <c r="F174" s="176">
        <v>12.742757639302207</v>
      </c>
      <c r="H174" s="176">
        <v>15.348232124432808</v>
      </c>
      <c r="I174" s="169">
        <v>-0.10945369638749991</v>
      </c>
      <c r="O174" s="178">
        <v>-9.3793575747374708E-2</v>
      </c>
      <c r="P174" s="178">
        <v>8.8958807694498095E-3</v>
      </c>
      <c r="Q174" s="178">
        <v>0.11158533728627432</v>
      </c>
    </row>
    <row r="175" spans="2:17" x14ac:dyDescent="0.25">
      <c r="B175" s="108">
        <v>44089</v>
      </c>
      <c r="C175" s="108" t="s">
        <v>622</v>
      </c>
      <c r="D175" s="176">
        <v>13.670369769927497</v>
      </c>
      <c r="E175" s="176">
        <v>17.95466805624417</v>
      </c>
      <c r="F175" s="176">
        <v>12.717873499877268</v>
      </c>
      <c r="H175" s="176">
        <v>15.336270778060719</v>
      </c>
      <c r="I175" s="169">
        <v>-0.10862490837840277</v>
      </c>
      <c r="O175" s="178">
        <v>-9.3793575747374708E-2</v>
      </c>
      <c r="P175" s="178">
        <v>8.8958807694498095E-3</v>
      </c>
      <c r="Q175" s="178">
        <v>0.11158533728627432</v>
      </c>
    </row>
    <row r="176" spans="2:17" x14ac:dyDescent="0.25">
      <c r="B176" s="108">
        <v>44088</v>
      </c>
      <c r="C176" s="108" t="s">
        <v>623</v>
      </c>
      <c r="D176" s="176">
        <v>13.672428944574616</v>
      </c>
      <c r="E176" s="176">
        <v>17.955629617670354</v>
      </c>
      <c r="F176" s="176">
        <v>12.719040579942041</v>
      </c>
      <c r="H176" s="176">
        <v>15.337335098806196</v>
      </c>
      <c r="I176" s="169">
        <v>-0.10855250560191332</v>
      </c>
      <c r="O176" s="178">
        <v>-9.3793575747374708E-2</v>
      </c>
      <c r="P176" s="178">
        <v>8.8958807694498095E-3</v>
      </c>
      <c r="Q176" s="178">
        <v>0.11158533728627432</v>
      </c>
    </row>
    <row r="177" spans="2:17" x14ac:dyDescent="0.25">
      <c r="B177" s="108">
        <v>44085</v>
      </c>
      <c r="C177" s="108" t="s">
        <v>624</v>
      </c>
      <c r="D177" s="176">
        <v>13.678611213787338</v>
      </c>
      <c r="E177" s="176">
        <v>17.958514990626899</v>
      </c>
      <c r="F177" s="176">
        <v>12.722543246027573</v>
      </c>
      <c r="H177" s="176">
        <v>15.340529118327236</v>
      </c>
      <c r="I177" s="169">
        <v>-0.1083351096771763</v>
      </c>
      <c r="O177" s="178">
        <v>-9.3793575747374708E-2</v>
      </c>
      <c r="P177" s="178">
        <v>8.8958807694498095E-3</v>
      </c>
      <c r="Q177" s="178">
        <v>0.11158533728627432</v>
      </c>
    </row>
    <row r="178" spans="2:17" x14ac:dyDescent="0.25">
      <c r="B178" s="108">
        <v>44084</v>
      </c>
      <c r="C178" s="108" t="s">
        <v>625</v>
      </c>
      <c r="D178" s="176">
        <v>13.680673553467773</v>
      </c>
      <c r="E178" s="176">
        <v>17.959477011240253</v>
      </c>
      <c r="F178" s="176">
        <v>12.689902357740307</v>
      </c>
      <c r="H178" s="176">
        <v>15.324689684490281</v>
      </c>
      <c r="I178" s="169">
        <v>-0.10727891819475943</v>
      </c>
      <c r="O178" s="178">
        <v>-9.3793575747374708E-2</v>
      </c>
      <c r="P178" s="178">
        <v>8.8958807694498095E-3</v>
      </c>
      <c r="Q178" s="178">
        <v>0.11158533728627432</v>
      </c>
    </row>
    <row r="179" spans="2:17" x14ac:dyDescent="0.25">
      <c r="B179" s="108">
        <v>44083</v>
      </c>
      <c r="C179" s="108" t="s">
        <v>626</v>
      </c>
      <c r="D179" s="176">
        <v>13.682736685546718</v>
      </c>
      <c r="E179" s="176">
        <v>17.960439146701802</v>
      </c>
      <c r="F179" s="176">
        <v>12.691315530061875</v>
      </c>
      <c r="H179" s="176">
        <v>15.325877338381838</v>
      </c>
      <c r="I179" s="169">
        <v>-0.10721348060903957</v>
      </c>
      <c r="O179" s="178">
        <v>-9.3793575747374708E-2</v>
      </c>
      <c r="P179" s="178">
        <v>8.8958807694498095E-3</v>
      </c>
      <c r="Q179" s="178">
        <v>0.11158533728627432</v>
      </c>
    </row>
    <row r="180" spans="2:17" x14ac:dyDescent="0.25">
      <c r="B180" s="108">
        <v>44082</v>
      </c>
      <c r="C180" s="108" t="s">
        <v>627</v>
      </c>
      <c r="D180" s="176">
        <v>13.684800610480949</v>
      </c>
      <c r="E180" s="176">
        <v>17.961401397032088</v>
      </c>
      <c r="F180" s="176">
        <v>12.692729045480984</v>
      </c>
      <c r="H180" s="176">
        <v>15.327065221256536</v>
      </c>
      <c r="I180" s="169">
        <v>-0.10714801477441305</v>
      </c>
      <c r="O180" s="178">
        <v>-9.3793575747374708E-2</v>
      </c>
      <c r="P180" s="178">
        <v>8.8958807694498095E-3</v>
      </c>
      <c r="Q180" s="178">
        <v>0.11158533728627432</v>
      </c>
    </row>
    <row r="181" spans="2:17" x14ac:dyDescent="0.25">
      <c r="B181" s="108">
        <v>44081</v>
      </c>
      <c r="C181" s="108" t="s">
        <v>628</v>
      </c>
      <c r="D181" s="176">
        <v>13.686865328727594</v>
      </c>
      <c r="E181" s="176">
        <v>17.962363762251709</v>
      </c>
      <c r="F181" s="176">
        <v>12.694142904122584</v>
      </c>
      <c r="H181" s="176">
        <v>15.328253333187146</v>
      </c>
      <c r="I181" s="169">
        <v>-0.10708252067479784</v>
      </c>
      <c r="O181" s="178">
        <v>-9.3793575747374708E-2</v>
      </c>
      <c r="P181" s="178">
        <v>8.8958807694498095E-3</v>
      </c>
      <c r="Q181" s="178">
        <v>0.11158533728627432</v>
      </c>
    </row>
    <row r="182" spans="2:17" x14ac:dyDescent="0.25">
      <c r="B182" s="108">
        <v>44078</v>
      </c>
      <c r="C182" s="108" t="s">
        <v>629</v>
      </c>
      <c r="D182" s="176">
        <v>14.145151400329544</v>
      </c>
      <c r="E182" s="176">
        <v>17.965251547452326</v>
      </c>
      <c r="F182" s="176">
        <v>12.651556699420876</v>
      </c>
      <c r="H182" s="176">
        <v>15.308404123436601</v>
      </c>
      <c r="I182" s="169">
        <v>-7.5987850446550431E-2</v>
      </c>
      <c r="O182" s="178">
        <v>-9.3793575747374708E-2</v>
      </c>
      <c r="P182" s="178">
        <v>8.8958807694498095E-3</v>
      </c>
      <c r="Q182" s="178">
        <v>0.11158533728627432</v>
      </c>
    </row>
    <row r="183" spans="2:17" x14ac:dyDescent="0.25">
      <c r="B183" s="108">
        <v>44077</v>
      </c>
      <c r="C183" s="108" t="s">
        <v>630</v>
      </c>
      <c r="D183" s="176">
        <v>14.147306247790189</v>
      </c>
      <c r="E183" s="176">
        <v>17.966214372435076</v>
      </c>
      <c r="F183" s="176">
        <v>12.652966243951118</v>
      </c>
      <c r="H183" s="176">
        <v>15.309590308193098</v>
      </c>
      <c r="I183" s="169">
        <v>-7.5918691291229412E-2</v>
      </c>
      <c r="O183" s="178">
        <v>-9.3793575747374708E-2</v>
      </c>
      <c r="P183" s="178">
        <v>8.8958807694498095E-3</v>
      </c>
      <c r="Q183" s="178">
        <v>0.11158533728627432</v>
      </c>
    </row>
    <row r="184" spans="2:17" x14ac:dyDescent="0.25">
      <c r="B184" s="108">
        <v>44076</v>
      </c>
      <c r="C184" s="108" t="s">
        <v>631</v>
      </c>
      <c r="D184" s="176">
        <v>14.149461924307868</v>
      </c>
      <c r="E184" s="176">
        <v>17.967177312410087</v>
      </c>
      <c r="F184" s="176">
        <v>13.187845570680011</v>
      </c>
      <c r="H184" s="176">
        <v>15.577511441545049</v>
      </c>
      <c r="I184" s="169">
        <v>-9.1673790296734392E-2</v>
      </c>
      <c r="O184" s="178">
        <v>-9.3793575747374708E-2</v>
      </c>
      <c r="P184" s="178">
        <v>8.8958807694498095E-3</v>
      </c>
      <c r="Q184" s="178">
        <v>0.11158533728627432</v>
      </c>
    </row>
    <row r="185" spans="2:17" x14ac:dyDescent="0.25">
      <c r="B185" s="108">
        <v>44075</v>
      </c>
      <c r="C185" s="108" t="s">
        <v>632</v>
      </c>
      <c r="D185" s="176">
        <v>14.151618430361138</v>
      </c>
      <c r="E185" s="176">
        <v>17.968140367397968</v>
      </c>
      <c r="F185" s="176">
        <v>13.189320614625007</v>
      </c>
      <c r="H185" s="176">
        <v>15.578730491011488</v>
      </c>
      <c r="I185" s="169">
        <v>-9.1606441325482568E-2</v>
      </c>
      <c r="O185" s="178">
        <v>-9.3793575747374708E-2</v>
      </c>
      <c r="P185" s="178">
        <v>8.8958807694498095E-3</v>
      </c>
      <c r="Q185" s="178">
        <v>0.11158533728627432</v>
      </c>
    </row>
    <row r="186" spans="2:17" x14ac:dyDescent="0.25">
      <c r="B186" s="108">
        <v>44071</v>
      </c>
      <c r="C186" s="108" t="s">
        <v>633</v>
      </c>
      <c r="D186" s="176">
        <v>14.160252759513952</v>
      </c>
      <c r="E186" s="176">
        <v>17.971993737890312</v>
      </c>
      <c r="F186" s="176">
        <v>13.19522437638401</v>
      </c>
      <c r="H186" s="176">
        <v>15.58360905713716</v>
      </c>
      <c r="I186" s="169">
        <v>-9.1336755972540429E-2</v>
      </c>
      <c r="O186" s="178">
        <v>-9.3793575747374708E-2</v>
      </c>
      <c r="P186" s="178">
        <v>8.8958807694498095E-3</v>
      </c>
      <c r="Q186" s="178">
        <v>0.11158533728627432</v>
      </c>
    </row>
    <row r="187" spans="2:17" x14ac:dyDescent="0.25">
      <c r="B187" s="108">
        <v>44070</v>
      </c>
      <c r="C187" s="108" t="s">
        <v>634</v>
      </c>
      <c r="D187" s="176">
        <v>14.162413420436303</v>
      </c>
      <c r="E187" s="176">
        <v>17.972957368251699</v>
      </c>
      <c r="F187" s="176">
        <v>13.196701213972425</v>
      </c>
      <c r="H187" s="176">
        <v>15.584829291112062</v>
      </c>
      <c r="I187" s="169">
        <v>-9.1269262184793587E-2</v>
      </c>
      <c r="O187" s="178">
        <v>-9.3793575747374708E-2</v>
      </c>
      <c r="P187" s="178">
        <v>8.8958807694498095E-3</v>
      </c>
      <c r="Q187" s="178">
        <v>0.11158533728627432</v>
      </c>
    </row>
    <row r="188" spans="2:17" x14ac:dyDescent="0.25">
      <c r="B188" s="108">
        <v>44069</v>
      </c>
      <c r="C188" s="108" t="s">
        <v>635</v>
      </c>
      <c r="D188" s="176">
        <v>14.164574913773281</v>
      </c>
      <c r="E188" s="176">
        <v>17.973921113749675</v>
      </c>
      <c r="F188" s="176">
        <v>13.198178410682095</v>
      </c>
      <c r="H188" s="176">
        <v>15.586049762215886</v>
      </c>
      <c r="I188" s="169">
        <v>-9.1201739384188407E-2</v>
      </c>
      <c r="O188" s="178">
        <v>-9.3793575747374708E-2</v>
      </c>
      <c r="P188" s="178">
        <v>8.8958807694498095E-3</v>
      </c>
      <c r="Q188" s="178">
        <v>0.11158533728627432</v>
      </c>
    </row>
    <row r="189" spans="2:17" x14ac:dyDescent="0.25">
      <c r="B189" s="108">
        <v>44068</v>
      </c>
      <c r="C189" s="108" t="s">
        <v>636</v>
      </c>
      <c r="D189" s="176">
        <v>14.166737240006031</v>
      </c>
      <c r="E189" s="176">
        <v>17.974884974404858</v>
      </c>
      <c r="F189" s="176">
        <v>13.199655966644048</v>
      </c>
      <c r="H189" s="176">
        <v>15.587270470524453</v>
      </c>
      <c r="I189" s="169">
        <v>-9.1134187554174573E-2</v>
      </c>
      <c r="O189" s="178">
        <v>-9.3793575747374708E-2</v>
      </c>
      <c r="P189" s="178">
        <v>8.8958807694498095E-3</v>
      </c>
      <c r="Q189" s="178">
        <v>0.11158533728627432</v>
      </c>
    </row>
    <row r="190" spans="2:17" x14ac:dyDescent="0.25">
      <c r="B190" s="108">
        <v>44067</v>
      </c>
      <c r="C190" s="108" t="s">
        <v>637</v>
      </c>
      <c r="D190" s="176">
        <v>14.168900399616055</v>
      </c>
      <c r="E190" s="176">
        <v>17.975848950237907</v>
      </c>
      <c r="F190" s="176">
        <v>13.201133881989321</v>
      </c>
      <c r="H190" s="176">
        <v>15.588491416113614</v>
      </c>
      <c r="I190" s="169">
        <v>-9.1066606678189999E-2</v>
      </c>
      <c r="O190" s="178">
        <v>-9.3793575747374708E-2</v>
      </c>
      <c r="P190" s="178">
        <v>8.8958807694498095E-3</v>
      </c>
      <c r="Q190" s="178">
        <v>0.11158533728627432</v>
      </c>
    </row>
    <row r="191" spans="2:17" x14ac:dyDescent="0.25">
      <c r="B191" s="108">
        <v>44064</v>
      </c>
      <c r="C191" s="108" t="s">
        <v>638</v>
      </c>
      <c r="D191" s="176">
        <v>14.175394883530414</v>
      </c>
      <c r="E191" s="176">
        <v>17.978741569010662</v>
      </c>
      <c r="F191" s="176">
        <v>13.205569785636825</v>
      </c>
      <c r="H191" s="176">
        <v>15.592155677323744</v>
      </c>
      <c r="I191" s="169">
        <v>-9.0863689608600917E-2</v>
      </c>
      <c r="O191" s="178">
        <v>-9.3793575747374708E-2</v>
      </c>
      <c r="P191" s="178">
        <v>8.8958807694498095E-3</v>
      </c>
      <c r="Q191" s="178">
        <v>0.11158533728627432</v>
      </c>
    </row>
    <row r="192" spans="2:17" x14ac:dyDescent="0.25">
      <c r="B192" s="108">
        <v>44063</v>
      </c>
      <c r="C192" s="108" t="s">
        <v>639</v>
      </c>
      <c r="D192" s="176">
        <v>14.177561381472033</v>
      </c>
      <c r="E192" s="176">
        <v>17.979706005761649</v>
      </c>
      <c r="F192" s="176">
        <v>13.207049139827417</v>
      </c>
      <c r="H192" s="176">
        <v>15.593377572794534</v>
      </c>
      <c r="I192" s="169">
        <v>-9.0795992382859181E-2</v>
      </c>
      <c r="O192" s="178">
        <v>-9.3793575747374708E-2</v>
      </c>
      <c r="P192" s="178">
        <v>8.8958807694498095E-3</v>
      </c>
      <c r="Q192" s="178">
        <v>0.11158533728627432</v>
      </c>
    </row>
    <row r="193" spans="2:17" x14ac:dyDescent="0.25">
      <c r="B193" s="108">
        <v>44062</v>
      </c>
      <c r="C193" s="108" t="s">
        <v>640</v>
      </c>
      <c r="D193" s="176">
        <v>14.179728715204041</v>
      </c>
      <c r="E193" s="176">
        <v>17.980670557793765</v>
      </c>
      <c r="F193" s="176">
        <v>13.208528854057654</v>
      </c>
      <c r="H193" s="176">
        <v>15.59459970592571</v>
      </c>
      <c r="I193" s="169">
        <v>-9.0728266028145543E-2</v>
      </c>
      <c r="O193" s="178">
        <v>-9.3793575747374708E-2</v>
      </c>
      <c r="P193" s="178">
        <v>8.8958807694498095E-3</v>
      </c>
      <c r="Q193" s="178">
        <v>0.11158533728627432</v>
      </c>
    </row>
    <row r="194" spans="2:17" x14ac:dyDescent="0.25">
      <c r="B194" s="108">
        <v>44061</v>
      </c>
      <c r="C194" s="108" t="s">
        <v>641</v>
      </c>
      <c r="D194" s="176">
        <v>14.181896885210168</v>
      </c>
      <c r="E194" s="176">
        <v>17.98163522512769</v>
      </c>
      <c r="F194" s="176">
        <v>13.210008928459006</v>
      </c>
      <c r="H194" s="176">
        <v>15.595822076793347</v>
      </c>
      <c r="I194" s="169">
        <v>-9.066051052782309E-2</v>
      </c>
      <c r="O194" s="178">
        <v>-9.3793575747374708E-2</v>
      </c>
      <c r="P194" s="178">
        <v>8.8958807694498095E-3</v>
      </c>
      <c r="Q194" s="178">
        <v>0.11158533728627432</v>
      </c>
    </row>
    <row r="195" spans="2:17" x14ac:dyDescent="0.25">
      <c r="B195" s="108">
        <v>44060</v>
      </c>
      <c r="C195" s="108" t="s">
        <v>642</v>
      </c>
      <c r="D195" s="176">
        <v>14.184065891974537</v>
      </c>
      <c r="E195" s="176">
        <v>17.9826000077841</v>
      </c>
      <c r="F195" s="176">
        <v>13.211489363162954</v>
      </c>
      <c r="H195" s="176">
        <v>15.597044685473527</v>
      </c>
      <c r="I195" s="169">
        <v>-9.0592725865239254E-2</v>
      </c>
      <c r="O195" s="178">
        <v>-9.3793575747374708E-2</v>
      </c>
      <c r="P195" s="178">
        <v>8.8958807694498095E-3</v>
      </c>
      <c r="Q195" s="178">
        <v>0.11158533728627432</v>
      </c>
    </row>
    <row r="196" spans="2:17" x14ac:dyDescent="0.25">
      <c r="B196" s="108">
        <v>44057</v>
      </c>
      <c r="C196" s="108" t="s">
        <v>643</v>
      </c>
      <c r="D196" s="176">
        <v>14.190577937663788</v>
      </c>
      <c r="E196" s="176">
        <v>17.985495047895064</v>
      </c>
      <c r="F196" s="176">
        <v>13.215932830406656</v>
      </c>
      <c r="H196" s="176">
        <v>15.600713939150861</v>
      </c>
      <c r="I196" s="169">
        <v>-9.0389196737224897E-2</v>
      </c>
      <c r="O196" s="178">
        <v>-9.3793575747374708E-2</v>
      </c>
      <c r="P196" s="178">
        <v>8.8958807694498095E-3</v>
      </c>
      <c r="Q196" s="178">
        <v>0.11158533728627432</v>
      </c>
    </row>
    <row r="197" spans="2:17" x14ac:dyDescent="0.25">
      <c r="B197" s="108">
        <v>44056</v>
      </c>
      <c r="C197" s="108" t="s">
        <v>644</v>
      </c>
      <c r="D197" s="176">
        <v>14.192750296309704</v>
      </c>
      <c r="E197" s="176">
        <v>17.986460292048264</v>
      </c>
      <c r="F197" s="176">
        <v>13.217414707637531</v>
      </c>
      <c r="H197" s="176">
        <v>15.601937499842897</v>
      </c>
      <c r="I197" s="169">
        <v>-9.0321295258834589E-2</v>
      </c>
      <c r="O197" s="178">
        <v>-9.3793575747374708E-2</v>
      </c>
      <c r="P197" s="178">
        <v>8.8958807694498095E-3</v>
      </c>
      <c r="Q197" s="178">
        <v>0.11158533728627432</v>
      </c>
    </row>
    <row r="198" spans="2:17" x14ac:dyDescent="0.25">
      <c r="B198" s="108">
        <v>44055</v>
      </c>
      <c r="C198" s="108" t="s">
        <v>645</v>
      </c>
      <c r="D198" s="176">
        <v>14.194923494140044</v>
      </c>
      <c r="E198" s="176">
        <v>17.987425651627404</v>
      </c>
      <c r="F198" s="176">
        <v>13.218896945829583</v>
      </c>
      <c r="H198" s="176">
        <v>15.603161298728494</v>
      </c>
      <c r="I198" s="169">
        <v>-9.0253364534737535E-2</v>
      </c>
      <c r="O198" s="178">
        <v>-9.3793575747374708E-2</v>
      </c>
      <c r="P198" s="178">
        <v>8.8958807694498095E-3</v>
      </c>
      <c r="Q198" s="178">
        <v>0.11158533728627432</v>
      </c>
    </row>
    <row r="199" spans="2:17" x14ac:dyDescent="0.25">
      <c r="B199" s="108">
        <v>44054</v>
      </c>
      <c r="C199" s="108" t="s">
        <v>646</v>
      </c>
      <c r="D199" s="176">
        <v>13.870495625437618</v>
      </c>
      <c r="E199" s="176">
        <v>13.295162272017665</v>
      </c>
      <c r="F199" s="176">
        <v>12.978937116918763</v>
      </c>
      <c r="H199" s="176">
        <v>13.137049694468214</v>
      </c>
      <c r="I199" s="169">
        <v>5.5830338472286245E-2</v>
      </c>
      <c r="O199" s="178">
        <v>-9.3793575747374708E-2</v>
      </c>
      <c r="P199" s="178">
        <v>8.8958807694498095E-3</v>
      </c>
      <c r="Q199" s="178">
        <v>0.11158533728627432</v>
      </c>
    </row>
    <row r="200" spans="2:17" x14ac:dyDescent="0.25">
      <c r="B200" s="108">
        <v>44053</v>
      </c>
      <c r="C200" s="108" t="s">
        <v>647</v>
      </c>
      <c r="D200" s="176">
        <v>13.872707357469732</v>
      </c>
      <c r="E200" s="176">
        <v>13.295943991184167</v>
      </c>
      <c r="F200" s="176">
        <v>12.980244397451168</v>
      </c>
      <c r="H200" s="176">
        <v>13.138094194317667</v>
      </c>
      <c r="I200" s="169">
        <v>5.5914743210609075E-2</v>
      </c>
      <c r="O200" s="178">
        <v>-9.3793575747374708E-2</v>
      </c>
      <c r="P200" s="178">
        <v>8.8958807694498095E-3</v>
      </c>
      <c r="Q200" s="178">
        <v>0.11158533728627432</v>
      </c>
    </row>
    <row r="201" spans="2:17" x14ac:dyDescent="0.25">
      <c r="B201" s="108">
        <v>44050</v>
      </c>
      <c r="C201" s="108" t="s">
        <v>648</v>
      </c>
      <c r="D201" s="176">
        <v>13.879347754523835</v>
      </c>
      <c r="E201" s="176">
        <v>13.298289751340509</v>
      </c>
      <c r="F201" s="176">
        <v>12.964936918771466</v>
      </c>
      <c r="H201" s="176">
        <v>13.131613335055988</v>
      </c>
      <c r="I201" s="169">
        <v>5.6941550165180654E-2</v>
      </c>
      <c r="O201" s="178">
        <v>-9.3793575747374708E-2</v>
      </c>
      <c r="P201" s="178">
        <v>8.8958807694498095E-3</v>
      </c>
      <c r="Q201" s="178">
        <v>0.11158533728627432</v>
      </c>
    </row>
    <row r="202" spans="2:17" x14ac:dyDescent="0.25">
      <c r="B202" s="108">
        <v>44049</v>
      </c>
      <c r="C202" s="108" t="s">
        <v>649</v>
      </c>
      <c r="D202" s="176">
        <v>13.731054849369603</v>
      </c>
      <c r="E202" s="176">
        <v>13.299071872342774</v>
      </c>
      <c r="F202" s="176">
        <v>12.966328905416868</v>
      </c>
      <c r="H202" s="176">
        <v>13.132700388879821</v>
      </c>
      <c r="I202" s="169">
        <v>4.5562180113119854E-2</v>
      </c>
      <c r="O202" s="178">
        <v>-9.3793575747374708E-2</v>
      </c>
      <c r="P202" s="178">
        <v>8.8958807694498095E-3</v>
      </c>
      <c r="Q202" s="178">
        <v>0.11158533728627432</v>
      </c>
    </row>
    <row r="203" spans="2:17" x14ac:dyDescent="0.25">
      <c r="B203" s="108">
        <v>44048</v>
      </c>
      <c r="C203" s="108" t="s">
        <v>650</v>
      </c>
      <c r="D203" s="176">
        <v>13.733241413654438</v>
      </c>
      <c r="E203" s="176">
        <v>13.299854093852387</v>
      </c>
      <c r="F203" s="176">
        <v>12.785690724991644</v>
      </c>
      <c r="H203" s="176">
        <v>13.042772409422016</v>
      </c>
      <c r="I203" s="169">
        <v>5.2938821790191826E-2</v>
      </c>
      <c r="O203" s="178">
        <v>-9.3793575747374708E-2</v>
      </c>
      <c r="P203" s="178">
        <v>8.8958807694498095E-3</v>
      </c>
      <c r="Q203" s="178">
        <v>0.11158533728627432</v>
      </c>
    </row>
    <row r="204" spans="2:17" x14ac:dyDescent="0.25">
      <c r="B204" s="108">
        <v>44047</v>
      </c>
      <c r="C204" s="108" t="s">
        <v>651</v>
      </c>
      <c r="D204" s="176">
        <v>13.735428835405861</v>
      </c>
      <c r="E204" s="176">
        <v>13.300636415888732</v>
      </c>
      <c r="F204" s="176">
        <v>12.787061521105409</v>
      </c>
      <c r="H204" s="176">
        <v>13.04384896849707</v>
      </c>
      <c r="I204" s="169">
        <v>5.3019616263501934E-2</v>
      </c>
      <c r="O204" s="178">
        <v>-9.3793575747374708E-2</v>
      </c>
      <c r="P204" s="178">
        <v>8.8958807694498095E-3</v>
      </c>
      <c r="Q204" s="178">
        <v>0.11158533728627432</v>
      </c>
    </row>
    <row r="205" spans="2:17" x14ac:dyDescent="0.25">
      <c r="B205" s="108">
        <v>44046</v>
      </c>
      <c r="C205" s="108" t="s">
        <v>652</v>
      </c>
      <c r="D205" s="176">
        <v>13.737617115128362</v>
      </c>
      <c r="E205" s="176">
        <v>13.301418838471182</v>
      </c>
      <c r="F205" s="176">
        <v>12.788432646483837</v>
      </c>
      <c r="H205" s="176">
        <v>13.04492574247751</v>
      </c>
      <c r="I205" s="169">
        <v>5.3100445822798159E-2</v>
      </c>
      <c r="O205" s="178">
        <v>-9.3793575747374708E-2</v>
      </c>
      <c r="P205" s="178">
        <v>8.8958807694498095E-3</v>
      </c>
      <c r="Q205" s="178">
        <v>0.11158533728627432</v>
      </c>
    </row>
    <row r="206" spans="2:17" x14ac:dyDescent="0.25">
      <c r="B206" s="108">
        <v>44043</v>
      </c>
      <c r="C206" s="108" t="s">
        <v>653</v>
      </c>
      <c r="D206" s="176">
        <v>13.744187107173108</v>
      </c>
      <c r="E206" s="176">
        <v>13.303766709689061</v>
      </c>
      <c r="F206" s="176">
        <v>12.792547999393877</v>
      </c>
      <c r="H206" s="176">
        <v>13.04815735454147</v>
      </c>
      <c r="I206" s="169">
        <v>5.3343145221143473E-2</v>
      </c>
      <c r="O206" s="178">
        <v>-9.3793575747374708E-2</v>
      </c>
      <c r="P206" s="178">
        <v>8.8958807694498095E-3</v>
      </c>
      <c r="Q206" s="178">
        <v>0.11158533728627432</v>
      </c>
    </row>
    <row r="207" spans="2:17" x14ac:dyDescent="0.25">
      <c r="B207" s="108">
        <v>44042</v>
      </c>
      <c r="C207" s="108" t="s">
        <v>654</v>
      </c>
      <c r="D207" s="176">
        <v>13.746378823832689</v>
      </c>
      <c r="E207" s="176">
        <v>13.304549534649848</v>
      </c>
      <c r="F207" s="176">
        <v>12.79392044301802</v>
      </c>
      <c r="H207" s="176">
        <v>13.049234988833934</v>
      </c>
      <c r="I207" s="169">
        <v>5.3424115329005373E-2</v>
      </c>
      <c r="O207" s="178">
        <v>-9.3793575747374708E-2</v>
      </c>
      <c r="P207" s="178">
        <v>8.8958807694498095E-3</v>
      </c>
      <c r="Q207" s="178">
        <v>0.11158533728627432</v>
      </c>
    </row>
    <row r="208" spans="2:17" x14ac:dyDescent="0.25">
      <c r="B208" s="108">
        <v>44041</v>
      </c>
      <c r="C208" s="108" t="s">
        <v>655</v>
      </c>
      <c r="D208" s="176">
        <v>13.748571400991715</v>
      </c>
      <c r="E208" s="176">
        <v>13.305332460253712</v>
      </c>
      <c r="F208" s="176">
        <v>12.795293216500644</v>
      </c>
      <c r="H208" s="176">
        <v>13.050312838377177</v>
      </c>
      <c r="I208" s="169">
        <v>5.3505120625243707E-2</v>
      </c>
      <c r="O208" s="178">
        <v>-9.3793575747374708E-2</v>
      </c>
      <c r="P208" s="178">
        <v>8.8958807694498095E-3</v>
      </c>
      <c r="Q208" s="178">
        <v>0.11158533728627432</v>
      </c>
    </row>
    <row r="209" spans="2:17" x14ac:dyDescent="0.25">
      <c r="B209" s="108">
        <v>44040</v>
      </c>
      <c r="C209" s="108" t="s">
        <v>656</v>
      </c>
      <c r="D209" s="176">
        <v>13.750764839157055</v>
      </c>
      <c r="E209" s="176">
        <v>13.306115486520072</v>
      </c>
      <c r="F209" s="176">
        <v>12.796666319960677</v>
      </c>
      <c r="H209" s="176">
        <v>13.051390903240375</v>
      </c>
      <c r="I209" s="169">
        <v>5.3586161130385168E-2</v>
      </c>
      <c r="O209" s="178">
        <v>-9.3793575747374708E-2</v>
      </c>
      <c r="P209" s="178">
        <v>8.8958807694498095E-3</v>
      </c>
      <c r="Q209" s="178">
        <v>0.11158533728627432</v>
      </c>
    </row>
    <row r="210" spans="2:17" x14ac:dyDescent="0.25">
      <c r="B210" s="108">
        <v>44039</v>
      </c>
      <c r="C210" s="108" t="s">
        <v>657</v>
      </c>
      <c r="D210" s="176">
        <v>13.752959138835974</v>
      </c>
      <c r="E210" s="176">
        <v>13.306898613468341</v>
      </c>
      <c r="F210" s="176">
        <v>12.798039753517113</v>
      </c>
      <c r="H210" s="176">
        <v>13.052469183492727</v>
      </c>
      <c r="I210" s="169">
        <v>5.3667236864971546E-2</v>
      </c>
      <c r="O210" s="178">
        <v>-9.3793575747374708E-2</v>
      </c>
      <c r="P210" s="178">
        <v>8.8958807694498095E-3</v>
      </c>
      <c r="Q210" s="178">
        <v>0.11158533728627432</v>
      </c>
    </row>
    <row r="211" spans="2:17" x14ac:dyDescent="0.25">
      <c r="B211" s="108">
        <v>44036</v>
      </c>
      <c r="C211" s="108" t="s">
        <v>658</v>
      </c>
      <c r="D211" s="176">
        <v>13.759547212032821</v>
      </c>
      <c r="E211" s="176">
        <v>13.309248598598806</v>
      </c>
      <c r="F211" s="176">
        <v>12.802162035955579</v>
      </c>
      <c r="H211" s="176">
        <v>13.055705317277193</v>
      </c>
      <c r="I211" s="169">
        <v>5.3910675651065887E-2</v>
      </c>
      <c r="O211" s="178">
        <v>-9.3793575747374708E-2</v>
      </c>
      <c r="P211" s="178">
        <v>8.8958807694498095E-3</v>
      </c>
      <c r="Q211" s="178">
        <v>0.11158533728627432</v>
      </c>
    </row>
    <row r="212" spans="2:17" x14ac:dyDescent="0.25">
      <c r="B212" s="108">
        <v>44035</v>
      </c>
      <c r="C212" s="108" t="s">
        <v>659</v>
      </c>
      <c r="D212" s="176">
        <v>13.761744962846674</v>
      </c>
      <c r="E212" s="176">
        <v>13.310032128468951</v>
      </c>
      <c r="F212" s="176">
        <v>12.803536791088671</v>
      </c>
      <c r="H212" s="176">
        <v>13.056784459778811</v>
      </c>
      <c r="I212" s="169">
        <v>5.3991892509176465E-2</v>
      </c>
      <c r="O212" s="178">
        <v>-9.3793575747374708E-2</v>
      </c>
      <c r="P212" s="178">
        <v>8.8958807694498095E-3</v>
      </c>
      <c r="Q212" s="178">
        <v>0.11158533728627432</v>
      </c>
    </row>
    <row r="213" spans="2:17" x14ac:dyDescent="0.25">
      <c r="B213" s="108">
        <v>44034</v>
      </c>
      <c r="C213" s="108" t="s">
        <v>660</v>
      </c>
      <c r="D213" s="176">
        <v>13.774901126105668</v>
      </c>
      <c r="E213" s="176">
        <v>13.310815759118151</v>
      </c>
      <c r="F213" s="176">
        <v>12.804911876913977</v>
      </c>
      <c r="H213" s="176">
        <v>13.057863818016063</v>
      </c>
      <c r="I213" s="169">
        <v>5.4912297913560781E-2</v>
      </c>
      <c r="O213" s="178">
        <v>-9.3793575747374708E-2</v>
      </c>
      <c r="P213" s="178">
        <v>8.8958807694498095E-3</v>
      </c>
      <c r="Q213" s="178">
        <v>0.11158533728627432</v>
      </c>
    </row>
    <row r="214" spans="2:17" x14ac:dyDescent="0.25">
      <c r="B214" s="108">
        <v>44033</v>
      </c>
      <c r="C214" s="108" t="s">
        <v>661</v>
      </c>
      <c r="D214" s="176">
        <v>13.77696921761118</v>
      </c>
      <c r="E214" s="176">
        <v>13.311599490565856</v>
      </c>
      <c r="F214" s="176">
        <v>12.806287293550833</v>
      </c>
      <c r="H214" s="176">
        <v>13.058943392058344</v>
      </c>
      <c r="I214" s="169">
        <v>5.4983454939355525E-2</v>
      </c>
      <c r="O214" s="178">
        <v>-9.3793575747374708E-2</v>
      </c>
      <c r="P214" s="178">
        <v>8.8958807694498095E-3</v>
      </c>
      <c r="Q214" s="178">
        <v>0.11158533728627432</v>
      </c>
    </row>
    <row r="215" spans="2:17" x14ac:dyDescent="0.25">
      <c r="B215" s="108">
        <v>44032</v>
      </c>
      <c r="C215" s="108" t="s">
        <v>662</v>
      </c>
      <c r="D215" s="176">
        <v>13.77903808207623</v>
      </c>
      <c r="E215" s="176">
        <v>13.312383322831504</v>
      </c>
      <c r="F215" s="176">
        <v>12.80766304111863</v>
      </c>
      <c r="H215" s="176">
        <v>13.060023181975067</v>
      </c>
      <c r="I215" s="169">
        <v>5.5054641946847394E-2</v>
      </c>
      <c r="O215" s="178">
        <v>-9.3793575747374708E-2</v>
      </c>
      <c r="P215" s="178">
        <v>8.8958807694498095E-3</v>
      </c>
      <c r="Q215" s="178">
        <v>0.11158533728627432</v>
      </c>
    </row>
    <row r="216" spans="2:17" x14ac:dyDescent="0.25">
      <c r="B216" s="108">
        <v>44029</v>
      </c>
      <c r="C216" s="108" t="s">
        <v>663</v>
      </c>
      <c r="D216" s="176">
        <v>13.785249317564491</v>
      </c>
      <c r="E216" s="176">
        <v>13.314735424730745</v>
      </c>
      <c r="F216" s="176">
        <v>12.811792270602425</v>
      </c>
      <c r="H216" s="176">
        <v>13.063263847666585</v>
      </c>
      <c r="I216" s="169">
        <v>5.5268383025645518E-2</v>
      </c>
      <c r="O216" s="178">
        <v>-9.3793575747374708E-2</v>
      </c>
      <c r="P216" s="178">
        <v>8.8958807694498095E-3</v>
      </c>
      <c r="Q216" s="178">
        <v>0.11158533728627432</v>
      </c>
    </row>
    <row r="217" spans="2:17" x14ac:dyDescent="0.25">
      <c r="B217" s="108">
        <v>44028</v>
      </c>
      <c r="C217" s="108" t="s">
        <v>664</v>
      </c>
      <c r="D217" s="176">
        <v>13.972879146265425</v>
      </c>
      <c r="E217" s="176">
        <v>11.405996566938938</v>
      </c>
      <c r="F217" s="176">
        <v>12.812314253177151</v>
      </c>
      <c r="H217" s="176">
        <v>12.109155410058044</v>
      </c>
      <c r="I217" s="169">
        <v>0.15391029952917656</v>
      </c>
      <c r="O217" s="178">
        <v>-9.3793575747374708E-2</v>
      </c>
      <c r="P217" s="178">
        <v>8.8958807694498095E-3</v>
      </c>
      <c r="Q217" s="178">
        <v>0.11158533728627432</v>
      </c>
    </row>
    <row r="218" spans="2:17" x14ac:dyDescent="0.25">
      <c r="B218" s="108">
        <v>44027</v>
      </c>
      <c r="C218" s="108" t="s">
        <v>665</v>
      </c>
      <c r="D218" s="176">
        <v>13.974943377660404</v>
      </c>
      <c r="E218" s="176">
        <v>11.407076145129315</v>
      </c>
      <c r="F218" s="176">
        <v>12.813687364431653</v>
      </c>
      <c r="H218" s="176">
        <v>12.110381754780484</v>
      </c>
      <c r="I218" s="169">
        <v>0.15396390143885408</v>
      </c>
      <c r="O218" s="178">
        <v>-9.3793575747374708E-2</v>
      </c>
      <c r="P218" s="178">
        <v>8.8958807694498095E-3</v>
      </c>
      <c r="Q218" s="178">
        <v>0.11158533728627432</v>
      </c>
    </row>
    <row r="219" spans="2:17" x14ac:dyDescent="0.25">
      <c r="B219" s="108">
        <v>44026</v>
      </c>
      <c r="C219" s="108" t="s">
        <v>666</v>
      </c>
      <c r="D219" s="176">
        <v>13.97700838143823</v>
      </c>
      <c r="E219" s="176">
        <v>11.408155939685136</v>
      </c>
      <c r="F219" s="176">
        <v>12.857592892973262</v>
      </c>
      <c r="H219" s="176">
        <v>12.132874416329198</v>
      </c>
      <c r="I219" s="169">
        <v>0.15199481193237108</v>
      </c>
      <c r="O219" s="178">
        <v>-9.3793575747374708E-2</v>
      </c>
      <c r="P219" s="178">
        <v>8.8958807694498095E-3</v>
      </c>
      <c r="Q219" s="178">
        <v>0.11158533728627432</v>
      </c>
    </row>
    <row r="220" spans="2:17" x14ac:dyDescent="0.25">
      <c r="B220" s="108">
        <v>44025</v>
      </c>
      <c r="C220" s="108" t="s">
        <v>667</v>
      </c>
      <c r="D220" s="176">
        <v>13.979074158032486</v>
      </c>
      <c r="E220" s="176">
        <v>11.409235950671464</v>
      </c>
      <c r="F220" s="176">
        <v>12.858782097067468</v>
      </c>
      <c r="H220" s="176">
        <v>12.134009023869467</v>
      </c>
      <c r="I220" s="169">
        <v>0.15205733987287218</v>
      </c>
      <c r="O220" s="178">
        <v>-9.3793575747374708E-2</v>
      </c>
      <c r="P220" s="178">
        <v>8.8958807694498095E-3</v>
      </c>
      <c r="Q220" s="178">
        <v>0.11158533728627432</v>
      </c>
    </row>
    <row r="221" spans="2:17" x14ac:dyDescent="0.25">
      <c r="B221" s="108">
        <v>44022</v>
      </c>
      <c r="C221" s="108" t="s">
        <v>668</v>
      </c>
      <c r="D221" s="176">
        <v>13.985276129054665</v>
      </c>
      <c r="E221" s="176">
        <v>11.412477282864366</v>
      </c>
      <c r="F221" s="176">
        <v>12.920651861447459</v>
      </c>
      <c r="H221" s="176">
        <v>12.166564572155913</v>
      </c>
      <c r="I221" s="169">
        <v>0.14948439603575592</v>
      </c>
      <c r="O221" s="178">
        <v>-9.3793575747374708E-2</v>
      </c>
      <c r="P221" s="178">
        <v>8.8958807694498095E-3</v>
      </c>
      <c r="Q221" s="178">
        <v>0.11158533728627432</v>
      </c>
    </row>
    <row r="222" spans="2:17" x14ac:dyDescent="0.25">
      <c r="B222" s="108">
        <v>44021</v>
      </c>
      <c r="C222" s="108" t="s">
        <v>669</v>
      </c>
      <c r="D222" s="176">
        <v>13.98734500125707</v>
      </c>
      <c r="E222" s="176">
        <v>11.413558160223737</v>
      </c>
      <c r="F222" s="176">
        <v>12.921957234713991</v>
      </c>
      <c r="H222" s="176">
        <v>12.167757697468865</v>
      </c>
      <c r="I222" s="169">
        <v>0.14954171089112966</v>
      </c>
      <c r="O222" s="178">
        <v>-9.3793575747374708E-2</v>
      </c>
      <c r="P222" s="178">
        <v>8.8958807694498095E-3</v>
      </c>
      <c r="Q222" s="178">
        <v>0.11158533728627432</v>
      </c>
    </row>
    <row r="223" spans="2:17" x14ac:dyDescent="0.25">
      <c r="B223" s="108">
        <v>44020</v>
      </c>
      <c r="C223" s="108" t="s">
        <v>670</v>
      </c>
      <c r="D223" s="176">
        <v>13.989414648448738</v>
      </c>
      <c r="E223" s="176">
        <v>11.414639254339258</v>
      </c>
      <c r="F223" s="176">
        <v>12.92326292523512</v>
      </c>
      <c r="H223" s="176">
        <v>12.168951089787189</v>
      </c>
      <c r="I223" s="169">
        <v>0.14959905296927167</v>
      </c>
      <c r="O223" s="178">
        <v>-9.3793575747374708E-2</v>
      </c>
      <c r="P223" s="178">
        <v>8.8958807694498095E-3</v>
      </c>
      <c r="Q223" s="178">
        <v>0.11158533728627432</v>
      </c>
    </row>
    <row r="224" spans="2:17" x14ac:dyDescent="0.25">
      <c r="B224" s="108">
        <v>44019</v>
      </c>
      <c r="C224" s="108" t="s">
        <v>671</v>
      </c>
      <c r="D224" s="176">
        <v>13.991485071065211</v>
      </c>
      <c r="E224" s="176">
        <v>11.415720565276139</v>
      </c>
      <c r="F224" s="176">
        <v>13.132743494760192</v>
      </c>
      <c r="H224" s="176">
        <v>12.274232030018165</v>
      </c>
      <c r="I224" s="169">
        <v>0.13990716786576063</v>
      </c>
      <c r="O224" s="178">
        <v>-9.3793575747374708E-2</v>
      </c>
      <c r="P224" s="178">
        <v>8.8958807694498095E-3</v>
      </c>
      <c r="Q224" s="178">
        <v>0.11158533728627432</v>
      </c>
    </row>
    <row r="225" spans="2:17" x14ac:dyDescent="0.25">
      <c r="B225" s="108">
        <v>44018</v>
      </c>
      <c r="C225" s="108" t="s">
        <v>672</v>
      </c>
      <c r="D225" s="176">
        <v>13.99355626954236</v>
      </c>
      <c r="E225" s="176">
        <v>9.7654148290556915</v>
      </c>
      <c r="F225" s="176">
        <v>13.134075123396556</v>
      </c>
      <c r="H225" s="176">
        <v>11.449744976226125</v>
      </c>
      <c r="I225" s="169">
        <v>0.22217187357431301</v>
      </c>
      <c r="O225" s="178">
        <v>-9.3793575747374708E-2</v>
      </c>
      <c r="P225" s="178">
        <v>8.8958807694498095E-3</v>
      </c>
      <c r="Q225" s="178">
        <v>0.11158533728627432</v>
      </c>
    </row>
    <row r="226" spans="2:17" x14ac:dyDescent="0.25">
      <c r="B226" s="108">
        <v>44015</v>
      </c>
      <c r="C226" s="108" t="s">
        <v>673</v>
      </c>
      <c r="D226" s="176">
        <v>13.999774524501435</v>
      </c>
      <c r="E226" s="176">
        <v>9.7696125672707392</v>
      </c>
      <c r="F226" s="176">
        <v>13.138071952300153</v>
      </c>
      <c r="H226" s="176">
        <v>11.453842259785446</v>
      </c>
      <c r="I226" s="169">
        <v>0.22227757349643107</v>
      </c>
      <c r="O226" s="178">
        <v>-9.3793575747374708E-2</v>
      </c>
      <c r="P226" s="178">
        <v>8.8958807694498095E-3</v>
      </c>
      <c r="Q226" s="178">
        <v>0.11158533728627432</v>
      </c>
    </row>
    <row r="227" spans="2:17" x14ac:dyDescent="0.25">
      <c r="B227" s="108">
        <v>44014</v>
      </c>
      <c r="C227" s="108" t="s">
        <v>674</v>
      </c>
      <c r="D227" s="176">
        <v>14.001848830786503</v>
      </c>
      <c r="E227" s="176">
        <v>9.7710127059762737</v>
      </c>
      <c r="F227" s="176">
        <v>13.139404876659986</v>
      </c>
      <c r="H227" s="176">
        <v>11.45520879131813</v>
      </c>
      <c r="I227" s="169">
        <v>0.22231284351608371</v>
      </c>
      <c r="O227" s="178">
        <v>-9.3793575747374708E-2</v>
      </c>
      <c r="P227" s="178">
        <v>8.8958807694498095E-3</v>
      </c>
      <c r="Q227" s="178">
        <v>0.11158533728627432</v>
      </c>
    </row>
    <row r="228" spans="2:17" x14ac:dyDescent="0.25">
      <c r="B228" s="108">
        <v>44013</v>
      </c>
      <c r="C228" s="108" t="s">
        <v>675</v>
      </c>
      <c r="D228" s="176">
        <v>14.003923915116495</v>
      </c>
      <c r="E228" s="176">
        <v>9.7724132913546971</v>
      </c>
      <c r="F228" s="176">
        <v>13.246866706091089</v>
      </c>
      <c r="H228" s="176">
        <v>11.509639998722893</v>
      </c>
      <c r="I228" s="169">
        <v>0.21671259193774683</v>
      </c>
      <c r="O228" s="178">
        <v>-9.3793575747374708E-2</v>
      </c>
      <c r="P228" s="178">
        <v>8.8958807694498095E-3</v>
      </c>
      <c r="Q228" s="178">
        <v>0.11158533728627432</v>
      </c>
    </row>
    <row r="229" spans="2:17" x14ac:dyDescent="0.25">
      <c r="B229" s="108">
        <v>44012</v>
      </c>
      <c r="C229" s="108" t="s">
        <v>676</v>
      </c>
      <c r="D229" s="176">
        <v>14.005999777929244</v>
      </c>
      <c r="E229" s="176">
        <v>9.773814323619785</v>
      </c>
      <c r="F229" s="176">
        <v>13.248213188182426</v>
      </c>
      <c r="H229" s="176">
        <v>11.511013755901105</v>
      </c>
      <c r="I229" s="169">
        <v>0.21674772308816737</v>
      </c>
      <c r="O229" s="178">
        <v>-9.3793575747374708E-2</v>
      </c>
      <c r="P229" s="178">
        <v>8.8958807694498095E-3</v>
      </c>
      <c r="Q229" s="178">
        <v>0.11158533728627432</v>
      </c>
    </row>
    <row r="230" spans="2:17" x14ac:dyDescent="0.25">
      <c r="B230" s="108">
        <v>44011</v>
      </c>
      <c r="C230" s="108" t="s">
        <v>677</v>
      </c>
      <c r="D230" s="176">
        <v>14.008076419662915</v>
      </c>
      <c r="E230" s="176">
        <v>9.7752158029854659</v>
      </c>
      <c r="F230" s="176">
        <v>13.249559997877661</v>
      </c>
      <c r="H230" s="176">
        <v>11.512387900431563</v>
      </c>
      <c r="I230" s="169">
        <v>0.21678287257309981</v>
      </c>
      <c r="O230" s="178">
        <v>-9.3793575747374708E-2</v>
      </c>
      <c r="P230" s="178">
        <v>8.8958807694498095E-3</v>
      </c>
      <c r="Q230" s="178">
        <v>0.11158533728627432</v>
      </c>
    </row>
    <row r="231" spans="2:17" x14ac:dyDescent="0.25">
      <c r="B231" s="108">
        <v>44008</v>
      </c>
      <c r="C231" s="108" t="s">
        <v>678</v>
      </c>
      <c r="D231" s="176">
        <v>14.014311022776004</v>
      </c>
      <c r="E231" s="176">
        <v>9.7794229258272267</v>
      </c>
      <c r="F231" s="176">
        <v>13.253602393782746</v>
      </c>
      <c r="H231" s="176">
        <v>11.516512659804986</v>
      </c>
      <c r="I231" s="169">
        <v>0.21688843113843403</v>
      </c>
      <c r="O231" s="178">
        <v>-9.3793575747374708E-2</v>
      </c>
      <c r="P231" s="178">
        <v>8.8958807694498095E-3</v>
      </c>
      <c r="Q231" s="178">
        <v>0.11158533728627432</v>
      </c>
    </row>
    <row r="232" spans="2:17" x14ac:dyDescent="0.25">
      <c r="B232" s="108">
        <v>44007</v>
      </c>
      <c r="C232" s="108" t="s">
        <v>679</v>
      </c>
      <c r="D232" s="176">
        <v>14.016390784581562</v>
      </c>
      <c r="E232" s="176">
        <v>9.7808261957371503</v>
      </c>
      <c r="F232" s="176">
        <v>13.254950515089877</v>
      </c>
      <c r="H232" s="176">
        <v>11.517888355413515</v>
      </c>
      <c r="I232" s="169">
        <v>0.2169236540649162</v>
      </c>
      <c r="O232" s="178">
        <v>-9.3793575747374708E-2</v>
      </c>
      <c r="P232" s="178">
        <v>8.8958807694498095E-3</v>
      </c>
      <c r="Q232" s="178">
        <v>0.11158533728627432</v>
      </c>
    </row>
    <row r="233" spans="2:17" x14ac:dyDescent="0.25">
      <c r="B233" s="108">
        <v>44006</v>
      </c>
      <c r="C233" s="108" t="s">
        <v>680</v>
      </c>
      <c r="D233" s="176">
        <v>14.018471327503789</v>
      </c>
      <c r="E233" s="176">
        <v>9.7822299138192932</v>
      </c>
      <c r="F233" s="176">
        <v>13.256298964599347</v>
      </c>
      <c r="H233" s="176">
        <v>11.519264439209319</v>
      </c>
      <c r="I233" s="169">
        <v>0.21695889537769952</v>
      </c>
      <c r="O233" s="178">
        <v>-9.3793575747374708E-2</v>
      </c>
      <c r="P233" s="178">
        <v>8.8958807694498095E-3</v>
      </c>
      <c r="Q233" s="178">
        <v>0.11158533728627432</v>
      </c>
    </row>
    <row r="234" spans="2:17" x14ac:dyDescent="0.25">
      <c r="B234" s="108">
        <v>44005</v>
      </c>
      <c r="C234" s="108" t="s">
        <v>681</v>
      </c>
      <c r="D234" s="176">
        <v>14.020552651982827</v>
      </c>
      <c r="E234" s="176">
        <v>9.7836340802883992</v>
      </c>
      <c r="F234" s="176">
        <v>13.257647742431041</v>
      </c>
      <c r="H234" s="176">
        <v>11.52064091135972</v>
      </c>
      <c r="I234" s="169">
        <v>0.21699415508716302</v>
      </c>
      <c r="O234" s="178">
        <v>-9.3793575747374708E-2</v>
      </c>
      <c r="P234" s="178">
        <v>8.8958807694498095E-3</v>
      </c>
      <c r="Q234" s="178">
        <v>0.11158533728627432</v>
      </c>
    </row>
    <row r="235" spans="2:17" x14ac:dyDescent="0.25">
      <c r="B235" s="108">
        <v>44004</v>
      </c>
      <c r="C235" s="108" t="s">
        <v>682</v>
      </c>
      <c r="D235" s="176">
        <v>13.737990431115765</v>
      </c>
      <c r="E235" s="176">
        <v>8.7072555280595338</v>
      </c>
      <c r="F235" s="176">
        <v>13.258996848704879</v>
      </c>
      <c r="H235" s="176">
        <v>10.983126188382206</v>
      </c>
      <c r="I235" s="169">
        <v>0.25082696815844785</v>
      </c>
      <c r="O235" s="178">
        <v>-9.3793575747374708E-2</v>
      </c>
      <c r="P235" s="178">
        <v>8.8958807694498095E-3</v>
      </c>
      <c r="Q235" s="178">
        <v>0.11158533728627432</v>
      </c>
    </row>
    <row r="236" spans="2:17" x14ac:dyDescent="0.25">
      <c r="B236" s="108">
        <v>44001</v>
      </c>
      <c r="C236" s="108" t="s">
        <v>683</v>
      </c>
      <c r="D236" s="176">
        <v>13.744131460948271</v>
      </c>
      <c r="E236" s="176">
        <v>8.7114678991095644</v>
      </c>
      <c r="F236" s="176">
        <v>13.263046139379338</v>
      </c>
      <c r="H236" s="176">
        <v>10.987257019244451</v>
      </c>
      <c r="I236" s="169">
        <v>0.25091562315099081</v>
      </c>
      <c r="O236" s="178">
        <v>-9.3793575747374708E-2</v>
      </c>
      <c r="P236" s="178">
        <v>8.8958807694498095E-3</v>
      </c>
      <c r="Q236" s="178">
        <v>0.11158533728627432</v>
      </c>
    </row>
    <row r="237" spans="2:17" x14ac:dyDescent="0.25">
      <c r="B237" s="108">
        <v>44000</v>
      </c>
      <c r="C237" s="108" t="s">
        <v>684</v>
      </c>
      <c r="D237" s="176">
        <v>13.746180020267301</v>
      </c>
      <c r="E237" s="176">
        <v>8.7128730195440287</v>
      </c>
      <c r="F237" s="176">
        <v>13.264396560622156</v>
      </c>
      <c r="H237" s="176">
        <v>10.988634790083093</v>
      </c>
      <c r="I237" s="169">
        <v>0.25094520683068011</v>
      </c>
      <c r="O237" s="178">
        <v>-9.3793575747374708E-2</v>
      </c>
      <c r="P237" s="178">
        <v>8.8958807694498095E-3</v>
      </c>
      <c r="Q237" s="178">
        <v>0.11158533728627432</v>
      </c>
    </row>
    <row r="238" spans="2:17" x14ac:dyDescent="0.25">
      <c r="B238" s="108">
        <v>43999</v>
      </c>
      <c r="C238" s="108" t="s">
        <v>685</v>
      </c>
      <c r="D238" s="176">
        <v>13.748229355006856</v>
      </c>
      <c r="E238" s="176">
        <v>8.71427863879636</v>
      </c>
      <c r="F238" s="176">
        <v>13.265747310907617</v>
      </c>
      <c r="H238" s="176">
        <v>10.990012974851989</v>
      </c>
      <c r="I238" s="169">
        <v>0.25097480653265691</v>
      </c>
      <c r="O238" s="178">
        <v>-9.3793575747374708E-2</v>
      </c>
      <c r="P238" s="178">
        <v>8.8958807694498095E-3</v>
      </c>
      <c r="Q238" s="178">
        <v>0.11158533728627432</v>
      </c>
    </row>
    <row r="239" spans="2:17" x14ac:dyDescent="0.25">
      <c r="B239" s="108">
        <v>43998</v>
      </c>
      <c r="C239" s="108" t="s">
        <v>686</v>
      </c>
      <c r="D239" s="176">
        <v>13.750279465607285</v>
      </c>
      <c r="E239" s="176">
        <v>8.7156847571322285</v>
      </c>
      <c r="F239" s="176">
        <v>13.267098390355983</v>
      </c>
      <c r="H239" s="176">
        <v>10.991391573744107</v>
      </c>
      <c r="I239" s="169">
        <v>0.25100442226565045</v>
      </c>
      <c r="O239" s="178">
        <v>-9.3793575747374708E-2</v>
      </c>
      <c r="P239" s="178">
        <v>8.8958807694498095E-3</v>
      </c>
      <c r="Q239" s="178">
        <v>0.11158533728627432</v>
      </c>
    </row>
    <row r="240" spans="2:17" x14ac:dyDescent="0.25">
      <c r="B240" s="108">
        <v>43997</v>
      </c>
      <c r="C240" s="108" t="s">
        <v>687</v>
      </c>
      <c r="D240" s="176">
        <v>13.752330352509267</v>
      </c>
      <c r="E240" s="176">
        <v>8.717091374817489</v>
      </c>
      <c r="F240" s="176">
        <v>13.072853468143634</v>
      </c>
      <c r="H240" s="176">
        <v>10.894972421480562</v>
      </c>
      <c r="I240" s="169">
        <v>0.26226389755655832</v>
      </c>
      <c r="O240" s="178">
        <v>-9.3793575747374708E-2</v>
      </c>
      <c r="P240" s="178">
        <v>8.8958807694498095E-3</v>
      </c>
      <c r="Q240" s="178">
        <v>0.11158533728627432</v>
      </c>
    </row>
    <row r="241" spans="2:17" x14ac:dyDescent="0.25">
      <c r="B241" s="108">
        <v>43994</v>
      </c>
      <c r="C241" s="108" t="s">
        <v>688</v>
      </c>
      <c r="D241" s="176">
        <v>14.004393731330765</v>
      </c>
      <c r="E241" s="176">
        <v>8.7213142266310264</v>
      </c>
      <c r="F241" s="176">
        <v>12.945395653861453</v>
      </c>
      <c r="H241" s="176">
        <v>10.83335494024624</v>
      </c>
      <c r="I241" s="169">
        <v>0.29271068921632204</v>
      </c>
      <c r="O241" s="178">
        <v>-9.3793575747374708E-2</v>
      </c>
      <c r="P241" s="178">
        <v>8.8958807694498095E-3</v>
      </c>
      <c r="Q241" s="178">
        <v>0.11158533728627432</v>
      </c>
    </row>
    <row r="242" spans="2:17" x14ac:dyDescent="0.25">
      <c r="B242" s="108">
        <v>43993</v>
      </c>
      <c r="C242" s="108" t="s">
        <v>689</v>
      </c>
      <c r="D242" s="176">
        <v>14.006494320932651</v>
      </c>
      <c r="E242" s="176">
        <v>8.7227228443762019</v>
      </c>
      <c r="F242" s="176">
        <v>12.946520794359062</v>
      </c>
      <c r="H242" s="176">
        <v>10.834621819367632</v>
      </c>
      <c r="I242" s="169">
        <v>0.2927534116507029</v>
      </c>
      <c r="O242" s="178">
        <v>-9.3793575747374708E-2</v>
      </c>
      <c r="P242" s="178">
        <v>8.8958807694498095E-3</v>
      </c>
      <c r="Q242" s="178">
        <v>0.11158533728627432</v>
      </c>
    </row>
    <row r="243" spans="2:17" x14ac:dyDescent="0.25">
      <c r="B243" s="108">
        <v>43992</v>
      </c>
      <c r="C243" s="108" t="s">
        <v>690</v>
      </c>
      <c r="D243" s="176">
        <v>14.008595706704341</v>
      </c>
      <c r="E243" s="176">
        <v>8.7241319628028879</v>
      </c>
      <c r="F243" s="176">
        <v>13.163521478148446</v>
      </c>
      <c r="H243" s="176">
        <v>10.943826720475666</v>
      </c>
      <c r="I243" s="169">
        <v>0.28004545982938089</v>
      </c>
      <c r="O243" s="178">
        <v>-9.3793575747374708E-2</v>
      </c>
      <c r="P243" s="178">
        <v>8.8958807694498095E-3</v>
      </c>
      <c r="Q243" s="178">
        <v>0.11158533728627432</v>
      </c>
    </row>
    <row r="244" spans="2:17" x14ac:dyDescent="0.25">
      <c r="B244" s="108">
        <v>43991</v>
      </c>
      <c r="C244" s="108" t="s">
        <v>691</v>
      </c>
      <c r="D244" s="176">
        <v>14.010697889098568</v>
      </c>
      <c r="E244" s="176">
        <v>8.725541582178078</v>
      </c>
      <c r="F244" s="176">
        <v>13.164384941885553</v>
      </c>
      <c r="H244" s="176">
        <v>10.944963262031816</v>
      </c>
      <c r="I244" s="169">
        <v>0.28010460644503166</v>
      </c>
      <c r="O244" s="178">
        <v>-9.3793575747374708E-2</v>
      </c>
      <c r="P244" s="178">
        <v>8.8958807694498095E-3</v>
      </c>
      <c r="Q244" s="178">
        <v>0.11158533728627432</v>
      </c>
    </row>
    <row r="245" spans="2:17" x14ac:dyDescent="0.25">
      <c r="B245" s="108">
        <v>43990</v>
      </c>
      <c r="C245" s="108" t="s">
        <v>692</v>
      </c>
      <c r="D245" s="176">
        <v>13.841648881652421</v>
      </c>
      <c r="E245" s="176">
        <v>8.726951702768952</v>
      </c>
      <c r="F245" s="176">
        <v>13.070660402994594</v>
      </c>
      <c r="H245" s="176">
        <v>10.898806052881774</v>
      </c>
      <c r="I245" s="169">
        <v>0.27001515711829049</v>
      </c>
      <c r="O245" s="178">
        <v>-9.3793575747374708E-2</v>
      </c>
      <c r="P245" s="178">
        <v>8.8958807694498095E-3</v>
      </c>
      <c r="Q245" s="178">
        <v>0.11158533728627432</v>
      </c>
    </row>
    <row r="246" spans="2:17" x14ac:dyDescent="0.25">
      <c r="B246" s="108">
        <v>43987</v>
      </c>
      <c r="C246" s="108" t="s">
        <v>693</v>
      </c>
      <c r="D246" s="176">
        <v>13.846506898726203</v>
      </c>
      <c r="E246" s="176">
        <v>8.731185074510357</v>
      </c>
      <c r="F246" s="176">
        <v>13.072657301769695</v>
      </c>
      <c r="H246" s="176">
        <v>10.901921188140026</v>
      </c>
      <c r="I246" s="169">
        <v>0.27009787172095234</v>
      </c>
      <c r="O246" s="178">
        <v>-9.3793575747374708E-2</v>
      </c>
      <c r="P246" s="178">
        <v>8.8958807694498095E-3</v>
      </c>
      <c r="Q246" s="178">
        <v>0.11158533728627432</v>
      </c>
    </row>
    <row r="247" spans="2:17" x14ac:dyDescent="0.25">
      <c r="B247" s="108">
        <v>43986</v>
      </c>
      <c r="C247" s="108" t="s">
        <v>694</v>
      </c>
      <c r="D247" s="176">
        <v>13.848127251535978</v>
      </c>
      <c r="E247" s="176">
        <v>8.7325972026395959</v>
      </c>
      <c r="F247" s="176">
        <v>13.073323123272708</v>
      </c>
      <c r="H247" s="176">
        <v>10.902960162956152</v>
      </c>
      <c r="I247" s="169">
        <v>0.27012545625786211</v>
      </c>
      <c r="O247" s="178">
        <v>-9.3793575747374708E-2</v>
      </c>
      <c r="P247" s="178">
        <v>8.8958807694498095E-3</v>
      </c>
      <c r="Q247" s="178">
        <v>0.11158533728627432</v>
      </c>
    </row>
    <row r="248" spans="2:17" x14ac:dyDescent="0.25">
      <c r="B248" s="108">
        <v>43985</v>
      </c>
      <c r="C248" s="108" t="s">
        <v>695</v>
      </c>
      <c r="D248" s="176">
        <v>13.972723311774384</v>
      </c>
      <c r="E248" s="176">
        <f>E249</f>
        <v>13.151800015391519</v>
      </c>
      <c r="F248" s="176">
        <v>13.073989039098107</v>
      </c>
      <c r="H248" s="176">
        <f>H249</f>
        <v>13.042765240827034</v>
      </c>
      <c r="I248" s="169">
        <f>I249</f>
        <v>2.2896228879822011E-2</v>
      </c>
      <c r="O248" s="178">
        <v>-9.3793575747374708E-2</v>
      </c>
      <c r="P248" s="178">
        <v>8.8958807694498095E-3</v>
      </c>
      <c r="Q248" s="178">
        <v>0.11158533728627432</v>
      </c>
    </row>
    <row r="249" spans="2:17" x14ac:dyDescent="0.25">
      <c r="B249" s="108">
        <v>43984</v>
      </c>
      <c r="C249" s="108" t="s">
        <v>696</v>
      </c>
      <c r="D249" s="176">
        <v>13.34035763378086</v>
      </c>
      <c r="E249" s="176">
        <f>E250</f>
        <v>13.151800015391519</v>
      </c>
      <c r="F249" s="176">
        <v>13.074655049265933</v>
      </c>
      <c r="H249" s="176">
        <f>H250</f>
        <v>13.042765240827034</v>
      </c>
      <c r="I249" s="169">
        <f>I250</f>
        <v>2.2896228879822011E-2</v>
      </c>
      <c r="O249" s="178">
        <v>-9.3793575747374708E-2</v>
      </c>
      <c r="P249" s="178">
        <v>8.8958807694498095E-3</v>
      </c>
      <c r="Q249" s="178">
        <v>0.11158533728627432</v>
      </c>
    </row>
    <row r="250" spans="2:17" x14ac:dyDescent="0.25">
      <c r="B250" s="108">
        <v>43983</v>
      </c>
      <c r="C250" s="108" t="s">
        <v>697</v>
      </c>
      <c r="D250" s="176">
        <v>13.341395379006796</v>
      </c>
      <c r="E250" s="176">
        <v>13.151800015391519</v>
      </c>
      <c r="F250" s="176">
        <v>12.933730466262549</v>
      </c>
      <c r="H250" s="176">
        <v>13.042765240827034</v>
      </c>
      <c r="I250" s="169">
        <v>2.2896228879822011E-2</v>
      </c>
      <c r="O250" s="178">
        <v>-9.3793575747374708E-2</v>
      </c>
      <c r="P250" s="178">
        <v>8.8958807694498095E-3</v>
      </c>
      <c r="Q250" s="178">
        <v>0.11158533728627432</v>
      </c>
    </row>
    <row r="251" spans="2:17" x14ac:dyDescent="0.25">
      <c r="B251" s="108">
        <v>43980</v>
      </c>
      <c r="C251" s="108" t="s">
        <v>698</v>
      </c>
      <c r="D251" s="176">
        <v>13.344509858069268</v>
      </c>
      <c r="E251" s="176">
        <v>13.157622324124622</v>
      </c>
      <c r="F251" s="176">
        <v>12.595987928791166</v>
      </c>
      <c r="H251" s="176">
        <v>12.876805126457894</v>
      </c>
      <c r="I251" s="169">
        <v>3.6321488678149105E-2</v>
      </c>
      <c r="O251" s="178">
        <v>-9.3793575747374708E-2</v>
      </c>
      <c r="P251" s="178">
        <v>8.8958807694498095E-3</v>
      </c>
      <c r="Q251" s="178">
        <v>0.11158533728627432</v>
      </c>
    </row>
    <row r="252" spans="2:17" x14ac:dyDescent="0.25">
      <c r="B252" s="108">
        <v>43979</v>
      </c>
      <c r="C252" s="108" t="s">
        <v>699</v>
      </c>
      <c r="D252" s="176">
        <v>13.345548432425247</v>
      </c>
      <c r="E252" s="176">
        <v>13.159564356945515</v>
      </c>
      <c r="F252" s="176">
        <v>12.59637226624621</v>
      </c>
      <c r="H252" s="176">
        <v>12.877968311595861</v>
      </c>
      <c r="I252" s="169">
        <v>3.630853171213011E-2</v>
      </c>
      <c r="O252" s="178">
        <v>-9.3793575747374708E-2</v>
      </c>
      <c r="P252" s="178">
        <v>8.8958807694498095E-3</v>
      </c>
      <c r="Q252" s="178">
        <v>0.11158533728627432</v>
      </c>
    </row>
    <row r="253" spans="2:17" x14ac:dyDescent="0.25">
      <c r="B253" s="108">
        <v>43978</v>
      </c>
      <c r="C253" s="108" t="s">
        <v>700</v>
      </c>
      <c r="D253" s="176">
        <v>13.346587214219005</v>
      </c>
      <c r="E253" s="176">
        <v>13.161507021901981</v>
      </c>
      <c r="F253" s="176">
        <v>12.596756637614968</v>
      </c>
      <c r="H253" s="176">
        <v>12.879131829758474</v>
      </c>
      <c r="I253" s="169">
        <v>3.6295566396830292E-2</v>
      </c>
      <c r="O253" s="178">
        <v>-9.3793575747374708E-2</v>
      </c>
      <c r="P253" s="178">
        <v>8.8958807694498095E-3</v>
      </c>
      <c r="Q253" s="178">
        <v>0.11158533728627432</v>
      </c>
    </row>
    <row r="254" spans="2:17" x14ac:dyDescent="0.25">
      <c r="B254" s="108">
        <v>43977</v>
      </c>
      <c r="C254" s="108" t="s">
        <v>701</v>
      </c>
      <c r="D254" s="176">
        <v>13.347626203512686</v>
      </c>
      <c r="E254" s="176">
        <v>13.16345031930272</v>
      </c>
      <c r="F254" s="176">
        <v>12.597141042901939</v>
      </c>
      <c r="H254" s="176">
        <v>12.880295681102329</v>
      </c>
      <c r="I254" s="169">
        <v>3.6282592727744145E-2</v>
      </c>
      <c r="O254" s="178">
        <v>-9.3793575747374708E-2</v>
      </c>
      <c r="P254" s="178">
        <v>8.8958807694498095E-3</v>
      </c>
      <c r="Q254" s="178">
        <v>0.11158533728627432</v>
      </c>
    </row>
    <row r="255" spans="2:17" x14ac:dyDescent="0.25">
      <c r="B255" s="108">
        <v>43973</v>
      </c>
      <c r="C255" s="108" t="s">
        <v>702</v>
      </c>
      <c r="D255" s="176">
        <v>13.351784236930651</v>
      </c>
      <c r="E255" s="176">
        <v>13.171229839529278</v>
      </c>
      <c r="F255" s="176">
        <v>12.704244304321106</v>
      </c>
      <c r="H255" s="176">
        <v>12.937737071925191</v>
      </c>
      <c r="I255" s="169">
        <v>3.200305916742896E-2</v>
      </c>
      <c r="O255" s="178">
        <v>-9.3793575747374708E-2</v>
      </c>
      <c r="P255" s="178">
        <v>8.8958807694498095E-3</v>
      </c>
      <c r="Q255" s="178">
        <v>0.11158533728627432</v>
      </c>
    </row>
    <row r="256" spans="2:17" x14ac:dyDescent="0.25">
      <c r="B256" s="108">
        <v>43972</v>
      </c>
      <c r="C256" s="108" t="s">
        <v>703</v>
      </c>
      <c r="D256" s="176">
        <v>13.352824264657158</v>
      </c>
      <c r="E256" s="176">
        <v>13.173176303788804</v>
      </c>
      <c r="F256" s="176">
        <v>12.933150896344976</v>
      </c>
      <c r="H256" s="176">
        <v>13.05316360006689</v>
      </c>
      <c r="I256" s="169">
        <v>2.2956937779339048E-2</v>
      </c>
      <c r="O256" s="178">
        <v>-9.3793575747374708E-2</v>
      </c>
      <c r="P256" s="178">
        <v>8.8958807694498095E-3</v>
      </c>
      <c r="Q256" s="178">
        <v>0.11158533728627432</v>
      </c>
    </row>
    <row r="257" spans="2:17" x14ac:dyDescent="0.25">
      <c r="B257" s="108">
        <v>43971</v>
      </c>
      <c r="C257" s="108" t="s">
        <v>704</v>
      </c>
      <c r="D257" s="176">
        <v>13.353864500257044</v>
      </c>
      <c r="E257" s="176">
        <v>13.175123402348982</v>
      </c>
      <c r="F257" s="176">
        <v>12.933564438187807</v>
      </c>
      <c r="H257" s="176">
        <v>13.054343920268394</v>
      </c>
      <c r="I257" s="169">
        <v>2.2944131226971143E-2</v>
      </c>
      <c r="O257" s="178">
        <v>-9.3793575747374708E-2</v>
      </c>
      <c r="P257" s="178">
        <v>8.8958807694498095E-3</v>
      </c>
      <c r="Q257" s="178">
        <v>0.11158533728627432</v>
      </c>
    </row>
    <row r="258" spans="2:17" x14ac:dyDescent="0.25">
      <c r="B258" s="108">
        <v>43970</v>
      </c>
      <c r="C258" s="108" t="s">
        <v>705</v>
      </c>
      <c r="D258" s="176">
        <v>13.46844351581821</v>
      </c>
      <c r="E258" s="176">
        <v>13.177071135519911</v>
      </c>
      <c r="F258" s="176">
        <v>12.933978020137008</v>
      </c>
      <c r="H258" s="176">
        <v>13.055524577828461</v>
      </c>
      <c r="I258" s="169">
        <v>3.1627908593653054E-2</v>
      </c>
      <c r="O258" s="178">
        <v>-9.3793575747374708E-2</v>
      </c>
      <c r="P258" s="178">
        <v>8.8958807694498095E-3</v>
      </c>
      <c r="Q258" s="178">
        <v>0.11158533728627432</v>
      </c>
    </row>
    <row r="259" spans="2:17" x14ac:dyDescent="0.25">
      <c r="B259" s="108">
        <v>43969</v>
      </c>
      <c r="C259" s="108" t="s">
        <v>706</v>
      </c>
      <c r="D259" s="176">
        <v>13.469766426767531</v>
      </c>
      <c r="E259" s="176">
        <v>13.179019503611904</v>
      </c>
      <c r="F259" s="176">
        <v>12.93439164219844</v>
      </c>
      <c r="H259" s="176">
        <v>13.056705572905173</v>
      </c>
      <c r="I259" s="169">
        <v>3.1635917004939396E-2</v>
      </c>
      <c r="O259" s="178">
        <v>-9.3793575747374708E-2</v>
      </c>
      <c r="P259" s="178">
        <v>8.8958807694498095E-3</v>
      </c>
      <c r="Q259" s="178">
        <v>0.11158533728627432</v>
      </c>
    </row>
    <row r="260" spans="2:17" x14ac:dyDescent="0.25">
      <c r="B260" s="108">
        <v>43966</v>
      </c>
      <c r="C260" s="108" t="s">
        <v>707</v>
      </c>
      <c r="D260" s="176">
        <v>13.217104191425751</v>
      </c>
      <c r="E260" s="176">
        <v>13.184868420520338</v>
      </c>
      <c r="F260" s="176">
        <v>12.935632749114406</v>
      </c>
      <c r="H260" s="176">
        <v>13.060250584817371</v>
      </c>
      <c r="I260" s="169">
        <v>1.200999977678241E-2</v>
      </c>
      <c r="O260" s="178">
        <v>-9.3793575747374708E-2</v>
      </c>
      <c r="P260" s="178">
        <v>8.8958807694498095E-3</v>
      </c>
      <c r="Q260" s="178">
        <v>0.11158533728627432</v>
      </c>
    </row>
    <row r="261" spans="2:17" x14ac:dyDescent="0.25">
      <c r="B261" s="108">
        <v>43965</v>
      </c>
      <c r="C261" s="108" t="s">
        <v>708</v>
      </c>
      <c r="D261" s="176">
        <v>13.162930261172747</v>
      </c>
      <c r="E261" s="176">
        <v>14.801319490680362</v>
      </c>
      <c r="F261" s="176">
        <v>12.864858117525548</v>
      </c>
      <c r="H261" s="176">
        <v>13.833088804102955</v>
      </c>
      <c r="I261" s="169">
        <v>-4.844605224622256E-2</v>
      </c>
      <c r="O261" s="178">
        <v>-9.3793575747374708E-2</v>
      </c>
      <c r="P261" s="178">
        <v>8.8958807694498095E-3</v>
      </c>
      <c r="Q261" s="178">
        <v>0.11158533728627432</v>
      </c>
    </row>
    <row r="262" spans="2:17" x14ac:dyDescent="0.25">
      <c r="B262" s="108">
        <v>43964</v>
      </c>
      <c r="C262" s="108" t="s">
        <v>709</v>
      </c>
      <c r="D262" s="176">
        <v>13.158629518807841</v>
      </c>
      <c r="E262" s="176">
        <v>14.866594677253099</v>
      </c>
      <c r="F262" s="176">
        <v>12.841001003281612</v>
      </c>
      <c r="H262" s="176">
        <v>13.853797840267355</v>
      </c>
      <c r="I262" s="169">
        <v>-5.0178898918168291E-2</v>
      </c>
      <c r="O262" s="178">
        <v>-9.3793575747374708E-2</v>
      </c>
      <c r="P262" s="178">
        <v>8.8958807694498095E-3</v>
      </c>
      <c r="Q262" s="178">
        <v>0.11158533728627432</v>
      </c>
    </row>
    <row r="263" spans="2:17" x14ac:dyDescent="0.25">
      <c r="B263" s="108">
        <v>43963</v>
      </c>
      <c r="C263" s="108" t="s">
        <v>710</v>
      </c>
      <c r="D263" s="176">
        <v>13.15957943905466</v>
      </c>
      <c r="E263" s="176">
        <v>14.868797880084244</v>
      </c>
      <c r="F263" s="176">
        <v>12.840841987789553</v>
      </c>
      <c r="H263" s="176">
        <v>13.854819933936898</v>
      </c>
      <c r="I263" s="169">
        <v>-5.0180406399889077E-2</v>
      </c>
      <c r="O263" s="178">
        <v>-9.3793575747374708E-2</v>
      </c>
      <c r="P263" s="178">
        <v>8.8958807694498095E-3</v>
      </c>
      <c r="Q263" s="178">
        <v>0.11158533728627432</v>
      </c>
    </row>
    <row r="264" spans="2:17" x14ac:dyDescent="0.25">
      <c r="B264" s="108">
        <v>43962</v>
      </c>
      <c r="C264" s="108" t="s">
        <v>711</v>
      </c>
      <c r="D264" s="176">
        <v>13.160529560636064</v>
      </c>
      <c r="E264" s="176">
        <v>14.871001855399392</v>
      </c>
      <c r="F264" s="176">
        <v>12.840682971695843</v>
      </c>
      <c r="H264" s="176">
        <v>13.855842413547617</v>
      </c>
      <c r="I264" s="169">
        <v>-5.0181925584813714E-2</v>
      </c>
      <c r="O264" s="178">
        <v>-9.3793575747374708E-2</v>
      </c>
      <c r="P264" s="178">
        <v>8.8958807694498095E-3</v>
      </c>
      <c r="Q264" s="178">
        <v>0.11158533728627432</v>
      </c>
    </row>
    <row r="265" spans="2:17" x14ac:dyDescent="0.25">
      <c r="B265" s="108">
        <v>43958</v>
      </c>
      <c r="C265" s="108" t="s">
        <v>712</v>
      </c>
      <c r="D265" s="176">
        <v>13.164332061588203</v>
      </c>
      <c r="E265" s="176">
        <v>14.879825489631127</v>
      </c>
      <c r="F265" s="176">
        <v>12.840046901304435</v>
      </c>
      <c r="H265" s="176">
        <v>13.859936195467782</v>
      </c>
      <c r="I265" s="169">
        <v>-5.0188119488388527E-2</v>
      </c>
      <c r="O265" s="178">
        <v>-9.3793575747374708E-2</v>
      </c>
      <c r="P265" s="178">
        <v>8.8958807694498095E-3</v>
      </c>
      <c r="Q265" s="178">
        <v>0.11158533728627432</v>
      </c>
    </row>
    <row r="266" spans="2:17" x14ac:dyDescent="0.25">
      <c r="B266" s="108">
        <v>43957</v>
      </c>
      <c r="C266" s="108" t="s">
        <v>713</v>
      </c>
      <c r="D266" s="176">
        <v>13.165283190803285</v>
      </c>
      <c r="E266" s="176">
        <v>15.673238636320798</v>
      </c>
      <c r="F266" s="176">
        <v>12.839887882202426</v>
      </c>
      <c r="H266" s="176">
        <v>14.256563259261611</v>
      </c>
      <c r="I266" s="169">
        <v>-7.654580200101091E-2</v>
      </c>
      <c r="O266" s="178">
        <v>-9.3793575747374708E-2</v>
      </c>
      <c r="P266" s="178">
        <v>8.8958807694498095E-3</v>
      </c>
      <c r="Q266" s="178">
        <v>0.11158533728627432</v>
      </c>
    </row>
    <row r="267" spans="2:17" x14ac:dyDescent="0.25">
      <c r="B267" s="108">
        <v>43956</v>
      </c>
      <c r="C267" s="108" t="s">
        <v>714</v>
      </c>
      <c r="D267" s="176">
        <v>13.166234521737453</v>
      </c>
      <c r="E267" s="176">
        <v>15.67504700252816</v>
      </c>
      <c r="F267" s="176">
        <v>12.839728862498751</v>
      </c>
      <c r="H267" s="176">
        <v>14.257387932513456</v>
      </c>
      <c r="I267" s="169">
        <v>-7.653249079992186E-2</v>
      </c>
      <c r="O267" s="178">
        <v>-9.3793575747374708E-2</v>
      </c>
      <c r="P267" s="178">
        <v>8.8958807694498095E-3</v>
      </c>
      <c r="Q267" s="178">
        <v>0.11158533728627432</v>
      </c>
    </row>
    <row r="268" spans="2:17" x14ac:dyDescent="0.25">
      <c r="B268" s="108">
        <v>43955</v>
      </c>
      <c r="C268" s="108" t="s">
        <v>715</v>
      </c>
      <c r="D268" s="176">
        <v>13.167186054454884</v>
      </c>
      <c r="E268" s="176">
        <v>15.676855884062569</v>
      </c>
      <c r="F268" s="176">
        <v>12.839569842193404</v>
      </c>
      <c r="H268" s="176">
        <v>14.258212863127987</v>
      </c>
      <c r="I268" s="169">
        <v>-7.6519183655514023E-2</v>
      </c>
      <c r="O268" s="178">
        <v>-9.3793575747374708E-2</v>
      </c>
      <c r="P268" s="178">
        <v>8.8958807694498095E-3</v>
      </c>
      <c r="Q268" s="178">
        <v>0.11158533728627432</v>
      </c>
    </row>
    <row r="269" spans="2:17" x14ac:dyDescent="0.25">
      <c r="B269" s="108">
        <v>43952</v>
      </c>
      <c r="C269" s="108" t="s">
        <v>716</v>
      </c>
      <c r="D269" s="176">
        <v>12.735546360061935</v>
      </c>
      <c r="E269" s="176">
        <v>15.68228562283187</v>
      </c>
      <c r="F269" s="176">
        <v>12.839092777667272</v>
      </c>
      <c r="H269" s="176">
        <v>14.260689200249571</v>
      </c>
      <c r="I269" s="169">
        <v>-0.10694734446361431</v>
      </c>
      <c r="O269" s="178">
        <v>-9.3793575747374708E-2</v>
      </c>
      <c r="P269" s="178">
        <v>8.8958807694498095E-3</v>
      </c>
      <c r="Q269" s="178">
        <v>0.11158533728627432</v>
      </c>
    </row>
    <row r="270" spans="2:17" x14ac:dyDescent="0.25">
      <c r="B270" s="108">
        <v>43951</v>
      </c>
      <c r="C270" s="108" t="s">
        <v>717</v>
      </c>
      <c r="D270" s="176">
        <v>12.736452601387299</v>
      </c>
      <c r="E270" s="176">
        <v>15.684096567878857</v>
      </c>
      <c r="F270" s="176">
        <v>12.838933754955196</v>
      </c>
      <c r="H270" s="176">
        <v>14.261515161417027</v>
      </c>
      <c r="I270" s="169">
        <v>-0.10693552142030593</v>
      </c>
      <c r="O270" s="178">
        <v>-9.3793575747374708E-2</v>
      </c>
      <c r="P270" s="178">
        <v>8.8958807694498095E-3</v>
      </c>
      <c r="Q270" s="178">
        <v>0.11158533728627432</v>
      </c>
    </row>
    <row r="271" spans="2:17" x14ac:dyDescent="0.25">
      <c r="B271" s="108">
        <v>43950</v>
      </c>
      <c r="C271" s="108" t="s">
        <v>718</v>
      </c>
      <c r="D271" s="176">
        <v>12.737359035034117</v>
      </c>
      <c r="E271" s="176">
        <v>15.685908029355705</v>
      </c>
      <c r="F271" s="176">
        <v>12.838774731641433</v>
      </c>
      <c r="H271" s="176">
        <v>14.262341380498569</v>
      </c>
      <c r="I271" s="169">
        <v>-0.10692370241183657</v>
      </c>
      <c r="O271" s="178">
        <v>-9.3793575747374708E-2</v>
      </c>
      <c r="P271" s="178">
        <v>8.8958807694498095E-3</v>
      </c>
      <c r="Q271" s="178">
        <v>0.11158533728627432</v>
      </c>
    </row>
    <row r="272" spans="2:17" x14ac:dyDescent="0.25">
      <c r="B272" s="108">
        <v>43949</v>
      </c>
      <c r="C272" s="108" t="s">
        <v>719</v>
      </c>
      <c r="D272" s="176">
        <v>12.738265661063616</v>
      </c>
      <c r="E272" s="176">
        <v>15.687720007483348</v>
      </c>
      <c r="F272" s="176">
        <v>12.838615707725971</v>
      </c>
      <c r="H272" s="176">
        <v>14.26316785760466</v>
      </c>
      <c r="I272" s="169">
        <v>-0.1069118874407704</v>
      </c>
      <c r="O272" s="178">
        <v>-9.3793575747374708E-2</v>
      </c>
      <c r="P272" s="178">
        <v>8.8958807694498095E-3</v>
      </c>
      <c r="Q272" s="178">
        <v>0.11158533728627432</v>
      </c>
    </row>
    <row r="273" spans="2:17" x14ac:dyDescent="0.25">
      <c r="B273" s="108">
        <v>43948</v>
      </c>
      <c r="C273" s="108" t="s">
        <v>720</v>
      </c>
      <c r="D273" s="176">
        <v>12.695517496811489</v>
      </c>
      <c r="E273" s="176">
        <v>15.689532502482855</v>
      </c>
      <c r="F273" s="176">
        <v>12.838456683208815</v>
      </c>
      <c r="H273" s="176">
        <v>14.263994592845835</v>
      </c>
      <c r="I273" s="169">
        <v>-0.10996057842177132</v>
      </c>
      <c r="O273" s="178">
        <v>-9.3793575747374708E-2</v>
      </c>
      <c r="P273" s="178">
        <v>8.8958807694498095E-3</v>
      </c>
      <c r="Q273" s="178">
        <v>0.11158533728627432</v>
      </c>
    </row>
    <row r="274" spans="2:17" x14ac:dyDescent="0.25">
      <c r="B274" s="108">
        <v>43945</v>
      </c>
      <c r="C274" s="108" t="s">
        <v>721</v>
      </c>
      <c r="D274" s="176">
        <v>12.698077932383574</v>
      </c>
      <c r="E274" s="176">
        <v>15.694973090925078</v>
      </c>
      <c r="F274" s="176">
        <v>12.837979606047121</v>
      </c>
      <c r="H274" s="176">
        <v>14.266476348486099</v>
      </c>
      <c r="I274" s="169">
        <v>-0.10993593497030241</v>
      </c>
      <c r="O274" s="178">
        <v>-9.3793575747374708E-2</v>
      </c>
      <c r="P274" s="178">
        <v>8.8958807694498095E-3</v>
      </c>
      <c r="Q274" s="178">
        <v>0.11158533728627432</v>
      </c>
    </row>
    <row r="275" spans="2:17" x14ac:dyDescent="0.25">
      <c r="B275" s="108">
        <v>43944</v>
      </c>
      <c r="C275" s="108" t="s">
        <v>722</v>
      </c>
      <c r="D275" s="176">
        <v>12.698931759771448</v>
      </c>
      <c r="E275" s="176">
        <v>15.696787655625194</v>
      </c>
      <c r="F275" s="176">
        <v>12.748630453595544</v>
      </c>
      <c r="H275" s="176">
        <v>14.22270905461037</v>
      </c>
      <c r="I275" s="169">
        <v>-0.10713692370336303</v>
      </c>
      <c r="O275" s="178">
        <v>-9.3793575747374708E-2</v>
      </c>
      <c r="P275" s="178">
        <v>8.8958807694498095E-3</v>
      </c>
      <c r="Q275" s="178">
        <v>0.11158533728627432</v>
      </c>
    </row>
    <row r="276" spans="2:17" x14ac:dyDescent="0.25">
      <c r="B276" s="108">
        <v>43943</v>
      </c>
      <c r="C276" s="108" t="s">
        <v>723</v>
      </c>
      <c r="D276" s="176">
        <v>12.699785761680378</v>
      </c>
      <c r="E276" s="176">
        <v>15.698602738304388</v>
      </c>
      <c r="F276" s="176">
        <v>12.368612197486176</v>
      </c>
      <c r="H276" s="176">
        <v>14.033607467895282</v>
      </c>
      <c r="I276" s="169">
        <v>-9.504482074664633E-2</v>
      </c>
      <c r="O276" s="178">
        <v>-9.3793575747374708E-2</v>
      </c>
      <c r="P276" s="178">
        <v>8.8958807694498095E-3</v>
      </c>
      <c r="Q276" s="178">
        <v>0.11158533728627432</v>
      </c>
    </row>
    <row r="277" spans="2:17" x14ac:dyDescent="0.25">
      <c r="B277" s="108">
        <v>43942</v>
      </c>
      <c r="C277" s="108" t="s">
        <v>724</v>
      </c>
      <c r="D277" s="176">
        <v>12.700639938163881</v>
      </c>
      <c r="E277" s="176">
        <v>15.700418339184482</v>
      </c>
      <c r="F277" s="176">
        <v>12.368179750268274</v>
      </c>
      <c r="H277" s="176">
        <v>14.034299044726378</v>
      </c>
      <c r="I277" s="169">
        <v>-9.5028551287970497E-2</v>
      </c>
      <c r="O277" s="178">
        <v>-9.3793575747374708E-2</v>
      </c>
      <c r="P277" s="178">
        <v>8.8958807694498095E-3</v>
      </c>
      <c r="Q277" s="178">
        <v>0.11158533728627432</v>
      </c>
    </row>
    <row r="278" spans="2:17" x14ac:dyDescent="0.25">
      <c r="B278" s="108">
        <v>43941</v>
      </c>
      <c r="C278" s="108" t="s">
        <v>725</v>
      </c>
      <c r="D278" s="176">
        <v>12.701494289275489</v>
      </c>
      <c r="E278" s="176">
        <v>15.702234458487421</v>
      </c>
      <c r="F278" s="176">
        <v>12.367747320579511</v>
      </c>
      <c r="H278" s="176">
        <v>14.034990889533466</v>
      </c>
      <c r="I278" s="169">
        <v>-9.5012288269629486E-2</v>
      </c>
      <c r="O278" s="178">
        <v>-9.3793575747374708E-2</v>
      </c>
      <c r="P278" s="178">
        <v>8.8958807694498095E-3</v>
      </c>
      <c r="Q278" s="178">
        <v>0.11158533728627432</v>
      </c>
    </row>
    <row r="279" spans="2:17" x14ac:dyDescent="0.25">
      <c r="B279" s="108">
        <v>43938</v>
      </c>
      <c r="C279" s="108" t="s">
        <v>726</v>
      </c>
      <c r="D279" s="176">
        <v>12.704058390914629</v>
      </c>
      <c r="E279" s="176">
        <v>15.707685929154717</v>
      </c>
      <c r="F279" s="176">
        <v>12.366450136677278</v>
      </c>
      <c r="H279" s="176">
        <v>14.037068032915997</v>
      </c>
      <c r="I279" s="169">
        <v>-9.496353788950429E-2</v>
      </c>
      <c r="O279" s="178">
        <v>-9.3793575747374708E-2</v>
      </c>
      <c r="P279" s="178">
        <v>8.8958807694498095E-3</v>
      </c>
      <c r="Q279" s="178">
        <v>0.11158533728627432</v>
      </c>
    </row>
    <row r="280" spans="2:17" x14ac:dyDescent="0.25">
      <c r="B280" s="108">
        <v>43937</v>
      </c>
      <c r="C280" s="108" t="s">
        <v>727</v>
      </c>
      <c r="D280" s="176">
        <v>12.704913441074448</v>
      </c>
      <c r="E280" s="176">
        <v>15.709504124371071</v>
      </c>
      <c r="F280" s="176">
        <v>12.366017777094338</v>
      </c>
      <c r="H280" s="176">
        <v>14.037760950732704</v>
      </c>
      <c r="I280" s="169">
        <v>-9.4947300665401912E-2</v>
      </c>
      <c r="O280" s="178">
        <v>-9.3793575747374708E-2</v>
      </c>
      <c r="P280" s="178">
        <v>8.8958807694498095E-3</v>
      </c>
      <c r="Q280" s="178">
        <v>0.11158533728627432</v>
      </c>
    </row>
    <row r="281" spans="2:17" x14ac:dyDescent="0.25">
      <c r="B281" s="108">
        <v>43936</v>
      </c>
      <c r="C281" s="108" t="s">
        <v>728</v>
      </c>
      <c r="D281" s="176">
        <v>12.70576866613038</v>
      </c>
      <c r="E281" s="176">
        <v>15.711322839121921</v>
      </c>
      <c r="F281" s="176">
        <v>12.365585435035209</v>
      </c>
      <c r="H281" s="176">
        <v>14.038454137078565</v>
      </c>
      <c r="I281" s="169">
        <v>-9.4931069898093523E-2</v>
      </c>
      <c r="O281" s="178">
        <v>-9.3793575747374708E-2</v>
      </c>
      <c r="P281" s="178">
        <v>8.8958807694498095E-3</v>
      </c>
      <c r="Q281" s="178">
        <v>0.11158533728627432</v>
      </c>
    </row>
    <row r="282" spans="2:17" x14ac:dyDescent="0.25">
      <c r="B282" s="108">
        <v>43935</v>
      </c>
      <c r="C282" s="108" t="s">
        <v>729</v>
      </c>
      <c r="D282" s="176">
        <v>12.706624066136083</v>
      </c>
      <c r="E282" s="176">
        <v>15.713142073629983</v>
      </c>
      <c r="F282" s="176">
        <v>12.365153110498797</v>
      </c>
      <c r="H282" s="176">
        <v>14.03914759206439</v>
      </c>
      <c r="I282" s="169">
        <v>-9.4914845590875818E-2</v>
      </c>
      <c r="O282" s="178">
        <v>-9.3793575747374708E-2</v>
      </c>
      <c r="P282" s="178">
        <v>8.8958807694498095E-3</v>
      </c>
      <c r="Q282" s="178">
        <v>0.11158533728627432</v>
      </c>
    </row>
    <row r="283" spans="2:17" x14ac:dyDescent="0.25">
      <c r="B283" s="108">
        <v>43930</v>
      </c>
      <c r="C283" s="108" t="s">
        <v>730</v>
      </c>
      <c r="D283" s="176">
        <v>12.710903692291135</v>
      </c>
      <c r="E283" s="176">
        <v>14.198447227924079</v>
      </c>
      <c r="F283" s="176">
        <v>12.362991750620441</v>
      </c>
      <c r="H283" s="176">
        <v>13.280719489272261</v>
      </c>
      <c r="I283" s="169">
        <v>-4.290549148646694E-2</v>
      </c>
      <c r="O283" s="178">
        <v>-9.3793575747374708E-2</v>
      </c>
      <c r="P283" s="178">
        <v>8.8958807694498095E-3</v>
      </c>
      <c r="Q283" s="178">
        <v>0.11158533728627432</v>
      </c>
    </row>
    <row r="284" spans="2:17" x14ac:dyDescent="0.25">
      <c r="B284" s="108">
        <v>43929</v>
      </c>
      <c r="C284" s="108" t="s">
        <v>731</v>
      </c>
      <c r="D284" s="176">
        <v>12.71176014312373</v>
      </c>
      <c r="E284" s="176">
        <v>14.20090813650677</v>
      </c>
      <c r="F284" s="176">
        <v>12.362559531198057</v>
      </c>
      <c r="H284" s="176">
        <v>13.281733833852414</v>
      </c>
      <c r="I284" s="169">
        <v>-4.2914102771427154E-2</v>
      </c>
      <c r="O284" s="178">
        <v>-9.3793575747374708E-2</v>
      </c>
      <c r="P284" s="178">
        <v>8.8958807694498095E-3</v>
      </c>
      <c r="Q284" s="178">
        <v>0.11158533728627432</v>
      </c>
    </row>
    <row r="285" spans="2:17" x14ac:dyDescent="0.25">
      <c r="B285" s="108">
        <v>43928</v>
      </c>
      <c r="C285" s="108" t="s">
        <v>732</v>
      </c>
      <c r="D285" s="176">
        <v>12.712616769282384</v>
      </c>
      <c r="E285" s="176">
        <v>14.203369896568184</v>
      </c>
      <c r="F285" s="176">
        <v>12.314121384198158</v>
      </c>
      <c r="H285" s="176">
        <v>13.258745640383172</v>
      </c>
      <c r="I285" s="169">
        <v>-4.1190085843218927E-2</v>
      </c>
      <c r="O285" s="178">
        <v>-9.3793575747374708E-2</v>
      </c>
      <c r="P285" s="178">
        <v>8.8958807694498095E-3</v>
      </c>
      <c r="Q285" s="178">
        <v>0.11158533728627432</v>
      </c>
    </row>
    <row r="286" spans="2:17" x14ac:dyDescent="0.25">
      <c r="B286" s="108">
        <v>43927</v>
      </c>
      <c r="C286" s="108" t="s">
        <v>733</v>
      </c>
      <c r="D286" s="176">
        <v>12.764982633638704</v>
      </c>
      <c r="E286" s="176">
        <v>14.2058325085503</v>
      </c>
      <c r="F286" s="176">
        <v>12.249447994151542</v>
      </c>
      <c r="H286" s="176">
        <v>13.22764025135092</v>
      </c>
      <c r="I286" s="169">
        <v>-3.4976580018871051E-2</v>
      </c>
      <c r="O286" s="178">
        <v>-9.3793575747374708E-2</v>
      </c>
      <c r="P286" s="178">
        <v>8.8958807694498095E-3</v>
      </c>
      <c r="Q286" s="178">
        <v>0.11158533728627432</v>
      </c>
    </row>
    <row r="287" spans="2:17" x14ac:dyDescent="0.25">
      <c r="B287" s="108">
        <v>43924</v>
      </c>
      <c r="C287" s="108" t="s">
        <v>734</v>
      </c>
      <c r="D287" s="176">
        <v>12.648197118259411</v>
      </c>
      <c r="E287" s="176">
        <v>14.442785401662874</v>
      </c>
      <c r="F287" s="176">
        <v>12.283254069156941</v>
      </c>
      <c r="H287" s="176">
        <v>13.363019735409907</v>
      </c>
      <c r="I287" s="169">
        <v>-5.3492596082630017E-2</v>
      </c>
      <c r="O287" s="178">
        <v>-9.3793575747374708E-2</v>
      </c>
      <c r="P287" s="178">
        <v>8.8958807694498095E-3</v>
      </c>
      <c r="Q287" s="178">
        <v>0.11158533728627432</v>
      </c>
    </row>
    <row r="288" spans="2:17" x14ac:dyDescent="0.25">
      <c r="B288" s="108">
        <v>43923</v>
      </c>
      <c r="C288" s="108" t="s">
        <v>735</v>
      </c>
      <c r="D288" s="176">
        <v>12.908078283139027</v>
      </c>
      <c r="E288" s="176">
        <v>14.659457919783252</v>
      </c>
      <c r="F288" s="176">
        <v>12.633704793152095</v>
      </c>
      <c r="H288" s="176">
        <v>13.646581356467674</v>
      </c>
      <c r="I288" s="169">
        <v>-5.411634269696719E-2</v>
      </c>
      <c r="O288" s="178">
        <v>-9.3793575747374708E-2</v>
      </c>
      <c r="P288" s="178">
        <v>8.8958807694498095E-3</v>
      </c>
      <c r="Q288" s="178">
        <v>0.11158533728627432</v>
      </c>
    </row>
    <row r="289" spans="2:17" x14ac:dyDescent="0.25">
      <c r="B289" s="108">
        <v>43922</v>
      </c>
      <c r="C289" s="108" t="s">
        <v>736</v>
      </c>
      <c r="D289" s="176">
        <v>12.908926799046951</v>
      </c>
      <c r="E289" s="176">
        <v>14.661671410117519</v>
      </c>
      <c r="F289" s="176">
        <v>12.634083886806156</v>
      </c>
      <c r="H289" s="176">
        <v>13.647877648461836</v>
      </c>
      <c r="I289" s="169">
        <v>-5.4144011871191444E-2</v>
      </c>
      <c r="O289" s="178">
        <v>-9.3793575747374708E-2</v>
      </c>
      <c r="P289" s="178">
        <v>8.8958807694498095E-3</v>
      </c>
      <c r="Q289" s="178">
        <v>0.11158533728627432</v>
      </c>
    </row>
    <row r="290" spans="2:17" x14ac:dyDescent="0.25">
      <c r="B290" s="108">
        <v>43921</v>
      </c>
      <c r="C290" s="108" t="s">
        <v>737</v>
      </c>
      <c r="D290" s="176">
        <v>12.909775489217635</v>
      </c>
      <c r="E290" s="176">
        <v>14.663885580150055</v>
      </c>
      <c r="F290" s="176">
        <v>12.886601101218025</v>
      </c>
      <c r="H290" s="176">
        <v>13.775243340684039</v>
      </c>
      <c r="I290" s="169">
        <v>-6.2827772262310289E-2</v>
      </c>
      <c r="O290" s="178">
        <v>-9.3793575747374708E-2</v>
      </c>
      <c r="P290" s="178">
        <v>8.8958807694498095E-3</v>
      </c>
      <c r="Q290" s="178">
        <v>0.11158533728627432</v>
      </c>
    </row>
    <row r="291" spans="2:17" x14ac:dyDescent="0.25">
      <c r="B291" s="108">
        <v>43920</v>
      </c>
      <c r="C291" s="108" t="s">
        <v>738</v>
      </c>
      <c r="D291" s="176">
        <v>12.734980911263687</v>
      </c>
      <c r="E291" s="176">
        <v>14.449719892397011</v>
      </c>
      <c r="F291" s="176">
        <v>12.94091425815601</v>
      </c>
      <c r="H291" s="176">
        <v>13.69531707527651</v>
      </c>
      <c r="I291" s="169">
        <v>-7.0121499103257046E-2</v>
      </c>
      <c r="O291" s="178">
        <v>-9.3793575747374708E-2</v>
      </c>
      <c r="P291" s="178">
        <v>8.8958807694498095E-3</v>
      </c>
      <c r="Q291" s="178">
        <v>0.11158533728627432</v>
      </c>
    </row>
    <row r="292" spans="2:17" x14ac:dyDescent="0.25">
      <c r="B292" s="108">
        <v>43917</v>
      </c>
      <c r="C292" s="108" t="s">
        <v>739</v>
      </c>
      <c r="D292" s="176">
        <v>12.731489127243304</v>
      </c>
      <c r="E292" s="176">
        <v>14.496109931965645</v>
      </c>
      <c r="F292" s="176">
        <v>12.561742034339749</v>
      </c>
      <c r="H292" s="176">
        <v>13.528925983152696</v>
      </c>
      <c r="I292" s="169">
        <v>-5.8943101389010821E-2</v>
      </c>
      <c r="O292" s="178">
        <v>-9.3793575747374708E-2</v>
      </c>
      <c r="P292" s="178">
        <v>8.8958807694498095E-3</v>
      </c>
      <c r="Q292" s="178">
        <v>0.11158533728627432</v>
      </c>
    </row>
    <row r="293" spans="2:17" x14ac:dyDescent="0.25">
      <c r="B293" s="108">
        <v>43916</v>
      </c>
      <c r="C293" s="108" t="s">
        <v>740</v>
      </c>
      <c r="D293" s="176">
        <v>12.724078868699298</v>
      </c>
      <c r="E293" s="176">
        <v>14.480510864206114</v>
      </c>
      <c r="F293" s="176">
        <v>12.500113845482002</v>
      </c>
      <c r="H293" s="176">
        <v>13.490312354844058</v>
      </c>
      <c r="I293" s="169">
        <v>-5.6798795016011816E-2</v>
      </c>
      <c r="O293" s="178">
        <v>-9.3793575747374708E-2</v>
      </c>
      <c r="P293" s="178">
        <v>8.8958807694498095E-3</v>
      </c>
      <c r="Q293" s="178">
        <v>0.11158533728627432</v>
      </c>
    </row>
    <row r="294" spans="2:17" x14ac:dyDescent="0.25">
      <c r="B294" s="108">
        <v>43915</v>
      </c>
      <c r="C294" s="108" t="s">
        <v>741</v>
      </c>
      <c r="D294" s="176">
        <v>13.182185355688882</v>
      </c>
      <c r="E294" s="176">
        <v>14.030000051630283</v>
      </c>
      <c r="F294" s="176">
        <v>12.509427228567306</v>
      </c>
      <c r="H294" s="176">
        <v>13.269713640098795</v>
      </c>
      <c r="I294" s="169">
        <v>-6.5960944436221913E-3</v>
      </c>
      <c r="O294" s="178">
        <v>-9.3793575747374708E-2</v>
      </c>
      <c r="P294" s="178">
        <v>8.8958807694498095E-3</v>
      </c>
      <c r="Q294" s="178">
        <v>0.11158533728627432</v>
      </c>
    </row>
    <row r="295" spans="2:17" x14ac:dyDescent="0.25">
      <c r="B295" s="108">
        <v>43914</v>
      </c>
      <c r="C295" s="108" t="s">
        <v>742</v>
      </c>
      <c r="D295" s="176">
        <v>13.181235810151698</v>
      </c>
      <c r="E295" s="176">
        <v>14.028566248996034</v>
      </c>
      <c r="F295" s="176">
        <v>12.507223878746306</v>
      </c>
      <c r="H295" s="176">
        <v>13.267895063871169</v>
      </c>
      <c r="I295" s="169">
        <v>-6.5314997821656062E-3</v>
      </c>
      <c r="O295" s="178">
        <v>-9.3793575747374708E-2</v>
      </c>
      <c r="P295" s="178">
        <v>8.8958807694498095E-3</v>
      </c>
      <c r="Q295" s="178">
        <v>0.11158533728627432</v>
      </c>
    </row>
    <row r="296" spans="2:17" x14ac:dyDescent="0.25">
      <c r="B296" s="108">
        <v>43913</v>
      </c>
      <c r="C296" s="108" t="s">
        <v>743</v>
      </c>
      <c r="D296" s="176">
        <v>13.180286347744934</v>
      </c>
      <c r="E296" s="176">
        <v>14.027132587773975</v>
      </c>
      <c r="F296" s="176">
        <v>12.505021277661966</v>
      </c>
      <c r="H296" s="176">
        <v>13.26607693271797</v>
      </c>
      <c r="I296" s="169">
        <v>-6.4669144772899756E-3</v>
      </c>
      <c r="O296" s="178">
        <v>-9.3793575747374708E-2</v>
      </c>
      <c r="P296" s="178">
        <v>8.8958807694498095E-3</v>
      </c>
      <c r="Q296" s="178">
        <v>0.11158533728627432</v>
      </c>
    </row>
    <row r="297" spans="2:17" x14ac:dyDescent="0.25">
      <c r="B297" s="108">
        <v>43910</v>
      </c>
      <c r="C297" s="108" t="s">
        <v>744</v>
      </c>
      <c r="D297" s="176">
        <v>13.177438459198026</v>
      </c>
      <c r="E297" s="176">
        <v>13.987552962613675</v>
      </c>
      <c r="F297" s="176">
        <v>12.498417963014226</v>
      </c>
      <c r="H297" s="176">
        <v>13.242985462813952</v>
      </c>
      <c r="I297" s="169">
        <v>-4.9495639635021016E-3</v>
      </c>
      <c r="O297" s="178">
        <v>-9.3793575747374708E-2</v>
      </c>
      <c r="P297" s="178">
        <v>8.8958807694498095E-3</v>
      </c>
      <c r="Q297" s="178">
        <v>0.11158533728627432</v>
      </c>
    </row>
    <row r="298" spans="2:17" x14ac:dyDescent="0.25">
      <c r="B298" s="108">
        <v>43909</v>
      </c>
      <c r="C298" s="108" t="s">
        <v>745</v>
      </c>
      <c r="D298" s="176">
        <v>13.176489329203811</v>
      </c>
      <c r="E298" s="176">
        <v>14.375643956929807</v>
      </c>
      <c r="F298" s="176">
        <v>12.496218353063208</v>
      </c>
      <c r="H298" s="176">
        <v>13.435931154996506</v>
      </c>
      <c r="I298" s="169">
        <v>-1.9309553078218578E-2</v>
      </c>
      <c r="O298" s="178">
        <v>-9.3793575747374708E-2</v>
      </c>
      <c r="P298" s="178">
        <v>8.8958807694498095E-3</v>
      </c>
      <c r="Q298" s="178">
        <v>0.11158533728627432</v>
      </c>
    </row>
    <row r="299" spans="2:17" x14ac:dyDescent="0.25">
      <c r="B299" s="108">
        <v>43908</v>
      </c>
      <c r="C299" s="108" t="s">
        <v>746</v>
      </c>
      <c r="D299" s="176">
        <v>13.175540282285453</v>
      </c>
      <c r="E299" s="176">
        <v>14.615882026456461</v>
      </c>
      <c r="F299" s="176">
        <v>12.494019489943483</v>
      </c>
      <c r="H299" s="176">
        <v>13.554950758199972</v>
      </c>
      <c r="I299" s="169">
        <v>-2.7990546235293179E-2</v>
      </c>
      <c r="O299" s="178"/>
      <c r="P299" s="178"/>
      <c r="Q299" s="178"/>
    </row>
    <row r="300" spans="2:17" x14ac:dyDescent="0.25">
      <c r="B300" s="108">
        <v>43907</v>
      </c>
      <c r="C300" s="108" t="s">
        <v>747</v>
      </c>
      <c r="D300" s="176">
        <v>13.174591318432052</v>
      </c>
      <c r="E300" s="176">
        <v>14.363729870754655</v>
      </c>
      <c r="F300" s="176">
        <v>12.491821373274778</v>
      </c>
      <c r="H300" s="176">
        <v>13.427775622014718</v>
      </c>
      <c r="I300" s="169">
        <v>-1.8855267671256892E-2</v>
      </c>
      <c r="O300" s="178"/>
      <c r="P300" s="178"/>
      <c r="Q300" s="178"/>
    </row>
    <row r="301" spans="2:17" x14ac:dyDescent="0.25">
      <c r="B301" s="108">
        <v>43906</v>
      </c>
      <c r="C301" s="108" t="s">
        <v>748</v>
      </c>
      <c r="D301" s="176">
        <v>12.764226527652573</v>
      </c>
      <c r="E301" s="176">
        <v>13.736763305130134</v>
      </c>
      <c r="F301" s="176">
        <v>12.373367093555348</v>
      </c>
      <c r="H301" s="176">
        <v>13.055065199342742</v>
      </c>
      <c r="I301" s="169">
        <v>-2.2277841377981944E-2</v>
      </c>
      <c r="O301" s="178"/>
      <c r="P301" s="178"/>
      <c r="Q301" s="178"/>
    </row>
    <row r="302" spans="2:17" x14ac:dyDescent="0.25">
      <c r="B302" s="108">
        <v>43903</v>
      </c>
      <c r="C302" s="108" t="s">
        <v>749</v>
      </c>
      <c r="D302" s="176">
        <v>12.761428753048065</v>
      </c>
      <c r="E302" s="176">
        <v>13.733682148427507</v>
      </c>
      <c r="F302" s="176">
        <v>12.366838613059889</v>
      </c>
      <c r="H302" s="176">
        <v>13.050260380743698</v>
      </c>
      <c r="I302" s="169">
        <v>-2.2132250182672064E-2</v>
      </c>
      <c r="O302" s="178"/>
      <c r="P302" s="178"/>
      <c r="Q302" s="178"/>
    </row>
    <row r="303" spans="2:17" x14ac:dyDescent="0.25">
      <c r="B303" s="108">
        <v>43902</v>
      </c>
      <c r="C303" s="108" t="s">
        <v>750</v>
      </c>
      <c r="D303" s="176">
        <v>13.5042091317009</v>
      </c>
      <c r="E303" s="176">
        <v>13.290378380375497</v>
      </c>
      <c r="F303" s="176">
        <v>13.001728149931516</v>
      </c>
      <c r="H303" s="176">
        <v>13.146053265153506</v>
      </c>
      <c r="I303" s="169">
        <v>2.7244364473766769E-2</v>
      </c>
      <c r="O303" s="178"/>
      <c r="P303" s="178"/>
      <c r="Q303" s="178"/>
    </row>
    <row r="304" spans="2:17" x14ac:dyDescent="0.25">
      <c r="B304" s="108">
        <v>43901</v>
      </c>
      <c r="C304" s="108" t="s">
        <v>751</v>
      </c>
      <c r="D304" s="176">
        <v>13.503246037425807</v>
      </c>
      <c r="E304" s="176">
        <v>14.47705285974761</v>
      </c>
      <c r="F304" s="176">
        <v>12.999446180981648</v>
      </c>
      <c r="H304" s="176">
        <v>13.738249520364629</v>
      </c>
      <c r="I304" s="169">
        <v>-1.7105780659353198E-2</v>
      </c>
      <c r="O304" s="178"/>
      <c r="P304" s="178"/>
      <c r="Q304" s="178"/>
    </row>
    <row r="305" spans="2:17" x14ac:dyDescent="0.25">
      <c r="B305" s="108">
        <v>43900</v>
      </c>
      <c r="C305" s="108" t="s">
        <v>752</v>
      </c>
      <c r="D305" s="176">
        <v>13.502283027419347</v>
      </c>
      <c r="E305" s="176">
        <v>14.476908962330487</v>
      </c>
      <c r="F305" s="176">
        <v>12.997164985775523</v>
      </c>
      <c r="H305" s="176">
        <v>13.737036974053005</v>
      </c>
      <c r="I305" s="169">
        <v>-1.7089125338824451E-2</v>
      </c>
      <c r="O305" s="178"/>
      <c r="P305" s="178"/>
      <c r="Q305" s="178"/>
    </row>
    <row r="306" spans="2:17" x14ac:dyDescent="0.25">
      <c r="B306" s="108">
        <v>43899</v>
      </c>
      <c r="C306" s="108" t="s">
        <v>753</v>
      </c>
      <c r="D306" s="176">
        <v>13.501320101670455</v>
      </c>
      <c r="E306" s="176">
        <v>14.476765062218124</v>
      </c>
      <c r="F306" s="176">
        <v>12.994884563919685</v>
      </c>
      <c r="H306" s="176">
        <v>13.735824813068906</v>
      </c>
      <c r="I306" s="169">
        <v>-1.7072488517422824E-2</v>
      </c>
      <c r="O306" s="178"/>
      <c r="P306" s="178"/>
      <c r="Q306" s="178"/>
    </row>
    <row r="307" spans="2:17" x14ac:dyDescent="0.25">
      <c r="B307" s="108">
        <v>43896</v>
      </c>
      <c r="C307" s="108" t="s">
        <v>754</v>
      </c>
      <c r="D307" s="176">
        <v>13.498431829858617</v>
      </c>
      <c r="E307" s="176">
        <v>14.476333345708797</v>
      </c>
      <c r="F307" s="176">
        <v>12.988047934523204</v>
      </c>
      <c r="H307" s="176">
        <v>13.732190640116</v>
      </c>
      <c r="I307" s="169">
        <v>-1.7022688978297507E-2</v>
      </c>
      <c r="O307" s="178"/>
      <c r="P307" s="178"/>
      <c r="Q307" s="178"/>
    </row>
    <row r="308" spans="2:17" x14ac:dyDescent="0.25">
      <c r="B308" s="108">
        <v>43895</v>
      </c>
      <c r="C308" s="108" t="s">
        <v>755</v>
      </c>
      <c r="D308" s="176">
        <v>13.753993600410794</v>
      </c>
      <c r="E308" s="176">
        <v>14.844982569531931</v>
      </c>
      <c r="F308" s="176">
        <v>13.070922005965624</v>
      </c>
      <c r="H308" s="176">
        <v>13.957952287748778</v>
      </c>
      <c r="I308" s="169">
        <v>-1.4612364559879132E-2</v>
      </c>
      <c r="O308" s="178"/>
      <c r="P308" s="178"/>
      <c r="Q308" s="178"/>
    </row>
    <row r="309" spans="2:17" x14ac:dyDescent="0.25">
      <c r="B309" s="108">
        <v>43894</v>
      </c>
      <c r="C309" s="108" t="s">
        <v>756</v>
      </c>
      <c r="D309" s="176">
        <v>13.978311059179072</v>
      </c>
      <c r="E309" s="176">
        <v>14.844491439902058</v>
      </c>
      <c r="F309" s="176">
        <v>13.025567458281133</v>
      </c>
      <c r="H309" s="176">
        <v>13.935029449091594</v>
      </c>
      <c r="I309" s="169">
        <v>3.1059575615248747E-3</v>
      </c>
      <c r="O309" s="178"/>
      <c r="P309" s="178"/>
      <c r="Q309" s="178"/>
    </row>
    <row r="310" spans="2:17" x14ac:dyDescent="0.25">
      <c r="B310" s="108">
        <v>43893</v>
      </c>
      <c r="C310" s="108" t="s">
        <v>757</v>
      </c>
      <c r="D310" s="176">
        <v>13.980008183239899</v>
      </c>
      <c r="E310" s="176">
        <v>14.805167290076717</v>
      </c>
      <c r="F310" s="176">
        <v>13.023284543849257</v>
      </c>
      <c r="H310" s="176">
        <v>13.914225916962987</v>
      </c>
      <c r="I310" s="169">
        <v>4.7276985920370329E-3</v>
      </c>
      <c r="O310" s="178"/>
      <c r="P310" s="178"/>
      <c r="Q310" s="178"/>
    </row>
    <row r="311" spans="2:17" x14ac:dyDescent="0.25">
      <c r="B311" s="108">
        <v>43892</v>
      </c>
      <c r="C311" s="108" t="s">
        <v>758</v>
      </c>
      <c r="D311" s="176">
        <v>13.978922103126555</v>
      </c>
      <c r="E311" s="176">
        <v>14.804718105976997</v>
      </c>
      <c r="F311" s="176">
        <v>12.905024324161461</v>
      </c>
      <c r="H311" s="176">
        <v>13.854871215069229</v>
      </c>
      <c r="I311" s="169">
        <v>8.9535937311637781E-3</v>
      </c>
      <c r="O311" s="178"/>
      <c r="P311" s="178"/>
      <c r="Q311" s="178"/>
    </row>
    <row r="312" spans="2:17" x14ac:dyDescent="0.25">
      <c r="B312" s="108">
        <v>43889</v>
      </c>
      <c r="C312" s="108" t="s">
        <v>759</v>
      </c>
      <c r="D312" s="176">
        <v>13.976750273910325</v>
      </c>
      <c r="E312" s="176">
        <v>14.803819731062925</v>
      </c>
      <c r="F312" s="176">
        <v>12.825006982290482</v>
      </c>
      <c r="H312" s="176">
        <v>13.814413356676702</v>
      </c>
      <c r="I312" s="169">
        <v>1.1751271157320886E-2</v>
      </c>
      <c r="O312" s="178"/>
      <c r="P312" s="178"/>
      <c r="Q312" s="178"/>
    </row>
    <row r="313" spans="2:17" x14ac:dyDescent="0.25">
      <c r="B313" s="108">
        <v>43888</v>
      </c>
      <c r="C313" s="108" t="s">
        <v>760</v>
      </c>
      <c r="D313" s="176">
        <v>13.936835577844612</v>
      </c>
      <c r="E313" s="176">
        <v>14.76295763712289</v>
      </c>
      <c r="F313" s="176">
        <v>13.55350663437039</v>
      </c>
      <c r="H313" s="176">
        <v>14.158232135746641</v>
      </c>
      <c r="I313" s="169">
        <v>-1.5637302438561429E-2</v>
      </c>
      <c r="O313" s="178"/>
      <c r="P313" s="178"/>
      <c r="Q313" s="178"/>
    </row>
    <row r="314" spans="2:17" x14ac:dyDescent="0.25">
      <c r="B314" s="108">
        <v>43887</v>
      </c>
      <c r="C314" s="108" t="s">
        <v>761</v>
      </c>
      <c r="D314" s="176">
        <v>13.935754921777223</v>
      </c>
      <c r="E314" s="176">
        <v>14.762509569950275</v>
      </c>
      <c r="F314" s="176">
        <v>13.551083720358681</v>
      </c>
      <c r="H314" s="176">
        <v>14.156796645154479</v>
      </c>
      <c r="I314" s="169">
        <v>-1.5613823445921549E-2</v>
      </c>
      <c r="O314" s="178"/>
      <c r="P314" s="178"/>
      <c r="Q314" s="178"/>
    </row>
    <row r="315" spans="2:17" x14ac:dyDescent="0.25">
      <c r="B315" s="108">
        <v>43886</v>
      </c>
      <c r="C315" s="108" t="s">
        <v>762</v>
      </c>
      <c r="D315" s="176">
        <v>13.934674375173946</v>
      </c>
      <c r="E315" s="176">
        <v>14.762061500551084</v>
      </c>
      <c r="F315" s="176">
        <v>13.54866163160241</v>
      </c>
      <c r="H315" s="176">
        <v>14.155361566076747</v>
      </c>
      <c r="I315" s="169">
        <v>-1.5590360576283491E-2</v>
      </c>
      <c r="O315" s="178"/>
      <c r="P315" s="178"/>
      <c r="Q315" s="178"/>
    </row>
    <row r="316" spans="2:17" x14ac:dyDescent="0.25">
      <c r="B316" s="108">
        <v>43885</v>
      </c>
      <c r="C316" s="108" t="s">
        <v>763</v>
      </c>
      <c r="D316" s="176">
        <v>13.933593938018147</v>
      </c>
      <c r="E316" s="176">
        <v>14.761613428925319</v>
      </c>
      <c r="F316" s="176">
        <v>13.546240367680037</v>
      </c>
      <c r="H316" s="176">
        <v>14.153926898302679</v>
      </c>
      <c r="I316" s="169">
        <v>-1.5566913823113926E-2</v>
      </c>
      <c r="O316" s="178"/>
      <c r="P316" s="178"/>
      <c r="Q316" s="178"/>
    </row>
    <row r="317" spans="2:17" x14ac:dyDescent="0.25">
      <c r="B317" s="108">
        <v>43882</v>
      </c>
      <c r="C317" s="108" t="s">
        <v>764</v>
      </c>
      <c r="D317" s="176">
        <v>13.930353283069358</v>
      </c>
      <c r="E317" s="176">
        <v>14.760269200688356</v>
      </c>
      <c r="F317" s="176">
        <v>13.538981520704908</v>
      </c>
      <c r="H317" s="176">
        <v>14.149625360696632</v>
      </c>
      <c r="I317" s="169">
        <v>-1.5496670197102547E-2</v>
      </c>
      <c r="O317" s="178"/>
      <c r="P317" s="178"/>
      <c r="Q317" s="178"/>
    </row>
    <row r="318" spans="2:17" x14ac:dyDescent="0.25">
      <c r="B318" s="108">
        <v>43881</v>
      </c>
      <c r="C318" s="108" t="s">
        <v>765</v>
      </c>
      <c r="D318" s="176">
        <v>13.929273283537224</v>
      </c>
      <c r="E318" s="176">
        <v>14.759821120156092</v>
      </c>
      <c r="F318" s="176">
        <v>13.536563551908221</v>
      </c>
      <c r="H318" s="176">
        <v>14.148192336032157</v>
      </c>
      <c r="I318" s="169">
        <v>-1.5473287844511185E-2</v>
      </c>
      <c r="O318" s="178"/>
      <c r="P318" s="178"/>
      <c r="Q318" s="178"/>
    </row>
    <row r="319" spans="2:17" x14ac:dyDescent="0.25">
      <c r="B319" s="108">
        <v>43880</v>
      </c>
      <c r="C319" s="108" t="s">
        <v>766</v>
      </c>
      <c r="D319" s="176">
        <v>13.928193393369467</v>
      </c>
      <c r="E319" s="176">
        <v>14.759373037397165</v>
      </c>
      <c r="F319" s="176">
        <v>13.534146405841938</v>
      </c>
      <c r="H319" s="176">
        <v>14.146759721619551</v>
      </c>
      <c r="I319" s="169">
        <v>-1.5449921575755865E-2</v>
      </c>
      <c r="O319" s="178"/>
      <c r="P319" s="178"/>
      <c r="Q319" s="178"/>
    </row>
    <row r="320" spans="2:17" x14ac:dyDescent="0.25">
      <c r="B320" s="108">
        <v>43879</v>
      </c>
      <c r="C320" s="108" t="s">
        <v>767</v>
      </c>
      <c r="D320" s="176">
        <v>13.889901417419676</v>
      </c>
      <c r="E320" s="176">
        <v>14.758924952411556</v>
      </c>
      <c r="F320" s="176">
        <v>13.384434208045427</v>
      </c>
      <c r="H320" s="176">
        <v>14.071679580228491</v>
      </c>
      <c r="I320" s="169">
        <v>-1.2918014638723219E-2</v>
      </c>
      <c r="O320" s="178"/>
      <c r="P320" s="178"/>
      <c r="Q320" s="178"/>
    </row>
    <row r="321" spans="2:17" x14ac:dyDescent="0.25">
      <c r="B321" s="108">
        <v>43878</v>
      </c>
      <c r="C321" s="108" t="s">
        <v>768</v>
      </c>
      <c r="D321" s="176">
        <v>13.799282417270277</v>
      </c>
      <c r="E321" s="176">
        <v>14.676769510095191</v>
      </c>
      <c r="F321" s="176">
        <v>13.216663889835699</v>
      </c>
      <c r="H321" s="176">
        <v>13.946716699965446</v>
      </c>
      <c r="I321" s="169">
        <v>-1.0571253856151985E-2</v>
      </c>
      <c r="O321" s="178"/>
      <c r="P321" s="178"/>
      <c r="Q321" s="178"/>
    </row>
    <row r="322" spans="2:17" x14ac:dyDescent="0.25">
      <c r="B322" s="108">
        <v>43875</v>
      </c>
      <c r="C322" s="108" t="s">
        <v>769</v>
      </c>
      <c r="D322" s="176">
        <v>13.848114425129138</v>
      </c>
      <c r="E322" s="176">
        <v>14.654221454351257</v>
      </c>
      <c r="F322" s="176">
        <v>13.262645085033171</v>
      </c>
      <c r="H322" s="176">
        <v>13.958433269692215</v>
      </c>
      <c r="I322" s="169">
        <v>-7.9033830252719373E-3</v>
      </c>
      <c r="O322" s="178"/>
      <c r="P322" s="178"/>
      <c r="Q322" s="178"/>
    </row>
    <row r="323" spans="2:17" x14ac:dyDescent="0.25">
      <c r="B323" s="108">
        <v>43874</v>
      </c>
      <c r="C323" s="108" t="s">
        <v>770</v>
      </c>
      <c r="D323" s="176">
        <v>13.73659289041823</v>
      </c>
      <c r="E323" s="176">
        <v>14.269054395651301</v>
      </c>
      <c r="F323" s="176">
        <v>13.10821252604376</v>
      </c>
      <c r="H323" s="176">
        <v>13.68863346084753</v>
      </c>
      <c r="I323" s="169">
        <v>3.5035951329893678E-3</v>
      </c>
      <c r="O323" s="178"/>
      <c r="P323" s="178"/>
      <c r="Q323" s="178"/>
    </row>
    <row r="324" spans="2:17" x14ac:dyDescent="0.25">
      <c r="B324" s="108">
        <v>43873</v>
      </c>
      <c r="C324" s="108" t="s">
        <v>771</v>
      </c>
      <c r="D324" s="176">
        <v>13.735011502215025</v>
      </c>
      <c r="E324" s="176">
        <v>14.267984676182147</v>
      </c>
      <c r="F324" s="176">
        <v>13.105659052637883</v>
      </c>
      <c r="H324" s="176">
        <v>13.686821864410014</v>
      </c>
      <c r="I324" s="169">
        <v>3.5208785708185086E-3</v>
      </c>
      <c r="O324" s="178"/>
      <c r="P324" s="178"/>
      <c r="Q324" s="178"/>
    </row>
    <row r="325" spans="2:17" x14ac:dyDescent="0.25">
      <c r="B325" s="108">
        <v>43872</v>
      </c>
      <c r="C325" s="108" t="s">
        <v>772</v>
      </c>
      <c r="D325" s="176">
        <v>13.733430388891996</v>
      </c>
      <c r="E325" s="176">
        <v>14.266915049516241</v>
      </c>
      <c r="F325" s="176">
        <v>13.103106519568431</v>
      </c>
      <c r="H325" s="176">
        <v>13.685010784542335</v>
      </c>
      <c r="I325" s="169">
        <v>3.5381487900874031E-3</v>
      </c>
      <c r="O325" s="178"/>
      <c r="P325" s="178"/>
      <c r="Q325" s="178"/>
    </row>
    <row r="326" spans="2:17" x14ac:dyDescent="0.25">
      <c r="B326" s="108">
        <v>43871</v>
      </c>
      <c r="C326" s="108" t="s">
        <v>773</v>
      </c>
      <c r="D326" s="176">
        <v>13.731849550377483</v>
      </c>
      <c r="E326" s="176">
        <v>14.265845515641525</v>
      </c>
      <c r="F326" s="176">
        <v>13.100554926316073</v>
      </c>
      <c r="H326" s="176">
        <v>13.683200220978799</v>
      </c>
      <c r="I326" s="169">
        <v>3.5554057978406384E-3</v>
      </c>
      <c r="O326" s="178"/>
      <c r="P326" s="178"/>
      <c r="Q326" s="178"/>
    </row>
    <row r="327" spans="2:17" x14ac:dyDescent="0.25">
      <c r="B327" s="108">
        <v>43868</v>
      </c>
      <c r="C327" s="108" t="s">
        <v>774</v>
      </c>
      <c r="D327" s="176">
        <v>13.803214305162552</v>
      </c>
      <c r="E327" s="176">
        <v>14.293106935636134</v>
      </c>
      <c r="F327" s="176">
        <v>13.337927442625318</v>
      </c>
      <c r="H327" s="176">
        <v>13.815517189130727</v>
      </c>
      <c r="I327" s="169">
        <v>-8.9051200905121419E-4</v>
      </c>
      <c r="O327" s="178"/>
      <c r="P327" s="178"/>
      <c r="Q327" s="178"/>
    </row>
    <row r="328" spans="2:17" x14ac:dyDescent="0.25">
      <c r="B328" s="108">
        <v>43867</v>
      </c>
      <c r="C328" s="108" t="s">
        <v>775</v>
      </c>
      <c r="D328" s="176">
        <v>13.801627953620477</v>
      </c>
      <c r="E328" s="176">
        <v>14.292151951965328</v>
      </c>
      <c r="F328" s="176">
        <v>13.334859614040816</v>
      </c>
      <c r="H328" s="176">
        <v>13.813505783003073</v>
      </c>
      <c r="I328" s="169">
        <v>-8.598707358715707E-4</v>
      </c>
      <c r="O328" s="178"/>
      <c r="P328" s="178"/>
      <c r="Q328" s="178"/>
    </row>
    <row r="329" spans="2:17" x14ac:dyDescent="0.25">
      <c r="B329" s="108">
        <v>43866</v>
      </c>
      <c r="C329" s="108" t="s">
        <v>776</v>
      </c>
      <c r="D329" s="176">
        <v>13.800041877677604</v>
      </c>
      <c r="E329" s="176">
        <v>14.291197036172804</v>
      </c>
      <c r="F329" s="176">
        <v>13.331793116432157</v>
      </c>
      <c r="H329" s="176">
        <v>13.811495076302482</v>
      </c>
      <c r="I329" s="169">
        <v>-8.2925118255505748E-4</v>
      </c>
      <c r="O329" s="178"/>
      <c r="P329" s="178"/>
      <c r="Q329" s="178"/>
    </row>
    <row r="330" spans="2:17" x14ac:dyDescent="0.25">
      <c r="B330" s="108">
        <v>43865</v>
      </c>
      <c r="C330" s="108" t="s">
        <v>777</v>
      </c>
      <c r="D330" s="176">
        <v>13.798456077262115</v>
      </c>
      <c r="E330" s="176">
        <v>14.29024218825132</v>
      </c>
      <c r="F330" s="176">
        <v>13.328727948933327</v>
      </c>
      <c r="H330" s="176">
        <v>13.809485068592323</v>
      </c>
      <c r="I330" s="169">
        <v>-7.9865333684980833E-4</v>
      </c>
      <c r="O330" s="178"/>
      <c r="P330" s="178"/>
      <c r="Q330" s="178"/>
    </row>
    <row r="331" spans="2:17" x14ac:dyDescent="0.25">
      <c r="B331" s="108">
        <v>43864</v>
      </c>
      <c r="C331" s="108" t="s">
        <v>778</v>
      </c>
      <c r="D331" s="176">
        <v>13.796870552302225</v>
      </c>
      <c r="E331" s="176">
        <v>14.289287408193639</v>
      </c>
      <c r="F331" s="176">
        <v>13.325664110679114</v>
      </c>
      <c r="H331" s="176">
        <v>13.807475759436375</v>
      </c>
      <c r="I331" s="169">
        <v>-7.6807718651261681E-4</v>
      </c>
      <c r="O331" s="178"/>
      <c r="P331" s="178"/>
      <c r="Q331" s="178"/>
    </row>
    <row r="332" spans="2:17" x14ac:dyDescent="0.25">
      <c r="B332" s="108">
        <v>43861</v>
      </c>
      <c r="C332" s="108" t="s">
        <v>779</v>
      </c>
      <c r="D332" s="176">
        <v>13.83287631930822</v>
      </c>
      <c r="E332" s="176">
        <v>14.212995498319827</v>
      </c>
      <c r="F332" s="176">
        <v>13.224152253785221</v>
      </c>
      <c r="H332" s="176">
        <v>13.718573876052524</v>
      </c>
      <c r="I332" s="169">
        <v>8.3319479333945345E-3</v>
      </c>
      <c r="O332" s="178"/>
      <c r="P332" s="178"/>
      <c r="Q332" s="178"/>
    </row>
    <row r="333" spans="2:17" x14ac:dyDescent="0.25">
      <c r="B333" s="108">
        <v>43860</v>
      </c>
      <c r="C333" s="108" t="s">
        <v>780</v>
      </c>
      <c r="D333" s="176">
        <v>13.831305340285633</v>
      </c>
      <c r="E333" s="176">
        <v>14.212519957930017</v>
      </c>
      <c r="F333" s="176">
        <v>13.221644011888126</v>
      </c>
      <c r="H333" s="176">
        <v>13.717081984909072</v>
      </c>
      <c r="I333" s="169">
        <v>8.3270884800590306E-3</v>
      </c>
      <c r="O333" s="178"/>
      <c r="P333" s="178"/>
      <c r="Q333" s="178"/>
    </row>
    <row r="334" spans="2:17" x14ac:dyDescent="0.25">
      <c r="B334" s="108">
        <v>43859</v>
      </c>
      <c r="C334" s="108" t="s">
        <v>781</v>
      </c>
      <c r="D334" s="176">
        <v>13.829734634025701</v>
      </c>
      <c r="E334" s="176">
        <v>14.212044434293864</v>
      </c>
      <c r="F334" s="176">
        <v>13.219136656212132</v>
      </c>
      <c r="H334" s="176">
        <v>13.715590545252997</v>
      </c>
      <c r="I334" s="169">
        <v>8.3222146648442852E-3</v>
      </c>
      <c r="O334" s="178"/>
      <c r="P334" s="178"/>
      <c r="Q334" s="178"/>
    </row>
    <row r="335" spans="2:17" x14ac:dyDescent="0.25">
      <c r="B335" s="108">
        <v>43858</v>
      </c>
      <c r="C335" s="108" t="s">
        <v>782</v>
      </c>
      <c r="D335" s="176">
        <v>13.828164200457389</v>
      </c>
      <c r="E335" s="176">
        <v>14.211568927410488</v>
      </c>
      <c r="F335" s="176">
        <v>13.18803583804039</v>
      </c>
      <c r="H335" s="176">
        <v>13.699802382725439</v>
      </c>
      <c r="I335" s="169">
        <v>9.3696108999210548E-3</v>
      </c>
      <c r="O335" s="178"/>
      <c r="P335" s="178"/>
      <c r="Q335" s="178"/>
    </row>
    <row r="336" spans="2:17" x14ac:dyDescent="0.25">
      <c r="B336" s="108">
        <v>43857</v>
      </c>
      <c r="C336" s="108" t="s">
        <v>783</v>
      </c>
      <c r="D336" s="176">
        <v>13.826594039509688</v>
      </c>
      <c r="E336" s="176">
        <v>14.211093437279001</v>
      </c>
      <c r="F336" s="176">
        <v>13.185535303143197</v>
      </c>
      <c r="H336" s="176">
        <v>13.698314370211099</v>
      </c>
      <c r="I336" s="169">
        <v>9.3646317226849796E-3</v>
      </c>
      <c r="O336" s="178"/>
      <c r="P336" s="178"/>
      <c r="Q336" s="178"/>
    </row>
    <row r="337" spans="2:17" x14ac:dyDescent="0.25">
      <c r="B337" s="108">
        <v>43854</v>
      </c>
      <c r="C337" s="108" t="s">
        <v>784</v>
      </c>
      <c r="D337" s="176">
        <v>13.821885191680575</v>
      </c>
      <c r="E337" s="176">
        <v>14.209667067387038</v>
      </c>
      <c r="F337" s="176">
        <v>13.178038994761554</v>
      </c>
      <c r="H337" s="176">
        <v>13.693853031074296</v>
      </c>
      <c r="I337" s="169">
        <v>9.3496082012671788E-3</v>
      </c>
      <c r="O337" s="178"/>
      <c r="P337" s="178"/>
      <c r="Q337" s="178"/>
    </row>
    <row r="338" spans="2:17" x14ac:dyDescent="0.25">
      <c r="B338" s="108">
        <v>43853</v>
      </c>
      <c r="C338" s="108" t="s">
        <v>785</v>
      </c>
      <c r="D338" s="176">
        <v>13.784001338426533</v>
      </c>
      <c r="E338" s="176">
        <v>14.11800072108859</v>
      </c>
      <c r="F338" s="176">
        <v>13.14393898599017</v>
      </c>
      <c r="H338" s="176">
        <v>13.63096985353938</v>
      </c>
      <c r="I338" s="169">
        <v>1.1226749565983241E-2</v>
      </c>
      <c r="O338" s="178"/>
      <c r="P338" s="178"/>
      <c r="Q338" s="178"/>
    </row>
    <row r="339" spans="2:17" x14ac:dyDescent="0.25">
      <c r="B339" s="108">
        <v>43852</v>
      </c>
      <c r="C339" s="108" t="s">
        <v>786</v>
      </c>
      <c r="D339" s="176">
        <v>13.782305370194193</v>
      </c>
      <c r="E339" s="176">
        <v>14.117032368241073</v>
      </c>
      <c r="F339" s="176">
        <v>13.141477059773891</v>
      </c>
      <c r="H339" s="176">
        <v>13.629254714007482</v>
      </c>
      <c r="I339" s="169">
        <v>1.1229568996858896E-2</v>
      </c>
      <c r="O339" s="178"/>
      <c r="P339" s="178"/>
      <c r="Q339" s="178"/>
    </row>
    <row r="340" spans="2:17" x14ac:dyDescent="0.25">
      <c r="B340" s="108">
        <v>43851</v>
      </c>
      <c r="C340" s="108" t="s">
        <v>787</v>
      </c>
      <c r="D340" s="176">
        <v>13.780609696221507</v>
      </c>
      <c r="E340" s="176">
        <v>14.116064087961785</v>
      </c>
      <c r="F340" s="176">
        <v>13.139015999784984</v>
      </c>
      <c r="H340" s="176">
        <v>13.627540043873385</v>
      </c>
      <c r="I340" s="169">
        <v>1.1232375898755143E-2</v>
      </c>
      <c r="O340" s="178"/>
      <c r="P340" s="178"/>
      <c r="Q340" s="178"/>
    </row>
    <row r="341" spans="2:17" x14ac:dyDescent="0.25">
      <c r="B341" s="108">
        <v>43850</v>
      </c>
      <c r="C341" s="108" t="s">
        <v>788</v>
      </c>
      <c r="D341" s="176">
        <v>13.778914316431894</v>
      </c>
      <c r="E341" s="176">
        <v>14.115095880242562</v>
      </c>
      <c r="F341" s="176">
        <v>13.136555805566363</v>
      </c>
      <c r="H341" s="176">
        <v>13.625825842904462</v>
      </c>
      <c r="I341" s="169">
        <v>1.123517027829557E-2</v>
      </c>
      <c r="O341" s="178"/>
      <c r="P341" s="178"/>
      <c r="Q341" s="178"/>
    </row>
    <row r="342" spans="2:17" x14ac:dyDescent="0.25">
      <c r="B342" s="108">
        <v>43847</v>
      </c>
      <c r="C342" s="108" t="s">
        <v>789</v>
      </c>
      <c r="D342" s="176">
        <v>13.773829941396151</v>
      </c>
      <c r="E342" s="176">
        <v>14.112191692363778</v>
      </c>
      <c r="F342" s="176">
        <v>13.129180412966111</v>
      </c>
      <c r="H342" s="176">
        <v>13.620686052664944</v>
      </c>
      <c r="I342" s="169">
        <v>1.1243478348966551E-2</v>
      </c>
      <c r="O342" s="178"/>
      <c r="P342" s="178"/>
      <c r="Q342" s="178"/>
    </row>
    <row r="343" spans="2:17" x14ac:dyDescent="0.25">
      <c r="B343" s="108">
        <v>43846</v>
      </c>
      <c r="C343" s="108" t="s">
        <v>790</v>
      </c>
      <c r="D343" s="176">
        <v>13.464064869847292</v>
      </c>
      <c r="E343" s="176">
        <v>13.886948943877146</v>
      </c>
      <c r="F343" s="176">
        <v>12.988812929016552</v>
      </c>
      <c r="H343" s="176">
        <v>13.437880936446849</v>
      </c>
      <c r="I343" s="169">
        <v>1.9485165499142365E-3</v>
      </c>
      <c r="O343" s="178"/>
      <c r="P343" s="178"/>
      <c r="Q343" s="178"/>
    </row>
    <row r="344" spans="2:17" x14ac:dyDescent="0.25">
      <c r="B344" s="108">
        <v>43845</v>
      </c>
      <c r="C344" s="108" t="s">
        <v>791</v>
      </c>
      <c r="D344" s="176">
        <v>13.511508755495877</v>
      </c>
      <c r="E344" s="176">
        <v>13.864225671916332</v>
      </c>
      <c r="F344" s="176">
        <v>13.073369909734394</v>
      </c>
      <c r="H344" s="176">
        <v>13.468797790825363</v>
      </c>
      <c r="I344" s="169">
        <v>3.1711044544455724E-3</v>
      </c>
      <c r="O344" s="178"/>
      <c r="P344" s="178"/>
      <c r="Q344" s="178"/>
    </row>
    <row r="345" spans="2:17" x14ac:dyDescent="0.25">
      <c r="B345" s="108">
        <v>43844</v>
      </c>
      <c r="C345" s="108" t="s">
        <v>792</v>
      </c>
      <c r="D345" s="176">
        <v>13.509566588128072</v>
      </c>
      <c r="E345" s="176">
        <v>13.863052210405439</v>
      </c>
      <c r="F345" s="176">
        <v>13.070426588910644</v>
      </c>
      <c r="H345" s="176">
        <v>13.466739399658042</v>
      </c>
      <c r="I345" s="169">
        <v>3.1802195913226416E-3</v>
      </c>
      <c r="O345" s="178"/>
      <c r="P345" s="178"/>
      <c r="Q345" s="178"/>
    </row>
    <row r="346" spans="2:17" x14ac:dyDescent="0.25">
      <c r="B346" s="108">
        <v>43843</v>
      </c>
      <c r="C346" s="108" t="s">
        <v>793</v>
      </c>
      <c r="D346" s="176">
        <v>13.5076248296236</v>
      </c>
      <c r="E346" s="176">
        <v>13.861878870984798</v>
      </c>
      <c r="F346" s="176">
        <v>12.88491303902037</v>
      </c>
      <c r="H346" s="176">
        <v>13.373395955002584</v>
      </c>
      <c r="I346" s="169">
        <v>1.0037007434211542E-2</v>
      </c>
      <c r="O346" s="178"/>
      <c r="P346" s="178"/>
      <c r="Q346" s="178"/>
    </row>
    <row r="347" spans="2:17" x14ac:dyDescent="0.25">
      <c r="B347" s="108">
        <v>43840</v>
      </c>
      <c r="C347" s="108" t="s">
        <v>794</v>
      </c>
      <c r="D347" s="176">
        <v>13.50180200599949</v>
      </c>
      <c r="E347" s="176">
        <v>13.437008029054672</v>
      </c>
      <c r="F347" s="176">
        <v>12.876285044140236</v>
      </c>
      <c r="H347" s="176">
        <v>13.156646536597453</v>
      </c>
      <c r="I347" s="169">
        <v>2.6234304345102544E-2</v>
      </c>
      <c r="O347" s="178"/>
      <c r="P347" s="178"/>
      <c r="Q347" s="178"/>
    </row>
    <row r="348" spans="2:17" x14ac:dyDescent="0.25">
      <c r="B348" s="108">
        <v>43839</v>
      </c>
      <c r="C348" s="108" t="s">
        <v>795</v>
      </c>
      <c r="D348" s="176">
        <v>13.531563424733696</v>
      </c>
      <c r="E348" s="176">
        <v>13.435857092547884</v>
      </c>
      <c r="F348" s="176">
        <v>12.820824045775122</v>
      </c>
      <c r="H348" s="176">
        <v>13.128340569161503</v>
      </c>
      <c r="I348" s="169">
        <v>3.0713924082634181E-2</v>
      </c>
      <c r="O348" s="178"/>
      <c r="P348" s="178"/>
      <c r="Q348" s="178"/>
    </row>
    <row r="349" spans="2:17" x14ac:dyDescent="0.25">
      <c r="B349" s="108">
        <v>43838</v>
      </c>
      <c r="C349" s="108" t="s">
        <v>796</v>
      </c>
      <c r="D349" s="176">
        <v>13.523800262197607</v>
      </c>
      <c r="E349" s="176">
        <v>13.399618046218382</v>
      </c>
      <c r="F349" s="176">
        <v>12.85617227984326</v>
      </c>
      <c r="H349" s="176">
        <v>13.127895163030821</v>
      </c>
      <c r="I349" s="169">
        <v>3.0157545764204929E-2</v>
      </c>
      <c r="O349" s="178"/>
      <c r="P349" s="178"/>
      <c r="Q349" s="178"/>
    </row>
    <row r="350" spans="2:17" x14ac:dyDescent="0.25">
      <c r="B350" s="108">
        <v>43837</v>
      </c>
      <c r="C350" s="108" t="s">
        <v>797</v>
      </c>
      <c r="D350" s="176">
        <v>13.687279202381648</v>
      </c>
      <c r="E350" s="176">
        <v>13.398478897384503</v>
      </c>
      <c r="F350" s="176">
        <v>12.942332307638244</v>
      </c>
      <c r="H350" s="176">
        <v>13.170405602511373</v>
      </c>
      <c r="I350" s="169">
        <v>3.9245078357474039E-2</v>
      </c>
      <c r="O350" s="178"/>
      <c r="P350" s="178"/>
      <c r="Q350" s="178"/>
    </row>
    <row r="351" spans="2:17" x14ac:dyDescent="0.25">
      <c r="B351" s="108">
        <v>43836</v>
      </c>
      <c r="C351" s="108" t="s">
        <v>798</v>
      </c>
      <c r="D351" s="176">
        <v>13.685142212085623</v>
      </c>
      <c r="E351" s="176">
        <v>13.397339865575322</v>
      </c>
      <c r="F351" s="176">
        <v>12.938970827311062</v>
      </c>
      <c r="H351" s="176">
        <v>13.168155346443193</v>
      </c>
      <c r="I351" s="169">
        <v>3.9260386291089189E-2</v>
      </c>
      <c r="O351" s="178"/>
      <c r="P351" s="178"/>
      <c r="Q351" s="178"/>
    </row>
    <row r="352" spans="2:17" x14ac:dyDescent="0.25">
      <c r="B352" s="108">
        <v>43833</v>
      </c>
      <c r="C352" s="108" t="s">
        <v>799</v>
      </c>
      <c r="D352" s="176">
        <v>13.678734267939969</v>
      </c>
      <c r="E352" s="176">
        <v>13.393923472115654</v>
      </c>
      <c r="F352" s="176">
        <v>12.928896129669367</v>
      </c>
      <c r="H352" s="176">
        <v>13.16140980089251</v>
      </c>
      <c r="I352" s="169">
        <v>3.9306159056940571E-2</v>
      </c>
      <c r="O352" s="178"/>
      <c r="P352" s="178"/>
      <c r="Q352" s="178"/>
    </row>
    <row r="353" spans="2:17" x14ac:dyDescent="0.25">
      <c r="B353" s="108">
        <v>43832</v>
      </c>
      <c r="C353" s="108" t="s">
        <v>800</v>
      </c>
      <c r="D353" s="176">
        <v>13.676599294876889</v>
      </c>
      <c r="E353" s="176">
        <v>13.392784908224971</v>
      </c>
      <c r="F353" s="176">
        <v>12.925541140980636</v>
      </c>
      <c r="H353" s="176">
        <v>13.159163024602805</v>
      </c>
      <c r="I353" s="169">
        <v>3.9321366359446053E-2</v>
      </c>
      <c r="O353" s="178"/>
      <c r="P353" s="178"/>
      <c r="Q353" s="178"/>
    </row>
    <row r="354" spans="2:17" x14ac:dyDescent="0.25">
      <c r="B354" s="108">
        <v>43830</v>
      </c>
      <c r="C354" s="108" t="s">
        <v>801</v>
      </c>
      <c r="D354" s="176">
        <v>13.672330860158201</v>
      </c>
      <c r="E354" s="176">
        <v>13.390508131229312</v>
      </c>
      <c r="F354" s="176">
        <v>12.918836022344218</v>
      </c>
      <c r="H354" s="176">
        <v>13.154672076786765</v>
      </c>
      <c r="I354" s="169">
        <v>3.9351705641139878E-2</v>
      </c>
      <c r="O354" s="178"/>
      <c r="P354" s="178"/>
      <c r="Q354" s="178"/>
    </row>
  </sheetData>
  <sheetProtection algorithmName="SHA-512" hashValue="joGrTFn7cUt4Bgf5xYj+8+nZI+7njVUjrgpZ+ZxtxQ6L09DESde736W9AsVFHXnbad9YsvPLgDvu2bK3NDXR1w==" saltValue="MrWomFBE0GA49asm4rjH7Q==" spinCount="100000" sheet="1" objects="1" scenarios="1" selectLockedCells="1"/>
  <mergeCells count="7">
    <mergeCell ref="AA21:AA25"/>
    <mergeCell ref="AA12:AA16"/>
    <mergeCell ref="D3:F3"/>
    <mergeCell ref="K4:M4"/>
    <mergeCell ref="O3:Q3"/>
    <mergeCell ref="AD9:AH9"/>
    <mergeCell ref="AD18:AH18"/>
  </mergeCells>
  <phoneticPr fontId="19"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20B16-3130-460D-A807-D97EE512C877}">
  <dimension ref="B2:W353"/>
  <sheetViews>
    <sheetView workbookViewId="0">
      <selection activeCell="M50" sqref="M50"/>
    </sheetView>
  </sheetViews>
  <sheetFormatPr defaultRowHeight="15" x14ac:dyDescent="0.25"/>
  <cols>
    <col min="1" max="1" width="4.140625" style="2" customWidth="1"/>
    <col min="2" max="2" width="10.7109375" style="107" bestFit="1" customWidth="1"/>
    <col min="3" max="3" width="13.85546875" style="2" bestFit="1" customWidth="1"/>
    <col min="4" max="4" width="30.140625" style="2" bestFit="1" customWidth="1"/>
    <col min="5" max="6" width="9.140625" style="2"/>
    <col min="7" max="7" width="13.140625" style="2" bestFit="1" customWidth="1"/>
    <col min="8" max="16384" width="9.140625" style="2"/>
  </cols>
  <sheetData>
    <row r="2" spans="2:23" x14ac:dyDescent="0.25">
      <c r="B2" s="107" t="s">
        <v>340</v>
      </c>
      <c r="G2" s="2" t="s">
        <v>400</v>
      </c>
      <c r="R2" s="2" t="s">
        <v>400</v>
      </c>
    </row>
    <row r="3" spans="2:23" x14ac:dyDescent="0.25">
      <c r="B3" s="107" t="s">
        <v>337</v>
      </c>
      <c r="C3" s="2" t="s">
        <v>338</v>
      </c>
      <c r="D3" s="2" t="s">
        <v>339</v>
      </c>
      <c r="G3" s="2" t="s">
        <v>337</v>
      </c>
      <c r="H3" s="2" t="s">
        <v>802</v>
      </c>
    </row>
    <row r="4" spans="2:23" x14ac:dyDescent="0.25">
      <c r="B4" s="108">
        <v>44330</v>
      </c>
      <c r="C4" s="22">
        <v>2510</v>
      </c>
      <c r="D4" s="22">
        <v>238.887</v>
      </c>
      <c r="G4" s="108">
        <v>44335</v>
      </c>
      <c r="H4" s="2">
        <v>2464</v>
      </c>
      <c r="R4" s="2" t="s">
        <v>804</v>
      </c>
      <c r="S4" s="2" t="s">
        <v>803</v>
      </c>
    </row>
    <row r="5" spans="2:23" x14ac:dyDescent="0.25">
      <c r="B5" s="108">
        <v>44316</v>
      </c>
      <c r="C5" s="22">
        <v>2477</v>
      </c>
      <c r="D5" s="22">
        <v>238.88399999999999</v>
      </c>
      <c r="G5" s="108">
        <v>44334</v>
      </c>
      <c r="H5" s="2">
        <v>2500</v>
      </c>
      <c r="R5" s="112">
        <v>2010</v>
      </c>
      <c r="S5" s="2">
        <v>0.71650000000000003</v>
      </c>
      <c r="T5" s="2">
        <v>71.650000000000006</v>
      </c>
    </row>
    <row r="6" spans="2:23" x14ac:dyDescent="0.25">
      <c r="B6" s="108">
        <v>44286</v>
      </c>
      <c r="C6" s="22">
        <v>2306</v>
      </c>
      <c r="D6" s="22">
        <v>238.881</v>
      </c>
      <c r="G6" s="108">
        <v>44333</v>
      </c>
      <c r="H6" s="2">
        <v>2491</v>
      </c>
      <c r="R6" s="112">
        <v>2011</v>
      </c>
      <c r="S6" s="2">
        <v>0.67090000000000005</v>
      </c>
      <c r="T6" s="2">
        <v>67.09</v>
      </c>
    </row>
    <row r="7" spans="2:23" x14ac:dyDescent="0.25">
      <c r="B7" s="108">
        <v>44253</v>
      </c>
      <c r="C7" s="22">
        <v>2190</v>
      </c>
      <c r="D7" s="22">
        <v>238.87799999999999</v>
      </c>
      <c r="G7" s="108">
        <v>44330</v>
      </c>
      <c r="H7" s="2">
        <v>2510</v>
      </c>
      <c r="R7" s="112">
        <v>2012</v>
      </c>
      <c r="S7" s="2">
        <v>0.72399999999999998</v>
      </c>
      <c r="T7" s="2">
        <v>72.399999999999991</v>
      </c>
    </row>
    <row r="8" spans="2:23" x14ac:dyDescent="0.25">
      <c r="B8" s="108">
        <v>44225</v>
      </c>
      <c r="C8" s="22">
        <v>2312</v>
      </c>
      <c r="D8" s="22">
        <v>238.874</v>
      </c>
      <c r="G8" s="108">
        <v>44329</v>
      </c>
      <c r="H8" s="2">
        <v>2477</v>
      </c>
      <c r="R8" s="112">
        <v>2013</v>
      </c>
      <c r="S8" s="2">
        <v>0.77669999999999995</v>
      </c>
      <c r="T8" s="2">
        <v>77.669999999999987</v>
      </c>
      <c r="W8" s="2" t="s">
        <v>833</v>
      </c>
    </row>
    <row r="9" spans="2:23" x14ac:dyDescent="0.25">
      <c r="B9" s="108">
        <v>44196</v>
      </c>
      <c r="C9" s="22">
        <v>2289</v>
      </c>
      <c r="D9" s="22">
        <v>238.87299999999999</v>
      </c>
      <c r="G9" s="108">
        <v>44328</v>
      </c>
      <c r="H9" s="2">
        <v>2462</v>
      </c>
      <c r="R9" s="112">
        <v>2014</v>
      </c>
      <c r="S9" s="2">
        <v>0.82200000000000006</v>
      </c>
      <c r="T9" s="2">
        <v>82.2</v>
      </c>
      <c r="W9" s="112">
        <v>3</v>
      </c>
    </row>
    <row r="10" spans="2:23" x14ac:dyDescent="0.25">
      <c r="B10" s="108">
        <v>44165</v>
      </c>
      <c r="C10" s="22">
        <v>2389</v>
      </c>
      <c r="D10" s="22">
        <v>238.86</v>
      </c>
      <c r="G10" s="108">
        <v>44327</v>
      </c>
      <c r="H10" s="2">
        <v>2452</v>
      </c>
      <c r="R10" s="112">
        <v>2015</v>
      </c>
      <c r="S10" s="2">
        <v>0.83199999999999996</v>
      </c>
      <c r="T10" s="2">
        <v>83.2</v>
      </c>
      <c r="W10" s="112">
        <v>5</v>
      </c>
    </row>
    <row r="11" spans="2:23" x14ac:dyDescent="0.25">
      <c r="B11" s="108">
        <v>44134</v>
      </c>
      <c r="C11" s="22">
        <v>2430</v>
      </c>
      <c r="D11" s="22">
        <v>238.82599999999999</v>
      </c>
      <c r="G11" s="108">
        <v>44326</v>
      </c>
      <c r="H11" s="2">
        <v>2498</v>
      </c>
      <c r="R11" s="112">
        <v>2016</v>
      </c>
      <c r="S11" s="2">
        <v>0.81</v>
      </c>
      <c r="T11" s="2">
        <v>81</v>
      </c>
      <c r="W11" s="112">
        <v>10</v>
      </c>
    </row>
    <row r="12" spans="2:23" x14ac:dyDescent="0.25">
      <c r="B12" s="108">
        <v>44104</v>
      </c>
      <c r="C12" s="22">
        <v>2439</v>
      </c>
      <c r="D12" s="22">
        <v>238.80099999999999</v>
      </c>
      <c r="G12" s="108">
        <v>44323</v>
      </c>
      <c r="H12" s="2">
        <v>2507</v>
      </c>
      <c r="R12" s="112">
        <v>2017</v>
      </c>
      <c r="S12" s="2">
        <v>0.83530000000000015</v>
      </c>
      <c r="T12" s="2">
        <v>83.530000000000015</v>
      </c>
    </row>
    <row r="13" spans="2:23" x14ac:dyDescent="0.25">
      <c r="B13" s="108">
        <v>44074</v>
      </c>
      <c r="C13" s="22">
        <v>2332</v>
      </c>
      <c r="D13" s="22">
        <v>238.74700000000001</v>
      </c>
      <c r="G13" s="108">
        <v>44322</v>
      </c>
      <c r="H13" s="2">
        <v>2493</v>
      </c>
      <c r="R13" s="112">
        <v>2018</v>
      </c>
      <c r="S13" s="2">
        <v>0.89270000000000005</v>
      </c>
      <c r="T13" s="2">
        <v>89.27000000000001</v>
      </c>
    </row>
    <row r="14" spans="2:23" x14ac:dyDescent="0.25">
      <c r="B14" s="108">
        <v>44043</v>
      </c>
      <c r="C14" s="22">
        <v>2450</v>
      </c>
      <c r="D14" s="22">
        <v>238.74</v>
      </c>
      <c r="G14" s="108">
        <v>44321</v>
      </c>
      <c r="H14" s="2">
        <v>2458</v>
      </c>
      <c r="R14" s="112">
        <v>2019</v>
      </c>
      <c r="S14" s="2">
        <v>0.96050000000000002</v>
      </c>
      <c r="T14" s="2">
        <v>96.05</v>
      </c>
    </row>
    <row r="15" spans="2:23" x14ac:dyDescent="0.25">
      <c r="B15" s="108">
        <v>44012</v>
      </c>
      <c r="C15" s="22">
        <v>2479</v>
      </c>
      <c r="D15" s="22">
        <v>238.39400000000001</v>
      </c>
      <c r="G15" s="108">
        <v>44320</v>
      </c>
      <c r="H15" s="2">
        <v>2458</v>
      </c>
      <c r="R15" s="112">
        <v>2020</v>
      </c>
      <c r="S15" s="2">
        <v>1.0068000000000001</v>
      </c>
      <c r="T15" s="2">
        <v>100.68</v>
      </c>
      <c r="V15" s="106">
        <f>POWER(T15/T5,1/(R15-R5))-1</f>
        <v>3.4600541108372962E-2</v>
      </c>
    </row>
    <row r="16" spans="2:23" x14ac:dyDescent="0.25">
      <c r="B16" s="108">
        <v>43980</v>
      </c>
      <c r="C16" s="22">
        <v>2441</v>
      </c>
      <c r="D16" s="22">
        <v>237.958</v>
      </c>
      <c r="G16" s="108">
        <v>44316</v>
      </c>
      <c r="H16" s="2">
        <v>2477</v>
      </c>
    </row>
    <row r="17" spans="2:20" x14ac:dyDescent="0.25">
      <c r="B17" s="108">
        <v>43951</v>
      </c>
      <c r="C17" s="22">
        <v>2390</v>
      </c>
      <c r="D17" s="22">
        <v>241.53700000000001</v>
      </c>
      <c r="G17" s="108">
        <v>44315</v>
      </c>
      <c r="H17" s="2">
        <v>2419</v>
      </c>
      <c r="R17" s="2" t="s">
        <v>401</v>
      </c>
    </row>
    <row r="18" spans="2:20" x14ac:dyDescent="0.25">
      <c r="B18" s="108">
        <v>43921</v>
      </c>
      <c r="C18" s="22">
        <v>2280</v>
      </c>
      <c r="D18" s="22">
        <v>237.95400000000001</v>
      </c>
      <c r="G18" s="108">
        <v>44314</v>
      </c>
      <c r="H18" s="2">
        <v>2440</v>
      </c>
    </row>
    <row r="19" spans="2:20" x14ac:dyDescent="0.25">
      <c r="B19" s="108">
        <v>43889</v>
      </c>
      <c r="C19" s="22">
        <v>2465</v>
      </c>
      <c r="D19" s="22">
        <v>237.95099999999999</v>
      </c>
      <c r="G19" s="108">
        <v>44313</v>
      </c>
      <c r="H19" s="2">
        <v>2430</v>
      </c>
      <c r="R19" s="2" t="s">
        <v>804</v>
      </c>
      <c r="S19" s="2" t="s">
        <v>803</v>
      </c>
    </row>
    <row r="20" spans="2:20" x14ac:dyDescent="0.25">
      <c r="B20" s="108">
        <v>43861</v>
      </c>
      <c r="C20" s="22">
        <v>2579</v>
      </c>
      <c r="D20" s="22">
        <v>237.94900000000001</v>
      </c>
      <c r="G20" s="108">
        <v>44312</v>
      </c>
      <c r="H20" s="2">
        <v>2406</v>
      </c>
      <c r="R20" s="112">
        <v>2010</v>
      </c>
      <c r="S20" s="2">
        <v>0.33130000000000004</v>
      </c>
      <c r="T20" s="2">
        <v>33.130000000000003</v>
      </c>
    </row>
    <row r="21" spans="2:20" x14ac:dyDescent="0.25">
      <c r="B21" s="108">
        <v>43830</v>
      </c>
      <c r="C21" s="22">
        <v>2515</v>
      </c>
      <c r="D21" s="22">
        <v>237.947</v>
      </c>
      <c r="G21" s="108">
        <v>44309</v>
      </c>
      <c r="H21" s="2">
        <v>2438</v>
      </c>
      <c r="R21" s="112">
        <v>2011</v>
      </c>
      <c r="S21" s="2">
        <v>0.30670000000000003</v>
      </c>
      <c r="T21" s="2">
        <v>30.67</v>
      </c>
    </row>
    <row r="22" spans="2:20" x14ac:dyDescent="0.25">
      <c r="B22" s="108">
        <v>43798</v>
      </c>
      <c r="C22" s="22">
        <v>2243</v>
      </c>
      <c r="D22" s="22">
        <v>237.93299999999999</v>
      </c>
      <c r="G22" s="108">
        <v>44308</v>
      </c>
      <c r="H22" s="2">
        <v>2447</v>
      </c>
      <c r="R22" s="112">
        <v>2012</v>
      </c>
      <c r="S22" s="2">
        <v>0.32779999999999998</v>
      </c>
      <c r="T22" s="2">
        <v>32.78</v>
      </c>
    </row>
    <row r="23" spans="2:20" x14ac:dyDescent="0.25">
      <c r="B23" s="108">
        <v>43769</v>
      </c>
      <c r="C23" s="22">
        <v>2255</v>
      </c>
      <c r="D23" s="22">
        <v>237.89699999999999</v>
      </c>
      <c r="G23" s="108">
        <v>44307</v>
      </c>
      <c r="H23" s="2">
        <v>2432</v>
      </c>
      <c r="R23" s="112">
        <v>2013</v>
      </c>
      <c r="S23" s="2">
        <v>0.34889999999999999</v>
      </c>
      <c r="T23" s="2">
        <v>34.89</v>
      </c>
    </row>
    <row r="24" spans="2:20" x14ac:dyDescent="0.25">
      <c r="B24" s="108">
        <v>43738</v>
      </c>
      <c r="C24" s="22">
        <v>2165</v>
      </c>
      <c r="D24" s="22">
        <v>237.88200000000001</v>
      </c>
      <c r="G24" s="108">
        <v>44306</v>
      </c>
      <c r="H24" s="2">
        <v>2461</v>
      </c>
      <c r="R24" s="112">
        <v>2014</v>
      </c>
      <c r="S24" s="2">
        <v>0.3659</v>
      </c>
      <c r="T24" s="2">
        <v>36.590000000000003</v>
      </c>
    </row>
    <row r="25" spans="2:20" x14ac:dyDescent="0.25">
      <c r="B25" s="108">
        <v>43707</v>
      </c>
      <c r="C25" s="22">
        <v>2071</v>
      </c>
      <c r="D25" s="22">
        <v>237.87100000000001</v>
      </c>
      <c r="G25" s="108">
        <v>44305</v>
      </c>
      <c r="H25" s="2">
        <v>2460</v>
      </c>
      <c r="R25" s="112">
        <v>2015</v>
      </c>
      <c r="S25" s="2">
        <v>0.3795</v>
      </c>
      <c r="T25" s="2">
        <v>37.950000000000003</v>
      </c>
    </row>
    <row r="26" spans="2:20" x14ac:dyDescent="0.25">
      <c r="B26" s="108">
        <v>43677</v>
      </c>
      <c r="C26" s="22">
        <v>2015</v>
      </c>
      <c r="D26" s="22">
        <v>237.86699999999999</v>
      </c>
      <c r="G26" s="108">
        <v>44302</v>
      </c>
      <c r="H26" s="2">
        <v>2431</v>
      </c>
      <c r="R26" s="112">
        <v>2016</v>
      </c>
      <c r="S26" s="2">
        <v>0.38590000000000002</v>
      </c>
      <c r="T26" s="2">
        <v>38.590000000000003</v>
      </c>
    </row>
    <row r="27" spans="2:20" x14ac:dyDescent="0.25">
      <c r="B27" s="108">
        <v>43644</v>
      </c>
      <c r="C27" s="22">
        <v>2048</v>
      </c>
      <c r="D27" s="22">
        <v>237.404</v>
      </c>
      <c r="G27" s="108">
        <v>44301</v>
      </c>
      <c r="H27" s="2">
        <v>2442</v>
      </c>
      <c r="R27" s="112">
        <v>2017</v>
      </c>
      <c r="S27" s="2">
        <v>0.39159999999999995</v>
      </c>
      <c r="T27" s="2">
        <v>39.159999999999997</v>
      </c>
    </row>
    <row r="28" spans="2:20" x14ac:dyDescent="0.25">
      <c r="B28" s="108">
        <v>43616</v>
      </c>
      <c r="C28" s="22">
        <v>1990</v>
      </c>
      <c r="D28" s="22">
        <v>237.404</v>
      </c>
      <c r="G28" s="108">
        <v>44300</v>
      </c>
      <c r="H28" s="2">
        <v>2393</v>
      </c>
      <c r="R28" s="112">
        <v>2018</v>
      </c>
      <c r="S28" s="2">
        <v>0.40250000000000002</v>
      </c>
      <c r="T28" s="2">
        <v>40.25</v>
      </c>
    </row>
    <row r="29" spans="2:20" x14ac:dyDescent="0.25">
      <c r="B29" s="108">
        <v>43585</v>
      </c>
      <c r="C29" s="22">
        <v>2036</v>
      </c>
      <c r="D29" s="22">
        <v>237.16900000000001</v>
      </c>
      <c r="G29" s="108">
        <v>44299</v>
      </c>
      <c r="H29" s="2">
        <v>2393</v>
      </c>
      <c r="R29" s="112">
        <v>2019</v>
      </c>
      <c r="S29" s="2">
        <v>0.41720000000000002</v>
      </c>
      <c r="T29" s="2">
        <v>41.72</v>
      </c>
    </row>
    <row r="30" spans="2:20" x14ac:dyDescent="0.25">
      <c r="B30" s="108">
        <v>43553</v>
      </c>
      <c r="C30" s="22">
        <v>1976</v>
      </c>
      <c r="D30" s="22">
        <v>237.166</v>
      </c>
      <c r="G30" s="108">
        <v>44298</v>
      </c>
      <c r="H30" s="2">
        <v>2432</v>
      </c>
      <c r="R30" s="112">
        <v>2020</v>
      </c>
      <c r="S30" s="2">
        <v>0.42809999999999998</v>
      </c>
      <c r="T30" s="2">
        <v>42.809999999999995</v>
      </c>
    </row>
    <row r="31" spans="2:20" x14ac:dyDescent="0.25">
      <c r="B31" s="108">
        <v>43524</v>
      </c>
      <c r="C31" s="22">
        <v>2019</v>
      </c>
      <c r="D31" s="22">
        <v>237.166</v>
      </c>
      <c r="G31" s="108">
        <v>44295</v>
      </c>
      <c r="H31" s="2">
        <v>2406</v>
      </c>
    </row>
    <row r="32" spans="2:20" x14ac:dyDescent="0.25">
      <c r="B32" s="108">
        <v>43496</v>
      </c>
      <c r="C32" s="22">
        <v>1998.5</v>
      </c>
      <c r="D32" s="22">
        <v>237.16499999999999</v>
      </c>
      <c r="G32" s="108">
        <v>44294</v>
      </c>
      <c r="H32" s="2">
        <v>2391</v>
      </c>
    </row>
    <row r="33" spans="2:20" x14ac:dyDescent="0.25">
      <c r="B33" s="108">
        <v>43465</v>
      </c>
      <c r="C33" s="22">
        <v>1815.5</v>
      </c>
      <c r="D33" s="22">
        <v>237.16200000000001</v>
      </c>
      <c r="G33" s="108">
        <v>44293</v>
      </c>
      <c r="H33" s="2">
        <v>2360</v>
      </c>
    </row>
    <row r="34" spans="2:20" x14ac:dyDescent="0.25">
      <c r="B34" s="108">
        <v>43434</v>
      </c>
      <c r="C34" s="22">
        <v>1830</v>
      </c>
      <c r="D34" s="22">
        <v>237.149</v>
      </c>
      <c r="G34" s="108">
        <v>44292</v>
      </c>
      <c r="H34" s="2">
        <v>2337</v>
      </c>
      <c r="R34" s="2" t="s">
        <v>833</v>
      </c>
      <c r="S34" s="2" t="s">
        <v>401</v>
      </c>
      <c r="T34" s="2" t="s">
        <v>400</v>
      </c>
    </row>
    <row r="35" spans="2:20" x14ac:dyDescent="0.25">
      <c r="B35" s="108">
        <v>43404</v>
      </c>
      <c r="C35" s="22">
        <v>1863</v>
      </c>
      <c r="D35" s="22">
        <v>237.11199999999999</v>
      </c>
      <c r="G35" s="108">
        <v>44287</v>
      </c>
      <c r="H35" s="2">
        <v>2307</v>
      </c>
      <c r="R35" s="112">
        <v>3</v>
      </c>
      <c r="S35" s="11">
        <f>POWER($T$30/T27,1/R35)-1</f>
        <v>3.0150904601055517E-2</v>
      </c>
      <c r="T35" s="11">
        <f>POWER($T$15/T12,1/R35)-1</f>
        <v>6.4225289934715768E-2</v>
      </c>
    </row>
    <row r="36" spans="2:20" x14ac:dyDescent="0.25">
      <c r="B36" s="108">
        <v>43371</v>
      </c>
      <c r="C36" s="22">
        <v>1849</v>
      </c>
      <c r="D36" s="22">
        <v>237.08199999999999</v>
      </c>
      <c r="G36" s="108">
        <v>44286</v>
      </c>
      <c r="H36" s="2">
        <v>2306</v>
      </c>
      <c r="R36" s="112">
        <v>5</v>
      </c>
      <c r="S36" s="11">
        <f>POWER($T$30/T25,1/R36)-1</f>
        <v>2.4393206119582178E-2</v>
      </c>
      <c r="T36" s="11">
        <f>POWER($T$15/T10,1/R36)-1</f>
        <v>3.8876628538544455E-2</v>
      </c>
    </row>
    <row r="37" spans="2:20" x14ac:dyDescent="0.25">
      <c r="B37" s="108">
        <v>43343</v>
      </c>
      <c r="C37" s="22">
        <v>2001</v>
      </c>
      <c r="D37" s="22">
        <v>237.06100000000001</v>
      </c>
      <c r="G37" s="108">
        <v>44285</v>
      </c>
      <c r="H37" s="2">
        <v>2294</v>
      </c>
      <c r="R37" s="112">
        <v>10</v>
      </c>
      <c r="S37" s="11">
        <f>POWER($T$30/T20,1/R37)-1</f>
        <v>2.5964607340923873E-2</v>
      </c>
      <c r="T37" s="11">
        <f>POWER($T$15/T5,1/R37)-1</f>
        <v>3.4600541108372962E-2</v>
      </c>
    </row>
    <row r="38" spans="2:20" x14ac:dyDescent="0.25">
      <c r="B38" s="108">
        <v>43312</v>
      </c>
      <c r="C38" s="22">
        <v>1934.5</v>
      </c>
      <c r="D38" s="22">
        <v>236.87</v>
      </c>
      <c r="G38" s="108">
        <v>44284</v>
      </c>
      <c r="H38" s="2">
        <v>2342</v>
      </c>
    </row>
    <row r="39" spans="2:20" x14ac:dyDescent="0.25">
      <c r="B39" s="108">
        <v>43280</v>
      </c>
      <c r="C39" s="22">
        <v>1979.5</v>
      </c>
      <c r="D39" s="22">
        <v>236.809</v>
      </c>
      <c r="G39" s="108">
        <v>44281</v>
      </c>
      <c r="H39" s="2">
        <v>2299</v>
      </c>
    </row>
    <row r="40" spans="2:20" x14ac:dyDescent="0.25">
      <c r="B40" s="108">
        <v>43251</v>
      </c>
      <c r="C40" s="22">
        <v>1989</v>
      </c>
      <c r="D40" s="22">
        <v>236.60300000000001</v>
      </c>
      <c r="G40" s="108">
        <v>44280</v>
      </c>
      <c r="H40" s="2">
        <v>2313</v>
      </c>
    </row>
    <row r="41" spans="2:20" x14ac:dyDescent="0.25">
      <c r="B41" s="108">
        <v>43220</v>
      </c>
      <c r="C41" s="22">
        <v>1940</v>
      </c>
      <c r="D41" s="22">
        <v>236.274</v>
      </c>
      <c r="G41" s="108">
        <v>44279</v>
      </c>
      <c r="H41" s="2">
        <v>2281</v>
      </c>
    </row>
    <row r="42" spans="2:20" x14ac:dyDescent="0.25">
      <c r="B42" s="108">
        <v>43189</v>
      </c>
      <c r="C42" s="22">
        <v>1844</v>
      </c>
      <c r="D42" s="22">
        <v>236.273</v>
      </c>
      <c r="G42" s="108">
        <v>44278</v>
      </c>
      <c r="H42" s="2">
        <v>2295</v>
      </c>
    </row>
    <row r="43" spans="2:20" x14ac:dyDescent="0.25">
      <c r="B43" s="108">
        <v>43159</v>
      </c>
      <c r="C43" s="22">
        <v>1707.5</v>
      </c>
      <c r="D43" s="22">
        <v>236.27</v>
      </c>
      <c r="G43" s="108">
        <v>44277</v>
      </c>
      <c r="H43" s="2">
        <v>2234</v>
      </c>
    </row>
    <row r="44" spans="2:20" x14ac:dyDescent="0.25">
      <c r="B44" s="108">
        <v>43131</v>
      </c>
      <c r="C44" s="22">
        <v>1953.5</v>
      </c>
      <c r="D44" s="22">
        <v>236.268</v>
      </c>
      <c r="G44" s="108">
        <v>44274</v>
      </c>
      <c r="H44" s="2">
        <v>2240</v>
      </c>
    </row>
    <row r="45" spans="2:20" x14ac:dyDescent="0.25">
      <c r="B45" s="108">
        <v>43098</v>
      </c>
      <c r="C45" s="22">
        <v>2162</v>
      </c>
      <c r="D45" s="22">
        <v>236.26599999999999</v>
      </c>
      <c r="G45" s="108">
        <v>44273</v>
      </c>
      <c r="H45" s="2">
        <v>2222</v>
      </c>
    </row>
    <row r="46" spans="2:20" x14ac:dyDescent="0.25">
      <c r="G46" s="108">
        <v>44272</v>
      </c>
      <c r="H46" s="2">
        <v>2231</v>
      </c>
    </row>
    <row r="47" spans="2:20" x14ac:dyDescent="0.25">
      <c r="G47" s="108">
        <v>44271</v>
      </c>
      <c r="H47" s="2">
        <v>2298</v>
      </c>
    </row>
    <row r="48" spans="2:20" x14ac:dyDescent="0.25">
      <c r="G48" s="108">
        <v>44270</v>
      </c>
      <c r="H48" s="2">
        <v>2246</v>
      </c>
    </row>
    <row r="49" spans="7:8" x14ac:dyDescent="0.25">
      <c r="G49" s="108">
        <v>44267</v>
      </c>
      <c r="H49" s="2">
        <v>2244</v>
      </c>
    </row>
    <row r="50" spans="7:8" x14ac:dyDescent="0.25">
      <c r="G50" s="108">
        <v>44266</v>
      </c>
      <c r="H50" s="2">
        <v>2246</v>
      </c>
    </row>
    <row r="51" spans="7:8" x14ac:dyDescent="0.25">
      <c r="G51" s="108">
        <v>44265</v>
      </c>
      <c r="H51" s="2">
        <v>2240</v>
      </c>
    </row>
    <row r="52" spans="7:8" x14ac:dyDescent="0.25">
      <c r="G52" s="108">
        <v>44264</v>
      </c>
      <c r="H52" s="2">
        <v>2233</v>
      </c>
    </row>
    <row r="53" spans="7:8" x14ac:dyDescent="0.25">
      <c r="G53" s="108">
        <v>44263</v>
      </c>
      <c r="H53" s="2">
        <v>2204</v>
      </c>
    </row>
    <row r="54" spans="7:8" x14ac:dyDescent="0.25">
      <c r="G54" s="108">
        <v>44260</v>
      </c>
      <c r="H54" s="2">
        <v>2237</v>
      </c>
    </row>
    <row r="55" spans="7:8" x14ac:dyDescent="0.25">
      <c r="G55" s="108">
        <v>44259</v>
      </c>
      <c r="H55" s="2">
        <v>2209</v>
      </c>
    </row>
    <row r="56" spans="7:8" x14ac:dyDescent="0.25">
      <c r="G56" s="108">
        <v>44258</v>
      </c>
      <c r="H56" s="2">
        <v>2168</v>
      </c>
    </row>
    <row r="57" spans="7:8" x14ac:dyDescent="0.25">
      <c r="G57" s="108">
        <v>44257</v>
      </c>
      <c r="H57" s="2">
        <v>2223</v>
      </c>
    </row>
    <row r="58" spans="7:8" x14ac:dyDescent="0.25">
      <c r="G58" s="108">
        <v>44256</v>
      </c>
      <c r="H58" s="2">
        <v>2214</v>
      </c>
    </row>
    <row r="59" spans="7:8" x14ac:dyDescent="0.25">
      <c r="G59" s="108">
        <v>44253</v>
      </c>
      <c r="H59" s="2">
        <v>2190</v>
      </c>
    </row>
    <row r="60" spans="7:8" x14ac:dyDescent="0.25">
      <c r="G60" s="108">
        <v>44252</v>
      </c>
      <c r="H60" s="2">
        <v>2236</v>
      </c>
    </row>
    <row r="61" spans="7:8" x14ac:dyDescent="0.25">
      <c r="G61" s="108">
        <v>44251</v>
      </c>
      <c r="H61" s="2">
        <v>2223</v>
      </c>
    </row>
    <row r="62" spans="7:8" x14ac:dyDescent="0.25">
      <c r="G62" s="108">
        <v>44250</v>
      </c>
      <c r="H62" s="2">
        <v>2232</v>
      </c>
    </row>
    <row r="63" spans="7:8" x14ac:dyDescent="0.25">
      <c r="G63" s="108">
        <v>44249</v>
      </c>
      <c r="H63" s="2">
        <v>2199</v>
      </c>
    </row>
    <row r="64" spans="7:8" x14ac:dyDescent="0.25">
      <c r="G64" s="108">
        <v>44246</v>
      </c>
      <c r="H64" s="2">
        <v>2256</v>
      </c>
    </row>
    <row r="65" spans="7:8" x14ac:dyDescent="0.25">
      <c r="G65" s="108">
        <v>44245</v>
      </c>
      <c r="H65" s="2">
        <v>2274</v>
      </c>
    </row>
    <row r="66" spans="7:8" x14ac:dyDescent="0.25">
      <c r="G66" s="108">
        <v>44244</v>
      </c>
      <c r="H66" s="2">
        <v>2334</v>
      </c>
    </row>
    <row r="67" spans="7:8" x14ac:dyDescent="0.25">
      <c r="G67" s="108">
        <v>44243</v>
      </c>
      <c r="H67" s="2">
        <v>2327</v>
      </c>
    </row>
    <row r="68" spans="7:8" x14ac:dyDescent="0.25">
      <c r="G68" s="108">
        <v>44242</v>
      </c>
      <c r="H68" s="2">
        <v>2376</v>
      </c>
    </row>
    <row r="69" spans="7:8" x14ac:dyDescent="0.25">
      <c r="G69" s="108">
        <v>44239</v>
      </c>
      <c r="H69" s="2">
        <v>2348</v>
      </c>
    </row>
    <row r="70" spans="7:8" x14ac:dyDescent="0.25">
      <c r="G70" s="108">
        <v>44238</v>
      </c>
      <c r="H70" s="2">
        <v>2300</v>
      </c>
    </row>
    <row r="71" spans="7:8" x14ac:dyDescent="0.25">
      <c r="G71" s="108">
        <v>44237</v>
      </c>
      <c r="H71" s="2">
        <v>2297</v>
      </c>
    </row>
    <row r="72" spans="7:8" x14ac:dyDescent="0.25">
      <c r="G72" s="108">
        <v>44236</v>
      </c>
      <c r="H72" s="2">
        <v>2292</v>
      </c>
    </row>
    <row r="73" spans="7:8" x14ac:dyDescent="0.25">
      <c r="G73" s="108">
        <v>44235</v>
      </c>
      <c r="H73" s="2">
        <v>2269</v>
      </c>
    </row>
    <row r="74" spans="7:8" x14ac:dyDescent="0.25">
      <c r="G74" s="108">
        <v>44232</v>
      </c>
      <c r="H74" s="2">
        <v>2285</v>
      </c>
    </row>
    <row r="75" spans="7:8" x14ac:dyDescent="0.25">
      <c r="G75" s="108">
        <v>44231</v>
      </c>
      <c r="H75" s="2">
        <v>2324</v>
      </c>
    </row>
    <row r="76" spans="7:8" x14ac:dyDescent="0.25">
      <c r="G76" s="108">
        <v>44230</v>
      </c>
      <c r="H76" s="2">
        <v>2366</v>
      </c>
    </row>
    <row r="77" spans="7:8" x14ac:dyDescent="0.25">
      <c r="G77" s="108">
        <v>44229</v>
      </c>
      <c r="H77" s="2">
        <v>2362</v>
      </c>
    </row>
    <row r="78" spans="7:8" x14ac:dyDescent="0.25">
      <c r="G78" s="108">
        <v>44228</v>
      </c>
      <c r="H78" s="2">
        <v>2370</v>
      </c>
    </row>
    <row r="79" spans="7:8" x14ac:dyDescent="0.25">
      <c r="G79" s="108">
        <v>44225</v>
      </c>
      <c r="H79" s="2">
        <v>2312</v>
      </c>
    </row>
    <row r="80" spans="7:8" x14ac:dyDescent="0.25">
      <c r="G80" s="108">
        <v>44224</v>
      </c>
      <c r="H80" s="2">
        <v>2336</v>
      </c>
    </row>
    <row r="81" spans="7:8" x14ac:dyDescent="0.25">
      <c r="G81" s="108">
        <v>44223</v>
      </c>
      <c r="H81" s="2">
        <v>2368</v>
      </c>
    </row>
    <row r="82" spans="7:8" x14ac:dyDescent="0.25">
      <c r="G82" s="108">
        <v>44222</v>
      </c>
      <c r="H82" s="2">
        <v>2367</v>
      </c>
    </row>
    <row r="83" spans="7:8" x14ac:dyDescent="0.25">
      <c r="G83" s="108">
        <v>44221</v>
      </c>
      <c r="H83" s="2">
        <v>2391</v>
      </c>
    </row>
    <row r="84" spans="7:8" x14ac:dyDescent="0.25">
      <c r="G84" s="108">
        <v>44218</v>
      </c>
      <c r="H84" s="2">
        <v>2340</v>
      </c>
    </row>
    <row r="85" spans="7:8" x14ac:dyDescent="0.25">
      <c r="G85" s="108">
        <v>44217</v>
      </c>
      <c r="H85" s="2">
        <v>2329</v>
      </c>
    </row>
    <row r="86" spans="7:8" x14ac:dyDescent="0.25">
      <c r="G86" s="108">
        <v>44216</v>
      </c>
      <c r="H86" s="2">
        <v>2343</v>
      </c>
    </row>
    <row r="87" spans="7:8" x14ac:dyDescent="0.25">
      <c r="G87" s="108">
        <v>44215</v>
      </c>
      <c r="H87" s="2">
        <v>2330</v>
      </c>
    </row>
    <row r="88" spans="7:8" x14ac:dyDescent="0.25">
      <c r="G88" s="108">
        <v>44214</v>
      </c>
      <c r="H88" s="2">
        <v>2326</v>
      </c>
    </row>
    <row r="89" spans="7:8" x14ac:dyDescent="0.25">
      <c r="G89" s="108">
        <v>44211</v>
      </c>
      <c r="H89" s="2">
        <v>2343</v>
      </c>
    </row>
    <row r="90" spans="7:8" x14ac:dyDescent="0.25">
      <c r="G90" s="108">
        <v>44210</v>
      </c>
      <c r="H90" s="2">
        <v>2340</v>
      </c>
    </row>
    <row r="91" spans="7:8" x14ac:dyDescent="0.25">
      <c r="G91" s="108">
        <v>44209</v>
      </c>
      <c r="H91" s="2">
        <v>2350</v>
      </c>
    </row>
    <row r="92" spans="7:8" x14ac:dyDescent="0.25">
      <c r="G92" s="108">
        <v>44208</v>
      </c>
      <c r="H92" s="2">
        <v>2318</v>
      </c>
    </row>
    <row r="93" spans="7:8" x14ac:dyDescent="0.25">
      <c r="G93" s="108">
        <v>44207</v>
      </c>
      <c r="H93" s="2">
        <v>2340</v>
      </c>
    </row>
    <row r="94" spans="7:8" x14ac:dyDescent="0.25">
      <c r="G94" s="108">
        <v>44204</v>
      </c>
      <c r="H94" s="2">
        <v>2369</v>
      </c>
    </row>
    <row r="95" spans="7:8" x14ac:dyDescent="0.25">
      <c r="G95" s="108">
        <v>44203</v>
      </c>
      <c r="H95" s="2">
        <v>2358</v>
      </c>
    </row>
    <row r="96" spans="7:8" x14ac:dyDescent="0.25">
      <c r="G96" s="108">
        <v>44202</v>
      </c>
      <c r="H96" s="2">
        <v>2379</v>
      </c>
    </row>
    <row r="97" spans="7:8" x14ac:dyDescent="0.25">
      <c r="G97" s="108">
        <v>44201</v>
      </c>
      <c r="H97" s="2">
        <v>2316</v>
      </c>
    </row>
    <row r="98" spans="7:8" x14ac:dyDescent="0.25">
      <c r="G98" s="108">
        <v>44200</v>
      </c>
      <c r="H98" s="2">
        <v>2336</v>
      </c>
    </row>
    <row r="99" spans="7:8" x14ac:dyDescent="0.25">
      <c r="G99" s="108">
        <v>44196</v>
      </c>
      <c r="H99" s="2">
        <v>2289</v>
      </c>
    </row>
    <row r="100" spans="7:8" x14ac:dyDescent="0.25">
      <c r="G100" s="108">
        <v>44195</v>
      </c>
      <c r="H100" s="2">
        <v>2315</v>
      </c>
    </row>
    <row r="101" spans="7:8" x14ac:dyDescent="0.25">
      <c r="G101" s="108">
        <v>44194</v>
      </c>
      <c r="H101" s="2">
        <v>2356</v>
      </c>
    </row>
    <row r="102" spans="7:8" x14ac:dyDescent="0.25">
      <c r="G102" s="108">
        <v>44189</v>
      </c>
      <c r="H102" s="2">
        <v>2276</v>
      </c>
    </row>
    <row r="103" spans="7:8" x14ac:dyDescent="0.25">
      <c r="G103" s="108">
        <v>44188</v>
      </c>
      <c r="H103" s="2">
        <v>2297</v>
      </c>
    </row>
    <row r="104" spans="7:8" x14ac:dyDescent="0.25">
      <c r="G104" s="108">
        <v>44187</v>
      </c>
      <c r="H104" s="2">
        <v>2286</v>
      </c>
    </row>
    <row r="105" spans="7:8" x14ac:dyDescent="0.25">
      <c r="G105" s="108">
        <v>44186</v>
      </c>
      <c r="H105" s="2">
        <v>2292</v>
      </c>
    </row>
    <row r="106" spans="7:8" x14ac:dyDescent="0.25">
      <c r="G106" s="108">
        <v>44183</v>
      </c>
      <c r="H106" s="2">
        <v>2309</v>
      </c>
    </row>
    <row r="107" spans="7:8" x14ac:dyDescent="0.25">
      <c r="G107" s="108">
        <v>44182</v>
      </c>
      <c r="H107" s="2">
        <v>2344</v>
      </c>
    </row>
    <row r="108" spans="7:8" x14ac:dyDescent="0.25">
      <c r="G108" s="108">
        <v>44181</v>
      </c>
      <c r="H108" s="2">
        <v>2344</v>
      </c>
    </row>
    <row r="109" spans="7:8" x14ac:dyDescent="0.25">
      <c r="G109" s="108">
        <v>44180</v>
      </c>
      <c r="H109" s="2">
        <v>2308</v>
      </c>
    </row>
    <row r="110" spans="7:8" x14ac:dyDescent="0.25">
      <c r="G110" s="108">
        <v>44179</v>
      </c>
      <c r="H110" s="2">
        <v>2310</v>
      </c>
    </row>
    <row r="111" spans="7:8" x14ac:dyDescent="0.25">
      <c r="G111" s="108">
        <v>44176</v>
      </c>
      <c r="H111" s="2">
        <v>2284</v>
      </c>
    </row>
    <row r="112" spans="7:8" x14ac:dyDescent="0.25">
      <c r="G112" s="108">
        <v>44175</v>
      </c>
      <c r="H112" s="2">
        <v>2326</v>
      </c>
    </row>
    <row r="113" spans="7:8" x14ac:dyDescent="0.25">
      <c r="G113" s="108">
        <v>44174</v>
      </c>
      <c r="H113" s="2">
        <v>2350</v>
      </c>
    </row>
    <row r="114" spans="7:8" x14ac:dyDescent="0.25">
      <c r="G114" s="108">
        <v>44173</v>
      </c>
      <c r="H114" s="2">
        <v>2317</v>
      </c>
    </row>
    <row r="115" spans="7:8" x14ac:dyDescent="0.25">
      <c r="G115" s="108">
        <v>44172</v>
      </c>
      <c r="H115" s="2">
        <v>2308</v>
      </c>
    </row>
    <row r="116" spans="7:8" x14ac:dyDescent="0.25">
      <c r="G116" s="108">
        <v>44169</v>
      </c>
      <c r="H116" s="2">
        <v>2292</v>
      </c>
    </row>
    <row r="117" spans="7:8" x14ac:dyDescent="0.25">
      <c r="G117" s="108">
        <v>44168</v>
      </c>
      <c r="H117" s="2">
        <v>2357</v>
      </c>
    </row>
    <row r="118" spans="7:8" x14ac:dyDescent="0.25">
      <c r="G118" s="108">
        <v>44167</v>
      </c>
      <c r="H118" s="2">
        <v>2392</v>
      </c>
    </row>
    <row r="119" spans="7:8" x14ac:dyDescent="0.25">
      <c r="G119" s="108">
        <v>44166</v>
      </c>
      <c r="H119" s="2">
        <v>2361</v>
      </c>
    </row>
    <row r="120" spans="7:8" x14ac:dyDescent="0.25">
      <c r="G120" s="108">
        <v>44165</v>
      </c>
      <c r="H120" s="2">
        <v>2389</v>
      </c>
    </row>
    <row r="121" spans="7:8" x14ac:dyDescent="0.25">
      <c r="G121" s="108">
        <v>44162</v>
      </c>
      <c r="H121" s="2">
        <v>2388</v>
      </c>
    </row>
    <row r="122" spans="7:8" x14ac:dyDescent="0.25">
      <c r="G122" s="108">
        <v>44161</v>
      </c>
      <c r="H122" s="2">
        <v>2450</v>
      </c>
    </row>
    <row r="123" spans="7:8" x14ac:dyDescent="0.25">
      <c r="G123" s="108">
        <v>44160</v>
      </c>
      <c r="H123" s="2">
        <v>2456</v>
      </c>
    </row>
    <row r="124" spans="7:8" x14ac:dyDescent="0.25">
      <c r="G124" s="108">
        <v>44159</v>
      </c>
      <c r="H124" s="2">
        <v>2444</v>
      </c>
    </row>
    <row r="125" spans="7:8" x14ac:dyDescent="0.25">
      <c r="G125" s="108">
        <v>44158</v>
      </c>
      <c r="H125" s="2">
        <v>2440</v>
      </c>
    </row>
    <row r="126" spans="7:8" x14ac:dyDescent="0.25">
      <c r="G126" s="108">
        <v>44155</v>
      </c>
      <c r="H126" s="2">
        <v>2463</v>
      </c>
    </row>
    <row r="127" spans="7:8" x14ac:dyDescent="0.25">
      <c r="G127" s="108">
        <v>44154</v>
      </c>
      <c r="H127" s="2">
        <v>2452</v>
      </c>
    </row>
    <row r="128" spans="7:8" x14ac:dyDescent="0.25">
      <c r="G128" s="108">
        <v>44153</v>
      </c>
      <c r="H128" s="2">
        <v>2490</v>
      </c>
    </row>
    <row r="129" spans="7:8" x14ac:dyDescent="0.25">
      <c r="G129" s="108">
        <v>44152</v>
      </c>
      <c r="H129" s="2">
        <v>2490</v>
      </c>
    </row>
    <row r="130" spans="7:8" x14ac:dyDescent="0.25">
      <c r="G130" s="108">
        <v>44151</v>
      </c>
      <c r="H130" s="2">
        <v>2479</v>
      </c>
    </row>
    <row r="131" spans="7:8" x14ac:dyDescent="0.25">
      <c r="G131" s="108">
        <v>44148</v>
      </c>
      <c r="H131" s="2">
        <v>2501</v>
      </c>
    </row>
    <row r="132" spans="7:8" x14ac:dyDescent="0.25">
      <c r="G132" s="108">
        <v>44147</v>
      </c>
      <c r="H132" s="2">
        <v>2538</v>
      </c>
    </row>
    <row r="133" spans="7:8" x14ac:dyDescent="0.25">
      <c r="G133" s="108">
        <v>44146</v>
      </c>
      <c r="H133" s="2">
        <v>2559</v>
      </c>
    </row>
    <row r="134" spans="7:8" x14ac:dyDescent="0.25">
      <c r="G134" s="108">
        <v>44145</v>
      </c>
      <c r="H134" s="2">
        <v>2494</v>
      </c>
    </row>
    <row r="135" spans="7:8" x14ac:dyDescent="0.25">
      <c r="G135" s="108">
        <v>44144</v>
      </c>
      <c r="H135" s="2">
        <v>2458</v>
      </c>
    </row>
    <row r="136" spans="7:8" x14ac:dyDescent="0.25">
      <c r="G136" s="108">
        <v>44141</v>
      </c>
      <c r="H136" s="2">
        <v>2455</v>
      </c>
    </row>
    <row r="137" spans="7:8" x14ac:dyDescent="0.25">
      <c r="G137" s="108">
        <v>44140</v>
      </c>
      <c r="H137" s="2">
        <v>2473</v>
      </c>
    </row>
    <row r="138" spans="7:8" x14ac:dyDescent="0.25">
      <c r="G138" s="108">
        <v>44139</v>
      </c>
      <c r="H138" s="2">
        <v>2481</v>
      </c>
    </row>
    <row r="139" spans="7:8" x14ac:dyDescent="0.25">
      <c r="G139" s="108">
        <v>44138</v>
      </c>
      <c r="H139" s="2">
        <v>2466</v>
      </c>
    </row>
    <row r="140" spans="7:8" x14ac:dyDescent="0.25">
      <c r="G140" s="108">
        <v>44137</v>
      </c>
      <c r="H140" s="2">
        <v>2427</v>
      </c>
    </row>
    <row r="141" spans="7:8" x14ac:dyDescent="0.25">
      <c r="G141" s="108">
        <v>44134</v>
      </c>
      <c r="H141" s="2">
        <v>2430</v>
      </c>
    </row>
    <row r="142" spans="7:8" x14ac:dyDescent="0.25">
      <c r="G142" s="108">
        <v>44133</v>
      </c>
      <c r="H142" s="2">
        <v>2460</v>
      </c>
    </row>
    <row r="143" spans="7:8" x14ac:dyDescent="0.25">
      <c r="G143" s="108">
        <v>44132</v>
      </c>
      <c r="H143" s="2">
        <v>2488</v>
      </c>
    </row>
    <row r="144" spans="7:8" x14ac:dyDescent="0.25">
      <c r="G144" s="108">
        <v>44131</v>
      </c>
      <c r="H144" s="2">
        <v>2569</v>
      </c>
    </row>
    <row r="145" spans="7:8" x14ac:dyDescent="0.25">
      <c r="G145" s="108">
        <v>44130</v>
      </c>
      <c r="H145" s="2">
        <v>2543</v>
      </c>
    </row>
    <row r="146" spans="7:8" x14ac:dyDescent="0.25">
      <c r="G146" s="108">
        <v>44127</v>
      </c>
      <c r="H146" s="2">
        <v>2532</v>
      </c>
    </row>
    <row r="147" spans="7:8" x14ac:dyDescent="0.25">
      <c r="G147" s="108">
        <v>44126</v>
      </c>
      <c r="H147" s="2">
        <v>2501</v>
      </c>
    </row>
    <row r="148" spans="7:8" x14ac:dyDescent="0.25">
      <c r="G148" s="108">
        <v>44125</v>
      </c>
      <c r="H148" s="2">
        <v>2486</v>
      </c>
    </row>
    <row r="149" spans="7:8" x14ac:dyDescent="0.25">
      <c r="G149" s="108">
        <v>44124</v>
      </c>
      <c r="H149" s="2">
        <v>2490</v>
      </c>
    </row>
    <row r="150" spans="7:8" x14ac:dyDescent="0.25">
      <c r="G150" s="108">
        <v>44123</v>
      </c>
      <c r="H150" s="2">
        <v>2492</v>
      </c>
    </row>
    <row r="151" spans="7:8" x14ac:dyDescent="0.25">
      <c r="G151" s="108">
        <v>44120</v>
      </c>
      <c r="H151" s="2">
        <v>2512</v>
      </c>
    </row>
    <row r="152" spans="7:8" x14ac:dyDescent="0.25">
      <c r="G152" s="108">
        <v>44119</v>
      </c>
      <c r="H152" s="2">
        <v>2489</v>
      </c>
    </row>
    <row r="153" spans="7:8" x14ac:dyDescent="0.25">
      <c r="G153" s="108">
        <v>44118</v>
      </c>
      <c r="H153" s="2">
        <v>2508</v>
      </c>
    </row>
    <row r="154" spans="7:8" x14ac:dyDescent="0.25">
      <c r="G154" s="108">
        <v>44117</v>
      </c>
      <c r="H154" s="2">
        <v>2531</v>
      </c>
    </row>
    <row r="155" spans="7:8" x14ac:dyDescent="0.25">
      <c r="G155" s="108">
        <v>44116</v>
      </c>
      <c r="H155" s="2">
        <v>2528</v>
      </c>
    </row>
    <row r="156" spans="7:8" x14ac:dyDescent="0.25">
      <c r="G156" s="108">
        <v>44113</v>
      </c>
      <c r="H156" s="2">
        <v>2476</v>
      </c>
    </row>
    <row r="157" spans="7:8" x14ac:dyDescent="0.25">
      <c r="G157" s="108">
        <v>44112</v>
      </c>
      <c r="H157" s="2">
        <v>2487</v>
      </c>
    </row>
    <row r="158" spans="7:8" x14ac:dyDescent="0.25">
      <c r="G158" s="108">
        <v>44111</v>
      </c>
      <c r="H158" s="2">
        <v>2467</v>
      </c>
    </row>
    <row r="159" spans="7:8" x14ac:dyDescent="0.25">
      <c r="G159" s="108">
        <v>44110</v>
      </c>
      <c r="H159" s="2">
        <v>2481</v>
      </c>
    </row>
    <row r="160" spans="7:8" x14ac:dyDescent="0.25">
      <c r="G160" s="108">
        <v>44109</v>
      </c>
      <c r="H160" s="2">
        <v>2492</v>
      </c>
    </row>
    <row r="161" spans="7:8" x14ac:dyDescent="0.25">
      <c r="G161" s="108">
        <v>44106</v>
      </c>
      <c r="H161" s="2">
        <v>2526</v>
      </c>
    </row>
    <row r="162" spans="7:8" x14ac:dyDescent="0.25">
      <c r="G162" s="108">
        <v>44105</v>
      </c>
      <c r="H162" s="2">
        <v>2496</v>
      </c>
    </row>
    <row r="163" spans="7:8" x14ac:dyDescent="0.25">
      <c r="G163" s="108">
        <v>44104</v>
      </c>
      <c r="H163" s="2">
        <v>2439</v>
      </c>
    </row>
    <row r="164" spans="7:8" x14ac:dyDescent="0.25">
      <c r="G164" s="108">
        <v>44103</v>
      </c>
      <c r="H164" s="2">
        <v>2465</v>
      </c>
    </row>
    <row r="165" spans="7:8" x14ac:dyDescent="0.25">
      <c r="G165" s="108">
        <v>44102</v>
      </c>
      <c r="H165" s="2">
        <v>2466</v>
      </c>
    </row>
    <row r="166" spans="7:8" x14ac:dyDescent="0.25">
      <c r="G166" s="108">
        <v>44099</v>
      </c>
      <c r="H166" s="2">
        <v>2468</v>
      </c>
    </row>
    <row r="167" spans="7:8" x14ac:dyDescent="0.25">
      <c r="G167" s="108">
        <v>44098</v>
      </c>
      <c r="H167" s="2">
        <v>2445</v>
      </c>
    </row>
    <row r="168" spans="7:8" x14ac:dyDescent="0.25">
      <c r="G168" s="108">
        <v>44097</v>
      </c>
      <c r="H168" s="2">
        <v>2450</v>
      </c>
    </row>
    <row r="169" spans="7:8" x14ac:dyDescent="0.25">
      <c r="G169" s="108">
        <v>44096</v>
      </c>
      <c r="H169" s="2">
        <v>2396</v>
      </c>
    </row>
    <row r="170" spans="7:8" x14ac:dyDescent="0.25">
      <c r="G170" s="108">
        <v>44095</v>
      </c>
      <c r="H170" s="2">
        <v>2401</v>
      </c>
    </row>
    <row r="171" spans="7:8" x14ac:dyDescent="0.25">
      <c r="G171" s="108">
        <v>44092</v>
      </c>
      <c r="H171" s="2">
        <v>2457</v>
      </c>
    </row>
    <row r="172" spans="7:8" x14ac:dyDescent="0.25">
      <c r="G172" s="108">
        <v>44091</v>
      </c>
      <c r="H172" s="2">
        <v>2408</v>
      </c>
    </row>
    <row r="173" spans="7:8" x14ac:dyDescent="0.25">
      <c r="G173" s="108">
        <v>44090</v>
      </c>
      <c r="H173" s="2">
        <v>2429</v>
      </c>
    </row>
    <row r="174" spans="7:8" x14ac:dyDescent="0.25">
      <c r="G174" s="108">
        <v>44089</v>
      </c>
      <c r="H174" s="2">
        <v>2470</v>
      </c>
    </row>
    <row r="175" spans="7:8" x14ac:dyDescent="0.25">
      <c r="G175" s="108">
        <v>44088</v>
      </c>
      <c r="H175" s="2">
        <v>2416</v>
      </c>
    </row>
    <row r="176" spans="7:8" x14ac:dyDescent="0.25">
      <c r="G176" s="108">
        <v>44085</v>
      </c>
      <c r="H176" s="2">
        <v>2414</v>
      </c>
    </row>
    <row r="177" spans="7:8" x14ac:dyDescent="0.25">
      <c r="G177" s="108">
        <v>44084</v>
      </c>
      <c r="H177" s="2">
        <v>2404</v>
      </c>
    </row>
    <row r="178" spans="7:8" x14ac:dyDescent="0.25">
      <c r="G178" s="108">
        <v>44083</v>
      </c>
      <c r="H178" s="2">
        <v>2410</v>
      </c>
    </row>
    <row r="179" spans="7:8" x14ac:dyDescent="0.25">
      <c r="G179" s="108">
        <v>44082</v>
      </c>
      <c r="H179" s="2">
        <v>2407</v>
      </c>
    </row>
    <row r="180" spans="7:8" x14ac:dyDescent="0.25">
      <c r="G180" s="108">
        <v>44081</v>
      </c>
      <c r="H180" s="2">
        <v>2419</v>
      </c>
    </row>
    <row r="181" spans="7:8" x14ac:dyDescent="0.25">
      <c r="G181" s="108">
        <v>44078</v>
      </c>
      <c r="H181" s="2">
        <v>2360</v>
      </c>
    </row>
    <row r="182" spans="7:8" x14ac:dyDescent="0.25">
      <c r="G182" s="108">
        <v>44077</v>
      </c>
      <c r="H182" s="2">
        <v>2408</v>
      </c>
    </row>
    <row r="183" spans="7:8" x14ac:dyDescent="0.25">
      <c r="G183" s="108">
        <v>44076</v>
      </c>
      <c r="H183" s="2">
        <v>2409</v>
      </c>
    </row>
    <row r="184" spans="7:8" x14ac:dyDescent="0.25">
      <c r="G184" s="108">
        <v>44075</v>
      </c>
      <c r="H184" s="2">
        <v>2304</v>
      </c>
    </row>
    <row r="185" spans="7:8" x14ac:dyDescent="0.25">
      <c r="G185" s="108">
        <v>44071</v>
      </c>
      <c r="H185" s="2">
        <v>2332</v>
      </c>
    </row>
    <row r="186" spans="7:8" x14ac:dyDescent="0.25">
      <c r="G186" s="108">
        <v>44070</v>
      </c>
      <c r="H186" s="2">
        <v>2348</v>
      </c>
    </row>
    <row r="187" spans="7:8" x14ac:dyDescent="0.25">
      <c r="G187" s="108">
        <v>44069</v>
      </c>
      <c r="H187" s="2">
        <v>2356</v>
      </c>
    </row>
    <row r="188" spans="7:8" x14ac:dyDescent="0.25">
      <c r="G188" s="108">
        <v>44068</v>
      </c>
      <c r="H188" s="2">
        <v>2380</v>
      </c>
    </row>
    <row r="189" spans="7:8" x14ac:dyDescent="0.25">
      <c r="G189" s="108">
        <v>44067</v>
      </c>
      <c r="H189" s="2">
        <v>2433</v>
      </c>
    </row>
    <row r="190" spans="7:8" x14ac:dyDescent="0.25">
      <c r="G190" s="108">
        <v>44064</v>
      </c>
      <c r="H190" s="2">
        <v>2403</v>
      </c>
    </row>
    <row r="191" spans="7:8" x14ac:dyDescent="0.25">
      <c r="G191" s="108">
        <v>44063</v>
      </c>
      <c r="H191" s="2">
        <v>2411</v>
      </c>
    </row>
    <row r="192" spans="7:8" x14ac:dyDescent="0.25">
      <c r="G192" s="108">
        <v>44062</v>
      </c>
      <c r="H192" s="2">
        <v>2425</v>
      </c>
    </row>
    <row r="193" spans="7:8" x14ac:dyDescent="0.25">
      <c r="G193" s="108">
        <v>44061</v>
      </c>
      <c r="H193" s="2">
        <v>2435</v>
      </c>
    </row>
    <row r="194" spans="7:8" x14ac:dyDescent="0.25">
      <c r="G194" s="108">
        <v>44060</v>
      </c>
      <c r="H194" s="2">
        <v>2490</v>
      </c>
    </row>
    <row r="195" spans="7:8" x14ac:dyDescent="0.25">
      <c r="G195" s="108">
        <v>44057</v>
      </c>
      <c r="H195" s="2">
        <v>2508</v>
      </c>
    </row>
    <row r="196" spans="7:8" x14ac:dyDescent="0.25">
      <c r="G196" s="108">
        <v>44056</v>
      </c>
      <c r="H196" s="2">
        <v>2542</v>
      </c>
    </row>
    <row r="197" spans="7:8" x14ac:dyDescent="0.25">
      <c r="G197" s="108">
        <v>44055</v>
      </c>
      <c r="H197" s="2">
        <v>2589</v>
      </c>
    </row>
    <row r="198" spans="7:8" x14ac:dyDescent="0.25">
      <c r="G198" s="108">
        <v>44054</v>
      </c>
      <c r="H198" s="2">
        <v>2465</v>
      </c>
    </row>
    <row r="199" spans="7:8" x14ac:dyDescent="0.25">
      <c r="G199" s="108">
        <v>44053</v>
      </c>
      <c r="H199" s="2">
        <v>2480</v>
      </c>
    </row>
    <row r="200" spans="7:8" x14ac:dyDescent="0.25">
      <c r="G200" s="108">
        <v>44050</v>
      </c>
      <c r="H200" s="2">
        <v>2467</v>
      </c>
    </row>
    <row r="201" spans="7:8" x14ac:dyDescent="0.25">
      <c r="G201" s="108">
        <v>44049</v>
      </c>
      <c r="H201" s="2">
        <v>2449</v>
      </c>
    </row>
    <row r="202" spans="7:8" x14ac:dyDescent="0.25">
      <c r="G202" s="108">
        <v>44048</v>
      </c>
      <c r="H202" s="2">
        <v>2441</v>
      </c>
    </row>
    <row r="203" spans="7:8" x14ac:dyDescent="0.25">
      <c r="G203" s="108">
        <v>44047</v>
      </c>
      <c r="H203" s="2">
        <v>2456</v>
      </c>
    </row>
    <row r="204" spans="7:8" x14ac:dyDescent="0.25">
      <c r="G204" s="108">
        <v>44046</v>
      </c>
      <c r="H204" s="2">
        <v>2462</v>
      </c>
    </row>
    <row r="205" spans="7:8" x14ac:dyDescent="0.25">
      <c r="G205" s="108">
        <v>44043</v>
      </c>
      <c r="H205" s="2">
        <v>2450</v>
      </c>
    </row>
    <row r="206" spans="7:8" x14ac:dyDescent="0.25">
      <c r="G206" s="108">
        <v>44042</v>
      </c>
      <c r="H206" s="2">
        <v>2433</v>
      </c>
    </row>
    <row r="207" spans="7:8" x14ac:dyDescent="0.25">
      <c r="G207" s="108">
        <v>44041</v>
      </c>
      <c r="H207" s="2">
        <v>2505</v>
      </c>
    </row>
    <row r="208" spans="7:8" x14ac:dyDescent="0.25">
      <c r="G208" s="108">
        <v>44040</v>
      </c>
      <c r="H208" s="2">
        <v>2496</v>
      </c>
    </row>
    <row r="209" spans="7:8" x14ac:dyDescent="0.25">
      <c r="G209" s="108">
        <v>44039</v>
      </c>
      <c r="H209" s="2">
        <v>2428</v>
      </c>
    </row>
    <row r="210" spans="7:8" x14ac:dyDescent="0.25">
      <c r="G210" s="108">
        <v>44036</v>
      </c>
      <c r="H210" s="2">
        <v>2422</v>
      </c>
    </row>
    <row r="211" spans="7:8" x14ac:dyDescent="0.25">
      <c r="G211" s="108">
        <v>44035</v>
      </c>
      <c r="H211" s="2">
        <v>2411</v>
      </c>
    </row>
    <row r="212" spans="7:8" x14ac:dyDescent="0.25">
      <c r="G212" s="108">
        <v>44034</v>
      </c>
      <c r="H212" s="2">
        <v>2439</v>
      </c>
    </row>
    <row r="213" spans="7:8" x14ac:dyDescent="0.25">
      <c r="G213" s="108">
        <v>44033</v>
      </c>
      <c r="H213" s="2">
        <v>2425</v>
      </c>
    </row>
    <row r="214" spans="7:8" x14ac:dyDescent="0.25">
      <c r="G214" s="108">
        <v>44032</v>
      </c>
      <c r="H214" s="2">
        <v>2437</v>
      </c>
    </row>
    <row r="215" spans="7:8" x14ac:dyDescent="0.25">
      <c r="G215" s="108">
        <v>44029</v>
      </c>
      <c r="H215" s="2">
        <v>2426</v>
      </c>
    </row>
    <row r="216" spans="7:8" x14ac:dyDescent="0.25">
      <c r="G216" s="108">
        <v>44028</v>
      </c>
      <c r="H216" s="2">
        <v>2386</v>
      </c>
    </row>
    <row r="217" spans="7:8" x14ac:dyDescent="0.25">
      <c r="G217" s="108">
        <v>44027</v>
      </c>
      <c r="H217" s="2">
        <v>2396</v>
      </c>
    </row>
    <row r="218" spans="7:8" x14ac:dyDescent="0.25">
      <c r="G218" s="108">
        <v>44026</v>
      </c>
      <c r="H218" s="2">
        <v>2384</v>
      </c>
    </row>
    <row r="219" spans="7:8" x14ac:dyDescent="0.25">
      <c r="G219" s="108">
        <v>44025</v>
      </c>
      <c r="H219" s="2">
        <v>2416</v>
      </c>
    </row>
    <row r="220" spans="7:8" x14ac:dyDescent="0.25">
      <c r="G220" s="108">
        <v>44022</v>
      </c>
      <c r="H220" s="2">
        <v>2379</v>
      </c>
    </row>
    <row r="221" spans="7:8" x14ac:dyDescent="0.25">
      <c r="G221" s="108">
        <v>44021</v>
      </c>
      <c r="H221" s="2">
        <v>2361</v>
      </c>
    </row>
    <row r="222" spans="7:8" x14ac:dyDescent="0.25">
      <c r="G222" s="108">
        <v>44020</v>
      </c>
      <c r="H222" s="2">
        <v>2437</v>
      </c>
    </row>
    <row r="223" spans="7:8" x14ac:dyDescent="0.25">
      <c r="G223" s="108">
        <v>44019</v>
      </c>
      <c r="H223" s="2">
        <v>2428</v>
      </c>
    </row>
    <row r="224" spans="7:8" x14ac:dyDescent="0.25">
      <c r="G224" s="108">
        <v>44018</v>
      </c>
      <c r="H224" s="2">
        <v>2470</v>
      </c>
    </row>
    <row r="225" spans="7:8" x14ac:dyDescent="0.25">
      <c r="G225" s="108">
        <v>44015</v>
      </c>
      <c r="H225" s="2">
        <v>2454</v>
      </c>
    </row>
    <row r="226" spans="7:8" x14ac:dyDescent="0.25">
      <c r="G226" s="108">
        <v>44014</v>
      </c>
      <c r="H226" s="2">
        <v>2482</v>
      </c>
    </row>
    <row r="227" spans="7:8" x14ac:dyDescent="0.25">
      <c r="G227" s="108">
        <v>44013</v>
      </c>
      <c r="H227" s="2">
        <v>2478</v>
      </c>
    </row>
    <row r="228" spans="7:8" x14ac:dyDescent="0.25">
      <c r="G228" s="108">
        <v>44012</v>
      </c>
      <c r="H228" s="2">
        <v>2479</v>
      </c>
    </row>
    <row r="229" spans="7:8" x14ac:dyDescent="0.25">
      <c r="G229" s="108">
        <v>44011</v>
      </c>
      <c r="H229" s="2">
        <v>2484</v>
      </c>
    </row>
    <row r="230" spans="7:8" x14ac:dyDescent="0.25">
      <c r="G230" s="108">
        <v>44008</v>
      </c>
      <c r="H230" s="2">
        <v>2466</v>
      </c>
    </row>
    <row r="231" spans="7:8" x14ac:dyDescent="0.25">
      <c r="G231" s="108">
        <v>44007</v>
      </c>
      <c r="H231" s="2">
        <v>2472</v>
      </c>
    </row>
    <row r="232" spans="7:8" x14ac:dyDescent="0.25">
      <c r="G232" s="108">
        <v>44006</v>
      </c>
      <c r="H232" s="2">
        <v>2490</v>
      </c>
    </row>
    <row r="233" spans="7:8" x14ac:dyDescent="0.25">
      <c r="G233" s="108">
        <v>44005</v>
      </c>
      <c r="H233" s="2">
        <v>2512</v>
      </c>
    </row>
    <row r="234" spans="7:8" x14ac:dyDescent="0.25">
      <c r="G234" s="108">
        <v>44004</v>
      </c>
      <c r="H234" s="2">
        <v>2538</v>
      </c>
    </row>
    <row r="235" spans="7:8" x14ac:dyDescent="0.25">
      <c r="G235" s="108">
        <v>44001</v>
      </c>
      <c r="H235" s="2">
        <v>2568</v>
      </c>
    </row>
    <row r="236" spans="7:8" x14ac:dyDescent="0.25">
      <c r="G236" s="108">
        <v>44000</v>
      </c>
      <c r="H236" s="2">
        <v>2492</v>
      </c>
    </row>
    <row r="237" spans="7:8" x14ac:dyDescent="0.25">
      <c r="G237" s="108">
        <v>43999</v>
      </c>
      <c r="H237" s="2">
        <v>2475</v>
      </c>
    </row>
    <row r="238" spans="7:8" x14ac:dyDescent="0.25">
      <c r="G238" s="108">
        <v>43998</v>
      </c>
      <c r="H238" s="2">
        <v>2460</v>
      </c>
    </row>
    <row r="239" spans="7:8" x14ac:dyDescent="0.25">
      <c r="G239" s="108">
        <v>43997</v>
      </c>
      <c r="H239" s="2">
        <v>2407</v>
      </c>
    </row>
    <row r="240" spans="7:8" x14ac:dyDescent="0.25">
      <c r="G240" s="108">
        <v>43994</v>
      </c>
      <c r="H240" s="2">
        <v>2406</v>
      </c>
    </row>
    <row r="241" spans="7:8" x14ac:dyDescent="0.25">
      <c r="G241" s="108">
        <v>43993</v>
      </c>
      <c r="H241" s="2">
        <v>2379</v>
      </c>
    </row>
    <row r="242" spans="7:8" x14ac:dyDescent="0.25">
      <c r="G242" s="108">
        <v>43992</v>
      </c>
      <c r="H242" s="2">
        <v>2527</v>
      </c>
    </row>
    <row r="243" spans="7:8" x14ac:dyDescent="0.25">
      <c r="G243" s="108">
        <v>43991</v>
      </c>
      <c r="H243" s="2">
        <v>2521</v>
      </c>
    </row>
    <row r="244" spans="7:8" x14ac:dyDescent="0.25">
      <c r="G244" s="108">
        <v>43990</v>
      </c>
      <c r="H244" s="2">
        <v>2510</v>
      </c>
    </row>
    <row r="245" spans="7:8" x14ac:dyDescent="0.25">
      <c r="G245" s="108">
        <v>43987</v>
      </c>
      <c r="H245" s="2">
        <v>2479</v>
      </c>
    </row>
    <row r="246" spans="7:8" x14ac:dyDescent="0.25">
      <c r="G246" s="108">
        <v>43986</v>
      </c>
      <c r="H246" s="2">
        <v>2498</v>
      </c>
    </row>
    <row r="247" spans="7:8" x14ac:dyDescent="0.25">
      <c r="G247" s="108">
        <v>43985</v>
      </c>
      <c r="H247" s="2">
        <v>2544</v>
      </c>
    </row>
    <row r="248" spans="7:8" x14ac:dyDescent="0.25">
      <c r="G248" s="108">
        <v>43984</v>
      </c>
      <c r="H248" s="2">
        <v>2480</v>
      </c>
    </row>
    <row r="249" spans="7:8" x14ac:dyDescent="0.25">
      <c r="G249" s="108">
        <v>43983</v>
      </c>
      <c r="H249" s="2">
        <v>2481</v>
      </c>
    </row>
    <row r="250" spans="7:8" x14ac:dyDescent="0.25">
      <c r="G250" s="108">
        <v>43980</v>
      </c>
      <c r="H250" s="2">
        <v>2441</v>
      </c>
    </row>
    <row r="251" spans="7:8" x14ac:dyDescent="0.25">
      <c r="G251" s="108">
        <v>43979</v>
      </c>
      <c r="H251" s="2">
        <v>2432</v>
      </c>
    </row>
    <row r="252" spans="7:8" x14ac:dyDescent="0.25">
      <c r="G252" s="108">
        <v>43978</v>
      </c>
      <c r="H252" s="2">
        <v>2340</v>
      </c>
    </row>
    <row r="253" spans="7:8" x14ac:dyDescent="0.25">
      <c r="G253" s="108">
        <v>43977</v>
      </c>
      <c r="H253" s="2">
        <v>2338</v>
      </c>
    </row>
    <row r="254" spans="7:8" x14ac:dyDescent="0.25">
      <c r="G254" s="108">
        <v>43973</v>
      </c>
      <c r="H254" s="2">
        <v>2371</v>
      </c>
    </row>
    <row r="255" spans="7:8" x14ac:dyDescent="0.25">
      <c r="G255" s="108">
        <v>43972</v>
      </c>
      <c r="H255" s="2">
        <v>2468</v>
      </c>
    </row>
    <row r="256" spans="7:8" x14ac:dyDescent="0.25">
      <c r="G256" s="108">
        <v>43971</v>
      </c>
      <c r="H256" s="2">
        <v>2446</v>
      </c>
    </row>
    <row r="257" spans="7:8" x14ac:dyDescent="0.25">
      <c r="G257" s="108">
        <v>43970</v>
      </c>
      <c r="H257" s="2">
        <v>2404</v>
      </c>
    </row>
    <row r="258" spans="7:8" x14ac:dyDescent="0.25">
      <c r="G258" s="108">
        <v>43969</v>
      </c>
      <c r="H258" s="2">
        <v>2437</v>
      </c>
    </row>
    <row r="259" spans="7:8" x14ac:dyDescent="0.25">
      <c r="G259" s="108">
        <v>43966</v>
      </c>
      <c r="H259" s="2">
        <v>2396</v>
      </c>
    </row>
    <row r="260" spans="7:8" x14ac:dyDescent="0.25">
      <c r="G260" s="108">
        <v>43965</v>
      </c>
      <c r="H260" s="2">
        <v>2375</v>
      </c>
    </row>
    <row r="261" spans="7:8" x14ac:dyDescent="0.25">
      <c r="G261" s="108">
        <v>43964</v>
      </c>
      <c r="H261" s="2">
        <v>2500</v>
      </c>
    </row>
    <row r="262" spans="7:8" x14ac:dyDescent="0.25">
      <c r="G262" s="108">
        <v>43963</v>
      </c>
      <c r="H262" s="2">
        <v>2481</v>
      </c>
    </row>
    <row r="263" spans="7:8" x14ac:dyDescent="0.25">
      <c r="G263" s="108">
        <v>43962</v>
      </c>
      <c r="H263" s="2">
        <v>2436</v>
      </c>
    </row>
    <row r="264" spans="7:8" x14ac:dyDescent="0.25">
      <c r="G264" s="108">
        <v>43958</v>
      </c>
      <c r="H264" s="2">
        <v>2417</v>
      </c>
    </row>
    <row r="265" spans="7:8" x14ac:dyDescent="0.25">
      <c r="G265" s="108">
        <v>43957</v>
      </c>
      <c r="H265" s="2">
        <v>2419</v>
      </c>
    </row>
    <row r="266" spans="7:8" x14ac:dyDescent="0.25">
      <c r="G266" s="108">
        <v>43956</v>
      </c>
      <c r="H266" s="2">
        <v>2418</v>
      </c>
    </row>
    <row r="267" spans="7:8" x14ac:dyDescent="0.25">
      <c r="G267" s="108">
        <v>43955</v>
      </c>
      <c r="H267" s="2">
        <v>2373</v>
      </c>
    </row>
    <row r="268" spans="7:8" x14ac:dyDescent="0.25">
      <c r="G268" s="108">
        <v>43952</v>
      </c>
      <c r="H268" s="2">
        <v>2386</v>
      </c>
    </row>
    <row r="269" spans="7:8" x14ac:dyDescent="0.25">
      <c r="G269" s="108">
        <v>43951</v>
      </c>
      <c r="H269" s="2">
        <v>2390</v>
      </c>
    </row>
    <row r="270" spans="7:8" x14ac:dyDescent="0.25">
      <c r="G270" s="108">
        <v>43950</v>
      </c>
      <c r="H270" s="2">
        <v>2392</v>
      </c>
    </row>
    <row r="271" spans="7:8" x14ac:dyDescent="0.25">
      <c r="G271" s="108">
        <v>43949</v>
      </c>
      <c r="H271" s="2">
        <v>2374</v>
      </c>
    </row>
    <row r="272" spans="7:8" x14ac:dyDescent="0.25">
      <c r="G272" s="108">
        <v>43948</v>
      </c>
      <c r="H272" s="2">
        <v>2363</v>
      </c>
    </row>
    <row r="273" spans="7:8" x14ac:dyDescent="0.25">
      <c r="G273" s="108">
        <v>43945</v>
      </c>
      <c r="H273" s="2">
        <v>2371</v>
      </c>
    </row>
    <row r="274" spans="7:8" x14ac:dyDescent="0.25">
      <c r="G274" s="108">
        <v>43944</v>
      </c>
      <c r="H274" s="2">
        <v>2356</v>
      </c>
    </row>
    <row r="275" spans="7:8" x14ac:dyDescent="0.25">
      <c r="G275" s="108">
        <v>43943</v>
      </c>
      <c r="H275" s="2">
        <v>2376</v>
      </c>
    </row>
    <row r="276" spans="7:8" x14ac:dyDescent="0.25">
      <c r="G276" s="108">
        <v>43942</v>
      </c>
      <c r="H276" s="2">
        <v>2313</v>
      </c>
    </row>
    <row r="277" spans="7:8" x14ac:dyDescent="0.25">
      <c r="G277" s="108">
        <v>43941</v>
      </c>
      <c r="H277" s="2">
        <v>2324</v>
      </c>
    </row>
    <row r="278" spans="7:8" x14ac:dyDescent="0.25">
      <c r="G278" s="108">
        <v>43938</v>
      </c>
      <c r="H278" s="2">
        <v>2312</v>
      </c>
    </row>
    <row r="279" spans="7:8" x14ac:dyDescent="0.25">
      <c r="G279" s="108">
        <v>43937</v>
      </c>
      <c r="H279" s="2">
        <v>2346</v>
      </c>
    </row>
    <row r="280" spans="7:8" x14ac:dyDescent="0.25">
      <c r="G280" s="108">
        <v>43936</v>
      </c>
      <c r="H280" s="2">
        <v>2299</v>
      </c>
    </row>
    <row r="281" spans="7:8" x14ac:dyDescent="0.25">
      <c r="G281" s="108">
        <v>43935</v>
      </c>
      <c r="H281" s="2">
        <v>2277</v>
      </c>
    </row>
    <row r="282" spans="7:8" x14ac:dyDescent="0.25">
      <c r="G282" s="108">
        <v>43930</v>
      </c>
      <c r="H282" s="2">
        <v>2296</v>
      </c>
    </row>
    <row r="283" spans="7:8" x14ac:dyDescent="0.25">
      <c r="G283" s="108">
        <v>43929</v>
      </c>
      <c r="H283" s="2">
        <v>2195</v>
      </c>
    </row>
    <row r="284" spans="7:8" x14ac:dyDescent="0.25">
      <c r="G284" s="108">
        <v>43928</v>
      </c>
      <c r="H284" s="2">
        <v>2175</v>
      </c>
    </row>
    <row r="285" spans="7:8" x14ac:dyDescent="0.25">
      <c r="G285" s="108">
        <v>43927</v>
      </c>
      <c r="H285" s="2">
        <v>2207</v>
      </c>
    </row>
    <row r="286" spans="7:8" x14ac:dyDescent="0.25">
      <c r="G286" s="108">
        <v>43924</v>
      </c>
      <c r="H286" s="2">
        <v>2149</v>
      </c>
    </row>
    <row r="287" spans="7:8" x14ac:dyDescent="0.25">
      <c r="G287" s="108">
        <v>43923</v>
      </c>
      <c r="H287" s="2">
        <v>2173</v>
      </c>
    </row>
    <row r="288" spans="7:8" x14ac:dyDescent="0.25">
      <c r="G288" s="108">
        <v>43922</v>
      </c>
      <c r="H288" s="2">
        <v>2212</v>
      </c>
    </row>
    <row r="289" spans="7:8" x14ac:dyDescent="0.25">
      <c r="G289" s="108">
        <v>43921</v>
      </c>
      <c r="H289" s="2">
        <v>2280</v>
      </c>
    </row>
    <row r="290" spans="7:8" x14ac:dyDescent="0.25">
      <c r="G290" s="108">
        <v>43920</v>
      </c>
      <c r="H290" s="2">
        <v>2331</v>
      </c>
    </row>
    <row r="291" spans="7:8" x14ac:dyDescent="0.25">
      <c r="G291" s="108">
        <v>43917</v>
      </c>
      <c r="H291" s="2">
        <v>2232</v>
      </c>
    </row>
    <row r="292" spans="7:8" x14ac:dyDescent="0.25">
      <c r="G292" s="108">
        <v>43916</v>
      </c>
      <c r="H292" s="2">
        <v>2261</v>
      </c>
    </row>
    <row r="293" spans="7:8" x14ac:dyDescent="0.25">
      <c r="G293" s="108">
        <v>43915</v>
      </c>
      <c r="H293" s="2">
        <v>2150</v>
      </c>
    </row>
    <row r="294" spans="7:8" x14ac:dyDescent="0.25">
      <c r="G294" s="108">
        <v>43914</v>
      </c>
      <c r="H294" s="2">
        <v>2085</v>
      </c>
    </row>
    <row r="295" spans="7:8" x14ac:dyDescent="0.25">
      <c r="G295" s="108">
        <v>43913</v>
      </c>
      <c r="H295" s="2">
        <v>2034</v>
      </c>
    </row>
    <row r="296" spans="7:8" x14ac:dyDescent="0.25">
      <c r="G296" s="108">
        <v>43910</v>
      </c>
      <c r="H296" s="2">
        <v>2241</v>
      </c>
    </row>
    <row r="297" spans="7:8" x14ac:dyDescent="0.25">
      <c r="G297" s="108">
        <v>43909</v>
      </c>
      <c r="H297" s="2">
        <v>2398</v>
      </c>
    </row>
    <row r="298" spans="7:8" x14ac:dyDescent="0.25">
      <c r="G298" s="108">
        <v>43908</v>
      </c>
      <c r="H298" s="2">
        <v>2489</v>
      </c>
    </row>
    <row r="299" spans="7:8" x14ac:dyDescent="0.25">
      <c r="G299" s="108">
        <v>43907</v>
      </c>
      <c r="H299" s="2">
        <v>2438</v>
      </c>
    </row>
    <row r="300" spans="7:8" x14ac:dyDescent="0.25">
      <c r="G300" s="108">
        <v>43906</v>
      </c>
      <c r="H300" s="2">
        <v>2263</v>
      </c>
    </row>
    <row r="301" spans="7:8" x14ac:dyDescent="0.25">
      <c r="G301" s="108">
        <v>43903</v>
      </c>
      <c r="H301" s="2">
        <v>2273</v>
      </c>
    </row>
    <row r="302" spans="7:8" x14ac:dyDescent="0.25">
      <c r="G302" s="108">
        <v>43902</v>
      </c>
      <c r="H302" s="2">
        <v>2195</v>
      </c>
    </row>
    <row r="303" spans="7:8" x14ac:dyDescent="0.25">
      <c r="G303" s="108">
        <v>43901</v>
      </c>
      <c r="H303" s="2">
        <v>2354</v>
      </c>
    </row>
    <row r="304" spans="7:8" x14ac:dyDescent="0.25">
      <c r="G304" s="108">
        <v>43900</v>
      </c>
      <c r="H304" s="2">
        <v>2399</v>
      </c>
    </row>
    <row r="305" spans="7:8" x14ac:dyDescent="0.25">
      <c r="G305" s="108">
        <v>43899</v>
      </c>
      <c r="H305" s="2">
        <v>2439</v>
      </c>
    </row>
    <row r="306" spans="7:8" x14ac:dyDescent="0.25">
      <c r="G306" s="108">
        <v>43896</v>
      </c>
      <c r="H306" s="2">
        <v>2567</v>
      </c>
    </row>
    <row r="307" spans="7:8" x14ac:dyDescent="0.25">
      <c r="G307" s="108">
        <v>43895</v>
      </c>
      <c r="H307" s="2">
        <v>2666</v>
      </c>
    </row>
    <row r="308" spans="7:8" x14ac:dyDescent="0.25">
      <c r="G308" s="108">
        <v>43894</v>
      </c>
      <c r="H308" s="2">
        <v>2656</v>
      </c>
    </row>
    <row r="309" spans="7:8" x14ac:dyDescent="0.25">
      <c r="G309" s="108">
        <v>43893</v>
      </c>
      <c r="H309" s="2">
        <v>2594</v>
      </c>
    </row>
    <row r="310" spans="7:8" x14ac:dyDescent="0.25">
      <c r="G310" s="108">
        <v>43892</v>
      </c>
      <c r="H310" s="2">
        <v>2547</v>
      </c>
    </row>
    <row r="311" spans="7:8" x14ac:dyDescent="0.25">
      <c r="G311" s="108">
        <v>43889</v>
      </c>
      <c r="H311" s="2">
        <v>2465</v>
      </c>
    </row>
    <row r="312" spans="7:8" x14ac:dyDescent="0.25">
      <c r="G312" s="108">
        <v>43888</v>
      </c>
      <c r="H312" s="2">
        <v>2561</v>
      </c>
    </row>
    <row r="313" spans="7:8" x14ac:dyDescent="0.25">
      <c r="G313" s="108">
        <v>43887</v>
      </c>
      <c r="H313" s="2">
        <v>2589</v>
      </c>
    </row>
    <row r="314" spans="7:8" x14ac:dyDescent="0.25">
      <c r="G314" s="108">
        <v>43886</v>
      </c>
      <c r="H314" s="2">
        <v>2578</v>
      </c>
    </row>
    <row r="315" spans="7:8" x14ac:dyDescent="0.25">
      <c r="G315" s="108">
        <v>43885</v>
      </c>
      <c r="H315" s="2">
        <v>2656</v>
      </c>
    </row>
    <row r="316" spans="7:8" x14ac:dyDescent="0.25">
      <c r="G316" s="108">
        <v>43882</v>
      </c>
      <c r="H316" s="2">
        <v>2694</v>
      </c>
    </row>
    <row r="317" spans="7:8" x14ac:dyDescent="0.25">
      <c r="G317" s="108">
        <v>43881</v>
      </c>
      <c r="H317" s="2">
        <v>2683</v>
      </c>
    </row>
    <row r="318" spans="7:8" x14ac:dyDescent="0.25">
      <c r="G318" s="108">
        <v>43880</v>
      </c>
      <c r="H318" s="2">
        <v>2696</v>
      </c>
    </row>
    <row r="319" spans="7:8" x14ac:dyDescent="0.25">
      <c r="G319" s="108">
        <v>43879</v>
      </c>
      <c r="H319" s="2">
        <v>2650</v>
      </c>
    </row>
    <row r="320" spans="7:8" x14ac:dyDescent="0.25">
      <c r="G320" s="108">
        <v>43878</v>
      </c>
      <c r="H320" s="2">
        <v>2616</v>
      </c>
    </row>
    <row r="321" spans="7:8" x14ac:dyDescent="0.25">
      <c r="G321" s="108">
        <v>43875</v>
      </c>
      <c r="H321" s="2">
        <v>2609</v>
      </c>
    </row>
    <row r="322" spans="7:8" x14ac:dyDescent="0.25">
      <c r="G322" s="108">
        <v>43874</v>
      </c>
      <c r="H322" s="2">
        <v>2575</v>
      </c>
    </row>
    <row r="323" spans="7:8" x14ac:dyDescent="0.25">
      <c r="G323" s="108">
        <v>43873</v>
      </c>
      <c r="H323" s="2">
        <v>2591</v>
      </c>
    </row>
    <row r="324" spans="7:8" x14ac:dyDescent="0.25">
      <c r="G324" s="108">
        <v>43872</v>
      </c>
      <c r="H324" s="2">
        <v>2614</v>
      </c>
    </row>
    <row r="325" spans="7:8" x14ac:dyDescent="0.25">
      <c r="G325" s="108">
        <v>43871</v>
      </c>
      <c r="H325" s="2">
        <v>2560</v>
      </c>
    </row>
    <row r="326" spans="7:8" x14ac:dyDescent="0.25">
      <c r="G326" s="108">
        <v>43868</v>
      </c>
      <c r="H326" s="2">
        <v>2559</v>
      </c>
    </row>
    <row r="327" spans="7:8" x14ac:dyDescent="0.25">
      <c r="G327" s="108">
        <v>43867</v>
      </c>
      <c r="H327" s="2">
        <v>2572</v>
      </c>
    </row>
    <row r="328" spans="7:8" x14ac:dyDescent="0.25">
      <c r="G328" s="108">
        <v>43866</v>
      </c>
      <c r="H328" s="2">
        <v>2576</v>
      </c>
    </row>
    <row r="329" spans="7:8" x14ac:dyDescent="0.25">
      <c r="G329" s="108">
        <v>43865</v>
      </c>
      <c r="H329" s="2">
        <v>2565</v>
      </c>
    </row>
    <row r="330" spans="7:8" x14ac:dyDescent="0.25">
      <c r="G330" s="108">
        <v>43864</v>
      </c>
      <c r="H330" s="2">
        <v>2594</v>
      </c>
    </row>
    <row r="331" spans="7:8" x14ac:dyDescent="0.25">
      <c r="G331" s="108">
        <v>43861</v>
      </c>
      <c r="H331" s="2">
        <v>2579</v>
      </c>
    </row>
    <row r="332" spans="7:8" x14ac:dyDescent="0.25">
      <c r="G332" s="108">
        <v>43860</v>
      </c>
      <c r="H332" s="2">
        <v>2595</v>
      </c>
    </row>
    <row r="333" spans="7:8" x14ac:dyDescent="0.25">
      <c r="G333" s="108">
        <v>43859</v>
      </c>
      <c r="H333" s="2">
        <v>2589</v>
      </c>
    </row>
    <row r="334" spans="7:8" x14ac:dyDescent="0.25">
      <c r="G334" s="108">
        <v>43858</v>
      </c>
      <c r="H334" s="2">
        <v>2584</v>
      </c>
    </row>
    <row r="335" spans="7:8" x14ac:dyDescent="0.25">
      <c r="G335" s="108">
        <v>43857</v>
      </c>
      <c r="H335" s="2">
        <v>2581</v>
      </c>
    </row>
    <row r="336" spans="7:8" x14ac:dyDescent="0.25">
      <c r="G336" s="108">
        <v>43854</v>
      </c>
      <c r="H336" s="2">
        <v>2618</v>
      </c>
    </row>
    <row r="337" spans="7:8" x14ac:dyDescent="0.25">
      <c r="G337" s="108">
        <v>43853</v>
      </c>
      <c r="H337" s="2">
        <v>2561</v>
      </c>
    </row>
    <row r="338" spans="7:8" x14ac:dyDescent="0.25">
      <c r="G338" s="108">
        <v>43852</v>
      </c>
      <c r="H338" s="2">
        <v>2564</v>
      </c>
    </row>
    <row r="339" spans="7:8" x14ac:dyDescent="0.25">
      <c r="G339" s="108">
        <v>43851</v>
      </c>
      <c r="H339" s="2">
        <v>2562</v>
      </c>
    </row>
    <row r="340" spans="7:8" x14ac:dyDescent="0.25">
      <c r="G340" s="108">
        <v>43850</v>
      </c>
      <c r="H340" s="2">
        <v>2579</v>
      </c>
    </row>
    <row r="341" spans="7:8" x14ac:dyDescent="0.25">
      <c r="G341" s="108">
        <v>43847</v>
      </c>
      <c r="H341" s="2">
        <v>2583</v>
      </c>
    </row>
    <row r="342" spans="7:8" x14ac:dyDescent="0.25">
      <c r="G342" s="108">
        <v>43846</v>
      </c>
      <c r="H342" s="2">
        <v>2564</v>
      </c>
    </row>
    <row r="343" spans="7:8" x14ac:dyDescent="0.25">
      <c r="G343" s="108">
        <v>43845</v>
      </c>
      <c r="H343" s="2">
        <v>2546</v>
      </c>
    </row>
    <row r="344" spans="7:8" x14ac:dyDescent="0.25">
      <c r="G344" s="108">
        <v>43844</v>
      </c>
      <c r="H344" s="2">
        <v>2521</v>
      </c>
    </row>
    <row r="345" spans="7:8" x14ac:dyDescent="0.25">
      <c r="G345" s="108">
        <v>43843</v>
      </c>
      <c r="H345" s="2">
        <v>2518</v>
      </c>
    </row>
    <row r="346" spans="7:8" x14ac:dyDescent="0.25">
      <c r="G346" s="108">
        <v>43840</v>
      </c>
      <c r="H346" s="2">
        <v>2459</v>
      </c>
    </row>
    <row r="347" spans="7:8" x14ac:dyDescent="0.25">
      <c r="G347" s="108">
        <v>43839</v>
      </c>
      <c r="H347" s="2">
        <v>2482</v>
      </c>
    </row>
    <row r="348" spans="7:8" x14ac:dyDescent="0.25">
      <c r="G348" s="108">
        <v>43838</v>
      </c>
      <c r="H348" s="2">
        <v>2471</v>
      </c>
    </row>
    <row r="349" spans="7:8" x14ac:dyDescent="0.25">
      <c r="G349" s="108">
        <v>43837</v>
      </c>
      <c r="H349" s="2">
        <v>2474</v>
      </c>
    </row>
    <row r="350" spans="7:8" x14ac:dyDescent="0.25">
      <c r="G350" s="108">
        <v>43836</v>
      </c>
      <c r="H350" s="2">
        <v>2498</v>
      </c>
    </row>
    <row r="351" spans="7:8" x14ac:dyDescent="0.25">
      <c r="G351" s="108">
        <v>43833</v>
      </c>
      <c r="H351" s="2">
        <v>2516</v>
      </c>
    </row>
    <row r="352" spans="7:8" x14ac:dyDescent="0.25">
      <c r="G352" s="108">
        <v>43832</v>
      </c>
      <c r="H352" s="2">
        <v>2515</v>
      </c>
    </row>
    <row r="353" spans="7:8" x14ac:dyDescent="0.25">
      <c r="G353" s="108">
        <v>43830</v>
      </c>
      <c r="H353" s="2">
        <v>2515</v>
      </c>
    </row>
  </sheetData>
  <sheetProtection algorithmName="SHA-512" hashValue="zRrkd8eR75qLh2DhmJJVA4zmvktn2ke8evzpBL+65UW6eXM+7x6cWqfqGLxDK4gaOVmB5dzzJD30JdsuvtapQw==" saltValue="9IUACZKx/02Z2aCMzrkpjQ==" spinCount="100000" sheet="1" objects="1" scenarios="1" selectLockedCells="1"/>
  <phoneticPr fontId="19"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78567-2603-40EE-8BD0-F766445C6C28}">
  <dimension ref="B2:E16"/>
  <sheetViews>
    <sheetView workbookViewId="0">
      <selection activeCell="M50" sqref="M50"/>
    </sheetView>
  </sheetViews>
  <sheetFormatPr defaultRowHeight="15" x14ac:dyDescent="0.25"/>
  <cols>
    <col min="1" max="1" width="3.140625" style="2" customWidth="1"/>
    <col min="2" max="2" width="34.5703125" style="2" bestFit="1" customWidth="1"/>
    <col min="3" max="16384" width="9.140625" style="2"/>
  </cols>
  <sheetData>
    <row r="2" spans="2:5" x14ac:dyDescent="0.25">
      <c r="C2" s="2">
        <v>2020</v>
      </c>
      <c r="D2" s="2">
        <v>2021</v>
      </c>
      <c r="E2" s="2">
        <v>2022</v>
      </c>
    </row>
    <row r="3" spans="2:5" x14ac:dyDescent="0.25">
      <c r="B3" s="2" t="s">
        <v>805</v>
      </c>
      <c r="C3" s="180">
        <v>438</v>
      </c>
      <c r="D3" s="2">
        <v>434</v>
      </c>
      <c r="E3" s="2">
        <v>422</v>
      </c>
    </row>
    <row r="4" spans="2:5" x14ac:dyDescent="0.25">
      <c r="B4" s="2" t="s">
        <v>806</v>
      </c>
      <c r="C4" s="180">
        <v>448</v>
      </c>
      <c r="D4" s="2">
        <v>457</v>
      </c>
      <c r="E4" s="2">
        <v>447</v>
      </c>
    </row>
    <row r="5" spans="2:5" x14ac:dyDescent="0.25">
      <c r="B5" s="2" t="s">
        <v>807</v>
      </c>
      <c r="C5" s="180">
        <v>297</v>
      </c>
      <c r="D5" s="2">
        <v>311</v>
      </c>
      <c r="E5" s="2">
        <v>324</v>
      </c>
    </row>
    <row r="6" spans="2:5" x14ac:dyDescent="0.25">
      <c r="B6" s="2" t="s">
        <v>808</v>
      </c>
      <c r="C6" s="180">
        <v>412</v>
      </c>
      <c r="D6" s="2">
        <v>330</v>
      </c>
      <c r="E6" s="2">
        <v>328</v>
      </c>
    </row>
    <row r="7" spans="2:5" x14ac:dyDescent="0.25">
      <c r="B7" s="2" t="s">
        <v>809</v>
      </c>
      <c r="C7" s="180">
        <v>357</v>
      </c>
      <c r="D7" s="2">
        <v>361</v>
      </c>
      <c r="E7" s="2">
        <v>369</v>
      </c>
    </row>
    <row r="8" spans="2:5" x14ac:dyDescent="0.25">
      <c r="B8" s="2" t="s">
        <v>810</v>
      </c>
      <c r="C8" s="180">
        <v>492</v>
      </c>
      <c r="D8" s="2">
        <v>506</v>
      </c>
      <c r="E8" s="2">
        <v>483</v>
      </c>
    </row>
    <row r="9" spans="2:5" x14ac:dyDescent="0.25">
      <c r="B9" s="2" t="s">
        <v>811</v>
      </c>
      <c r="C9" s="180">
        <v>441</v>
      </c>
      <c r="D9" s="2">
        <v>412</v>
      </c>
      <c r="E9" s="2">
        <v>407</v>
      </c>
    </row>
    <row r="10" spans="2:5" x14ac:dyDescent="0.25">
      <c r="B10" s="2" t="s">
        <v>812</v>
      </c>
      <c r="C10" s="180">
        <v>397</v>
      </c>
      <c r="D10" s="2">
        <v>405</v>
      </c>
      <c r="E10" s="2">
        <v>418</v>
      </c>
    </row>
    <row r="11" spans="2:5" x14ac:dyDescent="0.25">
      <c r="B11" s="2" t="s">
        <v>813</v>
      </c>
      <c r="C11" s="180">
        <v>442</v>
      </c>
      <c r="D11" s="2">
        <v>434</v>
      </c>
      <c r="E11" s="2">
        <v>425</v>
      </c>
    </row>
    <row r="12" spans="2:5" x14ac:dyDescent="0.25">
      <c r="B12" s="2" t="s">
        <v>814</v>
      </c>
      <c r="C12" s="180">
        <v>489</v>
      </c>
      <c r="D12" s="2">
        <v>464</v>
      </c>
      <c r="E12" s="2">
        <v>453</v>
      </c>
    </row>
    <row r="13" spans="2:5" x14ac:dyDescent="0.25">
      <c r="B13" s="2" t="s">
        <v>815</v>
      </c>
      <c r="C13" s="180">
        <v>392</v>
      </c>
      <c r="D13" s="2">
        <v>425</v>
      </c>
      <c r="E13" s="2">
        <v>417</v>
      </c>
    </row>
    <row r="14" spans="2:5" x14ac:dyDescent="0.25">
      <c r="B14" s="2" t="s">
        <v>424</v>
      </c>
      <c r="C14" s="180">
        <v>414</v>
      </c>
      <c r="D14" s="2">
        <v>410</v>
      </c>
      <c r="E14" s="2">
        <v>408</v>
      </c>
    </row>
    <row r="16" spans="2:5" x14ac:dyDescent="0.25">
      <c r="B16" s="124" t="s">
        <v>816</v>
      </c>
    </row>
  </sheetData>
  <sheetProtection algorithmName="SHA-512" hashValue="94QxRpTSGQTdI59xkb0+rbORycg/idAuxVy1OLj2cOAb+7Q9nV2TlQ2PEVIZ/2BaJT4a5tsAU1PnkHADg6vfPw==" saltValue="xhxxZ9h/tAHcy/bDy5lbUA==" spinCount="100000" sheet="1" objects="1" scenarios="1" selectLockedCells="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882E-3748-47D6-BD2A-BDD1EB1007D0}">
  <dimension ref="A1"/>
  <sheetViews>
    <sheetView workbookViewId="0">
      <selection activeCell="M50" sqref="M50"/>
    </sheetView>
  </sheetViews>
  <sheetFormatPr defaultRowHeight="15" x14ac:dyDescent="0.25"/>
  <cols>
    <col min="1" max="16384" width="9.140625" style="2"/>
  </cols>
  <sheetData/>
  <sheetProtection algorithmName="SHA-512" hashValue="VAGOvqVsUNjkorD3SriN5UUyxOApz66AzB5r+cF1FgjXmMgxIJiocU1pvJN3A9z3S87AygNJDQ4Nli7/3cJ2pw==" saltValue="z0kwmD7fYYLYfP2zdxsEKA==" spinCount="100000" sheet="1" objects="1" scenarios="1" selectLockedCells="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E9FDC-466D-42EA-9153-9ACFCC234100}">
  <dimension ref="B3:D10"/>
  <sheetViews>
    <sheetView workbookViewId="0">
      <selection activeCell="M50" sqref="M50"/>
    </sheetView>
  </sheetViews>
  <sheetFormatPr defaultRowHeight="15" x14ac:dyDescent="0.25"/>
  <cols>
    <col min="1" max="1" width="9.140625" style="2"/>
    <col min="2" max="2" width="12.28515625" style="2" bestFit="1" customWidth="1"/>
    <col min="3" max="3" width="20.28515625" style="2" bestFit="1" customWidth="1"/>
    <col min="4" max="16384" width="9.140625" style="2"/>
  </cols>
  <sheetData>
    <row r="3" spans="2:4" x14ac:dyDescent="0.25">
      <c r="B3" s="2" t="s">
        <v>817</v>
      </c>
      <c r="C3" s="2" t="s">
        <v>818</v>
      </c>
      <c r="D3" s="2" t="s">
        <v>822</v>
      </c>
    </row>
    <row r="4" spans="2:4" x14ac:dyDescent="0.25">
      <c r="B4" s="2" t="s">
        <v>809</v>
      </c>
      <c r="C4" s="132">
        <v>564.62699999999995</v>
      </c>
      <c r="D4" s="11">
        <f>C4/$C$9</f>
        <v>0.64981292589425554</v>
      </c>
    </row>
    <row r="5" spans="2:4" x14ac:dyDescent="0.25">
      <c r="B5" s="2" t="s">
        <v>819</v>
      </c>
      <c r="C5" s="132">
        <v>14.85</v>
      </c>
      <c r="D5" s="11">
        <f t="shared" ref="D5:D8" si="0">C5/$C$9</f>
        <v>1.7090436605988902E-2</v>
      </c>
    </row>
    <row r="6" spans="2:4" x14ac:dyDescent="0.25">
      <c r="B6" s="2" t="s">
        <v>820</v>
      </c>
      <c r="C6" s="132">
        <v>81.042000000000002</v>
      </c>
      <c r="D6" s="11">
        <f t="shared" si="0"/>
        <v>9.3268899893774584E-2</v>
      </c>
    </row>
    <row r="7" spans="2:4" x14ac:dyDescent="0.25">
      <c r="B7" s="2" t="s">
        <v>821</v>
      </c>
      <c r="C7" s="132">
        <v>145.518</v>
      </c>
      <c r="D7" s="11">
        <f t="shared" si="0"/>
        <v>0.16747246828486823</v>
      </c>
    </row>
    <row r="8" spans="2:4" x14ac:dyDescent="0.25">
      <c r="B8" s="2" t="s">
        <v>813</v>
      </c>
      <c r="C8" s="132">
        <v>62.87</v>
      </c>
      <c r="D8" s="11">
        <f t="shared" si="0"/>
        <v>7.2355269321112609E-2</v>
      </c>
    </row>
    <row r="9" spans="2:4" x14ac:dyDescent="0.25">
      <c r="B9" s="2" t="s">
        <v>72</v>
      </c>
      <c r="C9" s="2">
        <f>SUM(C4:C8)</f>
        <v>868.90700000000004</v>
      </c>
    </row>
    <row r="10" spans="2:4" x14ac:dyDescent="0.25">
      <c r="B10" s="133" t="s">
        <v>823</v>
      </c>
    </row>
  </sheetData>
  <sheetProtection algorithmName="SHA-512" hashValue="oRPE4cL2tMOmi2PH10/HCYCqD+nmyBOc4E4xFVvq3mWaTqO2ztWRZ1VWe0mRHdOoekWy+A8vNKRrLukgh3vM3g==" saltValue="NkfeIqWrlHZfJPxuxsCs2w==" spinCount="100000" sheet="1" objects="1" scenarios="1" selectLockedCell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model</vt:lpstr>
      <vt:lpstr>capstack</vt:lpstr>
      <vt:lpstr>comps</vt:lpstr>
      <vt:lpstr>inflation</vt:lpstr>
      <vt:lpstr>evebitda</vt:lpstr>
      <vt:lpstr>px_hist</vt:lpstr>
      <vt:lpstr>water</vt:lpstr>
      <vt:lpstr>subsidiaries</vt:lpstr>
      <vt:lpstr>greeneco</vt:lpstr>
      <vt:lpstr>employees</vt:lpstr>
      <vt:lpstr>pension</vt:lpstr>
      <vt:lpstr>lease</vt:lpstr>
      <vt:lpstr>debt</vt:lpstr>
      <vt:lpstr>receivables</vt:lpstr>
      <vt:lpstr>revenue</vt:lpstr>
      <vt:lpstr>totex</vt:lpstr>
      <vt:lpstr>amp7</vt:lpstr>
      <vt:lpstr>PR14_2020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dc:creator>
  <cp:lastModifiedBy>Andre</cp:lastModifiedBy>
  <dcterms:created xsi:type="dcterms:W3CDTF">2021-05-14T01:48:44Z</dcterms:created>
  <dcterms:modified xsi:type="dcterms:W3CDTF">2021-05-19T15:43:26Z</dcterms:modified>
</cp:coreProperties>
</file>