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SVT LN Equity\Model\"/>
    </mc:Choice>
  </mc:AlternateContent>
  <xr:revisionPtr revIDLastSave="0" documentId="13_ncr:1_{61D633C7-588E-46B9-B18B-25E8063B1F47}" xr6:coauthVersionLast="45" xr6:coauthVersionMax="45" xr10:uidLastSave="{00000000-0000-0000-0000-000000000000}"/>
  <bookViews>
    <workbookView xWindow="-120" yWindow="-120" windowWidth="38640" windowHeight="21240" xr2:uid="{6DB5F03A-9B68-425C-BAB8-68DDB58AC59E}"/>
  </bookViews>
  <sheets>
    <sheet name="Model" sheetId="6" r:id="rId1"/>
    <sheet name="Capstack" sheetId="7" r:id="rId2"/>
  </sheets>
  <definedNames>
    <definedName name="solver_adj" localSheetId="0" hidden="1">Model!$E$601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Model!#REF!</definedName>
    <definedName name="solver_lhs1" localSheetId="0" hidden="1">Model!#REF!</definedName>
    <definedName name="solver_lhs2" localSheetId="0" hidden="1">Model!#REF!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Model!$E$608</definedName>
    <definedName name="solver_pre" localSheetId="0" hidden="1">0.000001</definedName>
    <definedName name="solver_rbv" localSheetId="0" hidden="1">2</definedName>
    <definedName name="solver_rel0" localSheetId="0" hidden="1">4</definedName>
    <definedName name="solver_rel1" localSheetId="0" hidden="1">4</definedName>
    <definedName name="solver_rel2" localSheetId="0" hidden="1">4</definedName>
    <definedName name="solver_rhs0" localSheetId="0" hidden="1">integer</definedName>
    <definedName name="solver_rhs1" localSheetId="0" hidden="1">integer</definedName>
    <definedName name="solver_rhs2" localSheetId="0" hidden="1">integer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121.3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7" l="1"/>
  <c r="J212" i="6" l="1"/>
  <c r="J106" i="6"/>
  <c r="J101" i="6"/>
  <c r="J229" i="6" l="1"/>
  <c r="J92" i="6"/>
  <c r="J91" i="6"/>
  <c r="I9" i="6" l="1"/>
  <c r="J9" i="6"/>
  <c r="H9" i="6"/>
  <c r="F31" i="7"/>
  <c r="F17" i="7" s="1"/>
  <c r="D27" i="7"/>
  <c r="E22" i="7"/>
  <c r="F22" i="7" s="1"/>
  <c r="E23" i="7"/>
  <c r="F23" i="7" s="1"/>
  <c r="E24" i="7"/>
  <c r="F24" i="7" s="1"/>
  <c r="E25" i="7"/>
  <c r="F25" i="7" s="1"/>
  <c r="E26" i="7"/>
  <c r="F26" i="7" s="1"/>
  <c r="E21" i="7"/>
  <c r="F21" i="7" s="1"/>
  <c r="E27" i="7" l="1"/>
  <c r="F6" i="7" s="1"/>
  <c r="F27" i="7"/>
  <c r="F7" i="7" l="1"/>
  <c r="H7" i="7" s="1"/>
  <c r="F8" i="7"/>
  <c r="F12" i="7" s="1"/>
  <c r="H459" i="6" l="1"/>
  <c r="H456" i="6"/>
  <c r="H453" i="6"/>
  <c r="H442" i="6"/>
  <c r="H455" i="6" s="1"/>
  <c r="H457" i="6" s="1"/>
  <c r="J441" i="6"/>
  <c r="H439" i="6"/>
  <c r="H435" i="6"/>
  <c r="G158" i="6"/>
  <c r="H158" i="6"/>
  <c r="I158" i="6"/>
  <c r="G153" i="6"/>
  <c r="H142" i="6"/>
  <c r="G134" i="6"/>
  <c r="H235" i="6"/>
  <c r="I235" i="6"/>
  <c r="G235" i="6"/>
  <c r="H221" i="6"/>
  <c r="I221" i="6"/>
  <c r="G221" i="6"/>
  <c r="G202" i="6"/>
  <c r="H202" i="6"/>
  <c r="G200" i="6"/>
  <c r="H200" i="6"/>
  <c r="G191" i="6"/>
  <c r="G190" i="6"/>
  <c r="G189" i="6"/>
  <c r="H191" i="6"/>
  <c r="H190" i="6"/>
  <c r="H189" i="6"/>
  <c r="H134" i="6"/>
  <c r="I134" i="6"/>
  <c r="H153" i="6"/>
  <c r="G146" i="6"/>
  <c r="H146" i="6"/>
  <c r="G174" i="6"/>
  <c r="H174" i="6"/>
  <c r="H144" i="6"/>
  <c r="J124" i="6"/>
  <c r="I121" i="6"/>
  <c r="H121" i="6"/>
  <c r="G121" i="6"/>
  <c r="G103" i="6"/>
  <c r="G114" i="6" s="1"/>
  <c r="H103" i="6"/>
  <c r="H113" i="6"/>
  <c r="G84" i="6"/>
  <c r="G79" i="6"/>
  <c r="G61" i="6"/>
  <c r="H61" i="6"/>
  <c r="G57" i="6"/>
  <c r="H57" i="6"/>
  <c r="G130" i="6" l="1"/>
  <c r="G75" i="6"/>
  <c r="G184" i="6" s="1"/>
  <c r="G188" i="6" s="1"/>
  <c r="H151" i="6"/>
  <c r="H168" i="6" s="1"/>
  <c r="H175" i="6" s="1"/>
  <c r="G151" i="6"/>
  <c r="G168" i="6" s="1"/>
  <c r="G175" i="6" s="1"/>
  <c r="G67" i="6"/>
  <c r="G192" i="6" s="1"/>
  <c r="H67" i="6"/>
  <c r="H192" i="6" s="1"/>
  <c r="I619" i="6"/>
  <c r="J170" i="6"/>
  <c r="J167" i="6"/>
  <c r="J157" i="6"/>
  <c r="J133" i="6"/>
  <c r="J132" i="6"/>
  <c r="J123" i="6"/>
  <c r="J120" i="6"/>
  <c r="J116" i="6"/>
  <c r="J107" i="6"/>
  <c r="J102" i="6"/>
  <c r="J86" i="6"/>
  <c r="J58" i="6"/>
  <c r="J46" i="6"/>
  <c r="G177" i="6" l="1"/>
  <c r="I100" i="6"/>
  <c r="H33" i="6"/>
  <c r="H50" i="6"/>
  <c r="G50" i="6"/>
  <c r="H48" i="6"/>
  <c r="G48" i="6"/>
  <c r="H41" i="6"/>
  <c r="G41" i="6"/>
  <c r="H39" i="6"/>
  <c r="G39" i="6"/>
  <c r="H37" i="6"/>
  <c r="G37" i="6"/>
  <c r="H35" i="6"/>
  <c r="G35" i="6"/>
  <c r="H29" i="6"/>
  <c r="G29" i="6"/>
  <c r="H27" i="6"/>
  <c r="G27" i="6"/>
  <c r="H17" i="6"/>
  <c r="G17" i="6"/>
  <c r="G24" i="6"/>
  <c r="G193" i="6" s="1"/>
  <c r="H24" i="6"/>
  <c r="H193" i="6" s="1"/>
  <c r="G18" i="6"/>
  <c r="H18" i="6"/>
  <c r="J629" i="6" l="1"/>
  <c r="I656" i="6"/>
  <c r="I639" i="6"/>
  <c r="I640" i="6"/>
  <c r="J640" i="6" s="1"/>
  <c r="J149" i="6" l="1"/>
  <c r="J620" i="6"/>
  <c r="J655" i="6"/>
  <c r="G647" i="6"/>
  <c r="H647" i="6"/>
  <c r="I647" i="6"/>
  <c r="G646" i="6"/>
  <c r="H646" i="6"/>
  <c r="I646" i="6"/>
  <c r="H629" i="6"/>
  <c r="H628" i="6"/>
  <c r="H627" i="6"/>
  <c r="I629" i="6"/>
  <c r="I628" i="6"/>
  <c r="J653" i="6" s="1"/>
  <c r="I627" i="6"/>
  <c r="I637" i="6" s="1"/>
  <c r="G623" i="6"/>
  <c r="H623" i="6"/>
  <c r="I623" i="6"/>
  <c r="G619" i="6"/>
  <c r="H619" i="6"/>
  <c r="J147" i="6" l="1"/>
  <c r="J647" i="6"/>
  <c r="J621" i="6" s="1"/>
  <c r="J619" i="6" s="1"/>
  <c r="J646" i="6"/>
  <c r="J650" i="6"/>
  <c r="J63" i="6" s="1"/>
  <c r="G626" i="6"/>
  <c r="J656" i="6"/>
  <c r="J226" i="6" s="1"/>
  <c r="H626" i="6"/>
  <c r="I626" i="6"/>
  <c r="J148" i="6" l="1"/>
  <c r="J146" i="6" s="1"/>
  <c r="J227" i="6"/>
  <c r="J625" i="6"/>
  <c r="J659" i="6"/>
  <c r="J155" i="6"/>
  <c r="J628" i="6"/>
  <c r="H617" i="6"/>
  <c r="I617" i="6"/>
  <c r="G617" i="6"/>
  <c r="H96" i="6"/>
  <c r="H114" i="6" s="1"/>
  <c r="H84" i="6"/>
  <c r="H79" i="6"/>
  <c r="H75" i="6" s="1"/>
  <c r="H184" i="6" s="1"/>
  <c r="H188" i="6" s="1"/>
  <c r="I79" i="6"/>
  <c r="I84" i="6"/>
  <c r="H130" i="6" l="1"/>
  <c r="H177" i="6" s="1"/>
  <c r="I75" i="6"/>
  <c r="I17" i="6"/>
  <c r="J17" i="6" s="1"/>
  <c r="I260" i="6"/>
  <c r="I261" i="6" s="1"/>
  <c r="J261" i="6" s="1"/>
  <c r="I142" i="6"/>
  <c r="J142" i="6" s="1"/>
  <c r="I144" i="6"/>
  <c r="J144" i="6" s="1"/>
  <c r="I33" i="6"/>
  <c r="J33" i="6" s="1"/>
  <c r="I103" i="6"/>
  <c r="I612" i="6"/>
  <c r="J610" i="6" s="1"/>
  <c r="J612" i="6" s="1"/>
  <c r="J122" i="6" s="1"/>
  <c r="I611" i="6"/>
  <c r="H612" i="6"/>
  <c r="I610" i="6" s="1"/>
  <c r="I614" i="6"/>
  <c r="H608" i="6"/>
  <c r="I608" i="6"/>
  <c r="G608" i="6"/>
  <c r="I113" i="6"/>
  <c r="J113" i="6" s="1"/>
  <c r="I35" i="6"/>
  <c r="J35" i="6" s="1"/>
  <c r="I50" i="6"/>
  <c r="J50" i="6" s="1"/>
  <c r="I48" i="6"/>
  <c r="J48" i="6" s="1"/>
  <c r="I41" i="6"/>
  <c r="J41" i="6" s="1"/>
  <c r="I39" i="6"/>
  <c r="J39" i="6" s="1"/>
  <c r="I37" i="6"/>
  <c r="J37" i="6" s="1"/>
  <c r="G54" i="6"/>
  <c r="H54" i="6"/>
  <c r="H11" i="6"/>
  <c r="I11" i="6"/>
  <c r="G11" i="6"/>
  <c r="G22" i="6" s="1"/>
  <c r="G412" i="6"/>
  <c r="G382" i="6"/>
  <c r="G352" i="6"/>
  <c r="G322" i="6"/>
  <c r="G292" i="6"/>
  <c r="H22" i="6" l="1"/>
  <c r="H111" i="6"/>
  <c r="H164" i="6"/>
  <c r="H162" i="6"/>
  <c r="H160" i="6"/>
  <c r="H126" i="6"/>
  <c r="H136" i="6"/>
  <c r="H138" i="6"/>
  <c r="H140" i="6"/>
  <c r="I105" i="6"/>
  <c r="J105" i="6" s="1"/>
  <c r="I162" i="6"/>
  <c r="J162" i="6" s="1"/>
  <c r="I136" i="6"/>
  <c r="J136" i="6" s="1"/>
  <c r="I164" i="6"/>
  <c r="I138" i="6"/>
  <c r="J138" i="6" s="1"/>
  <c r="I160" i="6"/>
  <c r="J160" i="6" s="1"/>
  <c r="I184" i="6"/>
  <c r="J32" i="6"/>
  <c r="I109" i="6"/>
  <c r="J109" i="6" s="1"/>
  <c r="I22" i="6"/>
  <c r="J22" i="6" s="1"/>
  <c r="I126" i="6"/>
  <c r="J126" i="6" s="1"/>
  <c r="I140" i="6"/>
  <c r="J140" i="6" s="1"/>
  <c r="I615" i="6"/>
  <c r="J615" i="6" s="1"/>
  <c r="J614" i="6" s="1"/>
  <c r="J59" i="6" s="1"/>
  <c r="I111" i="6"/>
  <c r="J111" i="6" s="1"/>
  <c r="H55" i="6"/>
  <c r="H73" i="6" s="1"/>
  <c r="H186" i="6" s="1"/>
  <c r="G55" i="6"/>
  <c r="G73" i="6" s="1"/>
  <c r="G186" i="6" l="1"/>
  <c r="G88" i="6"/>
  <c r="G181" i="6" s="1"/>
  <c r="G210" i="6" s="1"/>
  <c r="G237" i="6" s="1"/>
  <c r="G240" i="6" s="1"/>
  <c r="H88" i="6"/>
  <c r="H181" i="6" s="1"/>
  <c r="H210" i="6" s="1"/>
  <c r="H237" i="6" s="1"/>
  <c r="H240" i="6" s="1"/>
  <c r="H85" i="6"/>
  <c r="I29" i="6"/>
  <c r="J29" i="6" s="1"/>
  <c r="I27" i="6"/>
  <c r="J27" i="6" s="1"/>
  <c r="J150" i="6"/>
  <c r="J603" i="6"/>
  <c r="J225" i="6" s="1"/>
  <c r="I605" i="6"/>
  <c r="G601" i="6" l="1"/>
  <c r="G606" i="6" s="1"/>
  <c r="H601" i="6"/>
  <c r="H606" i="6" s="1"/>
  <c r="I600" i="6"/>
  <c r="I599" i="6"/>
  <c r="H597" i="6"/>
  <c r="I597" i="6"/>
  <c r="G597" i="6"/>
  <c r="I601" i="6" l="1"/>
  <c r="J601" i="6" s="1"/>
  <c r="J600" i="6" s="1"/>
  <c r="J156" i="6" s="1"/>
  <c r="I606" i="6"/>
  <c r="J606" i="6" s="1"/>
  <c r="J605" i="6" s="1"/>
  <c r="J64" i="6" s="1"/>
  <c r="B594" i="6"/>
  <c r="B593" i="6"/>
  <c r="B592" i="6"/>
  <c r="B591" i="6"/>
  <c r="J563" i="6"/>
  <c r="J574" i="6" s="1"/>
  <c r="B580" i="6"/>
  <c r="B577" i="6"/>
  <c r="I569" i="6"/>
  <c r="J562" i="6" s="1"/>
  <c r="H569" i="6"/>
  <c r="I565" i="6"/>
  <c r="I564" i="6"/>
  <c r="I560" i="6"/>
  <c r="J553" i="6" s="1"/>
  <c r="H560" i="6"/>
  <c r="I555" i="6"/>
  <c r="D577" i="6" s="1"/>
  <c r="B550" i="6"/>
  <c r="B547" i="6"/>
  <c r="I539" i="6"/>
  <c r="J532" i="6" s="1"/>
  <c r="H539" i="6"/>
  <c r="I535" i="6"/>
  <c r="I534" i="6"/>
  <c r="I530" i="6"/>
  <c r="J523" i="6" s="1"/>
  <c r="H530" i="6"/>
  <c r="I525" i="6"/>
  <c r="D547" i="6" s="1"/>
  <c r="B520" i="6"/>
  <c r="B517" i="6"/>
  <c r="I509" i="6"/>
  <c r="J502" i="6" s="1"/>
  <c r="H509" i="6"/>
  <c r="I505" i="6"/>
  <c r="I504" i="6"/>
  <c r="I500" i="6"/>
  <c r="J493" i="6" s="1"/>
  <c r="H500" i="6"/>
  <c r="I495" i="6"/>
  <c r="D517" i="6" s="1"/>
  <c r="B490" i="6"/>
  <c r="B487" i="6"/>
  <c r="I479" i="6"/>
  <c r="J472" i="6" s="1"/>
  <c r="H479" i="6"/>
  <c r="I475" i="6"/>
  <c r="I474" i="6"/>
  <c r="H470" i="6"/>
  <c r="I470" i="6"/>
  <c r="J463" i="6" s="1"/>
  <c r="I465" i="6"/>
  <c r="D487" i="6" s="1"/>
  <c r="H461" i="6"/>
  <c r="I461" i="6"/>
  <c r="G461" i="6"/>
  <c r="J544" i="6" l="1"/>
  <c r="C511" i="6"/>
  <c r="J514" i="6" s="1"/>
  <c r="C481" i="6"/>
  <c r="J484" i="6" s="1"/>
  <c r="J450" i="6"/>
  <c r="J447" i="6"/>
  <c r="J446" i="6"/>
  <c r="J436" i="6"/>
  <c r="J199" i="6" s="1"/>
  <c r="J452" i="6"/>
  <c r="J440" i="6"/>
  <c r="J198" i="6" s="1"/>
  <c r="I435" i="6"/>
  <c r="J435" i="6" s="1"/>
  <c r="I456" i="6"/>
  <c r="J456" i="6" s="1"/>
  <c r="J128" i="6" s="1"/>
  <c r="I452" i="6"/>
  <c r="I451" i="6"/>
  <c r="I450" i="6"/>
  <c r="I449" i="6"/>
  <c r="J449" i="6" s="1"/>
  <c r="I442" i="6"/>
  <c r="J433" i="6" s="1"/>
  <c r="J438" i="6" s="1"/>
  <c r="I439" i="6"/>
  <c r="H431" i="6"/>
  <c r="I431" i="6"/>
  <c r="G431" i="6"/>
  <c r="I389" i="6"/>
  <c r="I392" i="6" s="1"/>
  <c r="B412" i="6"/>
  <c r="B409" i="6"/>
  <c r="H401" i="6"/>
  <c r="I401" i="6" s="1"/>
  <c r="J394" i="6" s="1"/>
  <c r="I397" i="6"/>
  <c r="I396" i="6"/>
  <c r="H392" i="6"/>
  <c r="I387" i="6"/>
  <c r="D409" i="6" s="1"/>
  <c r="B424" i="6"/>
  <c r="B425" i="6"/>
  <c r="B426" i="6"/>
  <c r="B427" i="6"/>
  <c r="B428" i="6"/>
  <c r="B292" i="6"/>
  <c r="B322" i="6"/>
  <c r="B352" i="6"/>
  <c r="B382" i="6"/>
  <c r="B379" i="6"/>
  <c r="H371" i="6"/>
  <c r="I364" i="6" s="1"/>
  <c r="I371" i="6" s="1"/>
  <c r="J364" i="6" s="1"/>
  <c r="I367" i="6"/>
  <c r="I366" i="6"/>
  <c r="I362" i="6"/>
  <c r="H362" i="6"/>
  <c r="H382" i="6" s="1"/>
  <c r="I357" i="6"/>
  <c r="D379" i="6" s="1"/>
  <c r="B349" i="6"/>
  <c r="H341" i="6"/>
  <c r="I334" i="6" s="1"/>
  <c r="I341" i="6" s="1"/>
  <c r="J334" i="6" s="1"/>
  <c r="I337" i="6"/>
  <c r="I336" i="6"/>
  <c r="I332" i="6"/>
  <c r="H332" i="6"/>
  <c r="I327" i="6"/>
  <c r="D349" i="6" s="1"/>
  <c r="B319" i="6"/>
  <c r="H311" i="6"/>
  <c r="I304" i="6" s="1"/>
  <c r="I311" i="6" s="1"/>
  <c r="J304" i="6" s="1"/>
  <c r="I307" i="6"/>
  <c r="I306" i="6"/>
  <c r="I302" i="6"/>
  <c r="H302" i="6"/>
  <c r="I297" i="6"/>
  <c r="D319" i="6" s="1"/>
  <c r="I277" i="6"/>
  <c r="I276" i="6"/>
  <c r="I267" i="6"/>
  <c r="D289" i="6" s="1"/>
  <c r="H281" i="6"/>
  <c r="I274" i="6" s="1"/>
  <c r="I281" i="6" s="1"/>
  <c r="J274" i="6" s="1"/>
  <c r="H272" i="6"/>
  <c r="H31" i="6" s="1"/>
  <c r="I272" i="6"/>
  <c r="B289" i="6"/>
  <c r="H263" i="6"/>
  <c r="I263" i="6"/>
  <c r="G263" i="6"/>
  <c r="H257" i="6"/>
  <c r="H258" i="6" s="1"/>
  <c r="I257" i="6"/>
  <c r="G257" i="6"/>
  <c r="G258" i="6" s="1"/>
  <c r="J252" i="6"/>
  <c r="J251" i="6"/>
  <c r="H250" i="6"/>
  <c r="H253" i="6" s="1"/>
  <c r="H255" i="6" s="1"/>
  <c r="I250" i="6"/>
  <c r="I253" i="6" s="1"/>
  <c r="G250" i="6"/>
  <c r="G253" i="6" s="1"/>
  <c r="G255" i="6" s="1"/>
  <c r="J243" i="6"/>
  <c r="I244" i="6"/>
  <c r="H244" i="6"/>
  <c r="H243" i="6" s="1"/>
  <c r="H242" i="6"/>
  <c r="I242" i="6"/>
  <c r="G242" i="6"/>
  <c r="H179" i="6"/>
  <c r="I179" i="6"/>
  <c r="H180" i="6"/>
  <c r="I180" i="6"/>
  <c r="J180" i="6"/>
  <c r="G180" i="6"/>
  <c r="G179" i="6"/>
  <c r="H94" i="6"/>
  <c r="I94" i="6"/>
  <c r="H95" i="6"/>
  <c r="I95" i="6"/>
  <c r="J95" i="6"/>
  <c r="G95" i="6"/>
  <c r="G94" i="6"/>
  <c r="J6" i="6"/>
  <c r="J617" i="6" s="1"/>
  <c r="H412" i="6" l="1"/>
  <c r="H53" i="6" s="1"/>
  <c r="I459" i="6"/>
  <c r="J451" i="6"/>
  <c r="J459" i="6" s="1"/>
  <c r="H322" i="6"/>
  <c r="H45" i="6"/>
  <c r="I45" i="6"/>
  <c r="J45" i="6" s="1"/>
  <c r="I255" i="6"/>
  <c r="J255" i="6" s="1"/>
  <c r="I258" i="6"/>
  <c r="J258" i="6" s="1"/>
  <c r="J597" i="6"/>
  <c r="J608" i="6"/>
  <c r="H292" i="6"/>
  <c r="I31" i="6"/>
  <c r="J31" i="6" s="1"/>
  <c r="J265" i="6"/>
  <c r="C283" i="6" s="1"/>
  <c r="J286" i="6" s="1"/>
  <c r="I292" i="6"/>
  <c r="J355" i="6"/>
  <c r="C373" i="6" s="1"/>
  <c r="J376" i="6" s="1"/>
  <c r="I382" i="6"/>
  <c r="J385" i="6"/>
  <c r="C403" i="6" s="1"/>
  <c r="J406" i="6" s="1"/>
  <c r="I412" i="6"/>
  <c r="I53" i="6" s="1"/>
  <c r="J53" i="6" s="1"/>
  <c r="J295" i="6"/>
  <c r="C313" i="6" s="1"/>
  <c r="J316" i="6" s="1"/>
  <c r="I322" i="6"/>
  <c r="H352" i="6"/>
  <c r="J325" i="6"/>
  <c r="C343" i="6" s="1"/>
  <c r="J346" i="6" s="1"/>
  <c r="I352" i="6"/>
  <c r="J94" i="6"/>
  <c r="J461" i="6"/>
  <c r="J577" i="6"/>
  <c r="J579" i="6" s="1"/>
  <c r="J587" i="6" s="1"/>
  <c r="J547" i="6"/>
  <c r="J549" i="6" s="1"/>
  <c r="J586" i="6" s="1"/>
  <c r="J434" i="6"/>
  <c r="J442" i="6" s="1"/>
  <c r="J197" i="6"/>
  <c r="I453" i="6"/>
  <c r="J445" i="6" s="1"/>
  <c r="J448" i="6" s="1"/>
  <c r="J431" i="6"/>
  <c r="J263" i="6"/>
  <c r="J242" i="6"/>
  <c r="J179" i="6"/>
  <c r="I455" i="6" l="1"/>
  <c r="I457" i="6" s="1"/>
  <c r="J60" i="6"/>
  <c r="J533" i="6"/>
  <c r="J535" i="6" s="1"/>
  <c r="J565" i="6"/>
  <c r="J569" i="6"/>
  <c r="J66" i="6"/>
  <c r="J453" i="6"/>
  <c r="J455" i="6" s="1"/>
  <c r="J457" i="6" s="1"/>
  <c r="J166" i="6" s="1"/>
  <c r="J539" i="6" l="1"/>
  <c r="J189" i="6"/>
  <c r="J239" i="6" l="1"/>
  <c r="J632" i="6" s="1"/>
  <c r="J224" i="6"/>
  <c r="J220" i="6"/>
  <c r="I200" i="6"/>
  <c r="J191" i="6"/>
  <c r="I191" i="6"/>
  <c r="I190" i="6"/>
  <c r="I189" i="6"/>
  <c r="I188" i="6"/>
  <c r="I174" i="6"/>
  <c r="J172" i="6"/>
  <c r="J171" i="6"/>
  <c r="I153" i="6"/>
  <c r="I146" i="6"/>
  <c r="J145" i="6"/>
  <c r="I114" i="6"/>
  <c r="I130" i="6" s="1"/>
  <c r="I61" i="6"/>
  <c r="I57" i="6"/>
  <c r="I24" i="6"/>
  <c r="I193" i="6" s="1"/>
  <c r="I18" i="6"/>
  <c r="J16" i="6"/>
  <c r="I151" i="6" l="1"/>
  <c r="I168" i="6" s="1"/>
  <c r="F30" i="7"/>
  <c r="F13" i="7" s="1"/>
  <c r="F18" i="7" s="1"/>
  <c r="I54" i="6"/>
  <c r="I55" i="6" s="1"/>
  <c r="J34" i="6"/>
  <c r="J26" i="6"/>
  <c r="J28" i="6"/>
  <c r="J11" i="6"/>
  <c r="J40" i="6"/>
  <c r="J47" i="6"/>
  <c r="J38" i="6"/>
  <c r="J49" i="6"/>
  <c r="J36" i="6"/>
  <c r="E409" i="6"/>
  <c r="J386" i="6" s="1"/>
  <c r="J428" i="6" s="1"/>
  <c r="E487" i="6"/>
  <c r="E577" i="6"/>
  <c r="J554" i="6" s="1"/>
  <c r="J594" i="6" s="1"/>
  <c r="E547" i="6"/>
  <c r="J524" i="6" s="1"/>
  <c r="J593" i="6" s="1"/>
  <c r="E517" i="6"/>
  <c r="J564" i="6"/>
  <c r="J534" i="6"/>
  <c r="I175" i="6"/>
  <c r="I177" i="6" s="1"/>
  <c r="J409" i="6"/>
  <c r="J411" i="6" s="1"/>
  <c r="E349" i="6"/>
  <c r="J349" i="6" s="1"/>
  <c r="J351" i="6" s="1"/>
  <c r="J418" i="6" s="1"/>
  <c r="E379" i="6"/>
  <c r="E289" i="6"/>
  <c r="J266" i="6" s="1"/>
  <c r="J424" i="6" s="1"/>
  <c r="E319" i="6"/>
  <c r="I67" i="6"/>
  <c r="I192" i="6" s="1"/>
  <c r="J205" i="6"/>
  <c r="J57" i="6"/>
  <c r="J190" i="6"/>
  <c r="J70" i="6" s="1"/>
  <c r="J200" i="6"/>
  <c r="J161" i="6" l="1"/>
  <c r="J163" i="6"/>
  <c r="J125" i="6"/>
  <c r="J121" i="6" s="1"/>
  <c r="J137" i="6"/>
  <c r="J159" i="6"/>
  <c r="J158" i="6" s="1"/>
  <c r="J21" i="6"/>
  <c r="J119" i="6" s="1"/>
  <c r="J135" i="6"/>
  <c r="J112" i="6"/>
  <c r="J207" i="6" s="1"/>
  <c r="J143" i="6"/>
  <c r="J139" i="6"/>
  <c r="J108" i="6"/>
  <c r="J104" i="6"/>
  <c r="J110" i="6"/>
  <c r="J530" i="6"/>
  <c r="J550" i="6" s="1"/>
  <c r="J525" i="6"/>
  <c r="J555" i="6"/>
  <c r="J560" i="6"/>
  <c r="J580" i="6" s="1"/>
  <c r="J517" i="6"/>
  <c r="J519" i="6" s="1"/>
  <c r="J585" i="6" s="1"/>
  <c r="J494" i="6"/>
  <c r="J592" i="6" s="1"/>
  <c r="J464" i="6"/>
  <c r="J591" i="6" s="1"/>
  <c r="J487" i="6"/>
  <c r="J489" i="6" s="1"/>
  <c r="J395" i="6"/>
  <c r="J396" i="6" s="1"/>
  <c r="J420" i="6"/>
  <c r="J387" i="6"/>
  <c r="J392" i="6"/>
  <c r="J326" i="6"/>
  <c r="J426" i="6" s="1"/>
  <c r="J289" i="6"/>
  <c r="J291" i="6" s="1"/>
  <c r="J416" i="6" s="1"/>
  <c r="J379" i="6"/>
  <c r="J381" i="6" s="1"/>
  <c r="J419" i="6" s="1"/>
  <c r="J356" i="6"/>
  <c r="J427" i="6" s="1"/>
  <c r="J335" i="6"/>
  <c r="J341" i="6" s="1"/>
  <c r="J319" i="6"/>
  <c r="J321" i="6" s="1"/>
  <c r="J417" i="6" s="1"/>
  <c r="J296" i="6"/>
  <c r="J272" i="6"/>
  <c r="J30" i="6" s="1"/>
  <c r="J267" i="6"/>
  <c r="I73" i="6"/>
  <c r="I186" i="6" l="1"/>
  <c r="J186" i="6" s="1"/>
  <c r="I85" i="6"/>
  <c r="I88" i="6"/>
  <c r="I181" i="6" s="1"/>
  <c r="I210" i="6" s="1"/>
  <c r="I237" i="6" s="1"/>
  <c r="I240" i="6" s="1"/>
  <c r="J397" i="6"/>
  <c r="J103" i="6"/>
  <c r="J208" i="6" s="1"/>
  <c r="J336" i="6"/>
  <c r="J337" i="6"/>
  <c r="J332" i="6"/>
  <c r="J352" i="6" s="1"/>
  <c r="J327" i="6"/>
  <c r="J495" i="6"/>
  <c r="J500" i="6"/>
  <c r="J473" i="6"/>
  <c r="J584" i="6"/>
  <c r="J503" i="6"/>
  <c r="J401" i="6"/>
  <c r="J412" i="6" s="1"/>
  <c r="J52" i="6" s="1"/>
  <c r="J465" i="6"/>
  <c r="J595" i="6"/>
  <c r="J214" i="6" s="1"/>
  <c r="J470" i="6"/>
  <c r="J421" i="6"/>
  <c r="J20" i="6" s="1"/>
  <c r="J425" i="6"/>
  <c r="J429" i="6" s="1"/>
  <c r="J221" i="6" s="1"/>
  <c r="J275" i="6"/>
  <c r="J277" i="6" s="1"/>
  <c r="J365" i="6"/>
  <c r="J367" i="6" s="1"/>
  <c r="J357" i="6"/>
  <c r="J362" i="6"/>
  <c r="J305" i="6"/>
  <c r="J306" i="6" s="1"/>
  <c r="J297" i="6"/>
  <c r="J302" i="6"/>
  <c r="J44" i="6" s="1"/>
  <c r="J371" i="6" l="1"/>
  <c r="J382" i="6" s="1"/>
  <c r="J366" i="6"/>
  <c r="J588" i="6"/>
  <c r="J509" i="6"/>
  <c r="J505" i="6"/>
  <c r="J504" i="6"/>
  <c r="J479" i="6"/>
  <c r="J490" i="6" s="1"/>
  <c r="J475" i="6"/>
  <c r="J474" i="6"/>
  <c r="J520" i="6"/>
  <c r="J281" i="6"/>
  <c r="J292" i="6" s="1"/>
  <c r="J276" i="6"/>
  <c r="J311" i="6"/>
  <c r="J322" i="6" s="1"/>
  <c r="J307" i="6"/>
  <c r="J118" i="6"/>
  <c r="J23" i="6" l="1"/>
  <c r="J24" i="6" s="1"/>
  <c r="J193" i="6" s="1"/>
  <c r="J117" i="6" l="1"/>
  <c r="I243" i="6" l="1"/>
  <c r="J244" i="6"/>
  <c r="J245" i="6" s="1"/>
  <c r="J257" i="6" l="1"/>
  <c r="J14" i="6" s="1"/>
  <c r="J141" i="6" s="1"/>
  <c r="J134" i="6" s="1"/>
  <c r="J253" i="6"/>
  <c r="J250" i="6" s="1"/>
  <c r="J13" i="6" s="1"/>
  <c r="J260" i="6"/>
  <c r="J15" i="6" s="1"/>
  <c r="J18" i="6" l="1"/>
  <c r="J54" i="6" s="1"/>
  <c r="J55" i="6" s="1"/>
  <c r="J209" i="6"/>
  <c r="J151" i="6"/>
  <c r="J61" i="6" l="1"/>
  <c r="J62" i="6"/>
  <c r="J67" i="6"/>
  <c r="J73" i="6"/>
  <c r="J75" i="6"/>
  <c r="J88" i="6"/>
  <c r="J96" i="6"/>
  <c r="J114" i="6"/>
  <c r="J129" i="6"/>
  <c r="J130" i="6"/>
  <c r="J153" i="6"/>
  <c r="J154" i="6"/>
  <c r="J165" i="6"/>
  <c r="J168" i="6"/>
  <c r="J173" i="6"/>
  <c r="J174" i="6"/>
  <c r="J175" i="6"/>
  <c r="J177" i="6"/>
  <c r="J181" i="6"/>
  <c r="J184" i="6"/>
  <c r="J185" i="6"/>
  <c r="J188" i="6"/>
  <c r="J192" i="6"/>
  <c r="J210" i="6"/>
  <c r="J223" i="6"/>
  <c r="J228" i="6"/>
  <c r="J235" i="6"/>
  <c r="J237" i="6"/>
  <c r="J240" i="6"/>
  <c r="J623" i="6"/>
  <c r="J624" i="6"/>
  <c r="J626" i="6"/>
  <c r="J627" i="6"/>
  <c r="J633" i="6"/>
  <c r="J634" i="6"/>
  <c r="J636" i="6"/>
  <c r="J637" i="6"/>
  <c r="J639" i="6"/>
  <c r="J643" i="6"/>
  <c r="J66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</authors>
  <commentList>
    <comment ref="J8" authorId="0" shapeId="0" xr:uid="{EF22CD07-1B51-4BAE-B309-103CBAA3B128}">
      <text>
        <r>
          <rPr>
            <sz val="9"/>
            <color indexed="81"/>
            <rFont val="Tahoma"/>
            <family val="2"/>
          </rPr>
          <t>Consensus Mean</t>
        </r>
      </text>
    </comment>
    <comment ref="J230" authorId="0" shapeId="0" xr:uid="{58C9D461-7C67-4376-A1BE-B717A49D58F8}">
      <text>
        <r>
          <rPr>
            <sz val="9"/>
            <color indexed="81"/>
            <rFont val="Tahoma"/>
            <family val="2"/>
          </rPr>
          <t>Consensus</t>
        </r>
      </text>
    </comment>
    <comment ref="J439" authorId="0" shapeId="0" xr:uid="{4A89D9EC-3EE7-4C9F-B819-1A3461008C0B}">
      <text>
        <r>
          <rPr>
            <sz val="9"/>
            <color indexed="81"/>
            <rFont val="Tahoma"/>
            <family val="2"/>
          </rPr>
          <t>Long Run Market Average Return</t>
        </r>
      </text>
    </comment>
    <comment ref="J599" authorId="0" shapeId="0" xr:uid="{C82B2336-A600-4B26-95E5-15C42A155C19}">
      <text>
        <r>
          <rPr>
            <sz val="9"/>
            <color indexed="81"/>
            <rFont val="Tahoma"/>
            <family val="2"/>
          </rPr>
          <t>2021 10k page 37, amount due in 1 - 2 years</t>
        </r>
      </text>
    </comment>
  </commentList>
</comments>
</file>

<file path=xl/sharedStrings.xml><?xml version="1.0" encoding="utf-8"?>
<sst xmlns="http://schemas.openxmlformats.org/spreadsheetml/2006/main" count="664" uniqueCount="315">
  <si>
    <t>Income Statement</t>
  </si>
  <si>
    <t>(in millions of GBP, except unit data)</t>
  </si>
  <si>
    <t>Operating Costs</t>
  </si>
  <si>
    <t>Finance Costs</t>
  </si>
  <si>
    <t>Net Finance Costs</t>
  </si>
  <si>
    <t>Net Losses on Financial Instruments</t>
  </si>
  <si>
    <t>Net Loss from Joint Venture (Equity Method)</t>
  </si>
  <si>
    <t>Profit Before Tax</t>
  </si>
  <si>
    <t>Net Income</t>
  </si>
  <si>
    <t>Balance Sheet</t>
  </si>
  <si>
    <t>Total Assets</t>
  </si>
  <si>
    <t>Total Liabilities</t>
  </si>
  <si>
    <t>Shareholders' Equity</t>
  </si>
  <si>
    <t>Total Liabilities &amp; Shareholders' Equity</t>
  </si>
  <si>
    <t>Check</t>
  </si>
  <si>
    <t>Cash Flows</t>
  </si>
  <si>
    <t>Adjustments:</t>
  </si>
  <si>
    <t>Taxes</t>
  </si>
  <si>
    <t>Paid</t>
  </si>
  <si>
    <t>Received</t>
  </si>
  <si>
    <t>Net Cash From Taxes</t>
  </si>
  <si>
    <t>Cash from Investing</t>
  </si>
  <si>
    <t>Cash from Operations</t>
  </si>
  <si>
    <t>Purchase of PP&amp;E</t>
  </si>
  <si>
    <t>Proceeds on Disposal of PP&amp;E</t>
  </si>
  <si>
    <t>Purchase of Intangible Assets</t>
  </si>
  <si>
    <t>Payments to Acquire Right-of-Use Assets</t>
  </si>
  <si>
    <t>Proceeds on Disposal of Subsidiary, net of cash</t>
  </si>
  <si>
    <t>Net Loans (Advanced) / Repaid by Joint Venture</t>
  </si>
  <si>
    <t>Interest Received</t>
  </si>
  <si>
    <t>Interest Paid</t>
  </si>
  <si>
    <t>Interest Element of Lease Payments</t>
  </si>
  <si>
    <t>Principal Element of Lease Payments</t>
  </si>
  <si>
    <t>New Loans Raised</t>
  </si>
  <si>
    <t>Repayment of Borrowings</t>
  </si>
  <si>
    <t>Dividends Paid</t>
  </si>
  <si>
    <t>Issues of Shares</t>
  </si>
  <si>
    <t>Payment for Swap Terminations</t>
  </si>
  <si>
    <t>Proceeds from Swap Terminations</t>
  </si>
  <si>
    <t>Net Change in Cash</t>
  </si>
  <si>
    <t>Beginning Cash &amp; Cash Equivalents</t>
  </si>
  <si>
    <t>Ending Cash &amp; Cash Equivalents</t>
  </si>
  <si>
    <t>Depreciation of PP&amp;E</t>
  </si>
  <si>
    <t>Impairment of PP&amp;E</t>
  </si>
  <si>
    <t>Pension Service Cost</t>
  </si>
  <si>
    <t>Defined Benefit Pension Scheme Admin Costs</t>
  </si>
  <si>
    <t>Defined Benefit Pension Scheme Contributions</t>
  </si>
  <si>
    <t>Share Based Payment Charge</t>
  </si>
  <si>
    <t>Profit on sale of PP&amp;E</t>
  </si>
  <si>
    <t>Profit on Disposal of Subsidiary</t>
  </si>
  <si>
    <t>Release from Deferred Credits</t>
  </si>
  <si>
    <t>Contributions &amp; Grants Received</t>
  </si>
  <si>
    <t>Provisions Charged to Income Statement</t>
  </si>
  <si>
    <t>Utilization of Provisions for Liabilities</t>
  </si>
  <si>
    <t>Wages &amp; Salaries</t>
  </si>
  <si>
    <t>Social Security Costs</t>
  </si>
  <si>
    <t>Pension Costs</t>
  </si>
  <si>
    <t>Share Based Payments</t>
  </si>
  <si>
    <t>Total Employee Costs</t>
  </si>
  <si>
    <t>Amortization of Intangibles</t>
  </si>
  <si>
    <t>Depreciation of Right-of-Use Assets</t>
  </si>
  <si>
    <t>Power</t>
  </si>
  <si>
    <t>Raw Materials &amp; Consumables</t>
  </si>
  <si>
    <t>Rates</t>
  </si>
  <si>
    <t>Charge for Bad and Doubtful Debts</t>
  </si>
  <si>
    <t>Services Charges</t>
  </si>
  <si>
    <t>Hred and Contracted Services</t>
  </si>
  <si>
    <t>Hire of Plant and Machinery</t>
  </si>
  <si>
    <t>Rental Charges</t>
  </si>
  <si>
    <t>Exchange Losses (Gains)</t>
  </si>
  <si>
    <t>Loss (Profit) on Disposal of Tangible Fixed Assets</t>
  </si>
  <si>
    <t>Infrastructure Maintainence Expenditure</t>
  </si>
  <si>
    <t>Other Operating Costs</t>
  </si>
  <si>
    <t>Own Work Capitalized</t>
  </si>
  <si>
    <t>Depreciation and Amortization</t>
  </si>
  <si>
    <t>Profit Before Interest and Tax</t>
  </si>
  <si>
    <t>Gain (Loss) on Impairment of Loans Receivable</t>
  </si>
  <si>
    <t>Cash and Cash Equivalents</t>
  </si>
  <si>
    <t>Derivative Financial Instruments</t>
  </si>
  <si>
    <t>Current Tax Receivable</t>
  </si>
  <si>
    <t>Trade and Other Recievables</t>
  </si>
  <si>
    <t>Inventory</t>
  </si>
  <si>
    <t>Current Assets</t>
  </si>
  <si>
    <t>Other Intangible Assets</t>
  </si>
  <si>
    <t>PP&amp;E</t>
  </si>
  <si>
    <t>Right-of-Use Assets</t>
  </si>
  <si>
    <t>Retirement Benefit Surplus</t>
  </si>
  <si>
    <t>Provisions for Liabilities</t>
  </si>
  <si>
    <t>Current Tax Payable</t>
  </si>
  <si>
    <t>Borrowings</t>
  </si>
  <si>
    <t>Current Liabilities</t>
  </si>
  <si>
    <t xml:space="preserve">Borrowings </t>
  </si>
  <si>
    <t>Trade and Other Payables</t>
  </si>
  <si>
    <t>Deferred Tax</t>
  </si>
  <si>
    <t>Retirement Benefit Obligations</t>
  </si>
  <si>
    <t>Called Up Share Capital</t>
  </si>
  <si>
    <t>Share Premium Account</t>
  </si>
  <si>
    <t>Other Reserves</t>
  </si>
  <si>
    <t>Retained Earnings</t>
  </si>
  <si>
    <t>Finance Income</t>
  </si>
  <si>
    <t>Interest on Bank Deposits</t>
  </si>
  <si>
    <t>Interest on Defined Benefit Scheme Assets</t>
  </si>
  <si>
    <t>Bank Loan &amp; Overdraft Interest</t>
  </si>
  <si>
    <t>Other Loan Interest</t>
  </si>
  <si>
    <t>Interest Cost on Defined Benefit Scheme Liabilities</t>
  </si>
  <si>
    <t>Interest Income on Scheme Assets</t>
  </si>
  <si>
    <t>Scheme Admin Costs</t>
  </si>
  <si>
    <t>Benefits Paid</t>
  </si>
  <si>
    <t>Ending Fair Value</t>
  </si>
  <si>
    <t>Other Financial Expense</t>
  </si>
  <si>
    <t>Service Cost</t>
  </si>
  <si>
    <t>Past Service Cost</t>
  </si>
  <si>
    <t>Interest Cost</t>
  </si>
  <si>
    <t>Lease Liabilities</t>
  </si>
  <si>
    <t>Goodwill</t>
  </si>
  <si>
    <t>Impairment of Goodwill</t>
  </si>
  <si>
    <t xml:space="preserve">Other Operating Income </t>
  </si>
  <si>
    <t>Deferred Tax Asset</t>
  </si>
  <si>
    <t>Interest Expense</t>
  </si>
  <si>
    <t>Interest Rate</t>
  </si>
  <si>
    <t>Lease</t>
  </si>
  <si>
    <t>Bank Loans</t>
  </si>
  <si>
    <t>Other Loans</t>
  </si>
  <si>
    <t>Overdraft</t>
  </si>
  <si>
    <t>Rate of Return</t>
  </si>
  <si>
    <t>Depreciation &amp; Amortization</t>
  </si>
  <si>
    <t>Total Lease Liability</t>
  </si>
  <si>
    <t>Plan Assets</t>
  </si>
  <si>
    <t>Beginning Fair Value</t>
  </si>
  <si>
    <t>Contributions from Sponsor Companies</t>
  </si>
  <si>
    <t>Plan Obligations</t>
  </si>
  <si>
    <t>Beginning Present Value</t>
  </si>
  <si>
    <t>Contributions from Scheme Members</t>
  </si>
  <si>
    <t>Actuarial Gains / (Losses)</t>
  </si>
  <si>
    <t>Ending Present Value</t>
  </si>
  <si>
    <t>Net Retirement Benefit Obligation</t>
  </si>
  <si>
    <t>Retirement Benefit Obligation Total</t>
  </si>
  <si>
    <t>Less: Funded Schemes in Surplus</t>
  </si>
  <si>
    <t>Return on Plan Assets (ex. Income)</t>
  </si>
  <si>
    <t>Net Actuarial Losses</t>
  </si>
  <si>
    <t>Wage &amp; Salary Schedule</t>
  </si>
  <si>
    <t/>
  </si>
  <si>
    <t>Average Hires</t>
  </si>
  <si>
    <t>Estimate of Total Employee Addition  in AMP7</t>
  </si>
  <si>
    <t>Beginning Average Number of Employees</t>
  </si>
  <si>
    <t>Ending Average Number of Employees</t>
  </si>
  <si>
    <t>Less: CEO Salary</t>
  </si>
  <si>
    <t>Less: CFO Salary</t>
  </si>
  <si>
    <t>Wages &amp; Salaries ex. CEO &amp; CFO</t>
  </si>
  <si>
    <t>Average Wages &amp; Salraries / Employee (GBP)</t>
  </si>
  <si>
    <t>Social Securities Costs</t>
  </si>
  <si>
    <t>Average Social Securities Cost / Employee (GBP)</t>
  </si>
  <si>
    <t>PPE Schedule</t>
  </si>
  <si>
    <t>Land &amp; Buildings</t>
  </si>
  <si>
    <t>Beginning Cost</t>
  </si>
  <si>
    <t>Additions</t>
  </si>
  <si>
    <t>Transfers</t>
  </si>
  <si>
    <t>IFRS 16 Reclassification</t>
  </si>
  <si>
    <t>Acquisitions</t>
  </si>
  <si>
    <t>Ending Cost</t>
  </si>
  <si>
    <t>Beginning Accumulated Depreciation</t>
  </si>
  <si>
    <t>Depreciation Charge</t>
  </si>
  <si>
    <t>% sales</t>
  </si>
  <si>
    <t>% cost</t>
  </si>
  <si>
    <t>Impairments</t>
  </si>
  <si>
    <t>% of sales</t>
  </si>
  <si>
    <t>Ending Accumulated Depreciation</t>
  </si>
  <si>
    <t>Asset Base</t>
  </si>
  <si>
    <t>Useful Life</t>
  </si>
  <si>
    <t>Asset Base Depreciation</t>
  </si>
  <si>
    <t>Historical</t>
  </si>
  <si>
    <t>CapEx / Sales</t>
  </si>
  <si>
    <t>CapEx</t>
  </si>
  <si>
    <t>Depreciation of CapEx</t>
  </si>
  <si>
    <t>Total Depreciation</t>
  </si>
  <si>
    <t>Disposals</t>
  </si>
  <si>
    <t>Total CapEx</t>
  </si>
  <si>
    <t>PP&amp;E Depreciation &amp; CapEx Reconciliation</t>
  </si>
  <si>
    <t>Depreciation</t>
  </si>
  <si>
    <t>Changes in Non-Cash Charges</t>
  </si>
  <si>
    <t>Amounts Recievable</t>
  </si>
  <si>
    <t>Amounts Payable</t>
  </si>
  <si>
    <t>Infrastructure Assets</t>
  </si>
  <si>
    <t>Fixed Plant &amp; Equipment</t>
  </si>
  <si>
    <t>Moveable Plant</t>
  </si>
  <si>
    <t>Assets Under Construction</t>
  </si>
  <si>
    <t>Pension Schedule</t>
  </si>
  <si>
    <t>Intangible Asset Schedule</t>
  </si>
  <si>
    <t>Beginning Accumulated Amortization</t>
  </si>
  <si>
    <t>Ending Accumulated Amortization</t>
  </si>
  <si>
    <t>Amortization Charge</t>
  </si>
  <si>
    <t>Asset Base Amortization</t>
  </si>
  <si>
    <t>Total Amoritzation</t>
  </si>
  <si>
    <t>Amortization of CapEx</t>
  </si>
  <si>
    <t>Internally Generated Software</t>
  </si>
  <si>
    <t>Capitalized Development Costs &amp; Patents</t>
  </si>
  <si>
    <t>Intangible Asset Amortization &amp; CapEx Reconciliation</t>
  </si>
  <si>
    <t>Amortization</t>
  </si>
  <si>
    <t>Purchased Software</t>
  </si>
  <si>
    <t>Other Intagible Assets</t>
  </si>
  <si>
    <t>Total Amortization</t>
  </si>
  <si>
    <t>Current Portion</t>
  </si>
  <si>
    <t>Non-Current Portion</t>
  </si>
  <si>
    <t>Principal Payment on Lease</t>
  </si>
  <si>
    <t>Other Income</t>
  </si>
  <si>
    <t>Total Income</t>
  </si>
  <si>
    <t>Turnover</t>
  </si>
  <si>
    <t>% Assets Under Construction</t>
  </si>
  <si>
    <t>% Infrastructure Assets, on Cost Basis</t>
  </si>
  <si>
    <t>% Land and Buildings, on Cost Basis</t>
  </si>
  <si>
    <t>Days Inventory Outstanding</t>
  </si>
  <si>
    <t>Net Accrued Income</t>
  </si>
  <si>
    <t>Prepayments</t>
  </si>
  <si>
    <t>Contract Assets</t>
  </si>
  <si>
    <t>Net Trade Recievables</t>
  </si>
  <si>
    <t>Days Sales Outstanding</t>
  </si>
  <si>
    <t>Change As % Sales</t>
  </si>
  <si>
    <t>Loan Receivable from Joint Venture</t>
  </si>
  <si>
    <t>Other Amounts Recievable</t>
  </si>
  <si>
    <t>Loan to Joint Venture Schedule</t>
  </si>
  <si>
    <t>Beginning Lease</t>
  </si>
  <si>
    <t>Ending Lease</t>
  </si>
  <si>
    <t>Advances (Repayments)</t>
  </si>
  <si>
    <t>% of Recievables, Lagged</t>
  </si>
  <si>
    <t>Deferred Income</t>
  </si>
  <si>
    <t>Other Payables</t>
  </si>
  <si>
    <t>Trade Payables</t>
  </si>
  <si>
    <t>Days Payables Outstanding</t>
  </si>
  <si>
    <t>Social Security &amp; Other Taxes</t>
  </si>
  <si>
    <t>% of Social Security Costs</t>
  </si>
  <si>
    <t>% of Sales</t>
  </si>
  <si>
    <t>Average Pension Cost / Employee (GBP)</t>
  </si>
  <si>
    <t>Current Tax</t>
  </si>
  <si>
    <t>Current Tax @ Statutory Rate</t>
  </si>
  <si>
    <t>Prior Years</t>
  </si>
  <si>
    <t>Current Year</t>
  </si>
  <si>
    <t>Exceptional Charge on Rate Change</t>
  </si>
  <si>
    <t>Effective Tax Rate (Ex. Exceptional Charges)</t>
  </si>
  <si>
    <t>Statutory Tax Rate</t>
  </si>
  <si>
    <t>Provision for Taxes</t>
  </si>
  <si>
    <t>Provision</t>
  </si>
  <si>
    <t>Deferred Taxes:</t>
  </si>
  <si>
    <t>Current Taxes:</t>
  </si>
  <si>
    <t>% of Profit Before Taxes</t>
  </si>
  <si>
    <t>Cash at Bank and In Hand</t>
  </si>
  <si>
    <t>Short Term Deposits</t>
  </si>
  <si>
    <t>Restricted</t>
  </si>
  <si>
    <t>Lease Schedule</t>
  </si>
  <si>
    <t>Debt Schedule</t>
  </si>
  <si>
    <t>Beginning Cash Balance</t>
  </si>
  <si>
    <t>Plus: Free Cash Flow from Operations and Investing</t>
  </si>
  <si>
    <t>Less: Minimum Cash Balance</t>
  </si>
  <si>
    <t>Bank Loan</t>
  </si>
  <si>
    <t>Total Cash Available (Required) from Bank</t>
  </si>
  <si>
    <t>Plus: Free Cash Flow from Financing Before Bank Loan</t>
  </si>
  <si>
    <t>Debt Breakdown</t>
  </si>
  <si>
    <t>Total</t>
  </si>
  <si>
    <t>Debt</t>
  </si>
  <si>
    <t>Long Term Debt, Net of Current Maturities</t>
  </si>
  <si>
    <t>Current Portion of Long Term Debt</t>
  </si>
  <si>
    <t>New Debt</t>
  </si>
  <si>
    <t>Beginning Balance</t>
  </si>
  <si>
    <t>Plus: Additions</t>
  </si>
  <si>
    <t>Less: Scheduled Amortization</t>
  </si>
  <si>
    <t>Ending Balance</t>
  </si>
  <si>
    <t>Total Interest Expense</t>
  </si>
  <si>
    <t>Bank Loan, Net of Current Maturities</t>
  </si>
  <si>
    <t>Current Portion of Bank Loan</t>
  </si>
  <si>
    <t>Proceeds from Bank Loan - Revolver</t>
  </si>
  <si>
    <t>Ofwat License Fee</t>
  </si>
  <si>
    <t>Other Financial Income</t>
  </si>
  <si>
    <t>Accruals</t>
  </si>
  <si>
    <t>% Sales</t>
  </si>
  <si>
    <t>Change as % of Sales</t>
  </si>
  <si>
    <t>Purchase of Subsidiaries</t>
  </si>
  <si>
    <t>Investments in Associates</t>
  </si>
  <si>
    <t>Purchase of Own Shares</t>
  </si>
  <si>
    <t>Investment in Joint Ventures</t>
  </si>
  <si>
    <t>Severn Trent Plc.</t>
  </si>
  <si>
    <t>Integrated Financial Statements</t>
  </si>
  <si>
    <t>Cap Spread</t>
  </si>
  <si>
    <t>SVT LN Equity</t>
  </si>
  <si>
    <t>Basic Shares Outstanding</t>
  </si>
  <si>
    <t>Plus: Shares from In-the-Money Options</t>
  </si>
  <si>
    <t>Less: Shares Repurchased</t>
  </si>
  <si>
    <t>Market Cap</t>
  </si>
  <si>
    <t>Plus: Total Debt</t>
  </si>
  <si>
    <t>Plus: Preferred Stock</t>
  </si>
  <si>
    <t>Plus: Noncontrolling Interest</t>
  </si>
  <si>
    <t>Less: ITM Proceeds</t>
  </si>
  <si>
    <t>Less: Cash and Cash Equivalents</t>
  </si>
  <si>
    <t>Enterprise Value</t>
  </si>
  <si>
    <t>Diluted Securities</t>
  </si>
  <si>
    <t>Shares</t>
  </si>
  <si>
    <t>Exercise</t>
  </si>
  <si>
    <t>ITM</t>
  </si>
  <si>
    <t>Proceeds</t>
  </si>
  <si>
    <t>Share Price (GBP)</t>
  </si>
  <si>
    <t>Sharesave Options, Jan 2016</t>
  </si>
  <si>
    <t>Sharesave Options, Jan 2017</t>
  </si>
  <si>
    <t>Sharesave Options, Jan 2018</t>
  </si>
  <si>
    <t>Sharesave Options, Jan 20169</t>
  </si>
  <si>
    <t>Sharesave Options, Jan 2020</t>
  </si>
  <si>
    <t>Sharesave Options, Jan 2021</t>
  </si>
  <si>
    <t>Fully Distributed Shares Outstanding</t>
  </si>
  <si>
    <t>Total Debt</t>
  </si>
  <si>
    <t>Cash &amp; Equivalents</t>
  </si>
  <si>
    <t>% growth yoy</t>
  </si>
  <si>
    <t>Prepared By: Andre Bodo</t>
  </si>
  <si>
    <t>Dividend Per Share</t>
  </si>
  <si>
    <t>Basic</t>
  </si>
  <si>
    <t>(in millions of GBP, except per share data)</t>
  </si>
  <si>
    <t>Diluted</t>
  </si>
  <si>
    <t>Weighted Average Shares Outstanding</t>
  </si>
  <si>
    <t>Prepared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</si>
</sst>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&quot;FY&quot;0&quot;E&quot;"/>
    <numFmt numFmtId="165" formatCode="_-* #,##0.0_-;[Red]\(#,##0.0\)_-;_-* &quot;-&quot;?_-;_-@_-"/>
    <numFmt numFmtId="166" formatCode="&quot;FY&quot;0&quot;A&quot;"/>
    <numFmt numFmtId="167" formatCode="0.0%"/>
    <numFmt numFmtId="168" formatCode="&quot;Period &quot;0"/>
    <numFmt numFmtId="169" formatCode="_-* #,##0_-;[Red]\(#,##0\)_-;_-* &quot;-&quot;?_-;_-@_-"/>
    <numFmt numFmtId="170" formatCode="0&quot; yrs&quot;"/>
    <numFmt numFmtId="171" formatCode="_-* #,##0.000000_-;[Red]\(#,##0.000000\)_-;_-* &quot;-&quot;?_-;_-@_-"/>
    <numFmt numFmtId="172" formatCode="@_-"/>
    <numFmt numFmtId="173" formatCode="_-* #,##0.00_-;[Red]\(#,##0.00\)_-;_-* &quot;-&quot;?_-;_-@_-"/>
    <numFmt numFmtId="174" formatCode="[$£-809]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 Condensed"/>
    </font>
    <font>
      <b/>
      <sz val="14"/>
      <color theme="0"/>
      <name val="Roboto Condensed"/>
    </font>
    <font>
      <i/>
      <sz val="10"/>
      <color theme="0"/>
      <name val="Roboto Condensed"/>
    </font>
    <font>
      <b/>
      <sz val="11"/>
      <color theme="1"/>
      <name val="Roboto Condensed"/>
    </font>
    <font>
      <sz val="10"/>
      <color theme="0"/>
      <name val="Roboto Condensed"/>
    </font>
    <font>
      <sz val="11"/>
      <color theme="0" tint="-0.499984740745262"/>
      <name val="Roboto Condensed"/>
    </font>
    <font>
      <i/>
      <sz val="11"/>
      <color theme="1"/>
      <name val="Roboto Condensed"/>
    </font>
    <font>
      <i/>
      <sz val="10"/>
      <color theme="1"/>
      <name val="Roboto Condensed"/>
    </font>
    <font>
      <sz val="11"/>
      <color theme="4"/>
      <name val="Roboto Condensed"/>
    </font>
    <font>
      <i/>
      <sz val="10"/>
      <color theme="4"/>
      <name val="Roboto Condensed"/>
    </font>
    <font>
      <sz val="11"/>
      <name val="Roboto Condensed"/>
    </font>
    <font>
      <sz val="9"/>
      <color indexed="81"/>
      <name val="Tahoma"/>
      <family val="2"/>
    </font>
    <font>
      <i/>
      <sz val="11"/>
      <color theme="0" tint="-0.499984740745262"/>
      <name val="Roboto Condensed"/>
    </font>
    <font>
      <sz val="10"/>
      <color theme="1"/>
      <name val="Roboto Condensed"/>
    </font>
    <font>
      <b/>
      <sz val="10"/>
      <color theme="1"/>
      <name val="Roboto Condensed"/>
    </font>
    <font>
      <b/>
      <sz val="10"/>
      <color theme="4"/>
      <name val="Roboto Condensed"/>
    </font>
    <font>
      <i/>
      <sz val="10"/>
      <name val="Roboto Condensed"/>
    </font>
    <font>
      <b/>
      <sz val="10"/>
      <name val="Roboto Condensed"/>
    </font>
    <font>
      <b/>
      <i/>
      <sz val="10"/>
      <color theme="1"/>
      <name val="Roboto Condensed"/>
    </font>
    <font>
      <b/>
      <i/>
      <sz val="10"/>
      <color theme="4"/>
      <name val="Roboto Condensed"/>
    </font>
    <font>
      <sz val="11"/>
      <color theme="3"/>
      <name val="Roboto Condensed"/>
    </font>
    <font>
      <b/>
      <sz val="16"/>
      <color theme="0"/>
      <name val="Roboto Condensed"/>
    </font>
    <font>
      <b/>
      <sz val="11"/>
      <color theme="0"/>
      <name val="Roboto Condensed"/>
    </font>
    <font>
      <b/>
      <sz val="12"/>
      <color theme="0"/>
      <name val="Roboto Condensed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9FD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2" fillId="2" borderId="0" xfId="0" applyFont="1" applyFill="1"/>
    <xf numFmtId="0" fontId="3" fillId="3" borderId="0" xfId="0" applyFont="1" applyFill="1"/>
    <xf numFmtId="164" fontId="3" fillId="3" borderId="0" xfId="0" applyNumberFormat="1" applyFont="1" applyFill="1" applyAlignment="1">
      <alignment horizontal="right"/>
    </xf>
    <xf numFmtId="0" fontId="4" fillId="3" borderId="0" xfId="0" applyFont="1" applyFill="1"/>
    <xf numFmtId="0" fontId="5" fillId="2" borderId="0" xfId="0" applyFont="1" applyFill="1"/>
    <xf numFmtId="165" fontId="2" fillId="2" borderId="0" xfId="0" applyNumberFormat="1" applyFont="1" applyFill="1"/>
    <xf numFmtId="165" fontId="5" fillId="2" borderId="0" xfId="0" applyNumberFormat="1" applyFont="1" applyFill="1"/>
    <xf numFmtId="14" fontId="6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0" fontId="2" fillId="2" borderId="1" xfId="0" applyFont="1" applyFill="1" applyBorder="1"/>
    <xf numFmtId="165" fontId="2" fillId="2" borderId="1" xfId="0" applyNumberFormat="1" applyFont="1" applyFill="1" applyBorder="1"/>
    <xf numFmtId="0" fontId="5" fillId="2" borderId="1" xfId="0" applyFont="1" applyFill="1" applyBorder="1"/>
    <xf numFmtId="165" fontId="5" fillId="2" borderId="1" xfId="0" applyNumberFormat="1" applyFont="1" applyFill="1" applyBorder="1"/>
    <xf numFmtId="0" fontId="5" fillId="2" borderId="2" xfId="0" applyFont="1" applyFill="1" applyBorder="1"/>
    <xf numFmtId="165" fontId="5" fillId="2" borderId="2" xfId="0" applyNumberFormat="1" applyFont="1" applyFill="1" applyBorder="1"/>
    <xf numFmtId="0" fontId="7" fillId="2" borderId="0" xfId="0" applyFont="1" applyFill="1"/>
    <xf numFmtId="165" fontId="7" fillId="2" borderId="0" xfId="0" applyNumberFormat="1" applyFont="1" applyFill="1"/>
    <xf numFmtId="167" fontId="2" fillId="2" borderId="0" xfId="1" applyNumberFormat="1" applyFont="1" applyFill="1"/>
    <xf numFmtId="167" fontId="9" fillId="2" borderId="0" xfId="1" applyNumberFormat="1" applyFont="1" applyFill="1"/>
    <xf numFmtId="165" fontId="10" fillId="4" borderId="0" xfId="0" applyNumberFormat="1" applyFont="1" applyFill="1"/>
    <xf numFmtId="167" fontId="11" fillId="4" borderId="0" xfId="1" applyNumberFormat="1" applyFont="1" applyFill="1"/>
    <xf numFmtId="165" fontId="12" fillId="2" borderId="0" xfId="0" applyNumberFormat="1" applyFont="1" applyFill="1"/>
    <xf numFmtId="0" fontId="2" fillId="2" borderId="0" xfId="0" applyFont="1" applyFill="1" applyBorder="1"/>
    <xf numFmtId="165" fontId="2" fillId="2" borderId="0" xfId="0" applyNumberFormat="1" applyFont="1" applyFill="1" applyBorder="1"/>
    <xf numFmtId="165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168" fontId="2" fillId="5" borderId="0" xfId="0" applyNumberFormat="1" applyFont="1" applyFill="1"/>
    <xf numFmtId="0" fontId="2" fillId="5" borderId="0" xfId="0" applyFont="1" applyFill="1"/>
    <xf numFmtId="0" fontId="2" fillId="6" borderId="0" xfId="0" applyFont="1" applyFill="1" applyAlignment="1">
      <alignment horizontal="left" indent="1"/>
    </xf>
    <xf numFmtId="0" fontId="2" fillId="6" borderId="0" xfId="0" applyFont="1" applyFill="1"/>
    <xf numFmtId="165" fontId="2" fillId="6" borderId="0" xfId="0" applyNumberFormat="1" applyFont="1" applyFill="1"/>
    <xf numFmtId="10" fontId="10" fillId="4" borderId="0" xfId="1" applyNumberFormat="1" applyFont="1" applyFill="1"/>
    <xf numFmtId="165" fontId="7" fillId="4" borderId="0" xfId="0" applyNumberFormat="1" applyFont="1" applyFill="1"/>
    <xf numFmtId="165" fontId="2" fillId="6" borderId="0" xfId="0" applyNumberFormat="1" applyFont="1" applyFill="1" applyAlignment="1">
      <alignment vertical="center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left" indent="1"/>
    </xf>
    <xf numFmtId="17" fontId="6" fillId="3" borderId="0" xfId="0" applyNumberFormat="1" applyFont="1" applyFill="1" applyAlignment="1">
      <alignment horizontal="right"/>
    </xf>
    <xf numFmtId="0" fontId="2" fillId="2" borderId="0" xfId="0" quotePrefix="1" applyFont="1" applyFill="1"/>
    <xf numFmtId="169" fontId="2" fillId="2" borderId="0" xfId="0" applyNumberFormat="1" applyFont="1" applyFill="1"/>
    <xf numFmtId="0" fontId="10" fillId="4" borderId="0" xfId="0" applyFont="1" applyFill="1" applyAlignment="1">
      <alignment horizontal="center"/>
    </xf>
    <xf numFmtId="165" fontId="2" fillId="2" borderId="0" xfId="0" quotePrefix="1" applyNumberFormat="1" applyFont="1" applyFill="1"/>
    <xf numFmtId="0" fontId="2" fillId="2" borderId="0" xfId="0" applyFont="1" applyFill="1" applyAlignment="1">
      <alignment horizontal="left" indent="1"/>
    </xf>
    <xf numFmtId="0" fontId="8" fillId="2" borderId="0" xfId="0" applyFont="1" applyFill="1"/>
    <xf numFmtId="0" fontId="9" fillId="2" borderId="0" xfId="0" applyFont="1" applyFill="1" applyAlignment="1">
      <alignment horizontal="left" indent="2"/>
    </xf>
    <xf numFmtId="168" fontId="2" fillId="2" borderId="0" xfId="0" applyNumberFormat="1" applyFont="1" applyFill="1" applyAlignment="1">
      <alignment horizontal="left"/>
    </xf>
    <xf numFmtId="165" fontId="2" fillId="5" borderId="0" xfId="0" applyNumberFormat="1" applyFont="1" applyFill="1"/>
    <xf numFmtId="165" fontId="2" fillId="5" borderId="0" xfId="0" applyNumberFormat="1" applyFont="1" applyFill="1" applyAlignment="1">
      <alignment horizontal="right"/>
    </xf>
    <xf numFmtId="0" fontId="2" fillId="2" borderId="0" xfId="0" applyFont="1" applyFill="1" applyBorder="1" applyAlignment="1">
      <alignment horizontal="center"/>
    </xf>
    <xf numFmtId="165" fontId="2" fillId="6" borderId="1" xfId="0" applyNumberFormat="1" applyFont="1" applyFill="1" applyBorder="1"/>
    <xf numFmtId="170" fontId="10" fillId="4" borderId="0" xfId="0" applyNumberFormat="1" applyFont="1" applyFill="1" applyAlignment="1">
      <alignment horizontal="center"/>
    </xf>
    <xf numFmtId="170" fontId="10" fillId="4" borderId="1" xfId="0" applyNumberFormat="1" applyFont="1" applyFill="1" applyBorder="1" applyAlignment="1">
      <alignment horizontal="center"/>
    </xf>
    <xf numFmtId="167" fontId="10" fillId="4" borderId="1" xfId="1" applyNumberFormat="1" applyFont="1" applyFill="1" applyBorder="1" applyAlignment="1">
      <alignment horizontal="center"/>
    </xf>
    <xf numFmtId="0" fontId="5" fillId="2" borderId="4" xfId="0" applyFont="1" applyFill="1" applyBorder="1"/>
    <xf numFmtId="165" fontId="5" fillId="2" borderId="4" xfId="0" applyNumberFormat="1" applyFont="1" applyFill="1" applyBorder="1"/>
    <xf numFmtId="165" fontId="5" fillId="6" borderId="1" xfId="0" applyNumberFormat="1" applyFont="1" applyFill="1" applyBorder="1"/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/>
    <xf numFmtId="0" fontId="5" fillId="6" borderId="0" xfId="0" applyFont="1" applyFill="1" applyBorder="1" applyAlignment="1">
      <alignment horizontal="left"/>
    </xf>
    <xf numFmtId="0" fontId="5" fillId="6" borderId="0" xfId="0" applyFont="1" applyFill="1" applyBorder="1"/>
    <xf numFmtId="165" fontId="5" fillId="6" borderId="0" xfId="0" applyNumberFormat="1" applyFont="1" applyFill="1" applyBorder="1"/>
    <xf numFmtId="0" fontId="5" fillId="5" borderId="0" xfId="0" applyFont="1" applyFill="1"/>
    <xf numFmtId="0" fontId="2" fillId="2" borderId="0" xfId="0" applyFont="1" applyFill="1" applyAlignment="1">
      <alignment horizontal="left" indent="2"/>
    </xf>
    <xf numFmtId="0" fontId="2" fillId="2" borderId="1" xfId="0" applyFont="1" applyFill="1" applyBorder="1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left" indent="1"/>
    </xf>
    <xf numFmtId="0" fontId="5" fillId="2" borderId="0" xfId="0" applyFont="1" applyFill="1" applyBorder="1"/>
    <xf numFmtId="165" fontId="5" fillId="2" borderId="0" xfId="0" applyNumberFormat="1" applyFont="1" applyFill="1" applyBorder="1"/>
    <xf numFmtId="0" fontId="14" fillId="2" borderId="0" xfId="0" applyFont="1" applyFill="1"/>
    <xf numFmtId="165" fontId="14" fillId="2" borderId="0" xfId="0" applyNumberFormat="1" applyFont="1" applyFill="1"/>
    <xf numFmtId="165" fontId="9" fillId="2" borderId="0" xfId="0" applyNumberFormat="1" applyFont="1" applyFill="1"/>
    <xf numFmtId="167" fontId="9" fillId="4" borderId="0" xfId="1" applyNumberFormat="1" applyFont="1" applyFill="1"/>
    <xf numFmtId="168" fontId="2" fillId="2" borderId="0" xfId="0" applyNumberFormat="1" applyFont="1" applyFill="1"/>
    <xf numFmtId="10" fontId="2" fillId="2" borderId="1" xfId="1" applyNumberFormat="1" applyFont="1" applyFill="1" applyBorder="1"/>
    <xf numFmtId="10" fontId="2" fillId="2" borderId="0" xfId="1" applyNumberFormat="1" applyFont="1" applyFill="1" applyBorder="1"/>
    <xf numFmtId="165" fontId="10" fillId="4" borderId="0" xfId="0" applyNumberFormat="1" applyFont="1" applyFill="1" applyBorder="1"/>
    <xf numFmtId="165" fontId="10" fillId="2" borderId="0" xfId="0" applyNumberFormat="1" applyFont="1" applyFill="1"/>
    <xf numFmtId="0" fontId="15" fillId="6" borderId="0" xfId="0" applyFont="1" applyFill="1"/>
    <xf numFmtId="165" fontId="15" fillId="6" borderId="0" xfId="0" applyNumberFormat="1" applyFont="1" applyFill="1"/>
    <xf numFmtId="0" fontId="15" fillId="6" borderId="0" xfId="0" applyFont="1" applyFill="1" applyAlignment="1">
      <alignment horizontal="left" indent="2"/>
    </xf>
    <xf numFmtId="167" fontId="9" fillId="6" borderId="0" xfId="1" applyNumberFormat="1" applyFont="1" applyFill="1"/>
    <xf numFmtId="0" fontId="16" fillId="2" borderId="0" xfId="0" applyFont="1" applyFill="1" applyAlignment="1">
      <alignment horizontal="left" indent="1"/>
    </xf>
    <xf numFmtId="0" fontId="16" fillId="2" borderId="0" xfId="0" applyFont="1" applyFill="1"/>
    <xf numFmtId="165" fontId="16" fillId="2" borderId="0" xfId="0" applyNumberFormat="1" applyFont="1" applyFill="1"/>
    <xf numFmtId="169" fontId="16" fillId="2" borderId="0" xfId="0" applyNumberFormat="1" applyFont="1" applyFill="1"/>
    <xf numFmtId="169" fontId="17" fillId="4" borderId="0" xfId="0" applyNumberFormat="1" applyFont="1" applyFill="1"/>
    <xf numFmtId="0" fontId="7" fillId="6" borderId="0" xfId="0" applyFont="1" applyFill="1" applyAlignment="1">
      <alignment horizontal="left" indent="1"/>
    </xf>
    <xf numFmtId="0" fontId="7" fillId="6" borderId="0" xfId="0" applyFont="1" applyFill="1"/>
    <xf numFmtId="165" fontId="7" fillId="6" borderId="0" xfId="0" applyNumberFormat="1" applyFont="1" applyFill="1"/>
    <xf numFmtId="165" fontId="12" fillId="6" borderId="0" xfId="0" applyNumberFormat="1" applyFont="1" applyFill="1"/>
    <xf numFmtId="167" fontId="18" fillId="2" borderId="0" xfId="1" applyNumberFormat="1" applyFont="1" applyFill="1"/>
    <xf numFmtId="0" fontId="12" fillId="6" borderId="0" xfId="0" applyFont="1" applyFill="1"/>
    <xf numFmtId="0" fontId="12" fillId="6" borderId="0" xfId="0" applyFont="1" applyFill="1" applyAlignment="1">
      <alignment horizontal="left" indent="1"/>
    </xf>
    <xf numFmtId="0" fontId="18" fillId="6" borderId="0" xfId="0" applyFont="1" applyFill="1"/>
    <xf numFmtId="165" fontId="18" fillId="6" borderId="0" xfId="0" applyNumberFormat="1" applyFont="1" applyFill="1"/>
    <xf numFmtId="0" fontId="18" fillId="6" borderId="0" xfId="0" applyFont="1" applyFill="1" applyAlignment="1">
      <alignment horizontal="left" indent="2"/>
    </xf>
    <xf numFmtId="167" fontId="18" fillId="6" borderId="0" xfId="1" applyNumberFormat="1" applyFont="1" applyFill="1"/>
    <xf numFmtId="0" fontId="9" fillId="6" borderId="0" xfId="0" applyFont="1" applyFill="1" applyAlignment="1">
      <alignment horizontal="left" indent="2"/>
    </xf>
    <xf numFmtId="0" fontId="20" fillId="2" borderId="0" xfId="0" applyFont="1" applyFill="1" applyAlignment="1">
      <alignment horizontal="left" indent="1"/>
    </xf>
    <xf numFmtId="0" fontId="20" fillId="2" borderId="0" xfId="0" applyFont="1" applyFill="1"/>
    <xf numFmtId="165" fontId="20" fillId="2" borderId="0" xfId="0" applyNumberFormat="1" applyFont="1" applyFill="1"/>
    <xf numFmtId="9" fontId="20" fillId="2" borderId="0" xfId="1" applyFont="1" applyFill="1"/>
    <xf numFmtId="9" fontId="9" fillId="6" borderId="0" xfId="1" applyFont="1" applyFill="1"/>
    <xf numFmtId="167" fontId="20" fillId="2" borderId="0" xfId="1" applyNumberFormat="1" applyFont="1" applyFill="1"/>
    <xf numFmtId="167" fontId="21" fillId="4" borderId="0" xfId="1" applyNumberFormat="1" applyFont="1" applyFill="1"/>
    <xf numFmtId="0" fontId="8" fillId="6" borderId="0" xfId="0" applyFont="1" applyFill="1"/>
    <xf numFmtId="0" fontId="8" fillId="6" borderId="0" xfId="0" applyFont="1" applyFill="1" applyBorder="1" applyAlignment="1">
      <alignment horizontal="left"/>
    </xf>
    <xf numFmtId="0" fontId="9" fillId="2" borderId="0" xfId="0" applyFont="1" applyFill="1" applyAlignment="1">
      <alignment horizontal="left" indent="3"/>
    </xf>
    <xf numFmtId="167" fontId="21" fillId="2" borderId="0" xfId="1" applyNumberFormat="1" applyFont="1" applyFill="1"/>
    <xf numFmtId="0" fontId="9" fillId="6" borderId="0" xfId="0" applyFont="1" applyFill="1"/>
    <xf numFmtId="165" fontId="9" fillId="6" borderId="0" xfId="0" applyNumberFormat="1" applyFont="1" applyFill="1"/>
    <xf numFmtId="165" fontId="2" fillId="4" borderId="0" xfId="0" applyNumberFormat="1" applyFont="1" applyFill="1"/>
    <xf numFmtId="0" fontId="5" fillId="6" borderId="3" xfId="0" applyFont="1" applyFill="1" applyBorder="1" applyAlignment="1">
      <alignment horizontal="left"/>
    </xf>
    <xf numFmtId="0" fontId="5" fillId="6" borderId="3" xfId="0" applyFont="1" applyFill="1" applyBorder="1"/>
    <xf numFmtId="165" fontId="5" fillId="6" borderId="3" xfId="0" applyNumberFormat="1" applyFont="1" applyFill="1" applyBorder="1"/>
    <xf numFmtId="167" fontId="10" fillId="4" borderId="0" xfId="1" applyNumberFormat="1" applyFont="1" applyFill="1"/>
    <xf numFmtId="170" fontId="10" fillId="4" borderId="5" xfId="0" applyNumberFormat="1" applyFont="1" applyFill="1" applyBorder="1" applyAlignment="1">
      <alignment horizontal="center"/>
    </xf>
    <xf numFmtId="165" fontId="2" fillId="2" borderId="6" xfId="0" applyNumberFormat="1" applyFont="1" applyFill="1" applyBorder="1"/>
    <xf numFmtId="165" fontId="10" fillId="4" borderId="5" xfId="0" applyNumberFormat="1" applyFont="1" applyFill="1" applyBorder="1" applyAlignment="1">
      <alignment horizontal="right"/>
    </xf>
    <xf numFmtId="165" fontId="12" fillId="6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left"/>
    </xf>
    <xf numFmtId="171" fontId="2" fillId="2" borderId="0" xfId="0" applyNumberFormat="1" applyFont="1" applyFill="1"/>
    <xf numFmtId="0" fontId="19" fillId="6" borderId="0" xfId="0" applyFont="1" applyFill="1" applyAlignment="1">
      <alignment horizontal="left" indent="2"/>
    </xf>
    <xf numFmtId="0" fontId="19" fillId="6" borderId="0" xfId="0" applyFont="1" applyFill="1"/>
    <xf numFmtId="165" fontId="19" fillId="6" borderId="0" xfId="0" applyNumberFormat="1" applyFont="1" applyFill="1"/>
    <xf numFmtId="169" fontId="19" fillId="6" borderId="0" xfId="0" applyNumberFormat="1" applyFont="1" applyFill="1"/>
    <xf numFmtId="0" fontId="16" fillId="6" borderId="0" xfId="0" applyFont="1" applyFill="1" applyAlignment="1">
      <alignment horizontal="left" indent="2"/>
    </xf>
    <xf numFmtId="0" fontId="16" fillId="6" borderId="0" xfId="0" applyFont="1" applyFill="1"/>
    <xf numFmtId="165" fontId="16" fillId="6" borderId="0" xfId="0" applyNumberFormat="1" applyFont="1" applyFill="1"/>
    <xf numFmtId="169" fontId="16" fillId="6" borderId="0" xfId="0" applyNumberFormat="1" applyFont="1" applyFill="1"/>
    <xf numFmtId="0" fontId="22" fillId="7" borderId="0" xfId="0" applyFont="1" applyFill="1"/>
    <xf numFmtId="165" fontId="22" fillId="7" borderId="0" xfId="0" applyNumberFormat="1" applyFont="1" applyFill="1"/>
    <xf numFmtId="0" fontId="22" fillId="7" borderId="0" xfId="0" applyFont="1" applyFill="1" applyAlignment="1">
      <alignment horizontal="left"/>
    </xf>
    <xf numFmtId="14" fontId="6" fillId="3" borderId="0" xfId="0" applyNumberFormat="1" applyFont="1" applyFill="1" applyAlignment="1">
      <alignment horizontal="right"/>
    </xf>
    <xf numFmtId="169" fontId="2" fillId="2" borderId="1" xfId="0" applyNumberFormat="1" applyFont="1" applyFill="1" applyBorder="1"/>
    <xf numFmtId="0" fontId="24" fillId="3" borderId="0" xfId="0" applyFont="1" applyFill="1"/>
    <xf numFmtId="172" fontId="5" fillId="2" borderId="0" xfId="0" applyNumberFormat="1" applyFont="1" applyFill="1" applyAlignment="1">
      <alignment horizontal="right"/>
    </xf>
    <xf numFmtId="172" fontId="5" fillId="2" borderId="0" xfId="0" applyNumberFormat="1" applyFont="1" applyFill="1" applyAlignment="1">
      <alignment horizontal="left"/>
    </xf>
    <xf numFmtId="173" fontId="2" fillId="2" borderId="0" xfId="0" applyNumberFormat="1" applyFont="1" applyFill="1"/>
    <xf numFmtId="173" fontId="2" fillId="2" borderId="1" xfId="0" applyNumberFormat="1" applyFont="1" applyFill="1" applyBorder="1"/>
    <xf numFmtId="43" fontId="5" fillId="2" borderId="1" xfId="0" applyNumberFormat="1" applyFont="1" applyFill="1" applyBorder="1"/>
    <xf numFmtId="14" fontId="6" fillId="3" borderId="0" xfId="0" applyNumberFormat="1" applyFont="1" applyFill="1" applyAlignment="1"/>
    <xf numFmtId="174" fontId="11" fillId="4" borderId="0" xfId="0" applyNumberFormat="1" applyFont="1" applyFill="1"/>
    <xf numFmtId="0" fontId="25" fillId="3" borderId="0" xfId="0" applyFont="1" applyFill="1"/>
    <xf numFmtId="0" fontId="2" fillId="7" borderId="0" xfId="0" applyFont="1" applyFill="1"/>
    <xf numFmtId="165" fontId="2" fillId="7" borderId="0" xfId="0" applyNumberFormat="1" applyFont="1" applyFill="1"/>
    <xf numFmtId="165" fontId="12" fillId="7" borderId="0" xfId="0" applyNumberFormat="1" applyFont="1" applyFill="1"/>
    <xf numFmtId="165" fontId="2" fillId="2" borderId="3" xfId="0" applyNumberFormat="1" applyFont="1" applyFill="1" applyBorder="1" applyAlignment="1">
      <alignment horizontal="center"/>
    </xf>
    <xf numFmtId="0" fontId="23" fillId="3" borderId="0" xfId="0" applyFont="1" applyFill="1" applyAlignment="1">
      <alignment horizontal="left"/>
    </xf>
    <xf numFmtId="14" fontId="6" fillId="3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5F9F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9152-F7E8-4345-8061-0E2AC76B8B29}">
  <sheetPr>
    <outlinePr summaryBelow="0"/>
  </sheetPr>
  <dimension ref="A2:Y1412"/>
  <sheetViews>
    <sheetView tabSelected="1" zoomScaleNormal="100" workbookViewId="0"/>
  </sheetViews>
  <sheetFormatPr defaultRowHeight="15" outlineLevelRow="2" outlineLevelCol="1" x14ac:dyDescent="0.25"/>
  <cols>
    <col min="1" max="1" width="3.28515625" style="1" customWidth="1"/>
    <col min="2" max="2" width="66.140625" style="1" customWidth="1"/>
    <col min="3" max="6" width="12.7109375" style="1" customWidth="1" outlineLevel="1"/>
    <col min="7" max="30" width="12.7109375" style="1" customWidth="1"/>
    <col min="31" max="16384" width="9.140625" style="1"/>
  </cols>
  <sheetData>
    <row r="2" spans="1:25" ht="20.25" x14ac:dyDescent="0.3">
      <c r="B2" s="149" t="s">
        <v>278</v>
      </c>
      <c r="C2" s="149"/>
      <c r="D2" s="149"/>
      <c r="E2" s="149"/>
      <c r="F2" s="149"/>
      <c r="G2" s="149"/>
      <c r="H2" s="149"/>
      <c r="I2" s="149"/>
      <c r="J2" s="149"/>
    </row>
    <row r="3" spans="1:25" ht="15.75" x14ac:dyDescent="0.25">
      <c r="B3" s="144" t="s">
        <v>279</v>
      </c>
      <c r="C3" s="4"/>
      <c r="D3" s="4"/>
      <c r="E3" s="4"/>
      <c r="F3" s="4"/>
      <c r="G3" s="142"/>
      <c r="H3" s="142"/>
      <c r="I3" s="142"/>
      <c r="J3" s="8"/>
    </row>
    <row r="4" spans="1:25" x14ac:dyDescent="0.25">
      <c r="B4" s="4" t="s">
        <v>308</v>
      </c>
      <c r="C4" s="4"/>
      <c r="D4" s="4"/>
      <c r="E4" s="4"/>
      <c r="F4" s="4"/>
      <c r="G4" s="150" t="s">
        <v>314</v>
      </c>
      <c r="H4" s="150"/>
      <c r="I4" s="150"/>
      <c r="J4" s="134">
        <v>44371</v>
      </c>
    </row>
    <row r="6" spans="1:25" ht="18.75" x14ac:dyDescent="0.3">
      <c r="A6" s="39" t="s">
        <v>141</v>
      </c>
      <c r="B6" s="2" t="s">
        <v>0</v>
      </c>
      <c r="C6" s="2"/>
      <c r="D6" s="2"/>
      <c r="E6" s="2"/>
      <c r="F6" s="2"/>
      <c r="G6" s="9">
        <v>19</v>
      </c>
      <c r="H6" s="9">
        <v>20</v>
      </c>
      <c r="I6" s="9">
        <v>21</v>
      </c>
      <c r="J6" s="3">
        <f>I6+1</f>
        <v>22</v>
      </c>
      <c r="K6" s="39" t="s">
        <v>141</v>
      </c>
    </row>
    <row r="7" spans="1:25" x14ac:dyDescent="0.25">
      <c r="B7" s="4" t="s">
        <v>311</v>
      </c>
      <c r="C7" s="4"/>
      <c r="D7" s="4"/>
      <c r="E7" s="4"/>
      <c r="F7" s="4"/>
      <c r="G7" s="8">
        <v>43543</v>
      </c>
      <c r="H7" s="8">
        <v>43910</v>
      </c>
      <c r="I7" s="8">
        <v>44275</v>
      </c>
      <c r="J7" s="38">
        <v>44621</v>
      </c>
    </row>
    <row r="8" spans="1:25" x14ac:dyDescent="0.25">
      <c r="B8" s="1" t="s">
        <v>206</v>
      </c>
      <c r="G8" s="6">
        <v>1767.4</v>
      </c>
      <c r="H8" s="6">
        <v>1843.5</v>
      </c>
      <c r="I8" s="6">
        <v>1827.2</v>
      </c>
      <c r="J8" s="20">
        <v>1893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outlineLevel="1" x14ac:dyDescent="0.25">
      <c r="B9" s="37" t="s">
        <v>307</v>
      </c>
      <c r="C9" s="36"/>
      <c r="D9" s="36"/>
      <c r="E9" s="36"/>
      <c r="F9" s="36"/>
      <c r="G9" s="71"/>
      <c r="H9" s="19">
        <f>H8/G8-1</f>
        <v>4.3057598732601399E-2</v>
      </c>
      <c r="I9" s="19">
        <f t="shared" ref="I9:J9" si="0">I8/H8-1</f>
        <v>-8.8418768646595369E-3</v>
      </c>
      <c r="J9" s="19">
        <f t="shared" si="0"/>
        <v>3.6011383537653208E-2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B10" s="1" t="s">
        <v>204</v>
      </c>
      <c r="G10" s="6">
        <v>19.899999999999999</v>
      </c>
      <c r="H10" s="6">
        <v>6.9</v>
      </c>
      <c r="I10" s="6">
        <v>0</v>
      </c>
      <c r="J10" s="6">
        <v>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5">
      <c r="B11" s="12" t="s">
        <v>205</v>
      </c>
      <c r="C11" s="12"/>
      <c r="D11" s="12"/>
      <c r="E11" s="12"/>
      <c r="F11" s="12"/>
      <c r="G11" s="13">
        <f>G10+G8</f>
        <v>1787.3000000000002</v>
      </c>
      <c r="H11" s="13">
        <f t="shared" ref="H11:J11" si="1">H10+H8</f>
        <v>1850.4</v>
      </c>
      <c r="I11" s="13">
        <f t="shared" si="1"/>
        <v>1827.2</v>
      </c>
      <c r="J11" s="13">
        <f t="shared" si="1"/>
        <v>1893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5"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B13" s="1" t="s">
        <v>54</v>
      </c>
      <c r="G13" s="6">
        <v>252.2</v>
      </c>
      <c r="H13" s="6">
        <v>281.10000000000002</v>
      </c>
      <c r="I13" s="6">
        <v>287.8</v>
      </c>
      <c r="J13" s="22">
        <f>J250</f>
        <v>302.83761832788286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5">
      <c r="B14" s="1" t="s">
        <v>55</v>
      </c>
      <c r="G14" s="6">
        <v>25.5</v>
      </c>
      <c r="H14" s="6">
        <v>28.9</v>
      </c>
      <c r="I14" s="6">
        <v>28</v>
      </c>
      <c r="J14" s="22">
        <f>J257</f>
        <v>29.469074363713919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B15" s="1" t="s">
        <v>56</v>
      </c>
      <c r="G15" s="6">
        <v>33.200000000000003</v>
      </c>
      <c r="H15" s="6">
        <v>25.8</v>
      </c>
      <c r="I15" s="6">
        <v>27.1</v>
      </c>
      <c r="J15" s="22">
        <f>J260</f>
        <v>28.52185411630883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5">
      <c r="B16" s="1" t="s">
        <v>57</v>
      </c>
      <c r="G16" s="6">
        <v>8.1</v>
      </c>
      <c r="H16" s="6">
        <v>8.1</v>
      </c>
      <c r="I16" s="6">
        <v>7.8</v>
      </c>
      <c r="J16" s="22">
        <f>J17*J$8</f>
        <v>8.0808887915936953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2:25" outlineLevel="1" x14ac:dyDescent="0.25">
      <c r="B17" s="37" t="s">
        <v>162</v>
      </c>
      <c r="C17" s="36"/>
      <c r="D17" s="36"/>
      <c r="E17" s="36"/>
      <c r="F17" s="36"/>
      <c r="G17" s="19">
        <f>G16/G$8</f>
        <v>4.5830032816566706E-3</v>
      </c>
      <c r="H17" s="19">
        <f>H16/H$8</f>
        <v>4.3938161106590722E-3</v>
      </c>
      <c r="I17" s="19">
        <f>I16/I$8</f>
        <v>4.2688266199649733E-3</v>
      </c>
      <c r="J17" s="21">
        <f>I17</f>
        <v>4.2688266199649733E-3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2:25" x14ac:dyDescent="0.25">
      <c r="B18" s="10" t="s">
        <v>58</v>
      </c>
      <c r="C18" s="10"/>
      <c r="D18" s="10"/>
      <c r="E18" s="10"/>
      <c r="F18" s="10"/>
      <c r="G18" s="11">
        <f>G13+G14+G15+G16</f>
        <v>319</v>
      </c>
      <c r="H18" s="11">
        <f>H13+H14+H15+H16</f>
        <v>343.90000000000003</v>
      </c>
      <c r="I18" s="11">
        <f>I13+I14+I15+I16</f>
        <v>350.70000000000005</v>
      </c>
      <c r="J18" s="11">
        <f>J13+J14+J15+J16</f>
        <v>368.90943559949926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2:25" x14ac:dyDescent="0.25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2:25" x14ac:dyDescent="0.25">
      <c r="B20" s="1" t="s">
        <v>42</v>
      </c>
      <c r="G20" s="6">
        <v>315.39999999999998</v>
      </c>
      <c r="H20" s="6">
        <v>327.39999999999998</v>
      </c>
      <c r="I20" s="6">
        <v>342</v>
      </c>
      <c r="J20" s="22">
        <f>J421</f>
        <v>323.45628284648313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2:25" x14ac:dyDescent="0.25">
      <c r="B21" s="1" t="s">
        <v>60</v>
      </c>
      <c r="G21" s="6">
        <v>0</v>
      </c>
      <c r="H21" s="6">
        <v>6.6</v>
      </c>
      <c r="I21" s="6">
        <v>3.6</v>
      </c>
      <c r="J21" s="22">
        <f>J22*J$11</f>
        <v>3.7296409807355517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2:25" outlineLevel="1" x14ac:dyDescent="0.25">
      <c r="B22" s="37" t="s">
        <v>162</v>
      </c>
      <c r="G22" s="19">
        <f>G21/G$11</f>
        <v>0</v>
      </c>
      <c r="H22" s="19">
        <f>H21/H$11</f>
        <v>3.5667963683527881E-3</v>
      </c>
      <c r="I22" s="19">
        <f>I21/I$11</f>
        <v>1.9702276707530648E-3</v>
      </c>
      <c r="J22" s="21">
        <f>I22</f>
        <v>1.9702276707530648E-3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2:25" x14ac:dyDescent="0.25">
      <c r="B23" s="1" t="s">
        <v>59</v>
      </c>
      <c r="G23" s="6">
        <v>30.5</v>
      </c>
      <c r="H23" s="6">
        <v>32.9</v>
      </c>
      <c r="I23" s="6">
        <v>34.200000000000003</v>
      </c>
      <c r="J23" s="22">
        <f>J588</f>
        <v>40.501557209573853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2:25" x14ac:dyDescent="0.25">
      <c r="B24" s="10" t="s">
        <v>74</v>
      </c>
      <c r="C24" s="10"/>
      <c r="D24" s="10"/>
      <c r="E24" s="10"/>
      <c r="F24" s="10"/>
      <c r="G24" s="11">
        <f t="shared" ref="G24:H24" si="2">G20+G21+G23</f>
        <v>345.9</v>
      </c>
      <c r="H24" s="11">
        <f t="shared" si="2"/>
        <v>366.9</v>
      </c>
      <c r="I24" s="11">
        <f>I20+I21+I23</f>
        <v>379.8</v>
      </c>
      <c r="J24" s="11">
        <f>J20+J21+J23</f>
        <v>367.68748103679252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2:25" x14ac:dyDescent="0.25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2:25" x14ac:dyDescent="0.25">
      <c r="B26" s="1" t="s">
        <v>61</v>
      </c>
      <c r="G26" s="6">
        <v>90.3</v>
      </c>
      <c r="H26" s="6">
        <v>94.5</v>
      </c>
      <c r="I26" s="6">
        <v>99.3</v>
      </c>
      <c r="J26" s="6">
        <f>J27*J$8</f>
        <v>102.87593038528895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2:25" x14ac:dyDescent="0.25">
      <c r="B27" s="37" t="s">
        <v>162</v>
      </c>
      <c r="C27" s="36"/>
      <c r="D27" s="36"/>
      <c r="E27" s="36"/>
      <c r="F27" s="36"/>
      <c r="G27" s="19">
        <f>G26/G$8</f>
        <v>5.1091999547357693E-2</v>
      </c>
      <c r="H27" s="19">
        <f>H26/H$8</f>
        <v>5.1261187957689178E-2</v>
      </c>
      <c r="I27" s="19">
        <f>I26/I$8</f>
        <v>5.43454465849387E-2</v>
      </c>
      <c r="J27" s="21">
        <f>I27</f>
        <v>5.43454465849387E-2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2:25" x14ac:dyDescent="0.25">
      <c r="B28" s="1" t="s">
        <v>62</v>
      </c>
      <c r="G28" s="6">
        <v>60.6</v>
      </c>
      <c r="H28" s="6">
        <v>68.400000000000006</v>
      </c>
      <c r="I28" s="6">
        <v>75.599999999999994</v>
      </c>
      <c r="J28" s="6">
        <f>J29*J$8</f>
        <v>78.322460595446572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2:25" x14ac:dyDescent="0.25">
      <c r="B29" s="37" t="s">
        <v>162</v>
      </c>
      <c r="C29" s="36"/>
      <c r="D29" s="36"/>
      <c r="E29" s="36"/>
      <c r="F29" s="36"/>
      <c r="G29" s="19">
        <f>G28/G$8</f>
        <v>3.4287654181283239E-2</v>
      </c>
      <c r="H29" s="19">
        <f>H28/H$8</f>
        <v>3.7103336045565503E-2</v>
      </c>
      <c r="I29" s="19">
        <f>I28/I$8</f>
        <v>4.1374781085814355E-2</v>
      </c>
      <c r="J29" s="21">
        <f>I29</f>
        <v>4.1374781085814355E-2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2:25" x14ac:dyDescent="0.25">
      <c r="B30" s="1" t="s">
        <v>63</v>
      </c>
      <c r="G30" s="6">
        <v>80.8</v>
      </c>
      <c r="H30" s="6">
        <v>81.599999999999994</v>
      </c>
      <c r="I30" s="6">
        <v>83.6</v>
      </c>
      <c r="J30" s="6">
        <f>J31*J272</f>
        <v>89.118647741002619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2:25" x14ac:dyDescent="0.25">
      <c r="B31" s="37" t="s">
        <v>209</v>
      </c>
      <c r="C31" s="36"/>
      <c r="D31" s="36"/>
      <c r="E31" s="36"/>
      <c r="F31" s="36"/>
      <c r="G31" s="71"/>
      <c r="H31" s="19">
        <f>H30/AVERAGE(G272,H272)</f>
        <v>2.1736235049679017E-2</v>
      </c>
      <c r="I31" s="19">
        <f>I30/AVERAGE(H272,I272)</f>
        <v>2.152115431645879E-2</v>
      </c>
      <c r="J31" s="21">
        <f>I31</f>
        <v>2.152115431645879E-2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2:25" x14ac:dyDescent="0.25">
      <c r="B32" s="1" t="s">
        <v>64</v>
      </c>
      <c r="G32" s="6">
        <v>25.6</v>
      </c>
      <c r="H32" s="6">
        <v>42.9</v>
      </c>
      <c r="I32" s="6">
        <v>40</v>
      </c>
      <c r="J32" s="6">
        <f>I103*J33</f>
        <v>36.708229426433924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2:25" x14ac:dyDescent="0.25">
      <c r="B33" s="37" t="s">
        <v>223</v>
      </c>
      <c r="G33" s="6"/>
      <c r="H33" s="19">
        <f>H32/G103</f>
        <v>8.3544303797468356E-2</v>
      </c>
      <c r="I33" s="19">
        <f>I32/H103</f>
        <v>7.1250445315283226E-2</v>
      </c>
      <c r="J33" s="21">
        <f>I33</f>
        <v>7.1250445315283226E-2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2:25" x14ac:dyDescent="0.25">
      <c r="B34" s="1" t="s">
        <v>65</v>
      </c>
      <c r="G34" s="6">
        <v>35.200000000000003</v>
      </c>
      <c r="H34" s="6">
        <v>39.4</v>
      </c>
      <c r="I34" s="6">
        <v>38.6</v>
      </c>
      <c r="J34" s="6">
        <f>J35*J$8</f>
        <v>39.990039404553414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2:25" x14ac:dyDescent="0.25">
      <c r="B35" s="37" t="s">
        <v>162</v>
      </c>
      <c r="C35" s="36"/>
      <c r="D35" s="36"/>
      <c r="E35" s="36"/>
      <c r="F35" s="36"/>
      <c r="G35" s="19">
        <f>G34/G$8</f>
        <v>1.9916261174606768E-2</v>
      </c>
      <c r="H35" s="19">
        <f>H34/H$8</f>
        <v>2.1372389476539192E-2</v>
      </c>
      <c r="I35" s="19">
        <f>I34/I$8</f>
        <v>2.1125218914185638E-2</v>
      </c>
      <c r="J35" s="21">
        <f>I35</f>
        <v>2.1125218914185638E-2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2:25" x14ac:dyDescent="0.25">
      <c r="B36" s="1" t="s">
        <v>66</v>
      </c>
      <c r="G36" s="6">
        <v>242.1</v>
      </c>
      <c r="H36" s="6">
        <v>237.8</v>
      </c>
      <c r="I36" s="6">
        <v>246.7</v>
      </c>
      <c r="J36" s="6">
        <f>J37*J$8</f>
        <v>255.58400831873902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2:25" x14ac:dyDescent="0.25">
      <c r="B37" s="37" t="s">
        <v>162</v>
      </c>
      <c r="C37" s="36"/>
      <c r="D37" s="36"/>
      <c r="E37" s="36"/>
      <c r="F37" s="36"/>
      <c r="G37" s="19">
        <f>G36/G$8</f>
        <v>0.13698087586284938</v>
      </c>
      <c r="H37" s="19">
        <f>H36/H$8</f>
        <v>0.12899376186601574</v>
      </c>
      <c r="I37" s="19">
        <f>I36/I$8</f>
        <v>0.13501532399299473</v>
      </c>
      <c r="J37" s="21">
        <f>I37</f>
        <v>0.13501532399299473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2:25" x14ac:dyDescent="0.25">
      <c r="B38" s="1" t="s">
        <v>67</v>
      </c>
      <c r="G38" s="6">
        <v>6.8</v>
      </c>
      <c r="H38" s="6">
        <v>7.4</v>
      </c>
      <c r="I38" s="6">
        <v>7.7</v>
      </c>
      <c r="J38" s="6">
        <f>J39*J$8</f>
        <v>7.9772876532399302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2:25" x14ac:dyDescent="0.25">
      <c r="B39" s="37" t="s">
        <v>162</v>
      </c>
      <c r="C39" s="36"/>
      <c r="D39" s="36"/>
      <c r="E39" s="36"/>
      <c r="F39" s="36"/>
      <c r="G39" s="19">
        <f>G38/G$8</f>
        <v>3.8474595450944888E-3</v>
      </c>
      <c r="H39" s="19">
        <f>H38/H$8</f>
        <v>4.0141036072687828E-3</v>
      </c>
      <c r="I39" s="19">
        <f>I38/I$8</f>
        <v>4.2140980735551666E-3</v>
      </c>
      <c r="J39" s="21">
        <f>I39</f>
        <v>4.2140980735551666E-3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2:25" x14ac:dyDescent="0.25">
      <c r="B40" s="1" t="s">
        <v>68</v>
      </c>
      <c r="G40" s="6">
        <v>3.9</v>
      </c>
      <c r="H40" s="6">
        <v>1.9</v>
      </c>
      <c r="I40" s="6">
        <v>1.4</v>
      </c>
      <c r="J40" s="6">
        <f>J41*J$8</f>
        <v>1.4504159369527143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2:25" x14ac:dyDescent="0.25">
      <c r="B41" s="37" t="s">
        <v>162</v>
      </c>
      <c r="C41" s="36"/>
      <c r="D41" s="36"/>
      <c r="E41" s="36"/>
      <c r="F41" s="36"/>
      <c r="G41" s="19">
        <f>G40/G$8</f>
        <v>2.2066312096865452E-3</v>
      </c>
      <c r="H41" s="19">
        <f>H40/H$8</f>
        <v>1.0306482234879305E-3</v>
      </c>
      <c r="I41" s="19">
        <f>I40/I$8</f>
        <v>7.6619964973730287E-4</v>
      </c>
      <c r="J41" s="21">
        <f>I41</f>
        <v>7.6619964973730287E-4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2:25" x14ac:dyDescent="0.25">
      <c r="B42" s="16" t="s">
        <v>70</v>
      </c>
      <c r="C42" s="16"/>
      <c r="D42" s="16"/>
      <c r="E42" s="16"/>
      <c r="F42" s="16"/>
      <c r="G42" s="17">
        <v>0.6</v>
      </c>
      <c r="H42" s="17">
        <v>1.2</v>
      </c>
      <c r="I42" s="17">
        <v>-2.2000000000000002</v>
      </c>
      <c r="J42" s="17">
        <v>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2:25" x14ac:dyDescent="0.25">
      <c r="B43" s="16" t="s">
        <v>69</v>
      </c>
      <c r="C43" s="16"/>
      <c r="D43" s="16"/>
      <c r="E43" s="16"/>
      <c r="F43" s="16"/>
      <c r="G43" s="17">
        <v>0.1</v>
      </c>
      <c r="H43" s="17">
        <v>-0.6</v>
      </c>
      <c r="I43" s="17">
        <v>0.2</v>
      </c>
      <c r="J43" s="17">
        <v>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2:25" x14ac:dyDescent="0.25">
      <c r="B44" s="1" t="s">
        <v>71</v>
      </c>
      <c r="G44" s="6">
        <v>141.6</v>
      </c>
      <c r="H44" s="6">
        <v>149.6</v>
      </c>
      <c r="I44" s="6">
        <v>151</v>
      </c>
      <c r="J44" s="6">
        <f>J302*J45</f>
        <v>157.71398337129332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2:25" x14ac:dyDescent="0.25">
      <c r="B45" s="37" t="s">
        <v>208</v>
      </c>
      <c r="G45" s="6"/>
      <c r="H45" s="19">
        <f>H44/AVERAGE(H302,G302)</f>
        <v>2.7211379304072615E-2</v>
      </c>
      <c r="I45" s="19">
        <f>I44/AVERAGE(I302,H302)</f>
        <v>2.6794665909554698E-2</v>
      </c>
      <c r="J45" s="21">
        <f>I45</f>
        <v>2.6794665909554698E-2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2:25" x14ac:dyDescent="0.25">
      <c r="B46" s="1" t="s">
        <v>269</v>
      </c>
      <c r="G46" s="6">
        <v>5.0999999999999996</v>
      </c>
      <c r="H46" s="6">
        <v>5.0999999999999996</v>
      </c>
      <c r="I46" s="6">
        <v>4.5</v>
      </c>
      <c r="J46" s="20">
        <f>I46</f>
        <v>4.5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2:25" x14ac:dyDescent="0.25">
      <c r="B47" s="1" t="s">
        <v>72</v>
      </c>
      <c r="G47" s="6">
        <v>48.4</v>
      </c>
      <c r="H47" s="6">
        <v>42.1</v>
      </c>
      <c r="I47" s="6">
        <v>60.9</v>
      </c>
      <c r="J47" s="6">
        <f>J48*J$8</f>
        <v>63.093093257443073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2:25" x14ac:dyDescent="0.25">
      <c r="B48" s="37" t="s">
        <v>162</v>
      </c>
      <c r="C48" s="36"/>
      <c r="D48" s="36"/>
      <c r="E48" s="36"/>
      <c r="F48" s="36"/>
      <c r="G48" s="19">
        <f>G47/G$8</f>
        <v>2.7384859115084301E-2</v>
      </c>
      <c r="H48" s="19">
        <f>H47/H$8</f>
        <v>2.2836994846758885E-2</v>
      </c>
      <c r="I48" s="19">
        <f>I47/I$8</f>
        <v>3.3329684763572676E-2</v>
      </c>
      <c r="J48" s="21">
        <f>I48</f>
        <v>3.3329684763572676E-2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2:25" x14ac:dyDescent="0.25">
      <c r="B49" s="1" t="s">
        <v>116</v>
      </c>
      <c r="G49" s="6">
        <v>-3.3</v>
      </c>
      <c r="H49" s="6">
        <v>-3</v>
      </c>
      <c r="I49" s="6">
        <v>-2.2999999999999998</v>
      </c>
      <c r="J49" s="6">
        <f>J50*J$8</f>
        <v>-2.3828261821366019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2:25" x14ac:dyDescent="0.25">
      <c r="B50" s="37" t="s">
        <v>162</v>
      </c>
      <c r="C50" s="36"/>
      <c r="D50" s="36"/>
      <c r="E50" s="36"/>
      <c r="F50" s="36"/>
      <c r="G50" s="19">
        <f>G49/G$8</f>
        <v>-1.8671494851193841E-3</v>
      </c>
      <c r="H50" s="19">
        <f>H49/H$8</f>
        <v>-1.6273393002441008E-3</v>
      </c>
      <c r="I50" s="19">
        <f>I49/I$8</f>
        <v>-1.258756567425569E-3</v>
      </c>
      <c r="J50" s="21">
        <f>I50</f>
        <v>-1.258756567425569E-3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2:25" x14ac:dyDescent="0.25">
      <c r="B51" s="16" t="s">
        <v>50</v>
      </c>
      <c r="C51" s="16"/>
      <c r="D51" s="16"/>
      <c r="E51" s="16"/>
      <c r="F51" s="16"/>
      <c r="G51" s="17">
        <v>-14.7</v>
      </c>
      <c r="H51" s="17">
        <v>-15.4</v>
      </c>
      <c r="I51" s="17">
        <v>0</v>
      </c>
      <c r="J51" s="17">
        <v>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2:25" x14ac:dyDescent="0.25">
      <c r="B52" s="1" t="s">
        <v>73</v>
      </c>
      <c r="G52" s="6">
        <v>-164</v>
      </c>
      <c r="H52" s="6">
        <v>-181.5</v>
      </c>
      <c r="I52" s="6">
        <v>-179</v>
      </c>
      <c r="J52" s="6">
        <f>J412*J53</f>
        <v>-179.66759120502419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2:25" x14ac:dyDescent="0.25">
      <c r="B53" s="37" t="s">
        <v>207</v>
      </c>
      <c r="C53" s="36"/>
      <c r="D53" s="36"/>
      <c r="E53" s="36"/>
      <c r="F53" s="36"/>
      <c r="G53" s="71"/>
      <c r="H53" s="19">
        <f>H52/AVERAGE(H412,G412)</f>
        <v>-0.24316720257234722</v>
      </c>
      <c r="I53" s="19">
        <f>I52/AVERAGE(I412,H412)</f>
        <v>-0.13832541246474245</v>
      </c>
      <c r="J53" s="21">
        <f>I53</f>
        <v>-0.13832541246474245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2:25" x14ac:dyDescent="0.25">
      <c r="B54" s="10" t="s">
        <v>2</v>
      </c>
      <c r="C54" s="10"/>
      <c r="D54" s="10"/>
      <c r="E54" s="10"/>
      <c r="F54" s="10"/>
      <c r="G54" s="11">
        <f>G18+G24+G26+G28+G30+G32+G34+G36+G38+G40+G42+G43+G44+G46+G47+G49+G51+G52</f>
        <v>1223.9999999999998</v>
      </c>
      <c r="H54" s="11">
        <f>H18+H24+H26+H28+H30+H32+H34+H36+H38+H40+H42+H43+H44+H46+H47+H49+H51+H52</f>
        <v>1282.1999999999998</v>
      </c>
      <c r="I54" s="11">
        <f>I18+I24+I26+I28+I30+I32+I34+I36+I38+I40+I42+I43+I44+I46+I47+I49+I51+I52</f>
        <v>1356.5000000000002</v>
      </c>
      <c r="J54" s="11">
        <f>J18+J24+J26+J28+J30+J32+J34+J36+J38+J40+J42+J43+J44+J46+J47+J49+J51+J52</f>
        <v>1391.8805953395249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2:25" ht="15.75" thickBot="1" x14ac:dyDescent="0.3">
      <c r="B55" s="14" t="s">
        <v>75</v>
      </c>
      <c r="C55" s="14"/>
      <c r="D55" s="14"/>
      <c r="E55" s="14"/>
      <c r="F55" s="14"/>
      <c r="G55" s="15">
        <f>G11-G54</f>
        <v>563.30000000000041</v>
      </c>
      <c r="H55" s="15">
        <f>H11-H54</f>
        <v>568.20000000000027</v>
      </c>
      <c r="I55" s="15">
        <f>I11-I54</f>
        <v>470.69999999999982</v>
      </c>
      <c r="J55" s="15">
        <f>J11-J54</f>
        <v>501.11940466047508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2:25" x14ac:dyDescent="0.25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2:25" x14ac:dyDescent="0.25">
      <c r="B57" s="1" t="s">
        <v>99</v>
      </c>
      <c r="G57" s="6">
        <f>G58+G59+G60</f>
        <v>68.900000000000006</v>
      </c>
      <c r="H57" s="6">
        <f>H58+H59+H60</f>
        <v>59.900000000000006</v>
      </c>
      <c r="I57" s="6">
        <f>I58+I59+I60</f>
        <v>59.8</v>
      </c>
      <c r="J57" s="6">
        <f>J58+J59+J60</f>
        <v>63.899039471399256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2:25" outlineLevel="1" x14ac:dyDescent="0.25">
      <c r="B58" s="29" t="s">
        <v>100</v>
      </c>
      <c r="C58" s="30"/>
      <c r="D58" s="30"/>
      <c r="E58" s="30"/>
      <c r="F58" s="30"/>
      <c r="G58" s="31">
        <v>0.2</v>
      </c>
      <c r="H58" s="31">
        <v>0.4</v>
      </c>
      <c r="I58" s="31">
        <v>0.1</v>
      </c>
      <c r="J58" s="90">
        <f>J100*J99</f>
        <v>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2:25" outlineLevel="1" x14ac:dyDescent="0.25">
      <c r="B59" s="29" t="s">
        <v>270</v>
      </c>
      <c r="C59" s="30"/>
      <c r="D59" s="30"/>
      <c r="E59" s="30"/>
      <c r="F59" s="30"/>
      <c r="G59" s="31">
        <v>7.7</v>
      </c>
      <c r="H59" s="31">
        <v>1.3</v>
      </c>
      <c r="I59" s="31">
        <v>2.4</v>
      </c>
      <c r="J59" s="31">
        <f>J614</f>
        <v>2.1771058315334773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2:25" outlineLevel="1" x14ac:dyDescent="0.25">
      <c r="B60" s="29" t="s">
        <v>101</v>
      </c>
      <c r="C60" s="30"/>
      <c r="D60" s="30"/>
      <c r="E60" s="30"/>
      <c r="F60" s="30"/>
      <c r="G60" s="31">
        <v>61</v>
      </c>
      <c r="H60" s="31">
        <v>58.2</v>
      </c>
      <c r="I60" s="31">
        <v>57.3</v>
      </c>
      <c r="J60" s="31">
        <f>J434</f>
        <v>61.721933639865782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2:25" x14ac:dyDescent="0.25">
      <c r="B61" s="1" t="s">
        <v>3</v>
      </c>
      <c r="G61" s="6">
        <f>G62+G63+G64+G65+G66</f>
        <v>263.10000000000002</v>
      </c>
      <c r="H61" s="6">
        <f>H62+H63+H64+H65+H66</f>
        <v>248.3</v>
      </c>
      <c r="I61" s="6">
        <f>I62+I63+I64+I65+I66</f>
        <v>246.90000000000003</v>
      </c>
      <c r="J61" s="6">
        <f ca="1">J62+J63+J64+J65+J66</f>
        <v>343.83484640632787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2:25" outlineLevel="1" x14ac:dyDescent="0.25">
      <c r="B62" s="29" t="s">
        <v>102</v>
      </c>
      <c r="C62" s="30"/>
      <c r="D62" s="30"/>
      <c r="E62" s="30"/>
      <c r="F62" s="30"/>
      <c r="G62" s="31">
        <v>21.3</v>
      </c>
      <c r="H62" s="31">
        <v>21.6</v>
      </c>
      <c r="I62" s="31">
        <v>11.4</v>
      </c>
      <c r="J62" s="31">
        <f ca="1">J643</f>
        <v>52.421189338409455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2:25" outlineLevel="1" x14ac:dyDescent="0.25">
      <c r="B63" s="29" t="s">
        <v>103</v>
      </c>
      <c r="C63" s="30"/>
      <c r="D63" s="30"/>
      <c r="E63" s="30"/>
      <c r="F63" s="30"/>
      <c r="G63" s="31">
        <v>153</v>
      </c>
      <c r="H63" s="31">
        <v>150.5</v>
      </c>
      <c r="I63" s="31">
        <v>166.1</v>
      </c>
      <c r="J63" s="31">
        <f>J650</f>
        <v>217.03542000000002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2:25" outlineLevel="1" x14ac:dyDescent="0.25">
      <c r="B64" s="29" t="s">
        <v>113</v>
      </c>
      <c r="C64" s="30"/>
      <c r="D64" s="30"/>
      <c r="E64" s="30"/>
      <c r="F64" s="30"/>
      <c r="G64" s="31">
        <v>4.4000000000000004</v>
      </c>
      <c r="H64" s="31">
        <v>4.3</v>
      </c>
      <c r="I64" s="31">
        <v>4.3</v>
      </c>
      <c r="J64" s="31">
        <f>J605</f>
        <v>4.1014839241549872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2:25" outlineLevel="1" x14ac:dyDescent="0.25">
      <c r="B65" s="29" t="s">
        <v>109</v>
      </c>
      <c r="C65" s="30"/>
      <c r="D65" s="30"/>
      <c r="E65" s="30"/>
      <c r="F65" s="30"/>
      <c r="G65" s="31">
        <v>9.6</v>
      </c>
      <c r="H65" s="31">
        <v>2.6</v>
      </c>
      <c r="I65" s="31">
        <v>2.4</v>
      </c>
      <c r="J65" s="20">
        <v>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2:25" outlineLevel="1" x14ac:dyDescent="0.25">
      <c r="B66" s="29" t="s">
        <v>104</v>
      </c>
      <c r="C66" s="30"/>
      <c r="D66" s="30"/>
      <c r="E66" s="30"/>
      <c r="F66" s="30"/>
      <c r="G66" s="31">
        <v>74.8</v>
      </c>
      <c r="H66" s="31">
        <v>69.3</v>
      </c>
      <c r="I66" s="31">
        <v>62.7</v>
      </c>
      <c r="J66" s="31">
        <f>-J448</f>
        <v>70.276753143763443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2:25" x14ac:dyDescent="0.25">
      <c r="B67" s="10" t="s">
        <v>4</v>
      </c>
      <c r="C67" s="10"/>
      <c r="D67" s="10"/>
      <c r="E67" s="10"/>
      <c r="F67" s="10"/>
      <c r="G67" s="11">
        <f>-(G61-G57)</f>
        <v>-194.20000000000002</v>
      </c>
      <c r="H67" s="11">
        <f>-(H61-H57)</f>
        <v>-188.4</v>
      </c>
      <c r="I67" s="11">
        <f>-(I61-I57)</f>
        <v>-187.10000000000002</v>
      </c>
      <c r="J67" s="11">
        <f ca="1">-(J61-J57)</f>
        <v>-279.93580693492862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2:25" x14ac:dyDescent="0.25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2:25" x14ac:dyDescent="0.25">
      <c r="B69" s="16" t="s">
        <v>76</v>
      </c>
      <c r="C69" s="16"/>
      <c r="D69" s="16"/>
      <c r="E69" s="16"/>
      <c r="F69" s="16"/>
      <c r="G69" s="17"/>
      <c r="H69" s="17">
        <v>-4.9000000000000004</v>
      </c>
      <c r="I69" s="17">
        <v>3.6</v>
      </c>
      <c r="J69" s="17">
        <v>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2:25" x14ac:dyDescent="0.25">
      <c r="B70" s="35" t="s">
        <v>5</v>
      </c>
      <c r="C70" s="16"/>
      <c r="D70" s="16"/>
      <c r="E70" s="16"/>
      <c r="F70" s="16"/>
      <c r="G70" s="17">
        <v>16</v>
      </c>
      <c r="H70" s="17">
        <v>-17.399999999999999</v>
      </c>
      <c r="I70" s="17">
        <v>-3.2</v>
      </c>
      <c r="J70" s="17">
        <f>-J190</f>
        <v>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2:25" x14ac:dyDescent="0.25">
      <c r="B71" s="16" t="s">
        <v>6</v>
      </c>
      <c r="C71" s="16"/>
      <c r="D71" s="16"/>
      <c r="E71" s="16"/>
      <c r="F71" s="16"/>
      <c r="G71" s="17">
        <v>-0.4</v>
      </c>
      <c r="H71" s="17">
        <v>-46.8</v>
      </c>
      <c r="I71" s="17">
        <v>-13.8</v>
      </c>
      <c r="J71" s="17">
        <v>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2:25" x14ac:dyDescent="0.25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2:25" x14ac:dyDescent="0.25">
      <c r="B73" s="5" t="s">
        <v>7</v>
      </c>
      <c r="C73" s="5"/>
      <c r="D73" s="5"/>
      <c r="E73" s="5"/>
      <c r="F73" s="5"/>
      <c r="G73" s="7">
        <f>G55+G67+G69+G70+G71</f>
        <v>384.70000000000039</v>
      </c>
      <c r="H73" s="7">
        <f>H55+H67+H69+H70+H71</f>
        <v>310.70000000000033</v>
      </c>
      <c r="I73" s="7">
        <f>I55+I67+I69+I70+I71</f>
        <v>270.19999999999982</v>
      </c>
      <c r="J73" s="7">
        <f ca="1">J55+J67+J69+J70+J71</f>
        <v>221.18359772554646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2:25" x14ac:dyDescent="0.25">
      <c r="B74" s="5"/>
      <c r="C74" s="5"/>
      <c r="D74" s="5"/>
      <c r="E74" s="5"/>
      <c r="F74" s="5"/>
      <c r="G74" s="7"/>
      <c r="H74" s="7"/>
      <c r="I74" s="7"/>
      <c r="J74" s="7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2:25" x14ac:dyDescent="0.25">
      <c r="B75" s="1" t="s">
        <v>239</v>
      </c>
      <c r="G75" s="6">
        <f>G79+G84</f>
        <v>69.400000000000006</v>
      </c>
      <c r="H75" s="6">
        <f>H79+H84</f>
        <v>151.9</v>
      </c>
      <c r="I75" s="6">
        <f>I79+I84</f>
        <v>55</v>
      </c>
      <c r="J75" s="6">
        <f ca="1">J73*J86</f>
        <v>42.024883567853827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2:25" x14ac:dyDescent="0.25">
      <c r="B76" s="106" t="s">
        <v>242</v>
      </c>
      <c r="C76" s="30"/>
      <c r="D76" s="30"/>
      <c r="E76" s="30"/>
      <c r="F76" s="30"/>
      <c r="G76" s="31"/>
      <c r="H76" s="31"/>
      <c r="I76" s="31"/>
      <c r="J76" s="31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2:25" outlineLevel="1" x14ac:dyDescent="0.25">
      <c r="B77" s="29" t="s">
        <v>233</v>
      </c>
      <c r="C77" s="30"/>
      <c r="D77" s="30"/>
      <c r="E77" s="30"/>
      <c r="F77" s="30"/>
      <c r="G77" s="31">
        <v>41.2</v>
      </c>
      <c r="H77" s="31">
        <v>36.200000000000003</v>
      </c>
      <c r="I77" s="31">
        <v>30.4</v>
      </c>
      <c r="J77" s="31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2:25" outlineLevel="1" x14ac:dyDescent="0.25">
      <c r="B78" s="29" t="s">
        <v>234</v>
      </c>
      <c r="C78" s="30"/>
      <c r="D78" s="30"/>
      <c r="E78" s="30"/>
      <c r="F78" s="30"/>
      <c r="G78" s="31">
        <v>-9.4</v>
      </c>
      <c r="H78" s="31">
        <v>-5.2</v>
      </c>
      <c r="I78" s="31">
        <v>-3.6</v>
      </c>
      <c r="J78" s="31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2:25" outlineLevel="1" x14ac:dyDescent="0.25">
      <c r="B79" s="57" t="s">
        <v>232</v>
      </c>
      <c r="C79" s="58"/>
      <c r="D79" s="58"/>
      <c r="E79" s="58"/>
      <c r="F79" s="58"/>
      <c r="G79" s="56">
        <f>G77+G78</f>
        <v>31.800000000000004</v>
      </c>
      <c r="H79" s="56">
        <f>H77+H78</f>
        <v>31.000000000000004</v>
      </c>
      <c r="I79" s="56">
        <f>I77+I78</f>
        <v>26.799999999999997</v>
      </c>
      <c r="J79" s="5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2:25" outlineLevel="1" x14ac:dyDescent="0.25">
      <c r="B80" s="107" t="s">
        <v>241</v>
      </c>
      <c r="C80" s="60"/>
      <c r="D80" s="60"/>
      <c r="E80" s="60"/>
      <c r="F80" s="60"/>
      <c r="G80" s="61"/>
      <c r="H80" s="61"/>
      <c r="I80" s="61"/>
      <c r="J80" s="61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outlineLevel="1" x14ac:dyDescent="0.25">
      <c r="B81" s="29" t="s">
        <v>235</v>
      </c>
      <c r="C81" s="30"/>
      <c r="D81" s="30"/>
      <c r="E81" s="30"/>
      <c r="F81" s="30"/>
      <c r="G81" s="31">
        <v>30.1</v>
      </c>
      <c r="H81" s="31">
        <v>29.8</v>
      </c>
      <c r="I81" s="31">
        <v>23.7</v>
      </c>
      <c r="J81" s="31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outlineLevel="1" x14ac:dyDescent="0.25">
      <c r="B82" s="29" t="s">
        <v>234</v>
      </c>
      <c r="C82" s="30"/>
      <c r="D82" s="30"/>
      <c r="E82" s="30"/>
      <c r="F82" s="30"/>
      <c r="G82" s="31">
        <v>7.5</v>
      </c>
      <c r="H82" s="31">
        <v>-0.7</v>
      </c>
      <c r="I82" s="31">
        <v>4.5</v>
      </c>
      <c r="J82" s="31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outlineLevel="1" x14ac:dyDescent="0.25">
      <c r="B83" s="29" t="s">
        <v>236</v>
      </c>
      <c r="C83" s="30"/>
      <c r="D83" s="30"/>
      <c r="E83" s="30"/>
      <c r="F83" s="30"/>
      <c r="G83" s="31">
        <v>0</v>
      </c>
      <c r="H83" s="31">
        <v>91.8</v>
      </c>
      <c r="I83" s="31">
        <v>0</v>
      </c>
      <c r="J83" s="31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outlineLevel="1" x14ac:dyDescent="0.25">
      <c r="B84" s="57" t="s">
        <v>93</v>
      </c>
      <c r="C84" s="58"/>
      <c r="D84" s="58"/>
      <c r="E84" s="58"/>
      <c r="F84" s="58"/>
      <c r="G84" s="56">
        <f>G81+G82+G83</f>
        <v>37.6</v>
      </c>
      <c r="H84" s="56">
        <f>H81+H82+H83</f>
        <v>120.9</v>
      </c>
      <c r="I84" s="56">
        <f>I81+I82+I83</f>
        <v>28.2</v>
      </c>
      <c r="J84" s="5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x14ac:dyDescent="0.25">
      <c r="B85" s="37" t="s">
        <v>237</v>
      </c>
      <c r="C85" s="36"/>
      <c r="D85" s="36"/>
      <c r="E85" s="36"/>
      <c r="F85" s="36"/>
      <c r="G85" s="71"/>
      <c r="H85" s="19">
        <f>(H79+H81+H82)/H73</f>
        <v>0.19343418088187941</v>
      </c>
      <c r="I85" s="19">
        <f>(I79+I81+I82)/I73</f>
        <v>0.20355292376017778</v>
      </c>
      <c r="J85" s="103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x14ac:dyDescent="0.25">
      <c r="B86" s="99" t="s">
        <v>238</v>
      </c>
      <c r="C86" s="100"/>
      <c r="D86" s="100"/>
      <c r="E86" s="100"/>
      <c r="F86" s="100"/>
      <c r="G86" s="101"/>
      <c r="H86" s="104">
        <v>0.19</v>
      </c>
      <c r="I86" s="104">
        <v>0.19</v>
      </c>
      <c r="J86" s="105">
        <f>I86</f>
        <v>0.19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x14ac:dyDescent="0.25">
      <c r="B87" s="99"/>
      <c r="C87" s="100"/>
      <c r="D87" s="100"/>
      <c r="E87" s="100"/>
      <c r="F87" s="100"/>
      <c r="G87" s="101"/>
      <c r="H87" s="102"/>
      <c r="I87" s="104"/>
      <c r="J87" s="109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.75" thickBot="1" x14ac:dyDescent="0.3">
      <c r="B88" s="14" t="s">
        <v>8</v>
      </c>
      <c r="C88" s="14"/>
      <c r="D88" s="14"/>
      <c r="E88" s="14"/>
      <c r="F88" s="14"/>
      <c r="G88" s="15">
        <f>G73-G75</f>
        <v>315.30000000000041</v>
      </c>
      <c r="H88" s="15">
        <f>H73-H75</f>
        <v>158.80000000000032</v>
      </c>
      <c r="I88" s="15">
        <f>I73-I75</f>
        <v>215.19999999999982</v>
      </c>
      <c r="J88" s="15">
        <f ca="1">J73+J75</f>
        <v>263.20848129340027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x14ac:dyDescent="0.25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x14ac:dyDescent="0.25">
      <c r="B90" s="62" t="s">
        <v>313</v>
      </c>
      <c r="C90" s="28"/>
      <c r="D90" s="28"/>
      <c r="E90" s="28"/>
      <c r="F90" s="28"/>
      <c r="G90" s="47"/>
      <c r="H90" s="47"/>
      <c r="I90" s="47"/>
      <c r="J90" s="47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x14ac:dyDescent="0.25">
      <c r="B91" s="29" t="s">
        <v>310</v>
      </c>
      <c r="C91" s="30"/>
      <c r="D91" s="30"/>
      <c r="E91" s="30"/>
      <c r="F91" s="30"/>
      <c r="G91" s="31"/>
      <c r="H91" s="31">
        <v>238</v>
      </c>
      <c r="I91" s="31">
        <v>238.1</v>
      </c>
      <c r="J91" s="31">
        <f>I91</f>
        <v>238.1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x14ac:dyDescent="0.25">
      <c r="B92" s="29" t="s">
        <v>312</v>
      </c>
      <c r="C92" s="30"/>
      <c r="D92" s="30"/>
      <c r="E92" s="30"/>
      <c r="F92" s="30"/>
      <c r="G92" s="31"/>
      <c r="H92" s="31">
        <v>239.4</v>
      </c>
      <c r="I92" s="31">
        <v>239.4</v>
      </c>
      <c r="J92" s="31">
        <f>I92</f>
        <v>239.4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x14ac:dyDescent="0.25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8.75" x14ac:dyDescent="0.3">
      <c r="A94" s="39" t="s">
        <v>141</v>
      </c>
      <c r="B94" s="2" t="s">
        <v>9</v>
      </c>
      <c r="C94" s="2"/>
      <c r="D94" s="2"/>
      <c r="E94" s="2"/>
      <c r="F94" s="2"/>
      <c r="G94" s="9">
        <f t="shared" ref="G94:J95" si="3">G6</f>
        <v>19</v>
      </c>
      <c r="H94" s="9">
        <f t="shared" si="3"/>
        <v>20</v>
      </c>
      <c r="I94" s="9">
        <f t="shared" si="3"/>
        <v>21</v>
      </c>
      <c r="J94" s="3">
        <f t="shared" si="3"/>
        <v>22</v>
      </c>
      <c r="K94" s="42" t="s">
        <v>141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x14ac:dyDescent="0.25">
      <c r="B95" s="4" t="s">
        <v>1</v>
      </c>
      <c r="C95" s="4"/>
      <c r="D95" s="4"/>
      <c r="E95" s="4"/>
      <c r="F95" s="4"/>
      <c r="G95" s="8">
        <f t="shared" si="3"/>
        <v>43543</v>
      </c>
      <c r="H95" s="8">
        <f t="shared" si="3"/>
        <v>43910</v>
      </c>
      <c r="I95" s="8">
        <f t="shared" si="3"/>
        <v>44275</v>
      </c>
      <c r="J95" s="38">
        <f t="shared" si="3"/>
        <v>44621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x14ac:dyDescent="0.25">
      <c r="B96" s="1" t="s">
        <v>77</v>
      </c>
      <c r="G96" s="6">
        <v>41</v>
      </c>
      <c r="H96" s="6">
        <f>H97+H99</f>
        <v>48.599999999999994</v>
      </c>
      <c r="I96" s="6">
        <v>56.2</v>
      </c>
      <c r="J96" s="6">
        <f ca="1">J240</f>
        <v>20.000000000000185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2:25" outlineLevel="1" x14ac:dyDescent="0.25">
      <c r="B97" s="29" t="s">
        <v>244</v>
      </c>
      <c r="C97" s="30"/>
      <c r="D97" s="30"/>
      <c r="E97" s="30"/>
      <c r="F97" s="30"/>
      <c r="G97" s="31"/>
      <c r="H97" s="31">
        <v>37.299999999999997</v>
      </c>
      <c r="I97" s="31">
        <v>56.2</v>
      </c>
      <c r="J97" s="31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2:25" outlineLevel="1" x14ac:dyDescent="0.25">
      <c r="B98" s="98" t="s">
        <v>246</v>
      </c>
      <c r="C98" s="110"/>
      <c r="D98" s="110"/>
      <c r="E98" s="110"/>
      <c r="F98" s="110"/>
      <c r="G98" s="111"/>
      <c r="H98" s="111">
        <v>17.5</v>
      </c>
      <c r="I98" s="111">
        <v>22.1</v>
      </c>
      <c r="J98" s="111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2:25" outlineLevel="1" x14ac:dyDescent="0.25">
      <c r="B99" s="29" t="s">
        <v>245</v>
      </c>
      <c r="C99" s="30"/>
      <c r="D99" s="30"/>
      <c r="E99" s="30"/>
      <c r="F99" s="30"/>
      <c r="G99" s="31"/>
      <c r="H99" s="31">
        <v>11.3</v>
      </c>
      <c r="I99" s="31">
        <v>0</v>
      </c>
      <c r="J99" s="31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2:25" outlineLevel="1" x14ac:dyDescent="0.25">
      <c r="B100" s="98" t="s">
        <v>119</v>
      </c>
      <c r="C100" s="110"/>
      <c r="D100" s="110"/>
      <c r="E100" s="110"/>
      <c r="F100" s="110"/>
      <c r="G100" s="111"/>
      <c r="H100" s="111"/>
      <c r="I100" s="81">
        <f>I58/AVERAGE(H99:I99)</f>
        <v>1.7699115044247787E-2</v>
      </c>
      <c r="J100" s="21">
        <v>0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2:25" x14ac:dyDescent="0.25">
      <c r="B101" s="35" t="s">
        <v>78</v>
      </c>
      <c r="C101" s="35"/>
      <c r="D101" s="35"/>
      <c r="E101" s="35"/>
      <c r="F101" s="35"/>
      <c r="G101" s="22">
        <v>0.1</v>
      </c>
      <c r="H101" s="22">
        <v>0</v>
      </c>
      <c r="I101" s="22">
        <v>3.8</v>
      </c>
      <c r="J101" s="20">
        <f>I101</f>
        <v>3.8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2:25" x14ac:dyDescent="0.25">
      <c r="B102" s="1" t="s">
        <v>79</v>
      </c>
      <c r="G102" s="6">
        <v>0</v>
      </c>
      <c r="H102" s="6">
        <v>3.1</v>
      </c>
      <c r="I102" s="6">
        <v>0</v>
      </c>
      <c r="J102" s="20">
        <f t="shared" ref="J102" si="4">I102</f>
        <v>0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2:25" x14ac:dyDescent="0.25">
      <c r="B103" s="1" t="s">
        <v>80</v>
      </c>
      <c r="G103" s="6">
        <f t="shared" ref="G103:I103" si="5">G104+G106+G107+G108+G110</f>
        <v>513.5</v>
      </c>
      <c r="H103" s="6">
        <f t="shared" si="5"/>
        <v>561.4</v>
      </c>
      <c r="I103" s="6">
        <f t="shared" si="5"/>
        <v>515.20000000000005</v>
      </c>
      <c r="J103" s="6">
        <f>J104+J106+J107+J108+J110</f>
        <v>512.71364382662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2:25" outlineLevel="1" x14ac:dyDescent="0.25">
      <c r="B104" s="29" t="s">
        <v>211</v>
      </c>
      <c r="C104" s="30"/>
      <c r="D104" s="30"/>
      <c r="E104" s="30"/>
      <c r="F104" s="30"/>
      <c r="G104" s="31">
        <v>223.3</v>
      </c>
      <c r="H104" s="31">
        <v>241.8</v>
      </c>
      <c r="I104" s="31">
        <v>219</v>
      </c>
      <c r="J104" s="31">
        <f>I104+J105*J$11</f>
        <v>195.37894045534151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2:25" outlineLevel="1" x14ac:dyDescent="0.25">
      <c r="B105" s="80" t="s">
        <v>216</v>
      </c>
      <c r="C105" s="78"/>
      <c r="D105" s="78"/>
      <c r="E105" s="78"/>
      <c r="F105" s="78"/>
      <c r="G105" s="79"/>
      <c r="H105" s="79"/>
      <c r="I105" s="81">
        <f>(I104-H104)/I$11</f>
        <v>-1.2478108581436083E-2</v>
      </c>
      <c r="J105" s="72">
        <f>I105</f>
        <v>-1.2478108581436083E-2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2:25" outlineLevel="1" x14ac:dyDescent="0.25">
      <c r="B106" s="87" t="s">
        <v>212</v>
      </c>
      <c r="C106" s="88"/>
      <c r="D106" s="88"/>
      <c r="E106" s="88"/>
      <c r="F106" s="88"/>
      <c r="G106" s="89">
        <v>16.600000000000001</v>
      </c>
      <c r="H106" s="89">
        <v>16</v>
      </c>
      <c r="I106" s="89">
        <v>38.200000000000003</v>
      </c>
      <c r="J106" s="33">
        <f>I106</f>
        <v>38.200000000000003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2:25" outlineLevel="1" x14ac:dyDescent="0.25">
      <c r="B107" s="87" t="s">
        <v>213</v>
      </c>
      <c r="C107" s="88"/>
      <c r="D107" s="88"/>
      <c r="E107" s="88"/>
      <c r="F107" s="88"/>
      <c r="G107" s="89">
        <v>3.2</v>
      </c>
      <c r="H107" s="89">
        <v>36.6</v>
      </c>
      <c r="I107" s="89">
        <v>14.9</v>
      </c>
      <c r="J107" s="33">
        <f>I107</f>
        <v>14.9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2:25" outlineLevel="1" x14ac:dyDescent="0.25">
      <c r="B108" s="29" t="s">
        <v>218</v>
      </c>
      <c r="C108" s="30"/>
      <c r="D108" s="30"/>
      <c r="E108" s="30"/>
      <c r="F108" s="30"/>
      <c r="G108" s="31">
        <v>48.9</v>
      </c>
      <c r="H108" s="31">
        <v>46.9</v>
      </c>
      <c r="I108" s="31">
        <v>35.299999999999997</v>
      </c>
      <c r="J108" s="31">
        <f>J109*J$11</f>
        <v>42.580067863397538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2:25" outlineLevel="1" x14ac:dyDescent="0.25">
      <c r="B109" s="98" t="s">
        <v>230</v>
      </c>
      <c r="C109" s="78"/>
      <c r="D109" s="78"/>
      <c r="E109" s="78"/>
      <c r="F109" s="78"/>
      <c r="G109" s="79"/>
      <c r="H109" s="79"/>
      <c r="I109" s="81">
        <f>AVERAGE(I108,H108)/I$11</f>
        <v>2.249343257443082E-2</v>
      </c>
      <c r="J109" s="72">
        <f>I109</f>
        <v>2.249343257443082E-2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2:25" outlineLevel="1" x14ac:dyDescent="0.25">
      <c r="B110" s="29" t="s">
        <v>214</v>
      </c>
      <c r="C110" s="30"/>
      <c r="D110" s="30"/>
      <c r="E110" s="30"/>
      <c r="F110" s="30"/>
      <c r="G110" s="31">
        <v>221.5</v>
      </c>
      <c r="H110" s="31">
        <v>220.1</v>
      </c>
      <c r="I110" s="31">
        <v>207.8</v>
      </c>
      <c r="J110" s="31">
        <f>J111*J11/365</f>
        <v>221.6546355078809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2:25" outlineLevel="1" x14ac:dyDescent="0.25">
      <c r="B111" s="127" t="s">
        <v>215</v>
      </c>
      <c r="C111" s="128"/>
      <c r="D111" s="128"/>
      <c r="E111" s="128"/>
      <c r="F111" s="128"/>
      <c r="G111" s="129"/>
      <c r="H111" s="130">
        <f>AVERAGE(H110,G110)*365/H11</f>
        <v>43.553826199740591</v>
      </c>
      <c r="I111" s="130">
        <f>AVERAGE(I110,H110)*365/I11</f>
        <v>42.738479640980735</v>
      </c>
      <c r="J111" s="86">
        <f>I111</f>
        <v>42.738479640980735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2:25" x14ac:dyDescent="0.25">
      <c r="B112" s="1" t="s">
        <v>81</v>
      </c>
      <c r="G112" s="6">
        <v>20.8</v>
      </c>
      <c r="H112" s="6">
        <v>29.2</v>
      </c>
      <c r="I112" s="6">
        <v>30.8</v>
      </c>
      <c r="J112" s="6">
        <f>J113*J28/365</f>
        <v>31.080341506129596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2:25" outlineLevel="1" x14ac:dyDescent="0.25">
      <c r="B113" s="82" t="s">
        <v>210</v>
      </c>
      <c r="C113" s="83"/>
      <c r="D113" s="83"/>
      <c r="E113" s="83"/>
      <c r="F113" s="83"/>
      <c r="G113" s="84"/>
      <c r="H113" s="85">
        <f>AVERAGE(H112,G112)*365/H28</f>
        <v>133.40643274853801</v>
      </c>
      <c r="I113" s="85">
        <f>AVERAGE(I112,H112)*365/I28</f>
        <v>144.84126984126985</v>
      </c>
      <c r="J113" s="86">
        <f>I113</f>
        <v>144.84126984126985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2:25" x14ac:dyDescent="0.25">
      <c r="B114" s="12" t="s">
        <v>82</v>
      </c>
      <c r="C114" s="12"/>
      <c r="D114" s="12"/>
      <c r="E114" s="12"/>
      <c r="F114" s="12"/>
      <c r="G114" s="13">
        <f>G96+G101+G102+G103+G112</f>
        <v>575.4</v>
      </c>
      <c r="H114" s="13">
        <f>H96+H101+H102+H103+H112</f>
        <v>642.30000000000007</v>
      </c>
      <c r="I114" s="13">
        <f>I96+I101+I102+I103+I112</f>
        <v>606</v>
      </c>
      <c r="J114" s="13">
        <f ca="1">J96+J101+J102+J103+J112</f>
        <v>567.59398533274975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2:25" x14ac:dyDescent="0.25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2:25" x14ac:dyDescent="0.25">
      <c r="B116" s="1" t="s">
        <v>114</v>
      </c>
      <c r="G116" s="6">
        <v>90.9</v>
      </c>
      <c r="H116" s="6">
        <v>91.4</v>
      </c>
      <c r="I116" s="6">
        <v>91.4</v>
      </c>
      <c r="J116" s="22">
        <f>I116+J196</f>
        <v>91.4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2:25" x14ac:dyDescent="0.25">
      <c r="B117" s="1" t="s">
        <v>83</v>
      </c>
      <c r="G117" s="6">
        <v>124.2</v>
      </c>
      <c r="H117" s="6">
        <v>153.80000000000001</v>
      </c>
      <c r="I117" s="6">
        <v>164</v>
      </c>
      <c r="J117" s="22">
        <f>I117-J214-J23</f>
        <v>146.49789550496203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2:25" x14ac:dyDescent="0.25">
      <c r="B118" s="1" t="s">
        <v>84</v>
      </c>
      <c r="G118" s="6">
        <v>9085.6</v>
      </c>
      <c r="H118" s="6">
        <v>9580.7999999999993</v>
      </c>
      <c r="I118" s="6">
        <v>9875.2000000000007</v>
      </c>
      <c r="J118" s="22">
        <f>I118-J212-J196-J20-J194</f>
        <v>10234.889623458246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2:25" x14ac:dyDescent="0.25">
      <c r="B119" s="1" t="s">
        <v>85</v>
      </c>
      <c r="G119" s="6">
        <v>0</v>
      </c>
      <c r="H119" s="6">
        <v>128.80000000000001</v>
      </c>
      <c r="I119" s="6">
        <v>130.80000000000001</v>
      </c>
      <c r="J119" s="22">
        <f>I119-J215-J21</f>
        <v>227.07035901926446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2:25" x14ac:dyDescent="0.25">
      <c r="B120" s="35" t="s">
        <v>78</v>
      </c>
      <c r="C120" s="35"/>
      <c r="D120" s="35"/>
      <c r="E120" s="35"/>
      <c r="F120" s="35"/>
      <c r="G120" s="22">
        <v>68.400000000000006</v>
      </c>
      <c r="H120" s="22">
        <v>65.5</v>
      </c>
      <c r="I120" s="22">
        <v>37.1</v>
      </c>
      <c r="J120" s="20">
        <f>I120</f>
        <v>37.1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2:25" x14ac:dyDescent="0.25">
      <c r="B121" s="1" t="s">
        <v>80</v>
      </c>
      <c r="G121" s="22">
        <f>+G122+G123+G124+G125</f>
        <v>204</v>
      </c>
      <c r="H121" s="22">
        <f>+H122+H123+H124+H125</f>
        <v>117.79999999999998</v>
      </c>
      <c r="I121" s="22">
        <f>+I122+I123+I124+I125</f>
        <v>101.5</v>
      </c>
      <c r="J121" s="22">
        <f>+J122+J123+J124+J125</f>
        <v>105.14072351138354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2:25" outlineLevel="1" x14ac:dyDescent="0.25">
      <c r="B122" s="29" t="s">
        <v>217</v>
      </c>
      <c r="C122" s="30"/>
      <c r="D122" s="30"/>
      <c r="E122" s="30"/>
      <c r="F122" s="30"/>
      <c r="G122" s="31">
        <v>142</v>
      </c>
      <c r="H122" s="31">
        <v>92.6</v>
      </c>
      <c r="I122" s="31">
        <v>84</v>
      </c>
      <c r="J122" s="90">
        <f>J612</f>
        <v>87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2:25" outlineLevel="1" x14ac:dyDescent="0.25">
      <c r="B123" s="87" t="s">
        <v>212</v>
      </c>
      <c r="C123" s="88"/>
      <c r="D123" s="88"/>
      <c r="E123" s="88"/>
      <c r="F123" s="88"/>
      <c r="G123" s="89">
        <v>14.4</v>
      </c>
      <c r="H123" s="89">
        <v>14.1</v>
      </c>
      <c r="I123" s="89">
        <v>6.9</v>
      </c>
      <c r="J123" s="33">
        <f>I123</f>
        <v>6.9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2:25" outlineLevel="1" x14ac:dyDescent="0.25">
      <c r="B124" s="87" t="s">
        <v>213</v>
      </c>
      <c r="C124" s="88"/>
      <c r="D124" s="88"/>
      <c r="E124" s="88"/>
      <c r="F124" s="88"/>
      <c r="G124" s="89">
        <v>31.9</v>
      </c>
      <c r="H124" s="89">
        <v>0</v>
      </c>
      <c r="I124" s="89">
        <v>0</v>
      </c>
      <c r="J124" s="20">
        <f>I124</f>
        <v>0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2:25" outlineLevel="1" x14ac:dyDescent="0.25">
      <c r="B125" s="29" t="s">
        <v>218</v>
      </c>
      <c r="C125" s="30"/>
      <c r="D125" s="30"/>
      <c r="E125" s="30"/>
      <c r="F125" s="30"/>
      <c r="G125" s="31">
        <v>15.7</v>
      </c>
      <c r="H125" s="31">
        <v>11.1</v>
      </c>
      <c r="I125" s="31">
        <v>10.6</v>
      </c>
      <c r="J125" s="90">
        <f>J$11*J126</f>
        <v>11.240723511383537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2:25" outlineLevel="1" x14ac:dyDescent="0.25">
      <c r="B126" s="80" t="s">
        <v>165</v>
      </c>
      <c r="C126" s="78"/>
      <c r="D126" s="78"/>
      <c r="E126" s="78"/>
      <c r="F126" s="78"/>
      <c r="G126" s="81"/>
      <c r="H126" s="81">
        <f>AVERAGE(H125,G125)/H$11</f>
        <v>7.2416774751405087E-3</v>
      </c>
      <c r="I126" s="81">
        <f>AVERAGE(I125,H125)/I$11</f>
        <v>5.9380472854640978E-3</v>
      </c>
      <c r="J126" s="21">
        <f>I126</f>
        <v>5.9380472854640978E-3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2:25" x14ac:dyDescent="0.25">
      <c r="B127" s="16" t="s">
        <v>277</v>
      </c>
      <c r="C127" s="16"/>
      <c r="D127" s="16"/>
      <c r="E127" s="16"/>
      <c r="F127" s="16"/>
      <c r="G127" s="17">
        <v>37</v>
      </c>
      <c r="H127" s="17">
        <v>0</v>
      </c>
      <c r="I127" s="17">
        <v>0</v>
      </c>
      <c r="J127" s="17">
        <v>0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2:25" x14ac:dyDescent="0.25">
      <c r="B128" s="1" t="s">
        <v>86</v>
      </c>
      <c r="G128" s="6">
        <v>18.600000000000001</v>
      </c>
      <c r="H128" s="6">
        <v>21.3</v>
      </c>
      <c r="I128" s="6">
        <v>17.100000000000001</v>
      </c>
      <c r="J128" s="22">
        <f>J456</f>
        <v>17.100000000000001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2:25" x14ac:dyDescent="0.25">
      <c r="B129" s="145" t="s">
        <v>117</v>
      </c>
      <c r="C129" s="145"/>
      <c r="D129" s="145"/>
      <c r="E129" s="145"/>
      <c r="F129" s="145"/>
      <c r="G129" s="146">
        <v>0</v>
      </c>
      <c r="H129" s="146">
        <v>0</v>
      </c>
      <c r="I129" s="146">
        <v>0</v>
      </c>
      <c r="J129" s="147">
        <f ca="1">I129+MAX(J185-J184-J187,0)</f>
        <v>0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2:25" x14ac:dyDescent="0.25">
      <c r="B130" s="12" t="s">
        <v>10</v>
      </c>
      <c r="C130" s="12"/>
      <c r="D130" s="12"/>
      <c r="E130" s="12"/>
      <c r="F130" s="12"/>
      <c r="G130" s="13">
        <f>G114+G116+G117+G118+G119+G120+G121+G127+G128+G129</f>
        <v>10204.1</v>
      </c>
      <c r="H130" s="13">
        <f t="shared" ref="H130:I130" si="6">H114+H116+H117+H118+H119+H120+H121+H127+H128+H129</f>
        <v>10801.699999999997</v>
      </c>
      <c r="I130" s="13">
        <f t="shared" si="6"/>
        <v>11023.1</v>
      </c>
      <c r="J130" s="13">
        <f ca="1">J114+J116+J117+J118+J119+J120+J121+J127+J128+J129</f>
        <v>11426.792586826607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2:25" x14ac:dyDescent="0.25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2:25" x14ac:dyDescent="0.25">
      <c r="B132" s="35" t="s">
        <v>87</v>
      </c>
      <c r="C132" s="35"/>
      <c r="D132" s="35"/>
      <c r="E132" s="35"/>
      <c r="F132" s="35"/>
      <c r="G132" s="22">
        <v>32.200000000000003</v>
      </c>
      <c r="H132" s="22">
        <v>18.899999999999999</v>
      </c>
      <c r="I132" s="22">
        <v>18</v>
      </c>
      <c r="J132" s="20">
        <f>I132</f>
        <v>18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2:25" x14ac:dyDescent="0.25">
      <c r="B133" s="35" t="s">
        <v>88</v>
      </c>
      <c r="C133" s="35"/>
      <c r="D133" s="35"/>
      <c r="E133" s="35"/>
      <c r="F133" s="35"/>
      <c r="G133" s="22">
        <v>9.3000000000000007</v>
      </c>
      <c r="H133" s="22">
        <v>0</v>
      </c>
      <c r="I133" s="22">
        <v>0.2</v>
      </c>
      <c r="J133" s="20">
        <f t="shared" ref="J133:J145" si="7">I133</f>
        <v>0.2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2:25" x14ac:dyDescent="0.25">
      <c r="B134" s="1" t="s">
        <v>92</v>
      </c>
      <c r="G134" s="22">
        <f>+G135+G137+G139+G141+G143</f>
        <v>496.7</v>
      </c>
      <c r="H134" s="22">
        <f>+H135+H137+H139+H141+H143</f>
        <v>573.6</v>
      </c>
      <c r="I134" s="22">
        <f>+I135+I137+I139+I141+I143</f>
        <v>557.09999999999991</v>
      </c>
      <c r="J134" s="22">
        <f>+J135+J137+J139+J141+J143</f>
        <v>561.76856233937042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2:25" outlineLevel="1" x14ac:dyDescent="0.25">
      <c r="B135" s="93" t="s">
        <v>224</v>
      </c>
      <c r="C135" s="92"/>
      <c r="D135" s="92"/>
      <c r="E135" s="92"/>
      <c r="F135" s="92"/>
      <c r="G135" s="90">
        <v>18.899999999999999</v>
      </c>
      <c r="H135" s="90">
        <v>16.3</v>
      </c>
      <c r="I135" s="90">
        <v>15.1</v>
      </c>
      <c r="J135" s="90">
        <f>I135+J136*J$11</f>
        <v>13.856786339754814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2:25" outlineLevel="1" x14ac:dyDescent="0.25">
      <c r="B136" s="80" t="s">
        <v>272</v>
      </c>
      <c r="C136" s="92"/>
      <c r="D136" s="92"/>
      <c r="E136" s="92"/>
      <c r="F136" s="92"/>
      <c r="G136" s="90"/>
      <c r="H136" s="97">
        <f>(H135-G135)/H$11</f>
        <v>-1.4051015996541275E-3</v>
      </c>
      <c r="I136" s="97">
        <f>(I135-H135)/I$11</f>
        <v>-6.5674255691768881E-4</v>
      </c>
      <c r="J136" s="21">
        <f>I136</f>
        <v>-6.5674255691768881E-4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2:25" outlineLevel="1" x14ac:dyDescent="0.25">
      <c r="B137" s="29" t="s">
        <v>271</v>
      </c>
      <c r="C137" s="92"/>
      <c r="D137" s="92"/>
      <c r="E137" s="92"/>
      <c r="F137" s="92"/>
      <c r="G137" s="90">
        <v>412.6</v>
      </c>
      <c r="H137" s="90">
        <v>487.6</v>
      </c>
      <c r="I137" s="90">
        <v>484.9</v>
      </c>
      <c r="J137" s="90">
        <f>I137+J138*J11</f>
        <v>482.10276926444828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2:25" outlineLevel="1" x14ac:dyDescent="0.25">
      <c r="B138" s="80" t="s">
        <v>216</v>
      </c>
      <c r="C138" s="92"/>
      <c r="D138" s="92"/>
      <c r="E138" s="92"/>
      <c r="F138" s="92"/>
      <c r="G138" s="90"/>
      <c r="H138" s="97">
        <f>(H137-G137)/H$11</f>
        <v>4.0531776913099865E-2</v>
      </c>
      <c r="I138" s="97">
        <f>(I137-H137)/I$11</f>
        <v>-1.4776707530648235E-3</v>
      </c>
      <c r="J138" s="21">
        <f>I138</f>
        <v>-1.4776707530648235E-3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2:25" outlineLevel="1" x14ac:dyDescent="0.25">
      <c r="B139" s="93" t="s">
        <v>225</v>
      </c>
      <c r="C139" s="92"/>
      <c r="D139" s="92"/>
      <c r="E139" s="92"/>
      <c r="F139" s="92"/>
      <c r="G139" s="90">
        <v>21.5</v>
      </c>
      <c r="H139" s="90">
        <v>16.600000000000001</v>
      </c>
      <c r="I139" s="90">
        <v>8.6999999999999993</v>
      </c>
      <c r="J139" s="90">
        <f>J140*J$11</f>
        <v>13.105544001751314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2:25" outlineLevel="1" x14ac:dyDescent="0.25">
      <c r="B140" s="98" t="s">
        <v>230</v>
      </c>
      <c r="C140" s="92"/>
      <c r="D140" s="92"/>
      <c r="E140" s="92"/>
      <c r="F140" s="92"/>
      <c r="G140" s="90"/>
      <c r="H140" s="97">
        <f>AVERAGE(H139,G139)/H$11</f>
        <v>1.0295071335927367E-2</v>
      </c>
      <c r="I140" s="97">
        <f>AVERAGE(I139,H139)/I$11</f>
        <v>6.9231611208406306E-3</v>
      </c>
      <c r="J140" s="21">
        <f>I140</f>
        <v>6.9231611208406306E-3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2:25" outlineLevel="1" x14ac:dyDescent="0.25">
      <c r="B141" s="93" t="s">
        <v>228</v>
      </c>
      <c r="C141" s="92"/>
      <c r="D141" s="92"/>
      <c r="E141" s="92"/>
      <c r="F141" s="92"/>
      <c r="G141" s="90">
        <v>11.5</v>
      </c>
      <c r="H141" s="90">
        <v>7.7</v>
      </c>
      <c r="I141" s="90">
        <v>7.6</v>
      </c>
      <c r="J141" s="90">
        <f>J$14*J142</f>
        <v>8.051372102943267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2:25" outlineLevel="1" x14ac:dyDescent="0.25">
      <c r="B142" s="96" t="s">
        <v>229</v>
      </c>
      <c r="C142" s="94"/>
      <c r="D142" s="94"/>
      <c r="E142" s="94"/>
      <c r="F142" s="94"/>
      <c r="G142" s="95"/>
      <c r="H142" s="97">
        <f>AVERAGE(H141,G141)/H$14</f>
        <v>0.33217993079584773</v>
      </c>
      <c r="I142" s="97">
        <f>AVERAGE(I141,H141)/I$14</f>
        <v>0.27321428571428574</v>
      </c>
      <c r="J142" s="21">
        <f>I142</f>
        <v>0.27321428571428574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2:25" outlineLevel="1" x14ac:dyDescent="0.25">
      <c r="B143" s="93" t="s">
        <v>226</v>
      </c>
      <c r="C143" s="92"/>
      <c r="D143" s="92"/>
      <c r="E143" s="92"/>
      <c r="F143" s="92"/>
      <c r="G143" s="90">
        <v>32.200000000000003</v>
      </c>
      <c r="H143" s="90">
        <v>45.4</v>
      </c>
      <c r="I143" s="90">
        <v>40.799999999999997</v>
      </c>
      <c r="J143" s="90">
        <f>J144/365*J$28</f>
        <v>44.652090630472848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2:25" outlineLevel="1" x14ac:dyDescent="0.25">
      <c r="B144" s="123" t="s">
        <v>227</v>
      </c>
      <c r="C144" s="124"/>
      <c r="D144" s="124"/>
      <c r="E144" s="124"/>
      <c r="F144" s="124"/>
      <c r="G144" s="125"/>
      <c r="H144" s="126">
        <f>AVERAGE(H143,G143)*365/H$28</f>
        <v>207.04678362573094</v>
      </c>
      <c r="I144" s="126">
        <f>AVERAGE(I143,H143)*365/I$28</f>
        <v>208.08862433862433</v>
      </c>
      <c r="J144" s="86">
        <f>I144</f>
        <v>208.08862433862433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2:25" x14ac:dyDescent="0.25">
      <c r="B145" s="35" t="s">
        <v>78</v>
      </c>
      <c r="C145" s="16"/>
      <c r="D145" s="16"/>
      <c r="E145" s="16"/>
      <c r="F145" s="16"/>
      <c r="G145" s="17">
        <v>0</v>
      </c>
      <c r="H145" s="17">
        <v>4.4000000000000004</v>
      </c>
      <c r="I145" s="22">
        <v>0</v>
      </c>
      <c r="J145" s="20">
        <f t="shared" si="7"/>
        <v>0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2:25" x14ac:dyDescent="0.25">
      <c r="B146" s="1" t="s">
        <v>89</v>
      </c>
      <c r="G146" s="6">
        <f>G147+G148+G149</f>
        <v>192.9</v>
      </c>
      <c r="H146" s="6">
        <f>H147+H148+H149</f>
        <v>469.6</v>
      </c>
      <c r="I146" s="6">
        <f>I147+I148+I149</f>
        <v>495.4</v>
      </c>
      <c r="J146" s="22">
        <f>+J147+J148+J149</f>
        <v>495.4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2:25" outlineLevel="1" x14ac:dyDescent="0.25">
      <c r="B147" s="29" t="s">
        <v>121</v>
      </c>
      <c r="C147" s="30"/>
      <c r="D147" s="30"/>
      <c r="E147" s="30"/>
      <c r="F147" s="30"/>
      <c r="G147" s="31">
        <v>188.7</v>
      </c>
      <c r="H147" s="31">
        <v>469.5</v>
      </c>
      <c r="I147" s="31">
        <v>232</v>
      </c>
      <c r="J147" s="120">
        <f t="shared" ref="J147:J148" si="8">J620</f>
        <v>232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2:25" outlineLevel="1" x14ac:dyDescent="0.25">
      <c r="B148" s="29" t="s">
        <v>122</v>
      </c>
      <c r="C148" s="30"/>
      <c r="D148" s="30"/>
      <c r="E148" s="30"/>
      <c r="F148" s="30"/>
      <c r="G148" s="31">
        <v>2.8</v>
      </c>
      <c r="H148" s="31">
        <v>0.1</v>
      </c>
      <c r="I148" s="31">
        <v>251.2</v>
      </c>
      <c r="J148" s="120">
        <f t="shared" si="8"/>
        <v>251.2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2:25" outlineLevel="1" x14ac:dyDescent="0.25">
      <c r="B149" s="29" t="s">
        <v>123</v>
      </c>
      <c r="C149" s="30"/>
      <c r="D149" s="30"/>
      <c r="E149" s="30"/>
      <c r="F149" s="30"/>
      <c r="G149" s="31">
        <v>1.4</v>
      </c>
      <c r="H149" s="31">
        <v>0</v>
      </c>
      <c r="I149" s="31">
        <v>12.2</v>
      </c>
      <c r="J149" s="120">
        <f>J622</f>
        <v>12.2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2:25" x14ac:dyDescent="0.25">
      <c r="B150" s="26" t="s">
        <v>113</v>
      </c>
      <c r="G150" s="6">
        <v>4.0999999999999996</v>
      </c>
      <c r="H150" s="6">
        <v>5.8</v>
      </c>
      <c r="I150" s="6">
        <v>7.7</v>
      </c>
      <c r="J150" s="6">
        <f>J599</f>
        <v>6.3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2:25" x14ac:dyDescent="0.25">
      <c r="B151" s="12" t="s">
        <v>90</v>
      </c>
      <c r="C151" s="12"/>
      <c r="D151" s="12"/>
      <c r="E151" s="12"/>
      <c r="F151" s="12"/>
      <c r="G151" s="13">
        <f>G132+G133+G134+G145+G146+G150</f>
        <v>735.2</v>
      </c>
      <c r="H151" s="13">
        <f>H132+H133+H134+H145+H146+H150</f>
        <v>1072.3</v>
      </c>
      <c r="I151" s="13">
        <f>I132+I133+I134+I145+I146+I150</f>
        <v>1078.3999999999999</v>
      </c>
      <c r="J151" s="13">
        <f>J132+J133+J134+J145+J146+J150</f>
        <v>1081.6685623393703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2:25" x14ac:dyDescent="0.25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2:25" x14ac:dyDescent="0.25">
      <c r="B153" s="1" t="s">
        <v>91</v>
      </c>
      <c r="G153" s="6">
        <f>+G154+G155</f>
        <v>5749.0999999999995</v>
      </c>
      <c r="H153" s="6">
        <f>+H154+H155</f>
        <v>5840.7999999999993</v>
      </c>
      <c r="I153" s="6">
        <f>+I154+I155</f>
        <v>5999.2000000000007</v>
      </c>
      <c r="J153" s="6">
        <f ca="1">J154+J155</f>
        <v>6308.1245979512059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2:25" outlineLevel="1" x14ac:dyDescent="0.25">
      <c r="B154" s="29" t="s">
        <v>121</v>
      </c>
      <c r="C154" s="30"/>
      <c r="D154" s="30"/>
      <c r="E154" s="30"/>
      <c r="F154" s="30"/>
      <c r="G154" s="31">
        <v>931.4</v>
      </c>
      <c r="H154" s="31">
        <v>782.4</v>
      </c>
      <c r="I154" s="31">
        <v>779.1</v>
      </c>
      <c r="J154" s="34">
        <f ca="1">J624</f>
        <v>1339.2245979512049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2:25" outlineLevel="1" x14ac:dyDescent="0.25">
      <c r="B155" s="29" t="s">
        <v>122</v>
      </c>
      <c r="C155" s="30"/>
      <c r="D155" s="30"/>
      <c r="E155" s="30"/>
      <c r="F155" s="30"/>
      <c r="G155" s="31">
        <v>4817.7</v>
      </c>
      <c r="H155" s="31">
        <v>5058.3999999999996</v>
      </c>
      <c r="I155" s="31">
        <v>5220.1000000000004</v>
      </c>
      <c r="J155" s="34">
        <f>J625</f>
        <v>4968.9000000000005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2:25" x14ac:dyDescent="0.25">
      <c r="B156" s="26" t="s">
        <v>113</v>
      </c>
      <c r="G156" s="6">
        <v>108.1</v>
      </c>
      <c r="H156" s="6">
        <v>116.9</v>
      </c>
      <c r="I156" s="6">
        <v>113.6</v>
      </c>
      <c r="J156" s="6">
        <f>J600</f>
        <v>109.4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2:25" x14ac:dyDescent="0.25">
      <c r="B157" s="35" t="s">
        <v>78</v>
      </c>
      <c r="C157" s="35"/>
      <c r="D157" s="35"/>
      <c r="E157" s="35"/>
      <c r="F157" s="35"/>
      <c r="G157" s="22">
        <v>126.5</v>
      </c>
      <c r="H157" s="22">
        <v>159.19999999999999</v>
      </c>
      <c r="I157" s="22">
        <v>126.9</v>
      </c>
      <c r="J157" s="20">
        <f>I157</f>
        <v>126.9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2:25" x14ac:dyDescent="0.25">
      <c r="B158" s="1" t="s">
        <v>92</v>
      </c>
      <c r="G158" s="6">
        <f>G159+G161+G163</f>
        <v>1082.9000000000001</v>
      </c>
      <c r="H158" s="6">
        <f>H159+H161+H163</f>
        <v>1187.3</v>
      </c>
      <c r="I158" s="6">
        <f>I159+I161+I163</f>
        <v>1250.3</v>
      </c>
      <c r="J158" s="6">
        <f>J159+J161+J163</f>
        <v>1322.302791155867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2:25" outlineLevel="1" x14ac:dyDescent="0.25">
      <c r="B159" s="29" t="s">
        <v>224</v>
      </c>
      <c r="C159" s="30"/>
      <c r="D159" s="30"/>
      <c r="E159" s="30"/>
      <c r="F159" s="30"/>
      <c r="G159" s="31">
        <v>1074.0999999999999</v>
      </c>
      <c r="H159" s="31">
        <v>1172</v>
      </c>
      <c r="I159" s="31">
        <v>1244</v>
      </c>
      <c r="J159" s="90">
        <f>I159+J160*J$11</f>
        <v>1318.5928196147111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2:25" outlineLevel="1" x14ac:dyDescent="0.25">
      <c r="B160" s="80" t="s">
        <v>273</v>
      </c>
      <c r="C160" s="30"/>
      <c r="D160" s="30"/>
      <c r="E160" s="30"/>
      <c r="F160" s="30"/>
      <c r="G160" s="31"/>
      <c r="H160" s="97">
        <f>(H159-G159)/H$11</f>
        <v>5.2907479463899745E-2</v>
      </c>
      <c r="I160" s="97">
        <f>(I159-H159)/I$11</f>
        <v>3.9404553415061293E-2</v>
      </c>
      <c r="J160" s="21">
        <f>I160</f>
        <v>3.9404553415061293E-2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2:25" outlineLevel="1" x14ac:dyDescent="0.25">
      <c r="B161" s="29" t="s">
        <v>271</v>
      </c>
      <c r="C161" s="30"/>
      <c r="D161" s="30"/>
      <c r="E161" s="30"/>
      <c r="F161" s="30"/>
      <c r="G161" s="31">
        <v>0.4</v>
      </c>
      <c r="H161" s="31">
        <v>8.8000000000000007</v>
      </c>
      <c r="I161" s="31">
        <v>6.3</v>
      </c>
      <c r="J161" s="90">
        <f>I161+J$11*J162</f>
        <v>3.7099715411558658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2:25" outlineLevel="1" x14ac:dyDescent="0.25">
      <c r="B162" s="80" t="s">
        <v>216</v>
      </c>
      <c r="C162" s="30"/>
      <c r="D162" s="30"/>
      <c r="E162" s="30"/>
      <c r="F162" s="30"/>
      <c r="G162" s="31"/>
      <c r="H162" s="97">
        <f>(H161-G161)/H$11</f>
        <v>4.5395590142671858E-3</v>
      </c>
      <c r="I162" s="97">
        <f>(I161-H161)/I$11</f>
        <v>-1.3682136602451843E-3</v>
      </c>
      <c r="J162" s="21">
        <f>I162</f>
        <v>-1.3682136602451843E-3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2:25" outlineLevel="1" x14ac:dyDescent="0.25">
      <c r="B163" s="29" t="s">
        <v>225</v>
      </c>
      <c r="C163" s="30"/>
      <c r="D163" s="30"/>
      <c r="E163" s="30"/>
      <c r="F163" s="30"/>
      <c r="G163" s="31">
        <v>8.4</v>
      </c>
      <c r="H163" s="31">
        <v>6.5</v>
      </c>
      <c r="I163" s="31">
        <v>0</v>
      </c>
      <c r="J163" s="90">
        <f>J$11*J164</f>
        <v>0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2:25" outlineLevel="1" x14ac:dyDescent="0.25">
      <c r="B164" s="80" t="s">
        <v>272</v>
      </c>
      <c r="C164" s="30"/>
      <c r="D164" s="30"/>
      <c r="E164" s="30"/>
      <c r="F164" s="30"/>
      <c r="G164" s="31"/>
      <c r="H164" s="97">
        <f>AVERAGE(H163,G163)/H$11</f>
        <v>4.0261565067012534E-3</v>
      </c>
      <c r="I164" s="97">
        <f>AVERAGE(I163,H163)/I$11</f>
        <v>1.778677758318739E-3</v>
      </c>
      <c r="J164" s="21">
        <v>0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2:25" x14ac:dyDescent="0.25">
      <c r="B165" s="1" t="s">
        <v>93</v>
      </c>
      <c r="G165" s="6">
        <v>747.5</v>
      </c>
      <c r="H165" s="6">
        <v>901.1</v>
      </c>
      <c r="I165" s="6">
        <v>906</v>
      </c>
      <c r="J165" s="22">
        <f ca="1">I165+MAX(J184-J185+J187,0)</f>
        <v>929.03354579127097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2:25" x14ac:dyDescent="0.25">
      <c r="B166" s="1" t="s">
        <v>94</v>
      </c>
      <c r="G166" s="6">
        <v>471.5</v>
      </c>
      <c r="H166" s="6">
        <v>255.3</v>
      </c>
      <c r="I166" s="6">
        <v>384.8</v>
      </c>
      <c r="J166" s="22">
        <f>-J457</f>
        <v>252.22681950389787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2:25" x14ac:dyDescent="0.25">
      <c r="B167" s="1" t="s">
        <v>87</v>
      </c>
      <c r="G167" s="6">
        <v>19.2</v>
      </c>
      <c r="H167" s="6">
        <v>25.1</v>
      </c>
      <c r="I167" s="6">
        <v>25.2</v>
      </c>
      <c r="J167" s="20">
        <f t="shared" ref="J167" si="9">I167</f>
        <v>25.2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2:25" x14ac:dyDescent="0.25">
      <c r="B168" s="12" t="s">
        <v>11</v>
      </c>
      <c r="C168" s="12"/>
      <c r="D168" s="12"/>
      <c r="E168" s="12"/>
      <c r="F168" s="12"/>
      <c r="G168" s="13">
        <f>G151+G153+G156+G157+G158+G165+G166+G167</f>
        <v>9040</v>
      </c>
      <c r="H168" s="13">
        <f>H151+H153+H156+H157+H158+H165+H166+H167</f>
        <v>9557.9999999999982</v>
      </c>
      <c r="I168" s="13">
        <f>I151+I153+I156+I157+I158+I165+I166+I167</f>
        <v>9884.4</v>
      </c>
      <c r="J168" s="13">
        <f ca="1">J151+J153+J156+J157+J158+J165+J166+J167</f>
        <v>10154.856316741612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2:25" x14ac:dyDescent="0.25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2:25" x14ac:dyDescent="0.25">
      <c r="B170" s="1" t="s">
        <v>95</v>
      </c>
      <c r="G170" s="6">
        <v>235.9</v>
      </c>
      <c r="H170" s="6">
        <v>236.5</v>
      </c>
      <c r="I170" s="6">
        <v>237.2</v>
      </c>
      <c r="J170" s="6">
        <f>I170</f>
        <v>237.2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2:25" x14ac:dyDescent="0.25">
      <c r="B171" s="1" t="s">
        <v>96</v>
      </c>
      <c r="G171" s="6">
        <v>128</v>
      </c>
      <c r="H171" s="6">
        <v>137</v>
      </c>
      <c r="I171" s="6">
        <v>148.1</v>
      </c>
      <c r="J171" s="6">
        <f>I171</f>
        <v>148.1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2:25" x14ac:dyDescent="0.25">
      <c r="B172" s="1" t="s">
        <v>97</v>
      </c>
      <c r="G172" s="6">
        <v>92.8</v>
      </c>
      <c r="H172" s="6">
        <v>67.900000000000006</v>
      </c>
      <c r="I172" s="6">
        <v>101.7</v>
      </c>
      <c r="J172" s="6">
        <f>I172</f>
        <v>101.7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2:25" x14ac:dyDescent="0.25">
      <c r="B173" s="1" t="s">
        <v>98</v>
      </c>
      <c r="G173" s="6">
        <v>707.4</v>
      </c>
      <c r="H173" s="6">
        <v>802.3</v>
      </c>
      <c r="I173" s="6">
        <v>651.70000000000005</v>
      </c>
      <c r="J173" s="6">
        <f ca="1">I173+J88+J200+J231+J229+J459</f>
        <v>784.93627008499402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2:25" x14ac:dyDescent="0.25">
      <c r="B174" s="12" t="s">
        <v>12</v>
      </c>
      <c r="C174" s="12"/>
      <c r="D174" s="12"/>
      <c r="E174" s="12"/>
      <c r="F174" s="12"/>
      <c r="G174" s="13">
        <f>G170+G171+G172+G173</f>
        <v>1164.0999999999999</v>
      </c>
      <c r="H174" s="13">
        <f>H170+H171+H172+H173</f>
        <v>1243.6999999999998</v>
      </c>
      <c r="I174" s="13">
        <f>I170+I171+I172+I173</f>
        <v>1138.7</v>
      </c>
      <c r="J174" s="13">
        <f ca="1">J170+J171+J172+J173</f>
        <v>1271.936270084994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2:25" x14ac:dyDescent="0.25">
      <c r="B175" s="1" t="s">
        <v>13</v>
      </c>
      <c r="G175" s="6">
        <f>G168+G174</f>
        <v>10204.1</v>
      </c>
      <c r="H175" s="6">
        <f>H168+H174</f>
        <v>10801.699999999997</v>
      </c>
      <c r="I175" s="6">
        <f>I168+I174</f>
        <v>11023.1</v>
      </c>
      <c r="J175" s="6">
        <f ca="1">J168+J174</f>
        <v>11426.792586826607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2:25" x14ac:dyDescent="0.25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x14ac:dyDescent="0.25">
      <c r="B177" s="69" t="s">
        <v>14</v>
      </c>
      <c r="C177" s="69"/>
      <c r="D177" s="69"/>
      <c r="E177" s="69"/>
      <c r="F177" s="69"/>
      <c r="G177" s="70">
        <f>ROUND(G130-G175,5)</f>
        <v>0</v>
      </c>
      <c r="H177" s="70">
        <f>ROUND(H130-H175,5)</f>
        <v>0</v>
      </c>
      <c r="I177" s="70">
        <f>ROUND(I130-I175,5)</f>
        <v>0</v>
      </c>
      <c r="J177" s="70">
        <f ca="1">ROUND(J130-J175,5)</f>
        <v>0</v>
      </c>
      <c r="K177" s="122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x14ac:dyDescent="0.25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8.75" x14ac:dyDescent="0.3">
      <c r="A179" s="39" t="s">
        <v>141</v>
      </c>
      <c r="B179" s="2" t="s">
        <v>15</v>
      </c>
      <c r="C179" s="2"/>
      <c r="D179" s="2"/>
      <c r="E179" s="2"/>
      <c r="F179" s="2"/>
      <c r="G179" s="9">
        <f t="shared" ref="G179:J180" si="10">G6</f>
        <v>19</v>
      </c>
      <c r="H179" s="9">
        <f t="shared" si="10"/>
        <v>20</v>
      </c>
      <c r="I179" s="9">
        <f t="shared" si="10"/>
        <v>21</v>
      </c>
      <c r="J179" s="3">
        <f t="shared" si="10"/>
        <v>22</v>
      </c>
      <c r="K179" s="42" t="s">
        <v>141</v>
      </c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x14ac:dyDescent="0.25">
      <c r="B180" s="4" t="s">
        <v>1</v>
      </c>
      <c r="C180" s="4"/>
      <c r="D180" s="4"/>
      <c r="E180" s="4"/>
      <c r="F180" s="4"/>
      <c r="G180" s="8">
        <f t="shared" si="10"/>
        <v>43543</v>
      </c>
      <c r="H180" s="8">
        <f t="shared" si="10"/>
        <v>43910</v>
      </c>
      <c r="I180" s="8">
        <f t="shared" si="10"/>
        <v>44275</v>
      </c>
      <c r="J180" s="38">
        <f t="shared" si="10"/>
        <v>44621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x14ac:dyDescent="0.25">
      <c r="B181" s="1" t="s">
        <v>8</v>
      </c>
      <c r="G181" s="6">
        <f>G88</f>
        <v>315.30000000000041</v>
      </c>
      <c r="H181" s="6">
        <f>H88</f>
        <v>158.80000000000032</v>
      </c>
      <c r="I181" s="6">
        <f>I88</f>
        <v>215.19999999999982</v>
      </c>
      <c r="J181" s="6">
        <f ca="1">J88</f>
        <v>263.20848129340027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x14ac:dyDescent="0.25">
      <c r="B182" s="44" t="s">
        <v>16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x14ac:dyDescent="0.25">
      <c r="B183" s="43" t="s">
        <v>17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x14ac:dyDescent="0.25">
      <c r="B184" s="63" t="s">
        <v>240</v>
      </c>
      <c r="G184" s="6">
        <f>G75</f>
        <v>69.400000000000006</v>
      </c>
      <c r="H184" s="6">
        <f>H75</f>
        <v>151.9</v>
      </c>
      <c r="I184" s="6">
        <f>I75</f>
        <v>55</v>
      </c>
      <c r="J184" s="6">
        <f ca="1">J75</f>
        <v>42.024883567853827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x14ac:dyDescent="0.25">
      <c r="B185" s="63" t="s">
        <v>18</v>
      </c>
      <c r="G185" s="6">
        <v>21.3</v>
      </c>
      <c r="H185" s="6">
        <v>34.299999999999997</v>
      </c>
      <c r="I185" s="6">
        <v>23.2</v>
      </c>
      <c r="J185" s="6">
        <f ca="1">J186*J73</f>
        <v>18.991337776582832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x14ac:dyDescent="0.25">
      <c r="B186" s="108" t="s">
        <v>243</v>
      </c>
      <c r="C186" s="36"/>
      <c r="D186" s="36"/>
      <c r="E186" s="36"/>
      <c r="F186" s="36"/>
      <c r="G186" s="19">
        <f>G185/G$73</f>
        <v>5.5367819079802393E-2</v>
      </c>
      <c r="H186" s="19">
        <f>H185/H$73</f>
        <v>0.11039588027035713</v>
      </c>
      <c r="I186" s="19">
        <f>I185/I$73</f>
        <v>8.5862324204293169E-2</v>
      </c>
      <c r="J186" s="21">
        <f>I186</f>
        <v>8.5862324204293169E-2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x14ac:dyDescent="0.25">
      <c r="B187" s="63" t="s">
        <v>19</v>
      </c>
      <c r="G187" s="6">
        <v>0</v>
      </c>
      <c r="H187" s="6">
        <v>0.4</v>
      </c>
      <c r="I187" s="6">
        <v>0</v>
      </c>
      <c r="J187" s="20">
        <v>0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x14ac:dyDescent="0.25">
      <c r="B188" s="64" t="s">
        <v>20</v>
      </c>
      <c r="C188" s="10"/>
      <c r="D188" s="10"/>
      <c r="E188" s="10"/>
      <c r="F188" s="10"/>
      <c r="G188" s="11">
        <f>G184-G185+G187</f>
        <v>48.100000000000009</v>
      </c>
      <c r="H188" s="11">
        <f>H184-H185+H187</f>
        <v>118.00000000000001</v>
      </c>
      <c r="I188" s="11">
        <f>I184-I185+I187</f>
        <v>31.8</v>
      </c>
      <c r="J188" s="11">
        <f ca="1">J184-J185+J187</f>
        <v>23.033545791270996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x14ac:dyDescent="0.25">
      <c r="B189" s="43" t="s">
        <v>76</v>
      </c>
      <c r="G189" s="6">
        <f>-G69</f>
        <v>0</v>
      </c>
      <c r="H189" s="6">
        <f>-H69</f>
        <v>4.9000000000000004</v>
      </c>
      <c r="I189" s="6">
        <f>-I69</f>
        <v>-3.6</v>
      </c>
      <c r="J189" s="6">
        <f>-J69</f>
        <v>0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x14ac:dyDescent="0.25">
      <c r="B190" s="43" t="s">
        <v>5</v>
      </c>
      <c r="G190" s="6">
        <f t="shared" ref="G190:I191" si="11">-G70</f>
        <v>-16</v>
      </c>
      <c r="H190" s="6">
        <f t="shared" si="11"/>
        <v>17.399999999999999</v>
      </c>
      <c r="I190" s="6">
        <f t="shared" si="11"/>
        <v>3.2</v>
      </c>
      <c r="J190" s="6">
        <f>-((J101-I101)+(J120-I120))+((J145-I145)+(J157-I157))</f>
        <v>0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x14ac:dyDescent="0.25">
      <c r="B191" s="43" t="s">
        <v>6</v>
      </c>
      <c r="G191" s="6">
        <f t="shared" si="11"/>
        <v>0.4</v>
      </c>
      <c r="H191" s="6">
        <f t="shared" si="11"/>
        <v>46.8</v>
      </c>
      <c r="I191" s="6">
        <f t="shared" si="11"/>
        <v>13.8</v>
      </c>
      <c r="J191" s="6">
        <f>-J71</f>
        <v>0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x14ac:dyDescent="0.25">
      <c r="B192" s="43" t="s">
        <v>4</v>
      </c>
      <c r="G192" s="6">
        <f>-G67</f>
        <v>194.20000000000002</v>
      </c>
      <c r="H192" s="6">
        <f>-H67</f>
        <v>188.4</v>
      </c>
      <c r="I192" s="6">
        <f>-I67</f>
        <v>187.10000000000002</v>
      </c>
      <c r="J192" s="6">
        <f ca="1">-J67</f>
        <v>279.93580693492862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2:25" x14ac:dyDescent="0.25">
      <c r="B193" s="43" t="s">
        <v>125</v>
      </c>
      <c r="G193" s="6">
        <f>G24</f>
        <v>345.9</v>
      </c>
      <c r="H193" s="6">
        <f>H24</f>
        <v>366.9</v>
      </c>
      <c r="I193" s="6">
        <f>I24</f>
        <v>379.8</v>
      </c>
      <c r="J193" s="6">
        <f>J24</f>
        <v>367.68748103679252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2:25" x14ac:dyDescent="0.25">
      <c r="B194" s="65" t="s">
        <v>43</v>
      </c>
      <c r="C194" s="16"/>
      <c r="D194" s="16"/>
      <c r="E194" s="16"/>
      <c r="F194" s="16"/>
      <c r="G194" s="17">
        <v>0</v>
      </c>
      <c r="H194" s="17">
        <v>0.5</v>
      </c>
      <c r="I194" s="17">
        <v>0</v>
      </c>
      <c r="J194" s="17">
        <v>0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2:25" x14ac:dyDescent="0.25">
      <c r="B195" s="65" t="s">
        <v>48</v>
      </c>
      <c r="C195" s="16"/>
      <c r="D195" s="16"/>
      <c r="E195" s="16"/>
      <c r="F195" s="16"/>
      <c r="G195" s="17">
        <v>0.6</v>
      </c>
      <c r="H195" s="17">
        <v>1.2</v>
      </c>
      <c r="I195" s="17">
        <v>-2.2000000000000002</v>
      </c>
      <c r="J195" s="17">
        <v>0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2:25" x14ac:dyDescent="0.25">
      <c r="B196" s="43" t="s">
        <v>115</v>
      </c>
      <c r="G196" s="6">
        <v>0</v>
      </c>
      <c r="H196" s="6">
        <v>0</v>
      </c>
      <c r="I196" s="6">
        <v>0</v>
      </c>
      <c r="J196" s="20">
        <v>0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2:25" x14ac:dyDescent="0.25">
      <c r="B197" s="66" t="s">
        <v>44</v>
      </c>
      <c r="C197" s="35"/>
      <c r="D197" s="35"/>
      <c r="E197" s="35"/>
      <c r="F197" s="35"/>
      <c r="G197" s="22">
        <v>9.8000000000000007</v>
      </c>
      <c r="H197" s="22">
        <v>0.2</v>
      </c>
      <c r="I197" s="22">
        <v>0.5</v>
      </c>
      <c r="J197" s="22">
        <f>-(J446+J447)</f>
        <v>0.5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2:25" x14ac:dyDescent="0.25">
      <c r="B198" s="66" t="s">
        <v>45</v>
      </c>
      <c r="C198" s="35"/>
      <c r="D198" s="35"/>
      <c r="E198" s="35"/>
      <c r="F198" s="35"/>
      <c r="G198" s="22">
        <v>2.2999999999999998</v>
      </c>
      <c r="H198" s="22">
        <v>3.4</v>
      </c>
      <c r="I198" s="22">
        <v>3.9</v>
      </c>
      <c r="J198" s="22">
        <f>-J440</f>
        <v>3.9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2:25" x14ac:dyDescent="0.25">
      <c r="B199" s="66" t="s">
        <v>46</v>
      </c>
      <c r="C199" s="16"/>
      <c r="D199" s="16"/>
      <c r="E199" s="16"/>
      <c r="F199" s="16"/>
      <c r="G199" s="17">
        <v>-34.9</v>
      </c>
      <c r="H199" s="17">
        <v>-46.2</v>
      </c>
      <c r="I199" s="17">
        <v>-38.1</v>
      </c>
      <c r="J199" s="17">
        <f>-J436</f>
        <v>-38.1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2:25" x14ac:dyDescent="0.25">
      <c r="B200" s="43" t="s">
        <v>47</v>
      </c>
      <c r="G200" s="6">
        <f>G16</f>
        <v>8.1</v>
      </c>
      <c r="H200" s="6">
        <f>H16</f>
        <v>8.1</v>
      </c>
      <c r="I200" s="6">
        <f>I16</f>
        <v>7.8</v>
      </c>
      <c r="J200" s="6">
        <f>J16</f>
        <v>8.0808887915936953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2:25" x14ac:dyDescent="0.25">
      <c r="B201" s="65" t="s">
        <v>49</v>
      </c>
      <c r="C201" s="16"/>
      <c r="D201" s="16"/>
      <c r="E201" s="16"/>
      <c r="F201" s="16"/>
      <c r="G201" s="17">
        <v>0</v>
      </c>
      <c r="H201" s="17">
        <v>0</v>
      </c>
      <c r="I201" s="17">
        <v>-0.2</v>
      </c>
      <c r="J201" s="17">
        <v>0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2:25" x14ac:dyDescent="0.25">
      <c r="B202" s="65" t="s">
        <v>50</v>
      </c>
      <c r="C202" s="16"/>
      <c r="D202" s="16"/>
      <c r="E202" s="16"/>
      <c r="F202" s="16"/>
      <c r="G202" s="17">
        <f>G51</f>
        <v>-14.7</v>
      </c>
      <c r="H202" s="17">
        <f>H51</f>
        <v>-15.4</v>
      </c>
      <c r="I202" s="17">
        <v>-15.5</v>
      </c>
      <c r="J202" s="17">
        <v>0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2:25" x14ac:dyDescent="0.25">
      <c r="B203" s="65" t="s">
        <v>51</v>
      </c>
      <c r="C203" s="16"/>
      <c r="D203" s="16"/>
      <c r="E203" s="16"/>
      <c r="F203" s="16"/>
      <c r="G203" s="17">
        <v>46.5</v>
      </c>
      <c r="H203" s="17">
        <v>39.6</v>
      </c>
      <c r="I203" s="17">
        <v>41.4</v>
      </c>
      <c r="J203" s="17">
        <v>0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2:25" x14ac:dyDescent="0.25">
      <c r="B204" s="65" t="s">
        <v>52</v>
      </c>
      <c r="C204" s="16"/>
      <c r="D204" s="16"/>
      <c r="E204" s="16"/>
      <c r="F204" s="16"/>
      <c r="G204" s="17">
        <v>12.2</v>
      </c>
      <c r="H204" s="17">
        <v>3.3</v>
      </c>
      <c r="I204" s="17">
        <v>4.9000000000000004</v>
      </c>
      <c r="J204" s="17">
        <v>0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2:25" x14ac:dyDescent="0.25">
      <c r="B205" s="65" t="s">
        <v>53</v>
      </c>
      <c r="C205" s="16"/>
      <c r="D205" s="16"/>
      <c r="E205" s="16"/>
      <c r="F205" s="16"/>
      <c r="G205" s="17">
        <v>-12.8</v>
      </c>
      <c r="H205" s="17">
        <v>-13.1</v>
      </c>
      <c r="I205" s="17">
        <v>-12.2</v>
      </c>
      <c r="J205" s="17">
        <f>(J132-I132)+(J167-I167)</f>
        <v>0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2:25" x14ac:dyDescent="0.25">
      <c r="B206" s="26" t="s">
        <v>179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2:25" x14ac:dyDescent="0.25">
      <c r="B207" s="43" t="s">
        <v>81</v>
      </c>
      <c r="G207" s="6">
        <v>-1.7</v>
      </c>
      <c r="H207" s="6">
        <v>-8.4</v>
      </c>
      <c r="I207" s="6">
        <v>-1.6</v>
      </c>
      <c r="J207" s="6">
        <f>-(J112-I112)</f>
        <v>-0.28034150612959507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2:25" x14ac:dyDescent="0.25">
      <c r="B208" s="43" t="s">
        <v>180</v>
      </c>
      <c r="G208" s="6">
        <v>-60</v>
      </c>
      <c r="H208" s="6">
        <v>-12.8</v>
      </c>
      <c r="I208" s="6">
        <v>51.6</v>
      </c>
      <c r="J208" s="6">
        <f>-((J102-I102)+(J103-I103)+(J121-I121))</f>
        <v>-1.154367338003496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2:25" x14ac:dyDescent="0.25">
      <c r="B209" s="43" t="s">
        <v>181</v>
      </c>
      <c r="G209" s="6">
        <v>8.1999999999999993</v>
      </c>
      <c r="H209" s="6">
        <v>32.6</v>
      </c>
      <c r="I209" s="6">
        <v>10.9</v>
      </c>
      <c r="J209" s="6">
        <f>((J133-I133)+(J134-I134)+(J158-I158))</f>
        <v>76.671353495237554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2:25" x14ac:dyDescent="0.25">
      <c r="B210" s="12" t="s">
        <v>22</v>
      </c>
      <c r="C210" s="12"/>
      <c r="D210" s="12"/>
      <c r="E210" s="12"/>
      <c r="F210" s="12"/>
      <c r="G210" s="13">
        <f>G181+G188+G189+G190+G191+G192+G193+G194+G195+G197+G198+G199+G200+G201+G202+G203+G204+G205+G207+G208+G209</f>
        <v>851.50000000000045</v>
      </c>
      <c r="H210" s="13">
        <f>H181+H188+H189+H190+H191+H192+H193+H194+H195+H197+H198+H199+H200+H201+H202+H203+H204+H205+H207+H208+H209</f>
        <v>894.20000000000039</v>
      </c>
      <c r="I210" s="13">
        <f>I181+I188+I189+I190+I191+I192+I193+I194+I195+I197+I198+I199+I200+I201+I202+I203+I204+I205+I207+I208+I209</f>
        <v>878.49999999999955</v>
      </c>
      <c r="J210" s="13">
        <f ca="1">J181+J188+J189+J190+J191+J192+J193+J194+J195+J197+J198+J199+J200+J201+J202+J203+J204+J205+J207+J208+J209</f>
        <v>983.48284849909055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2:25" x14ac:dyDescent="0.25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2:25" x14ac:dyDescent="0.25">
      <c r="B212" s="1" t="s">
        <v>23</v>
      </c>
      <c r="G212" s="6">
        <v>-782.1</v>
      </c>
      <c r="H212" s="6">
        <v>-777.2</v>
      </c>
      <c r="I212" s="6">
        <v>-613.70000000000005</v>
      </c>
      <c r="J212" s="6">
        <f>-J429</f>
        <v>-683.14590630472856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2:25" x14ac:dyDescent="0.25">
      <c r="B213" s="16" t="s">
        <v>24</v>
      </c>
      <c r="C213" s="16"/>
      <c r="D213" s="16"/>
      <c r="E213" s="16"/>
      <c r="F213" s="16"/>
      <c r="G213" s="17">
        <v>1.4</v>
      </c>
      <c r="H213" s="17">
        <v>12.9</v>
      </c>
      <c r="I213" s="17">
        <v>2</v>
      </c>
      <c r="J213" s="17">
        <v>0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2:25" x14ac:dyDescent="0.25">
      <c r="B214" s="1" t="s">
        <v>25</v>
      </c>
      <c r="G214" s="6">
        <v>-35.1</v>
      </c>
      <c r="H214" s="6">
        <v>-74.8</v>
      </c>
      <c r="I214" s="6">
        <v>-22.2</v>
      </c>
      <c r="J214" s="6">
        <f>-J595</f>
        <v>-22.999452714535902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2:25" x14ac:dyDescent="0.25">
      <c r="B215" s="1" t="s">
        <v>26</v>
      </c>
      <c r="G215" s="6">
        <v>0</v>
      </c>
      <c r="H215" s="6">
        <v>0</v>
      </c>
      <c r="I215" s="6">
        <v>-0.7</v>
      </c>
      <c r="J215" s="6">
        <v>-100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2:25" x14ac:dyDescent="0.25">
      <c r="B216" s="16" t="s">
        <v>275</v>
      </c>
      <c r="C216" s="16"/>
      <c r="D216" s="16"/>
      <c r="E216" s="16"/>
      <c r="F216" s="16"/>
      <c r="G216" s="17">
        <v>-6.2</v>
      </c>
      <c r="H216" s="17">
        <v>0</v>
      </c>
      <c r="I216" s="17">
        <v>0</v>
      </c>
      <c r="J216" s="17">
        <v>0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2:25" x14ac:dyDescent="0.25">
      <c r="B217" s="16" t="s">
        <v>274</v>
      </c>
      <c r="C217" s="16"/>
      <c r="D217" s="16"/>
      <c r="E217" s="16"/>
      <c r="F217" s="16"/>
      <c r="G217" s="17">
        <v>-50.9</v>
      </c>
      <c r="H217" s="17">
        <v>0</v>
      </c>
      <c r="I217" s="17">
        <v>0</v>
      </c>
      <c r="J217" s="17">
        <v>0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2:25" x14ac:dyDescent="0.25">
      <c r="B218" s="16" t="s">
        <v>27</v>
      </c>
      <c r="C218" s="16"/>
      <c r="D218" s="16"/>
      <c r="E218" s="16"/>
      <c r="F218" s="16"/>
      <c r="G218" s="17">
        <v>0</v>
      </c>
      <c r="H218" s="17">
        <v>0</v>
      </c>
      <c r="I218" s="17">
        <v>0.7</v>
      </c>
      <c r="J218" s="17">
        <v>0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2:25" x14ac:dyDescent="0.25">
      <c r="B219" s="16" t="s">
        <v>28</v>
      </c>
      <c r="C219" s="16"/>
      <c r="D219" s="16"/>
      <c r="E219" s="16"/>
      <c r="F219" s="16"/>
      <c r="G219" s="17">
        <v>0</v>
      </c>
      <c r="H219" s="17">
        <v>35.6</v>
      </c>
      <c r="I219" s="17">
        <v>-1</v>
      </c>
      <c r="J219" s="17">
        <v>0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2:25" x14ac:dyDescent="0.25">
      <c r="B220" s="1" t="s">
        <v>29</v>
      </c>
      <c r="G220" s="6">
        <v>0.8</v>
      </c>
      <c r="H220" s="6">
        <v>2</v>
      </c>
      <c r="I220" s="6">
        <v>3.74</v>
      </c>
      <c r="J220" s="6">
        <f>J58+J59</f>
        <v>2.1771058315334773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2:25" x14ac:dyDescent="0.25">
      <c r="B221" s="12" t="s">
        <v>21</v>
      </c>
      <c r="C221" s="12"/>
      <c r="D221" s="12"/>
      <c r="E221" s="12"/>
      <c r="F221" s="12"/>
      <c r="G221" s="13">
        <f>G212+G213+G214+G215+G216+G217+G218+G219+G220</f>
        <v>-872.10000000000014</v>
      </c>
      <c r="H221" s="13">
        <f t="shared" ref="H221:J221" si="12">H212+H213+H214+H215+H216+H217+H218+H219+H220</f>
        <v>-801.5</v>
      </c>
      <c r="I221" s="13">
        <f t="shared" si="12"/>
        <v>-631.16000000000008</v>
      </c>
      <c r="J221" s="13">
        <f t="shared" si="12"/>
        <v>-803.96825318773097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2:25" x14ac:dyDescent="0.25"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2:25" x14ac:dyDescent="0.25">
      <c r="B223" s="1" t="s">
        <v>30</v>
      </c>
      <c r="G223" s="6">
        <v>-158</v>
      </c>
      <c r="H223" s="6">
        <v>-181.9</v>
      </c>
      <c r="I223" s="6">
        <v>-185.6</v>
      </c>
      <c r="J223" s="6">
        <f ca="1">-(J62+J63+J65)</f>
        <v>-269.45660933840946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2:25" x14ac:dyDescent="0.25">
      <c r="B224" s="1" t="s">
        <v>31</v>
      </c>
      <c r="G224" s="6">
        <v>-4.4000000000000004</v>
      </c>
      <c r="H224" s="6">
        <v>-4.3</v>
      </c>
      <c r="I224" s="6">
        <v>-4.3</v>
      </c>
      <c r="J224" s="6">
        <f>-J64</f>
        <v>-4.1014839241549872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2:25" x14ac:dyDescent="0.25">
      <c r="B225" s="1" t="s">
        <v>32</v>
      </c>
      <c r="G225" s="6">
        <v>-1.7</v>
      </c>
      <c r="H225" s="6">
        <v>-5.5</v>
      </c>
      <c r="I225" s="6">
        <v>-5.6</v>
      </c>
      <c r="J225" s="6">
        <f>-J603</f>
        <v>-5.6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2:25" x14ac:dyDescent="0.25">
      <c r="B226" s="1" t="s">
        <v>33</v>
      </c>
      <c r="G226" s="6">
        <v>554.20000000000005</v>
      </c>
      <c r="H226" s="6">
        <v>330.1</v>
      </c>
      <c r="I226" s="6">
        <v>415.1</v>
      </c>
      <c r="J226" s="6">
        <f>(J656-I656)</f>
        <v>0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2:25" x14ac:dyDescent="0.25">
      <c r="B227" s="1" t="s">
        <v>34</v>
      </c>
      <c r="G227" s="6">
        <v>-166.5</v>
      </c>
      <c r="H227" s="6">
        <v>-3</v>
      </c>
      <c r="I227" s="6">
        <v>-242.9</v>
      </c>
      <c r="J227" s="6">
        <f>(J646-I646)</f>
        <v>-251.19999999999982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2:25" x14ac:dyDescent="0.25">
      <c r="B228" s="133" t="s">
        <v>268</v>
      </c>
      <c r="C228" s="131"/>
      <c r="D228" s="131"/>
      <c r="E228" s="131"/>
      <c r="F228" s="131"/>
      <c r="G228" s="132"/>
      <c r="H228" s="132"/>
      <c r="I228" s="132"/>
      <c r="J228" s="132">
        <f ca="1">J637-I637</f>
        <v>560.12459795120492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2:25" x14ac:dyDescent="0.25">
      <c r="B229" s="1" t="s">
        <v>35</v>
      </c>
      <c r="G229" s="6">
        <v>-211.9</v>
      </c>
      <c r="H229" s="6">
        <v>-228.4</v>
      </c>
      <c r="I229" s="6">
        <v>-240.2</v>
      </c>
      <c r="J229" s="6">
        <f>-J230*J91</f>
        <v>-245.48109999999997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2:25" outlineLevel="1" x14ac:dyDescent="0.25">
      <c r="B230" s="37" t="s">
        <v>309</v>
      </c>
      <c r="C230" s="36"/>
      <c r="D230" s="36"/>
      <c r="E230" s="36"/>
      <c r="F230" s="36"/>
      <c r="G230" s="71"/>
      <c r="H230" s="71"/>
      <c r="I230" s="71"/>
      <c r="J230" s="143">
        <v>1.0309999999999999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2:25" x14ac:dyDescent="0.25">
      <c r="B231" s="1" t="s">
        <v>36</v>
      </c>
      <c r="G231" s="6">
        <v>11.1</v>
      </c>
      <c r="H231" s="6">
        <v>9.6</v>
      </c>
      <c r="I231" s="6">
        <v>11.8</v>
      </c>
      <c r="J231" s="20">
        <v>0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2:25" x14ac:dyDescent="0.25">
      <c r="B232" s="16" t="s">
        <v>37</v>
      </c>
      <c r="C232" s="16"/>
      <c r="D232" s="16"/>
      <c r="E232" s="16"/>
      <c r="F232" s="16"/>
      <c r="G232" s="17"/>
      <c r="H232" s="17">
        <v>-16.8</v>
      </c>
      <c r="I232" s="17">
        <v>-1.1000000000000001</v>
      </c>
      <c r="J232" s="17">
        <v>0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2:25" x14ac:dyDescent="0.25">
      <c r="B233" s="16" t="s">
        <v>38</v>
      </c>
      <c r="C233" s="16"/>
      <c r="D233" s="16"/>
      <c r="E233" s="16"/>
      <c r="F233" s="16"/>
      <c r="G233" s="17"/>
      <c r="H233" s="17">
        <v>16.5</v>
      </c>
      <c r="I233" s="17">
        <v>0.9</v>
      </c>
      <c r="J233" s="17">
        <v>0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2:25" x14ac:dyDescent="0.25">
      <c r="B234" s="16" t="s">
        <v>276</v>
      </c>
      <c r="C234" s="16"/>
      <c r="D234" s="16"/>
      <c r="E234" s="16"/>
      <c r="F234" s="16"/>
      <c r="G234" s="17">
        <v>-1.1000000000000001</v>
      </c>
      <c r="H234" s="17">
        <v>0</v>
      </c>
      <c r="I234" s="17">
        <v>0</v>
      </c>
      <c r="J234" s="17">
        <v>0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2:25" x14ac:dyDescent="0.25">
      <c r="B235" s="12" t="s">
        <v>21</v>
      </c>
      <c r="C235" s="12"/>
      <c r="D235" s="12"/>
      <c r="E235" s="12"/>
      <c r="F235" s="12"/>
      <c r="G235" s="13">
        <f>G223+G224+G225+G226+G227+G229+G231+G232+G233+G234</f>
        <v>21.700000000000017</v>
      </c>
      <c r="H235" s="13">
        <f t="shared" ref="H235:I235" si="13">H223+H224+H225+H226+H227+H229+H231+H232+H233+H234</f>
        <v>-83.7</v>
      </c>
      <c r="I235" s="13">
        <f t="shared" si="13"/>
        <v>-251.89999999999998</v>
      </c>
      <c r="J235" s="13">
        <f ca="1">J223+J224+J225+J226+J227+J228+J229+J231+J232+J233+J234</f>
        <v>-215.7145953113594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2:25" x14ac:dyDescent="0.25"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2:25" x14ac:dyDescent="0.25">
      <c r="B237" s="1" t="s">
        <v>39</v>
      </c>
      <c r="G237" s="6">
        <f>G210+G221+G235</f>
        <v>1.1000000000003354</v>
      </c>
      <c r="H237" s="6">
        <f>H210+H221+H235</f>
        <v>9.0000000000003837</v>
      </c>
      <c r="I237" s="6">
        <f>I210+I221+I235</f>
        <v>-4.5600000000005139</v>
      </c>
      <c r="J237" s="6">
        <f ca="1">J210+J221+J235</f>
        <v>-36.199999999999818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2:25" x14ac:dyDescent="0.25"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2:25" x14ac:dyDescent="0.25">
      <c r="B239" s="1" t="s">
        <v>40</v>
      </c>
      <c r="G239" s="6">
        <v>38.5</v>
      </c>
      <c r="H239" s="6">
        <v>39.6</v>
      </c>
      <c r="I239" s="6">
        <v>48.6</v>
      </c>
      <c r="J239" s="6">
        <f>I96</f>
        <v>56.2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2:25" x14ac:dyDescent="0.25">
      <c r="B240" s="1" t="s">
        <v>41</v>
      </c>
      <c r="G240" s="6">
        <f>G239+G237</f>
        <v>39.600000000000335</v>
      </c>
      <c r="H240" s="6">
        <f>H239+H237</f>
        <v>48.600000000000385</v>
      </c>
      <c r="I240" s="6">
        <f>I239+I237</f>
        <v>44.039999999999488</v>
      </c>
      <c r="J240" s="6">
        <f ca="1">J239+J237</f>
        <v>20.000000000000185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x14ac:dyDescent="0.25"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8.75" x14ac:dyDescent="0.3">
      <c r="A242" s="39" t="s">
        <v>141</v>
      </c>
      <c r="B242" s="2" t="s">
        <v>140</v>
      </c>
      <c r="C242" s="2"/>
      <c r="D242" s="2"/>
      <c r="E242" s="2"/>
      <c r="F242" s="2"/>
      <c r="G242" s="9">
        <f>G6</f>
        <v>19</v>
      </c>
      <c r="H242" s="9">
        <f>H6</f>
        <v>20</v>
      </c>
      <c r="I242" s="9">
        <f>I6</f>
        <v>21</v>
      </c>
      <c r="J242" s="3">
        <f>J6</f>
        <v>22</v>
      </c>
      <c r="K242" s="42" t="s">
        <v>141</v>
      </c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outlineLevel="1" x14ac:dyDescent="0.25">
      <c r="B243" s="1" t="s">
        <v>144</v>
      </c>
      <c r="G243" s="40"/>
      <c r="H243" s="40">
        <f>H245-H244</f>
        <v>6580</v>
      </c>
      <c r="I243" s="40">
        <f>I245-I244</f>
        <v>6796</v>
      </c>
      <c r="J243" s="6">
        <f>I245</f>
        <v>7033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outlineLevel="1" x14ac:dyDescent="0.25">
      <c r="B244" s="1" t="s">
        <v>142</v>
      </c>
      <c r="G244" s="40"/>
      <c r="H244" s="40">
        <f>H245-G245</f>
        <v>216</v>
      </c>
      <c r="I244" s="40">
        <f>I245-H245</f>
        <v>237</v>
      </c>
      <c r="J244" s="40">
        <f>(C247-(H244+I244))/(25-J242)</f>
        <v>369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outlineLevel="1" x14ac:dyDescent="0.25">
      <c r="B245" s="1" t="s">
        <v>145</v>
      </c>
      <c r="G245" s="40">
        <v>6580</v>
      </c>
      <c r="H245" s="40">
        <v>6796</v>
      </c>
      <c r="I245" s="40">
        <v>7033</v>
      </c>
      <c r="J245" s="6">
        <f>J243+J244</f>
        <v>7402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outlineLevel="1" x14ac:dyDescent="0.25">
      <c r="G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outlineLevel="1" x14ac:dyDescent="0.25">
      <c r="B247" s="1" t="s">
        <v>143</v>
      </c>
      <c r="C247" s="41">
        <v>1560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outlineLevel="1" x14ac:dyDescent="0.25">
      <c r="G248" s="6"/>
      <c r="H248" s="40"/>
      <c r="I248" s="40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outlineLevel="1" x14ac:dyDescent="0.25"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outlineLevel="1" x14ac:dyDescent="0.25">
      <c r="B250" s="1" t="s">
        <v>54</v>
      </c>
      <c r="G250" s="6">
        <f>G13</f>
        <v>252.2</v>
      </c>
      <c r="H250" s="6">
        <f>H13</f>
        <v>281.10000000000002</v>
      </c>
      <c r="I250" s="6">
        <f>I13</f>
        <v>287.8</v>
      </c>
      <c r="J250" s="7">
        <f>J253+J252+J251</f>
        <v>302.83761832788286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outlineLevel="1" x14ac:dyDescent="0.25">
      <c r="B251" s="1" t="s">
        <v>146</v>
      </c>
      <c r="G251" s="6">
        <v>0.70799999999999996</v>
      </c>
      <c r="H251" s="6">
        <v>0.72499999999999998</v>
      </c>
      <c r="I251" s="6">
        <v>0.74170000000000003</v>
      </c>
      <c r="J251" s="20">
        <f>I251</f>
        <v>0.74170000000000003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outlineLevel="1" x14ac:dyDescent="0.25">
      <c r="B252" s="1" t="s">
        <v>147</v>
      </c>
      <c r="G252" s="6">
        <v>0.42659999999999998</v>
      </c>
      <c r="H252" s="6">
        <v>0.43690000000000001</v>
      </c>
      <c r="I252" s="6">
        <v>0.44700000000000001</v>
      </c>
      <c r="J252" s="20">
        <f>I252</f>
        <v>0.44700000000000001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outlineLevel="1" x14ac:dyDescent="0.25">
      <c r="B253" s="10" t="s">
        <v>148</v>
      </c>
      <c r="C253" s="10"/>
      <c r="D253" s="10"/>
      <c r="E253" s="10"/>
      <c r="F253" s="10"/>
      <c r="G253" s="11">
        <f>G250-G251-G252</f>
        <v>251.06539999999998</v>
      </c>
      <c r="H253" s="11">
        <f t="shared" ref="H253:I253" si="14">H250-H251-H252</f>
        <v>279.93810000000002</v>
      </c>
      <c r="I253" s="11">
        <f t="shared" si="14"/>
        <v>286.61130000000003</v>
      </c>
      <c r="J253" s="11">
        <f>J245*J255/10^6</f>
        <v>301.64891832788288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outlineLevel="1" x14ac:dyDescent="0.25"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outlineLevel="1" x14ac:dyDescent="0.25">
      <c r="B255" s="1" t="s">
        <v>149</v>
      </c>
      <c r="G255" s="6">
        <f>G253*10^6/G245</f>
        <v>38155.83586626139</v>
      </c>
      <c r="H255" s="6">
        <f t="shared" ref="H255" si="15">H253*10^6/H245</f>
        <v>41191.597998822836</v>
      </c>
      <c r="I255" s="6">
        <f>I253*10^6/I245</f>
        <v>40752.353192094415</v>
      </c>
      <c r="J255" s="6">
        <f>I255</f>
        <v>40752.353192094415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outlineLevel="1" x14ac:dyDescent="0.25"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outlineLevel="1" x14ac:dyDescent="0.25">
      <c r="B257" s="1" t="s">
        <v>150</v>
      </c>
      <c r="G257" s="6">
        <f>G14</f>
        <v>25.5</v>
      </c>
      <c r="H257" s="6">
        <f>H14</f>
        <v>28.9</v>
      </c>
      <c r="I257" s="6">
        <f>I14</f>
        <v>28</v>
      </c>
      <c r="J257" s="7">
        <f>J258*J245/10^6</f>
        <v>29.469074363713919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outlineLevel="1" x14ac:dyDescent="0.25">
      <c r="B258" s="1" t="s">
        <v>151</v>
      </c>
      <c r="G258" s="6">
        <f>G257/G245*10^6</f>
        <v>3875.3799392097267</v>
      </c>
      <c r="H258" s="6">
        <f t="shared" ref="H258" si="16">H257/H245*10^6</f>
        <v>4252.5014714537956</v>
      </c>
      <c r="I258" s="6">
        <f>I257/I245*10^6</f>
        <v>3981.2313379781031</v>
      </c>
      <c r="J258" s="20">
        <f>I258</f>
        <v>3981.2313379781031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outlineLevel="1" x14ac:dyDescent="0.25">
      <c r="G259" s="6"/>
      <c r="H259" s="6"/>
      <c r="I259" s="6"/>
      <c r="J259" s="77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outlineLevel="1" x14ac:dyDescent="0.25">
      <c r="B260" s="1" t="s">
        <v>56</v>
      </c>
      <c r="G260" s="6"/>
      <c r="H260" s="6"/>
      <c r="I260" s="6">
        <f>I15</f>
        <v>27.1</v>
      </c>
      <c r="J260" s="22">
        <f>J261*J245/10^6</f>
        <v>28.52185411630883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outlineLevel="1" x14ac:dyDescent="0.25">
      <c r="B261" s="1" t="s">
        <v>231</v>
      </c>
      <c r="G261" s="6"/>
      <c r="H261" s="6"/>
      <c r="I261" s="6">
        <f>I260*10^6/I245</f>
        <v>3853.2631878288071</v>
      </c>
      <c r="J261" s="20">
        <f>I261</f>
        <v>3853.2631878288071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x14ac:dyDescent="0.25"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8.75" x14ac:dyDescent="0.3">
      <c r="A263" s="39" t="s">
        <v>141</v>
      </c>
      <c r="B263" s="2" t="s">
        <v>152</v>
      </c>
      <c r="C263" s="2"/>
      <c r="D263" s="2"/>
      <c r="E263" s="2"/>
      <c r="F263" s="2"/>
      <c r="G263" s="9">
        <f>G6</f>
        <v>19</v>
      </c>
      <c r="H263" s="9">
        <f>H6</f>
        <v>20</v>
      </c>
      <c r="I263" s="9">
        <f>I6</f>
        <v>21</v>
      </c>
      <c r="J263" s="3">
        <f>J6</f>
        <v>22</v>
      </c>
      <c r="K263" s="42" t="s">
        <v>141</v>
      </c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outlineLevel="1" x14ac:dyDescent="0.25">
      <c r="B264" s="28" t="s">
        <v>153</v>
      </c>
      <c r="C264" s="28"/>
      <c r="D264" s="28"/>
      <c r="E264" s="28"/>
      <c r="F264" s="28"/>
      <c r="G264" s="48" t="s">
        <v>170</v>
      </c>
      <c r="H264" s="48" t="s">
        <v>170</v>
      </c>
      <c r="I264" s="48" t="s">
        <v>170</v>
      </c>
      <c r="J264" s="27">
        <v>1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outlineLevel="2" x14ac:dyDescent="0.25">
      <c r="B265" s="1" t="s">
        <v>154</v>
      </c>
      <c r="G265" s="6"/>
      <c r="H265" s="6">
        <v>3581.1</v>
      </c>
      <c r="I265" s="6">
        <v>3754.1</v>
      </c>
      <c r="J265" s="6">
        <f>I272</f>
        <v>4015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outlineLevel="2" x14ac:dyDescent="0.25">
      <c r="B266" s="43" t="s">
        <v>155</v>
      </c>
      <c r="G266" s="6"/>
      <c r="H266" s="6">
        <v>90.1</v>
      </c>
      <c r="I266" s="6">
        <v>121.6</v>
      </c>
      <c r="J266" s="20">
        <f>E289</f>
        <v>125.97898423817864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outlineLevel="2" x14ac:dyDescent="0.25">
      <c r="B267" s="45" t="s">
        <v>165</v>
      </c>
      <c r="C267" s="36"/>
      <c r="D267" s="36"/>
      <c r="E267" s="36"/>
      <c r="F267" s="36"/>
      <c r="G267" s="19"/>
      <c r="H267" s="19"/>
      <c r="I267" s="19">
        <f>I266/I$8</f>
        <v>6.6549912434325745E-2</v>
      </c>
      <c r="J267" s="19">
        <f>J266/J$8</f>
        <v>6.6549912434325745E-2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outlineLevel="2" x14ac:dyDescent="0.25">
      <c r="B268" s="43" t="s">
        <v>157</v>
      </c>
      <c r="G268" s="6"/>
      <c r="H268" s="6">
        <v>0</v>
      </c>
      <c r="I268" s="6">
        <v>0</v>
      </c>
      <c r="J268" s="20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outlineLevel="2" x14ac:dyDescent="0.25">
      <c r="B269" s="43" t="s">
        <v>156</v>
      </c>
      <c r="G269" s="6"/>
      <c r="H269" s="6">
        <v>95.1</v>
      </c>
      <c r="I269" s="6">
        <v>144.4</v>
      </c>
      <c r="J269" s="20">
        <v>0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outlineLevel="2" x14ac:dyDescent="0.25">
      <c r="B270" s="43" t="s">
        <v>175</v>
      </c>
      <c r="G270" s="6"/>
      <c r="H270" s="6">
        <v>-12.2</v>
      </c>
      <c r="I270" s="6">
        <v>-5.0999999999999996</v>
      </c>
      <c r="J270" s="20">
        <v>0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outlineLevel="2" x14ac:dyDescent="0.25">
      <c r="B271" s="43" t="s">
        <v>158</v>
      </c>
      <c r="G271" s="6"/>
      <c r="H271" s="6">
        <v>0</v>
      </c>
      <c r="I271" s="6">
        <v>0</v>
      </c>
      <c r="J271" s="20">
        <v>0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outlineLevel="2" x14ac:dyDescent="0.25">
      <c r="B272" s="10" t="s">
        <v>159</v>
      </c>
      <c r="C272" s="10"/>
      <c r="D272" s="10"/>
      <c r="E272" s="10"/>
      <c r="F272" s="10"/>
      <c r="G272" s="11"/>
      <c r="H272" s="11">
        <f>H265+H266+H268+H269+H270+H271</f>
        <v>3754.1</v>
      </c>
      <c r="I272" s="11">
        <f>I265+I266+I268+I269+I270+I271</f>
        <v>4015</v>
      </c>
      <c r="J272" s="11">
        <f>J265+J266+J268+J269+J270+J271</f>
        <v>4140.9789842381788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2:25" outlineLevel="2" x14ac:dyDescent="0.25"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2:25" outlineLevel="2" x14ac:dyDescent="0.25">
      <c r="B274" s="1" t="s">
        <v>160</v>
      </c>
      <c r="G274" s="6"/>
      <c r="H274" s="6">
        <v>-1370.8</v>
      </c>
      <c r="I274" s="6">
        <f>H281</f>
        <v>-1451.5</v>
      </c>
      <c r="J274" s="6">
        <f>I281</f>
        <v>-1542.2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2:25" outlineLevel="2" x14ac:dyDescent="0.25">
      <c r="B275" s="43" t="s">
        <v>161</v>
      </c>
      <c r="G275" s="6"/>
      <c r="H275" s="6">
        <v>-89.7</v>
      </c>
      <c r="I275" s="6">
        <v>-95.7</v>
      </c>
      <c r="J275" s="6">
        <f>-J291</f>
        <v>-64.288810453994344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2:25" outlineLevel="2" x14ac:dyDescent="0.25">
      <c r="B276" s="45" t="s">
        <v>162</v>
      </c>
      <c r="C276" s="36"/>
      <c r="D276" s="36"/>
      <c r="E276" s="36"/>
      <c r="F276" s="36"/>
      <c r="G276" s="19"/>
      <c r="H276" s="19"/>
      <c r="I276" s="19">
        <f>I275/I$8</f>
        <v>-5.2375218914185638E-2</v>
      </c>
      <c r="J276" s="19">
        <f>J275/J$8</f>
        <v>-3.3961336742733411E-2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2:25" outlineLevel="2" x14ac:dyDescent="0.25">
      <c r="B277" s="45" t="s">
        <v>163</v>
      </c>
      <c r="C277" s="36"/>
      <c r="D277" s="36"/>
      <c r="E277" s="36"/>
      <c r="F277" s="36"/>
      <c r="G277" s="19"/>
      <c r="H277" s="19"/>
      <c r="I277" s="19">
        <f>I275/I$265</f>
        <v>-2.5492128606057377E-2</v>
      </c>
      <c r="J277" s="19">
        <f>J275/J$265</f>
        <v>-1.6012157024656127E-2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2:25" outlineLevel="2" x14ac:dyDescent="0.25">
      <c r="B278" s="43" t="s">
        <v>157</v>
      </c>
      <c r="G278" s="6"/>
      <c r="H278" s="6">
        <v>0</v>
      </c>
      <c r="I278" s="6">
        <v>0</v>
      </c>
      <c r="J278" s="20">
        <v>0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2:25" outlineLevel="2" x14ac:dyDescent="0.25">
      <c r="B279" s="43" t="s">
        <v>175</v>
      </c>
      <c r="G279" s="6"/>
      <c r="H279" s="6">
        <v>9.5</v>
      </c>
      <c r="I279" s="6">
        <v>5</v>
      </c>
      <c r="J279" s="20">
        <v>0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2:25" outlineLevel="2" x14ac:dyDescent="0.25">
      <c r="B280" s="43" t="s">
        <v>164</v>
      </c>
      <c r="G280" s="6"/>
      <c r="H280" s="6">
        <v>-0.5</v>
      </c>
      <c r="I280" s="6">
        <v>0</v>
      </c>
      <c r="J280" s="20">
        <v>0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2:25" outlineLevel="2" x14ac:dyDescent="0.25">
      <c r="B281" s="10" t="s">
        <v>166</v>
      </c>
      <c r="C281" s="10"/>
      <c r="D281" s="10"/>
      <c r="E281" s="10"/>
      <c r="F281" s="10"/>
      <c r="G281" s="11"/>
      <c r="H281" s="11">
        <f>H274+H275+H278+H279+H280</f>
        <v>-1451.5</v>
      </c>
      <c r="I281" s="11">
        <f t="shared" ref="I281:J281" si="17">I274+I275+I278+I279+I280</f>
        <v>-1542.2</v>
      </c>
      <c r="J281" s="11">
        <f t="shared" si="17"/>
        <v>-1606.4888104539943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2:25" outlineLevel="2" x14ac:dyDescent="0.25"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2:25" outlineLevel="2" x14ac:dyDescent="0.25">
      <c r="B283" s="1" t="s">
        <v>167</v>
      </c>
      <c r="C283" s="6">
        <f>J265</f>
        <v>4015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2:25" outlineLevel="2" x14ac:dyDescent="0.25">
      <c r="B284" s="1" t="s">
        <v>168</v>
      </c>
      <c r="C284" s="51">
        <v>65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2:25" outlineLevel="2" x14ac:dyDescent="0.25"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2:25" outlineLevel="2" x14ac:dyDescent="0.25">
      <c r="B286" s="1" t="s">
        <v>169</v>
      </c>
      <c r="C286" s="23"/>
      <c r="D286" s="23"/>
      <c r="E286" s="23"/>
      <c r="G286" s="31"/>
      <c r="H286" s="31"/>
      <c r="I286" s="31"/>
      <c r="J286" s="6">
        <f>IF(J264&lt;=$C284,$C283/$C284,0)</f>
        <v>61.769230769230766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2:25" outlineLevel="2" x14ac:dyDescent="0.25">
      <c r="B287" s="10"/>
      <c r="C287" s="10"/>
      <c r="D287" s="10"/>
      <c r="E287" s="10"/>
      <c r="F287" s="10"/>
      <c r="G287" s="11"/>
      <c r="H287" s="11"/>
      <c r="I287" s="11"/>
      <c r="J287" s="11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2:25" outlineLevel="2" x14ac:dyDescent="0.25">
      <c r="C288" s="49" t="s">
        <v>168</v>
      </c>
      <c r="D288" s="49" t="s">
        <v>171</v>
      </c>
      <c r="E288" s="49" t="s">
        <v>172</v>
      </c>
      <c r="G288" s="148" t="s">
        <v>173</v>
      </c>
      <c r="H288" s="148"/>
      <c r="I288" s="148"/>
      <c r="J288" s="148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outlineLevel="2" x14ac:dyDescent="0.25">
      <c r="B289" s="46">
        <f>J264</f>
        <v>1</v>
      </c>
      <c r="C289" s="52">
        <v>50</v>
      </c>
      <c r="D289" s="53">
        <f>I267</f>
        <v>6.6549912434325745E-2</v>
      </c>
      <c r="E289" s="11">
        <f>INDEX($J$8:$J$8,1,$B289)*D289</f>
        <v>125.97898423817864</v>
      </c>
      <c r="G289" s="50"/>
      <c r="H289" s="50"/>
      <c r="I289" s="50"/>
      <c r="J289" s="11">
        <f>IF(J264&lt;=$C289,$E289/$C289,0)</f>
        <v>2.5195796847635727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outlineLevel="2" x14ac:dyDescent="0.25"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outlineLevel="2" x14ac:dyDescent="0.25">
      <c r="B291" s="5" t="s">
        <v>174</v>
      </c>
      <c r="C291" s="5"/>
      <c r="D291" s="5"/>
      <c r="E291" s="5"/>
      <c r="F291" s="5"/>
      <c r="G291" s="7"/>
      <c r="H291" s="7"/>
      <c r="I291" s="7"/>
      <c r="J291" s="7">
        <f>J286+SUM(J289:J289)</f>
        <v>64.288810453994344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5.75" outlineLevel="2" thickBot="1" x14ac:dyDescent="0.3">
      <c r="B292" s="54" t="str">
        <f>B264&amp;", Net"</f>
        <v>Land &amp; Buildings, Net</v>
      </c>
      <c r="C292" s="54"/>
      <c r="D292" s="54"/>
      <c r="E292" s="54"/>
      <c r="F292" s="54"/>
      <c r="G292" s="55">
        <f t="shared" ref="G292:I292" si="18">G272+G281</f>
        <v>0</v>
      </c>
      <c r="H292" s="55">
        <f t="shared" si="18"/>
        <v>2302.6</v>
      </c>
      <c r="I292" s="55">
        <f t="shared" si="18"/>
        <v>2472.8000000000002</v>
      </c>
      <c r="J292" s="55">
        <f>J272+J281</f>
        <v>2534.4901737841847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5.75" outlineLevel="1" thickTop="1" x14ac:dyDescent="0.25"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outlineLevel="1" x14ac:dyDescent="0.25">
      <c r="A294" s="39" t="s">
        <v>141</v>
      </c>
      <c r="B294" s="28" t="s">
        <v>182</v>
      </c>
      <c r="C294" s="28"/>
      <c r="D294" s="28"/>
      <c r="E294" s="28"/>
      <c r="F294" s="28"/>
      <c r="G294" s="48" t="s">
        <v>170</v>
      </c>
      <c r="H294" s="48" t="s">
        <v>170</v>
      </c>
      <c r="I294" s="48" t="s">
        <v>170</v>
      </c>
      <c r="J294" s="27">
        <v>1</v>
      </c>
      <c r="K294" s="42" t="s">
        <v>141</v>
      </c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outlineLevel="2" x14ac:dyDescent="0.25">
      <c r="B295" s="1" t="s">
        <v>154</v>
      </c>
      <c r="G295" s="6"/>
      <c r="H295" s="6">
        <v>5277.9</v>
      </c>
      <c r="I295" s="6">
        <v>5497.7</v>
      </c>
      <c r="J295" s="6">
        <f>I302</f>
        <v>5773.2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outlineLevel="2" x14ac:dyDescent="0.25">
      <c r="A296" s="39"/>
      <c r="B296" s="43" t="s">
        <v>155</v>
      </c>
      <c r="G296" s="6"/>
      <c r="H296" s="6">
        <v>162.9</v>
      </c>
      <c r="I296" s="6">
        <v>108.9</v>
      </c>
      <c r="J296" s="20">
        <f>E319</f>
        <v>112.82163966725044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outlineLevel="2" x14ac:dyDescent="0.25">
      <c r="B297" s="45" t="s">
        <v>165</v>
      </c>
      <c r="C297" s="36"/>
      <c r="D297" s="36"/>
      <c r="E297" s="36"/>
      <c r="F297" s="36"/>
      <c r="G297" s="19"/>
      <c r="H297" s="19"/>
      <c r="I297" s="19">
        <f>I296/I$8</f>
        <v>5.9599387040280213E-2</v>
      </c>
      <c r="J297" s="19">
        <f>J296/J$8</f>
        <v>5.9599387040280206E-2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outlineLevel="2" x14ac:dyDescent="0.25">
      <c r="B298" s="43" t="s">
        <v>157</v>
      </c>
      <c r="G298" s="6"/>
      <c r="H298" s="6">
        <v>0</v>
      </c>
      <c r="I298" s="6">
        <v>0</v>
      </c>
      <c r="J298" s="20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outlineLevel="2" x14ac:dyDescent="0.25">
      <c r="B299" s="43" t="s">
        <v>156</v>
      </c>
      <c r="G299" s="6"/>
      <c r="H299" s="6">
        <v>56.9</v>
      </c>
      <c r="I299" s="6">
        <v>166.6</v>
      </c>
      <c r="J299" s="20">
        <v>0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outlineLevel="2" x14ac:dyDescent="0.25">
      <c r="B300" s="43" t="s">
        <v>175</v>
      </c>
      <c r="G300" s="6"/>
      <c r="H300" s="6">
        <v>0</v>
      </c>
      <c r="I300" s="6">
        <v>0</v>
      </c>
      <c r="J300" s="20">
        <v>0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outlineLevel="2" x14ac:dyDescent="0.25">
      <c r="B301" s="43" t="s">
        <v>158</v>
      </c>
      <c r="G301" s="6"/>
      <c r="H301" s="6">
        <v>0</v>
      </c>
      <c r="I301" s="6">
        <v>0</v>
      </c>
      <c r="J301" s="20">
        <v>0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outlineLevel="2" x14ac:dyDescent="0.25">
      <c r="B302" s="10" t="s">
        <v>159</v>
      </c>
      <c r="C302" s="10"/>
      <c r="D302" s="10"/>
      <c r="E302" s="10"/>
      <c r="F302" s="10"/>
      <c r="G302" s="11"/>
      <c r="H302" s="11">
        <f>H295+H296+H298+H299+H300+H301</f>
        <v>5497.6999999999989</v>
      </c>
      <c r="I302" s="11">
        <f>I295+I296+I298+I299+I300+I301</f>
        <v>5773.2</v>
      </c>
      <c r="J302" s="11">
        <f>J295+J296+J298+J299+J300+J301</f>
        <v>5886.0216396672504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outlineLevel="2" x14ac:dyDescent="0.25"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outlineLevel="2" x14ac:dyDescent="0.25">
      <c r="B304" s="1" t="s">
        <v>160</v>
      </c>
      <c r="G304" s="6"/>
      <c r="H304" s="6">
        <v>-1354.3</v>
      </c>
      <c r="I304" s="6">
        <f>H311</f>
        <v>-1393.6</v>
      </c>
      <c r="J304" s="6">
        <f>I311</f>
        <v>-1434.6999999999998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2:25" outlineLevel="2" x14ac:dyDescent="0.25">
      <c r="B305" s="43" t="s">
        <v>161</v>
      </c>
      <c r="G305" s="6"/>
      <c r="H305" s="6">
        <v>-39.299999999999997</v>
      </c>
      <c r="I305" s="6">
        <v>-41.1</v>
      </c>
      <c r="J305" s="6">
        <f>-J321</f>
        <v>-45.020877237789449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2:25" outlineLevel="2" x14ac:dyDescent="0.25">
      <c r="B306" s="45" t="s">
        <v>162</v>
      </c>
      <c r="C306" s="36"/>
      <c r="D306" s="36"/>
      <c r="E306" s="36"/>
      <c r="F306" s="36"/>
      <c r="G306" s="19"/>
      <c r="H306" s="19"/>
      <c r="I306" s="19">
        <f>I305/I$8</f>
        <v>-2.2493432574430823E-2</v>
      </c>
      <c r="J306" s="19">
        <f>J305/J$8</f>
        <v>-2.3782819460004993E-2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2:25" outlineLevel="2" x14ac:dyDescent="0.25">
      <c r="B307" s="45" t="s">
        <v>163</v>
      </c>
      <c r="C307" s="36"/>
      <c r="D307" s="36"/>
      <c r="E307" s="36"/>
      <c r="F307" s="36"/>
      <c r="G307" s="19"/>
      <c r="H307" s="19"/>
      <c r="I307" s="19">
        <f>I305/I$265</f>
        <v>-1.0948030153698624E-2</v>
      </c>
      <c r="J307" s="19">
        <f>J305/J$265</f>
        <v>-1.1213169922238966E-2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2:25" outlineLevel="2" x14ac:dyDescent="0.25">
      <c r="B308" s="43" t="s">
        <v>157</v>
      </c>
      <c r="G308" s="6"/>
      <c r="H308" s="6">
        <v>0</v>
      </c>
      <c r="I308" s="6">
        <v>0</v>
      </c>
      <c r="J308" s="20">
        <v>0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2:25" outlineLevel="2" x14ac:dyDescent="0.25">
      <c r="B309" s="43" t="s">
        <v>175</v>
      </c>
      <c r="G309" s="6"/>
      <c r="H309" s="6">
        <v>0</v>
      </c>
      <c r="I309" s="6">
        <v>0</v>
      </c>
      <c r="J309" s="20">
        <v>0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2:25" outlineLevel="2" x14ac:dyDescent="0.25">
      <c r="B310" s="43" t="s">
        <v>164</v>
      </c>
      <c r="G310" s="6"/>
      <c r="H310" s="6">
        <v>0</v>
      </c>
      <c r="I310" s="6">
        <v>0</v>
      </c>
      <c r="J310" s="20">
        <v>0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2:25" outlineLevel="2" x14ac:dyDescent="0.25">
      <c r="B311" s="10" t="s">
        <v>166</v>
      </c>
      <c r="C311" s="10"/>
      <c r="D311" s="10"/>
      <c r="E311" s="10"/>
      <c r="F311" s="10"/>
      <c r="G311" s="11"/>
      <c r="H311" s="11">
        <f>H304+H305+H308+H309+H310</f>
        <v>-1393.6</v>
      </c>
      <c r="I311" s="11">
        <f t="shared" ref="I311" si="19">I304+I305+I308+I309+I310</f>
        <v>-1434.6999999999998</v>
      </c>
      <c r="J311" s="11">
        <f t="shared" ref="J311" si="20">J304+J305+J308+J309+J310</f>
        <v>-1479.7208772377892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2:25" outlineLevel="2" x14ac:dyDescent="0.25"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2:25" outlineLevel="2" x14ac:dyDescent="0.25">
      <c r="B313" s="1" t="s">
        <v>167</v>
      </c>
      <c r="C313" s="6">
        <f>J295</f>
        <v>5773.2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2:25" outlineLevel="2" x14ac:dyDescent="0.25">
      <c r="B314" s="1" t="s">
        <v>168</v>
      </c>
      <c r="C314" s="51">
        <v>135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2:25" outlineLevel="2" x14ac:dyDescent="0.25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2:25" outlineLevel="2" x14ac:dyDescent="0.25">
      <c r="B316" s="1" t="s">
        <v>169</v>
      </c>
      <c r="C316" s="23"/>
      <c r="D316" s="23"/>
      <c r="E316" s="23"/>
      <c r="G316" s="31"/>
      <c r="H316" s="31"/>
      <c r="I316" s="31"/>
      <c r="J316" s="6">
        <f>IF(J294&lt;=$C314,$C313/$C314,0)</f>
        <v>42.764444444444443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2:25" outlineLevel="2" x14ac:dyDescent="0.25">
      <c r="B317" s="10"/>
      <c r="C317" s="10"/>
      <c r="D317" s="10"/>
      <c r="E317" s="10"/>
      <c r="F317" s="10"/>
      <c r="G317" s="11"/>
      <c r="H317" s="11"/>
      <c r="I317" s="11"/>
      <c r="J317" s="11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2:25" outlineLevel="2" x14ac:dyDescent="0.25">
      <c r="C318" s="49" t="s">
        <v>168</v>
      </c>
      <c r="D318" s="49" t="s">
        <v>171</v>
      </c>
      <c r="E318" s="49" t="s">
        <v>172</v>
      </c>
      <c r="G318" s="148" t="s">
        <v>173</v>
      </c>
      <c r="H318" s="148"/>
      <c r="I318" s="148"/>
      <c r="J318" s="148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2:25" outlineLevel="2" x14ac:dyDescent="0.25">
      <c r="B319" s="46">
        <f>J294</f>
        <v>1</v>
      </c>
      <c r="C319" s="52">
        <v>50</v>
      </c>
      <c r="D319" s="53">
        <f>I297</f>
        <v>5.9599387040280213E-2</v>
      </c>
      <c r="E319" s="11">
        <f>INDEX($J$8:$J$8,1,$B319)*D319</f>
        <v>112.82163966725044</v>
      </c>
      <c r="G319" s="50"/>
      <c r="H319" s="50"/>
      <c r="I319" s="50"/>
      <c r="J319" s="11">
        <f>IF(J294&lt;=$C319,$E319/$C319,0)</f>
        <v>2.2564327933450086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2:25" outlineLevel="2" x14ac:dyDescent="0.25"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outlineLevel="2" x14ac:dyDescent="0.25">
      <c r="B321" s="5" t="s">
        <v>174</v>
      </c>
      <c r="C321" s="5"/>
      <c r="D321" s="5"/>
      <c r="E321" s="5"/>
      <c r="F321" s="5"/>
      <c r="G321" s="7"/>
      <c r="H321" s="7"/>
      <c r="I321" s="7"/>
      <c r="J321" s="7">
        <f>J316+SUM(J319:J319)</f>
        <v>45.020877237789449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5.75" outlineLevel="2" thickBot="1" x14ac:dyDescent="0.3">
      <c r="B322" s="54" t="str">
        <f>B294&amp;", Net"</f>
        <v>Infrastructure Assets, Net</v>
      </c>
      <c r="C322" s="54"/>
      <c r="D322" s="54"/>
      <c r="E322" s="54"/>
      <c r="F322" s="54"/>
      <c r="G322" s="55">
        <f t="shared" ref="G322:I322" si="21">G302+G311</f>
        <v>0</v>
      </c>
      <c r="H322" s="55">
        <f t="shared" si="21"/>
        <v>4104.0999999999985</v>
      </c>
      <c r="I322" s="55">
        <f t="shared" si="21"/>
        <v>4338.5</v>
      </c>
      <c r="J322" s="55">
        <f>J302+J311</f>
        <v>4406.3007624294614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5.75" outlineLevel="1" thickTop="1" x14ac:dyDescent="0.25"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outlineLevel="1" x14ac:dyDescent="0.25">
      <c r="A324" s="39" t="s">
        <v>141</v>
      </c>
      <c r="B324" s="28" t="s">
        <v>183</v>
      </c>
      <c r="C324" s="28"/>
      <c r="D324" s="28"/>
      <c r="E324" s="28"/>
      <c r="F324" s="28"/>
      <c r="G324" s="48" t="s">
        <v>170</v>
      </c>
      <c r="H324" s="48" t="s">
        <v>170</v>
      </c>
      <c r="I324" s="48" t="s">
        <v>170</v>
      </c>
      <c r="J324" s="27">
        <v>1</v>
      </c>
      <c r="K324" s="42" t="s">
        <v>141</v>
      </c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outlineLevel="2" x14ac:dyDescent="0.25">
      <c r="B325" s="1" t="s">
        <v>154</v>
      </c>
      <c r="G325" s="6"/>
      <c r="H325" s="6">
        <v>4023.4</v>
      </c>
      <c r="I325" s="6">
        <v>4340.7</v>
      </c>
      <c r="J325" s="6">
        <f>I332</f>
        <v>4792.7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outlineLevel="2" x14ac:dyDescent="0.25">
      <c r="B326" s="43" t="s">
        <v>155</v>
      </c>
      <c r="G326" s="6"/>
      <c r="H326" s="6">
        <v>170.7</v>
      </c>
      <c r="I326" s="6">
        <v>226</v>
      </c>
      <c r="J326" s="20">
        <f>E349</f>
        <v>234.13857267950962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outlineLevel="2" x14ac:dyDescent="0.25">
      <c r="B327" s="45" t="s">
        <v>165</v>
      </c>
      <c r="C327" s="36"/>
      <c r="D327" s="36"/>
      <c r="E327" s="36"/>
      <c r="F327" s="36"/>
      <c r="G327" s="19"/>
      <c r="H327" s="19"/>
      <c r="I327" s="19">
        <f>I326/I$8</f>
        <v>0.12368651488616463</v>
      </c>
      <c r="J327" s="19">
        <f>J326/J$8</f>
        <v>0.12368651488616461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outlineLevel="2" x14ac:dyDescent="0.25">
      <c r="B328" s="43" t="s">
        <v>157</v>
      </c>
      <c r="G328" s="6"/>
      <c r="H328" s="6">
        <v>0</v>
      </c>
      <c r="I328" s="6">
        <v>0</v>
      </c>
      <c r="J328" s="20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outlineLevel="2" x14ac:dyDescent="0.25">
      <c r="B329" s="43" t="s">
        <v>156</v>
      </c>
      <c r="G329" s="6"/>
      <c r="H329" s="6">
        <v>152</v>
      </c>
      <c r="I329" s="6">
        <v>258</v>
      </c>
      <c r="J329" s="20">
        <v>0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outlineLevel="2" x14ac:dyDescent="0.25">
      <c r="B330" s="43" t="s">
        <v>175</v>
      </c>
      <c r="G330" s="6"/>
      <c r="H330" s="6">
        <v>-5.4</v>
      </c>
      <c r="I330" s="6">
        <v>-32</v>
      </c>
      <c r="J330" s="20">
        <v>0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outlineLevel="2" x14ac:dyDescent="0.25">
      <c r="B331" s="43" t="s">
        <v>158</v>
      </c>
      <c r="G331" s="6"/>
      <c r="H331" s="6">
        <v>0</v>
      </c>
      <c r="I331" s="6">
        <v>0</v>
      </c>
      <c r="J331" s="20">
        <v>0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outlineLevel="2" x14ac:dyDescent="0.25">
      <c r="B332" s="10" t="s">
        <v>159</v>
      </c>
      <c r="C332" s="10"/>
      <c r="D332" s="10"/>
      <c r="E332" s="10"/>
      <c r="F332" s="10"/>
      <c r="G332" s="11"/>
      <c r="H332" s="11">
        <f>H325+H326+H328+H329+H330+H331</f>
        <v>4340.7000000000007</v>
      </c>
      <c r="I332" s="11">
        <f>I325+I326+I328+I329+I330+I331</f>
        <v>4792.7</v>
      </c>
      <c r="J332" s="11">
        <f>J325+J326+J328+J329+J330+J331</f>
        <v>5026.8385726795095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outlineLevel="2" x14ac:dyDescent="0.25"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outlineLevel="2" x14ac:dyDescent="0.25">
      <c r="B334" s="1" t="s">
        <v>160</v>
      </c>
      <c r="G334" s="6"/>
      <c r="H334" s="6">
        <v>-2503.1</v>
      </c>
      <c r="I334" s="6">
        <f>H341</f>
        <v>-2690.6</v>
      </c>
      <c r="J334" s="6">
        <f>I341</f>
        <v>-2858.1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outlineLevel="2" x14ac:dyDescent="0.25">
      <c r="B335" s="43" t="s">
        <v>161</v>
      </c>
      <c r="G335" s="6"/>
      <c r="H335" s="6">
        <v>-192.6</v>
      </c>
      <c r="I335" s="6">
        <v>-199.5</v>
      </c>
      <c r="J335" s="6">
        <f>-J351</f>
        <v>-209.06137624051371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outlineLevel="2" x14ac:dyDescent="0.25">
      <c r="B336" s="45" t="s">
        <v>162</v>
      </c>
      <c r="C336" s="36"/>
      <c r="D336" s="36"/>
      <c r="E336" s="36"/>
      <c r="F336" s="36"/>
      <c r="G336" s="19"/>
      <c r="H336" s="19"/>
      <c r="I336" s="19">
        <f>I335/I$8</f>
        <v>-0.10918345008756568</v>
      </c>
      <c r="J336" s="19">
        <f>J335/J$8</f>
        <v>-0.11043918449049853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2:25" outlineLevel="2" x14ac:dyDescent="0.25">
      <c r="B337" s="45" t="s">
        <v>163</v>
      </c>
      <c r="C337" s="36"/>
      <c r="D337" s="36"/>
      <c r="E337" s="36"/>
      <c r="F337" s="36"/>
      <c r="G337" s="19"/>
      <c r="H337" s="19"/>
      <c r="I337" s="19">
        <f>I335/I$265</f>
        <v>-5.3141898191310835E-2</v>
      </c>
      <c r="J337" s="19">
        <f>J335/J$265</f>
        <v>-5.2070081255420599E-2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2:25" outlineLevel="2" x14ac:dyDescent="0.25">
      <c r="B338" s="43" t="s">
        <v>157</v>
      </c>
      <c r="G338" s="6"/>
      <c r="H338" s="6">
        <v>0</v>
      </c>
      <c r="I338" s="6">
        <v>0</v>
      </c>
      <c r="J338" s="20">
        <v>0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2:25" outlineLevel="2" x14ac:dyDescent="0.25">
      <c r="B339" s="43" t="s">
        <v>175</v>
      </c>
      <c r="G339" s="6"/>
      <c r="H339" s="6">
        <v>5.0999999999999996</v>
      </c>
      <c r="I339" s="6">
        <v>32</v>
      </c>
      <c r="J339" s="20">
        <v>0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2:25" outlineLevel="2" x14ac:dyDescent="0.25">
      <c r="B340" s="43" t="s">
        <v>164</v>
      </c>
      <c r="G340" s="6"/>
      <c r="H340" s="6">
        <v>0</v>
      </c>
      <c r="I340" s="6">
        <v>0</v>
      </c>
      <c r="J340" s="20">
        <v>0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2:25" outlineLevel="2" x14ac:dyDescent="0.25">
      <c r="B341" s="10" t="s">
        <v>166</v>
      </c>
      <c r="C341" s="10"/>
      <c r="D341" s="10"/>
      <c r="E341" s="10"/>
      <c r="F341" s="10"/>
      <c r="G341" s="11"/>
      <c r="H341" s="11">
        <f>H334+H335+H338+H339+H340</f>
        <v>-2690.6</v>
      </c>
      <c r="I341" s="11">
        <f t="shared" ref="I341" si="22">I334+I335+I338+I339+I340</f>
        <v>-2858.1</v>
      </c>
      <c r="J341" s="11">
        <f t="shared" ref="J341" si="23">J334+J335+J338+J339+J340</f>
        <v>-3067.1613762405136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2:25" outlineLevel="2" x14ac:dyDescent="0.25"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2:25" outlineLevel="2" x14ac:dyDescent="0.25">
      <c r="B343" s="1" t="s">
        <v>167</v>
      </c>
      <c r="C343" s="6">
        <f>J325</f>
        <v>4792.7</v>
      </c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2:25" outlineLevel="2" x14ac:dyDescent="0.25">
      <c r="B344" s="1" t="s">
        <v>168</v>
      </c>
      <c r="C344" s="51">
        <v>24</v>
      </c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2:25" outlineLevel="2" x14ac:dyDescent="0.25"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2:25" outlineLevel="2" x14ac:dyDescent="0.25">
      <c r="B346" s="1" t="s">
        <v>169</v>
      </c>
      <c r="C346" s="23"/>
      <c r="D346" s="23"/>
      <c r="E346" s="23"/>
      <c r="G346" s="31"/>
      <c r="H346" s="31"/>
      <c r="I346" s="31"/>
      <c r="J346" s="6">
        <f>IF(J324&lt;=$C344,$C343/$C344,0)</f>
        <v>199.69583333333333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2:25" outlineLevel="2" x14ac:dyDescent="0.25">
      <c r="B347" s="10"/>
      <c r="C347" s="10"/>
      <c r="D347" s="10"/>
      <c r="E347" s="10"/>
      <c r="F347" s="10"/>
      <c r="G347" s="11"/>
      <c r="H347" s="11"/>
      <c r="I347" s="11"/>
      <c r="J347" s="11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2:25" outlineLevel="2" x14ac:dyDescent="0.25">
      <c r="C348" s="49" t="s">
        <v>168</v>
      </c>
      <c r="D348" s="49" t="s">
        <v>171</v>
      </c>
      <c r="E348" s="49" t="s">
        <v>172</v>
      </c>
      <c r="G348" s="148" t="s">
        <v>173</v>
      </c>
      <c r="H348" s="148"/>
      <c r="I348" s="148"/>
      <c r="J348" s="148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2:25" outlineLevel="2" x14ac:dyDescent="0.25">
      <c r="B349" s="46">
        <f>J324</f>
        <v>1</v>
      </c>
      <c r="C349" s="52">
        <v>25</v>
      </c>
      <c r="D349" s="53">
        <f>I327</f>
        <v>0.12368651488616463</v>
      </c>
      <c r="E349" s="11">
        <f>INDEX($J$8:$J$8,1,$B349)*D349</f>
        <v>234.13857267950962</v>
      </c>
      <c r="G349" s="50"/>
      <c r="H349" s="50"/>
      <c r="I349" s="50"/>
      <c r="J349" s="11">
        <f>IF(J324&lt;=$C349,$E349/$C349,0)</f>
        <v>9.3655429071803855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2:25" outlineLevel="2" x14ac:dyDescent="0.25"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2:25" outlineLevel="2" x14ac:dyDescent="0.25">
      <c r="B351" s="5" t="s">
        <v>174</v>
      </c>
      <c r="C351" s="5"/>
      <c r="D351" s="5"/>
      <c r="E351" s="5"/>
      <c r="F351" s="5"/>
      <c r="G351" s="7"/>
      <c r="H351" s="7"/>
      <c r="I351" s="7"/>
      <c r="J351" s="7">
        <f>J346+SUM(J349:J349)</f>
        <v>209.06137624051371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2:25" ht="15.75" outlineLevel="2" thickBot="1" x14ac:dyDescent="0.3">
      <c r="B352" s="54" t="str">
        <f>B324&amp;", Net"</f>
        <v>Fixed Plant &amp; Equipment, Net</v>
      </c>
      <c r="C352" s="54"/>
      <c r="D352" s="54"/>
      <c r="E352" s="54"/>
      <c r="F352" s="54"/>
      <c r="G352" s="55">
        <f t="shared" ref="G352:I352" si="24">G332+G341</f>
        <v>0</v>
      </c>
      <c r="H352" s="55">
        <f t="shared" si="24"/>
        <v>1650.1000000000008</v>
      </c>
      <c r="I352" s="55">
        <f t="shared" si="24"/>
        <v>1934.6</v>
      </c>
      <c r="J352" s="55">
        <f>J332+J341</f>
        <v>1959.6771964389959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2:25" ht="15.75" outlineLevel="1" thickTop="1" x14ac:dyDescent="0.25"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2:25" outlineLevel="1" x14ac:dyDescent="0.25">
      <c r="B354" s="28" t="s">
        <v>184</v>
      </c>
      <c r="C354" s="28"/>
      <c r="D354" s="28"/>
      <c r="E354" s="28"/>
      <c r="F354" s="28"/>
      <c r="G354" s="48" t="s">
        <v>170</v>
      </c>
      <c r="H354" s="48" t="s">
        <v>170</v>
      </c>
      <c r="I354" s="48" t="s">
        <v>170</v>
      </c>
      <c r="J354" s="27">
        <v>1</v>
      </c>
      <c r="K354" s="42" t="s">
        <v>141</v>
      </c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2:25" outlineLevel="2" x14ac:dyDescent="0.25">
      <c r="B355" s="1" t="s">
        <v>154</v>
      </c>
      <c r="G355" s="6"/>
      <c r="H355" s="6">
        <v>66.099999999999994</v>
      </c>
      <c r="I355" s="6">
        <v>67.2</v>
      </c>
      <c r="J355" s="6">
        <f>I362</f>
        <v>72.300000000000011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2:25" outlineLevel="2" x14ac:dyDescent="0.25">
      <c r="B356" s="43" t="s">
        <v>155</v>
      </c>
      <c r="G356" s="6"/>
      <c r="H356" s="6">
        <v>7.9</v>
      </c>
      <c r="I356" s="6">
        <v>6.4</v>
      </c>
      <c r="J356" s="20">
        <f>E379</f>
        <v>6.6304728546409804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2:25" outlineLevel="2" x14ac:dyDescent="0.25">
      <c r="B357" s="45" t="s">
        <v>165</v>
      </c>
      <c r="C357" s="36"/>
      <c r="D357" s="36"/>
      <c r="E357" s="36"/>
      <c r="F357" s="36"/>
      <c r="G357" s="19"/>
      <c r="H357" s="19"/>
      <c r="I357" s="19">
        <f>I356/I$8</f>
        <v>3.5026269702276708E-3</v>
      </c>
      <c r="J357" s="19">
        <f>J356/J$8</f>
        <v>3.5026269702276703E-3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2:25" outlineLevel="2" x14ac:dyDescent="0.25">
      <c r="B358" s="43" t="s">
        <v>157</v>
      </c>
      <c r="G358" s="6"/>
      <c r="H358" s="6">
        <v>0</v>
      </c>
      <c r="I358" s="6">
        <v>2.5</v>
      </c>
      <c r="J358" s="20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2:25" outlineLevel="2" x14ac:dyDescent="0.25">
      <c r="B359" s="43" t="s">
        <v>156</v>
      </c>
      <c r="G359" s="6"/>
      <c r="H359" s="6">
        <v>1.1000000000000001</v>
      </c>
      <c r="I359" s="6">
        <v>0</v>
      </c>
      <c r="J359" s="20">
        <v>0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2:25" outlineLevel="2" x14ac:dyDescent="0.25">
      <c r="B360" s="43" t="s">
        <v>175</v>
      </c>
      <c r="G360" s="6"/>
      <c r="H360" s="6">
        <v>-7.9</v>
      </c>
      <c r="I360" s="6">
        <v>-3.8</v>
      </c>
      <c r="J360" s="20">
        <v>0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2:25" outlineLevel="2" x14ac:dyDescent="0.25">
      <c r="B361" s="43" t="s">
        <v>158</v>
      </c>
      <c r="G361" s="6"/>
      <c r="H361" s="6">
        <v>0</v>
      </c>
      <c r="I361" s="6">
        <v>0</v>
      </c>
      <c r="J361" s="20">
        <v>0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2:25" outlineLevel="2" x14ac:dyDescent="0.25">
      <c r="B362" s="10" t="s">
        <v>159</v>
      </c>
      <c r="C362" s="10"/>
      <c r="D362" s="10"/>
      <c r="E362" s="10"/>
      <c r="F362" s="10"/>
      <c r="G362" s="11"/>
      <c r="H362" s="11">
        <f>H355+H356+H358+H359+H360+H361</f>
        <v>67.199999999999989</v>
      </c>
      <c r="I362" s="11">
        <f>I355+I356+I358+I359+I360+I361</f>
        <v>72.300000000000011</v>
      </c>
      <c r="J362" s="11">
        <f>J355+J356+J358+J359+J360+J361</f>
        <v>78.930472854640996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2:25" outlineLevel="2" x14ac:dyDescent="0.25"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2:25" outlineLevel="2" x14ac:dyDescent="0.25">
      <c r="B364" s="1" t="s">
        <v>160</v>
      </c>
      <c r="G364" s="6"/>
      <c r="H364" s="6">
        <v>-37.5</v>
      </c>
      <c r="I364" s="6">
        <f>H371</f>
        <v>-36</v>
      </c>
      <c r="J364" s="6">
        <f>I371</f>
        <v>-38.400000000000006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2:25" outlineLevel="2" x14ac:dyDescent="0.25">
      <c r="B365" s="43" t="s">
        <v>161</v>
      </c>
      <c r="G365" s="6"/>
      <c r="H365" s="6">
        <v>-5.8</v>
      </c>
      <c r="I365" s="6">
        <v>-5.7</v>
      </c>
      <c r="J365" s="6">
        <f>-J381</f>
        <v>-5.0852189141856403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2:25" outlineLevel="2" x14ac:dyDescent="0.25">
      <c r="B366" s="45" t="s">
        <v>162</v>
      </c>
      <c r="C366" s="36"/>
      <c r="D366" s="36"/>
      <c r="E366" s="36"/>
      <c r="F366" s="36"/>
      <c r="G366" s="19"/>
      <c r="H366" s="19"/>
      <c r="I366" s="19">
        <f>I365/I$8</f>
        <v>-3.1195271453590191E-3</v>
      </c>
      <c r="J366" s="19">
        <f>J365/J$8</f>
        <v>-2.6863280053806868E-3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2:25" outlineLevel="2" x14ac:dyDescent="0.25">
      <c r="B367" s="45" t="s">
        <v>163</v>
      </c>
      <c r="C367" s="36"/>
      <c r="D367" s="36"/>
      <c r="E367" s="36"/>
      <c r="F367" s="36"/>
      <c r="G367" s="19"/>
      <c r="H367" s="19"/>
      <c r="I367" s="19">
        <f>I365/I$265</f>
        <v>-1.5183399483231668E-3</v>
      </c>
      <c r="J367" s="19">
        <f>J365/J$265</f>
        <v>-1.2665551467461122E-3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2:25" outlineLevel="2" x14ac:dyDescent="0.25">
      <c r="B368" s="43" t="s">
        <v>157</v>
      </c>
      <c r="G368" s="6"/>
      <c r="H368" s="6">
        <v>0</v>
      </c>
      <c r="I368" s="6">
        <v>0</v>
      </c>
      <c r="J368" s="20">
        <v>0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outlineLevel="2" x14ac:dyDescent="0.25">
      <c r="B369" s="43" t="s">
        <v>175</v>
      </c>
      <c r="G369" s="6"/>
      <c r="H369" s="6">
        <v>7.3</v>
      </c>
      <c r="I369" s="6">
        <v>3.3</v>
      </c>
      <c r="J369" s="20">
        <v>0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outlineLevel="2" x14ac:dyDescent="0.25">
      <c r="B370" s="43" t="s">
        <v>164</v>
      </c>
      <c r="G370" s="6"/>
      <c r="H370" s="6">
        <v>0</v>
      </c>
      <c r="I370" s="6">
        <v>0</v>
      </c>
      <c r="J370" s="20">
        <v>0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outlineLevel="2" x14ac:dyDescent="0.25">
      <c r="B371" s="10" t="s">
        <v>166</v>
      </c>
      <c r="C371" s="10"/>
      <c r="D371" s="10"/>
      <c r="E371" s="10"/>
      <c r="F371" s="10"/>
      <c r="G371" s="11"/>
      <c r="H371" s="11">
        <f>H364+H365+H368+H369+H370</f>
        <v>-36</v>
      </c>
      <c r="I371" s="11">
        <f t="shared" ref="I371" si="25">I364+I365+I368+I369+I370</f>
        <v>-38.400000000000006</v>
      </c>
      <c r="J371" s="11">
        <f t="shared" ref="J371" si="26">J364+J365+J368+J369+J370</f>
        <v>-43.485218914185644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outlineLevel="2" x14ac:dyDescent="0.25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outlineLevel="2" x14ac:dyDescent="0.25">
      <c r="B373" s="1" t="s">
        <v>167</v>
      </c>
      <c r="C373" s="6">
        <f>J355</f>
        <v>72.300000000000011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outlineLevel="2" x14ac:dyDescent="0.25">
      <c r="B374" s="1" t="s">
        <v>168</v>
      </c>
      <c r="C374" s="51">
        <v>15</v>
      </c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outlineLevel="2" x14ac:dyDescent="0.25"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outlineLevel="2" x14ac:dyDescent="0.25">
      <c r="B376" s="1" t="s">
        <v>169</v>
      </c>
      <c r="C376" s="23"/>
      <c r="D376" s="23"/>
      <c r="E376" s="23"/>
      <c r="G376" s="31"/>
      <c r="H376" s="31"/>
      <c r="I376" s="31"/>
      <c r="J376" s="6">
        <f>IF(J354&lt;=$C374,$C373/$C374,0)</f>
        <v>4.8200000000000012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outlineLevel="2" x14ac:dyDescent="0.25">
      <c r="B377" s="10"/>
      <c r="C377" s="10"/>
      <c r="D377" s="10"/>
      <c r="E377" s="10"/>
      <c r="F377" s="10"/>
      <c r="G377" s="11"/>
      <c r="H377" s="11"/>
      <c r="I377" s="11"/>
      <c r="J377" s="11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outlineLevel="2" x14ac:dyDescent="0.25">
      <c r="C378" s="49" t="s">
        <v>168</v>
      </c>
      <c r="D378" s="49" t="s">
        <v>171</v>
      </c>
      <c r="E378" s="49" t="s">
        <v>172</v>
      </c>
      <c r="G378" s="148" t="s">
        <v>173</v>
      </c>
      <c r="H378" s="148"/>
      <c r="I378" s="148"/>
      <c r="J378" s="148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outlineLevel="2" x14ac:dyDescent="0.25">
      <c r="B379" s="46">
        <f>J354</f>
        <v>1</v>
      </c>
      <c r="C379" s="52">
        <v>25</v>
      </c>
      <c r="D379" s="53">
        <f>I357</f>
        <v>3.5026269702276708E-3</v>
      </c>
      <c r="E379" s="11">
        <f>INDEX($J$8:$J$8,1,$B379)*D379</f>
        <v>6.6304728546409804</v>
      </c>
      <c r="G379" s="50"/>
      <c r="H379" s="50"/>
      <c r="I379" s="50"/>
      <c r="J379" s="11">
        <f>IF(J354&lt;=$C379,$E379/$C379,0)</f>
        <v>0.2652189141856392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outlineLevel="2" x14ac:dyDescent="0.25"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outlineLevel="2" x14ac:dyDescent="0.25">
      <c r="B381" s="5" t="s">
        <v>174</v>
      </c>
      <c r="C381" s="5"/>
      <c r="D381" s="5"/>
      <c r="E381" s="5"/>
      <c r="F381" s="5"/>
      <c r="G381" s="7"/>
      <c r="H381" s="7"/>
      <c r="I381" s="7"/>
      <c r="J381" s="7">
        <f>J376+SUM(J379:J379)</f>
        <v>5.0852189141856403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5.75" outlineLevel="2" thickBot="1" x14ac:dyDescent="0.3">
      <c r="B382" s="54" t="str">
        <f>B354&amp;", Net"</f>
        <v>Moveable Plant, Net</v>
      </c>
      <c r="C382" s="54"/>
      <c r="D382" s="54"/>
      <c r="E382" s="54"/>
      <c r="F382" s="54"/>
      <c r="G382" s="55">
        <f t="shared" ref="G382:I382" si="27">G362+G371</f>
        <v>0</v>
      </c>
      <c r="H382" s="55">
        <f t="shared" si="27"/>
        <v>31.199999999999989</v>
      </c>
      <c r="I382" s="55">
        <f t="shared" si="27"/>
        <v>33.900000000000006</v>
      </c>
      <c r="J382" s="55">
        <f>J362+J371</f>
        <v>35.445253940455352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5.75" outlineLevel="1" thickTop="1" x14ac:dyDescent="0.25">
      <c r="B383" s="67"/>
      <c r="C383" s="67"/>
      <c r="D383" s="67"/>
      <c r="E383" s="67"/>
      <c r="F383" s="67"/>
      <c r="G383" s="68"/>
      <c r="H383" s="68"/>
      <c r="I383" s="68"/>
      <c r="J383" s="68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outlineLevel="1" x14ac:dyDescent="0.25">
      <c r="A384" s="39" t="s">
        <v>141</v>
      </c>
      <c r="B384" s="28" t="s">
        <v>185</v>
      </c>
      <c r="C384" s="28"/>
      <c r="D384" s="28"/>
      <c r="E384" s="28"/>
      <c r="F384" s="28"/>
      <c r="G384" s="48" t="s">
        <v>170</v>
      </c>
      <c r="H384" s="48" t="s">
        <v>170</v>
      </c>
      <c r="I384" s="48" t="s">
        <v>170</v>
      </c>
      <c r="J384" s="27">
        <v>1</v>
      </c>
      <c r="K384" s="42" t="s">
        <v>141</v>
      </c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2:25" outlineLevel="2" x14ac:dyDescent="0.25">
      <c r="B385" s="1" t="s">
        <v>154</v>
      </c>
      <c r="G385" s="6"/>
      <c r="H385" s="6">
        <v>1284</v>
      </c>
      <c r="I385" s="6">
        <v>1492.8</v>
      </c>
      <c r="J385" s="6">
        <f>I392</f>
        <v>1095.3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2:25" outlineLevel="2" x14ac:dyDescent="0.25">
      <c r="B386" s="43" t="s">
        <v>155</v>
      </c>
      <c r="G386" s="6"/>
      <c r="H386" s="6">
        <v>524.4</v>
      </c>
      <c r="I386" s="6">
        <v>196.5</v>
      </c>
      <c r="J386" s="20">
        <f>E409</f>
        <v>203.57623686514887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2:25" outlineLevel="2" x14ac:dyDescent="0.25">
      <c r="B387" s="45" t="s">
        <v>165</v>
      </c>
      <c r="C387" s="36"/>
      <c r="D387" s="36"/>
      <c r="E387" s="36"/>
      <c r="F387" s="36"/>
      <c r="G387" s="19"/>
      <c r="H387" s="19"/>
      <c r="I387" s="19">
        <f>I386/I$8</f>
        <v>0.10754159369527146</v>
      </c>
      <c r="J387" s="19">
        <f>J386/J$8</f>
        <v>0.10754159369527146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2:25" outlineLevel="2" x14ac:dyDescent="0.25">
      <c r="B388" s="43" t="s">
        <v>157</v>
      </c>
      <c r="G388" s="6"/>
      <c r="H388" s="6">
        <v>0</v>
      </c>
      <c r="I388" s="6">
        <v>0</v>
      </c>
      <c r="J388" s="20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2:25" outlineLevel="2" x14ac:dyDescent="0.25">
      <c r="B389" s="43" t="s">
        <v>156</v>
      </c>
      <c r="G389" s="6"/>
      <c r="H389" s="6">
        <v>-305.10000000000002</v>
      </c>
      <c r="I389" s="6">
        <f>-571.6+-22.2</f>
        <v>-593.80000000000007</v>
      </c>
      <c r="J389" s="20">
        <v>0</v>
      </c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2:25" outlineLevel="2" x14ac:dyDescent="0.25">
      <c r="B390" s="43" t="s">
        <v>175</v>
      </c>
      <c r="G390" s="6"/>
      <c r="H390" s="6">
        <v>-10.5</v>
      </c>
      <c r="I390" s="6">
        <v>-0.2</v>
      </c>
      <c r="J390" s="20">
        <v>0</v>
      </c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2:25" outlineLevel="2" x14ac:dyDescent="0.25">
      <c r="B391" s="43" t="s">
        <v>158</v>
      </c>
      <c r="G391" s="6"/>
      <c r="H391" s="6">
        <v>0</v>
      </c>
      <c r="I391" s="6">
        <v>0</v>
      </c>
      <c r="J391" s="20">
        <v>0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2:25" outlineLevel="2" x14ac:dyDescent="0.25">
      <c r="B392" s="10" t="s">
        <v>159</v>
      </c>
      <c r="C392" s="10"/>
      <c r="D392" s="10"/>
      <c r="E392" s="10"/>
      <c r="F392" s="10"/>
      <c r="G392" s="11"/>
      <c r="H392" s="11">
        <f>H385+H386+H388+H389+H390+H391</f>
        <v>1492.8000000000002</v>
      </c>
      <c r="I392" s="11">
        <f>I385+I386+I388+I389+I390+I391</f>
        <v>1095.3</v>
      </c>
      <c r="J392" s="11">
        <f>J385+J386+J388+J389+J390+J391</f>
        <v>1298.8762368651487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2:25" outlineLevel="2" x14ac:dyDescent="0.25"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2:25" outlineLevel="2" x14ac:dyDescent="0.25">
      <c r="B394" s="1" t="s">
        <v>160</v>
      </c>
      <c r="G394" s="6"/>
      <c r="H394" s="6">
        <v>0</v>
      </c>
      <c r="I394" s="6">
        <v>0</v>
      </c>
      <c r="J394" s="6">
        <f>I401</f>
        <v>0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2:25" outlineLevel="2" x14ac:dyDescent="0.25">
      <c r="B395" s="43" t="s">
        <v>161</v>
      </c>
      <c r="G395" s="6"/>
      <c r="H395" s="6">
        <v>0</v>
      </c>
      <c r="I395" s="6">
        <v>0</v>
      </c>
      <c r="J395" s="6">
        <f>-J411</f>
        <v>0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2:25" outlineLevel="2" x14ac:dyDescent="0.25">
      <c r="B396" s="45" t="s">
        <v>162</v>
      </c>
      <c r="C396" s="36"/>
      <c r="D396" s="36"/>
      <c r="E396" s="36"/>
      <c r="F396" s="36"/>
      <c r="G396" s="19"/>
      <c r="H396" s="19"/>
      <c r="I396" s="19">
        <f>I395/I$8</f>
        <v>0</v>
      </c>
      <c r="J396" s="19">
        <f>J395/J$8</f>
        <v>0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2:25" outlineLevel="2" x14ac:dyDescent="0.25">
      <c r="B397" s="45" t="s">
        <v>163</v>
      </c>
      <c r="C397" s="36"/>
      <c r="D397" s="36"/>
      <c r="E397" s="36"/>
      <c r="F397" s="36"/>
      <c r="G397" s="19"/>
      <c r="H397" s="19"/>
      <c r="I397" s="19">
        <f>I395/I$265</f>
        <v>0</v>
      </c>
      <c r="J397" s="19">
        <f>J395/J$265</f>
        <v>0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2:25" outlineLevel="2" x14ac:dyDescent="0.25">
      <c r="B398" s="43" t="s">
        <v>157</v>
      </c>
      <c r="G398" s="6"/>
      <c r="H398" s="6">
        <v>0</v>
      </c>
      <c r="I398" s="6">
        <v>0</v>
      </c>
      <c r="J398" s="20">
        <v>0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2:25" outlineLevel="2" x14ac:dyDescent="0.25">
      <c r="B399" s="43" t="s">
        <v>175</v>
      </c>
      <c r="G399" s="6"/>
      <c r="H399" s="6">
        <v>0</v>
      </c>
      <c r="I399" s="6">
        <v>0</v>
      </c>
      <c r="J399" s="20">
        <v>0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2:25" outlineLevel="2" x14ac:dyDescent="0.25">
      <c r="B400" s="43" t="s">
        <v>164</v>
      </c>
      <c r="G400" s="6"/>
      <c r="H400" s="6">
        <v>0</v>
      </c>
      <c r="I400" s="6">
        <v>0</v>
      </c>
      <c r="J400" s="20">
        <v>0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outlineLevel="2" x14ac:dyDescent="0.25">
      <c r="B401" s="10" t="s">
        <v>166</v>
      </c>
      <c r="C401" s="10"/>
      <c r="D401" s="10"/>
      <c r="E401" s="10"/>
      <c r="F401" s="10"/>
      <c r="G401" s="11"/>
      <c r="H401" s="11">
        <f>H394+H395+H398+H399+H400</f>
        <v>0</v>
      </c>
      <c r="I401" s="11">
        <f t="shared" ref="I401" si="28">I394+I395+I398+I399+I400</f>
        <v>0</v>
      </c>
      <c r="J401" s="11">
        <f t="shared" ref="J401" si="29">J394+J395+J398+J399+J400</f>
        <v>0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outlineLevel="2" x14ac:dyDescent="0.25"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outlineLevel="2" x14ac:dyDescent="0.25">
      <c r="B403" s="1" t="s">
        <v>167</v>
      </c>
      <c r="C403" s="6">
        <f>J385</f>
        <v>1095.3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outlineLevel="2" x14ac:dyDescent="0.25">
      <c r="B404" s="1" t="s">
        <v>168</v>
      </c>
      <c r="C404" s="51">
        <v>0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outlineLevel="2" x14ac:dyDescent="0.25"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outlineLevel="2" x14ac:dyDescent="0.25">
      <c r="B406" s="1" t="s">
        <v>169</v>
      </c>
      <c r="C406" s="23"/>
      <c r="D406" s="23"/>
      <c r="E406" s="23"/>
      <c r="G406" s="31"/>
      <c r="H406" s="31"/>
      <c r="I406" s="31"/>
      <c r="J406" s="6">
        <f>IF(J384&lt;=$C404,$C403/$C404,0)</f>
        <v>0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outlineLevel="2" x14ac:dyDescent="0.25">
      <c r="B407" s="10"/>
      <c r="C407" s="10"/>
      <c r="D407" s="10"/>
      <c r="E407" s="10"/>
      <c r="F407" s="10"/>
      <c r="G407" s="11"/>
      <c r="H407" s="11"/>
      <c r="I407" s="11"/>
      <c r="J407" s="11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outlineLevel="2" x14ac:dyDescent="0.25">
      <c r="C408" s="49" t="s">
        <v>168</v>
      </c>
      <c r="D408" s="49" t="s">
        <v>171</v>
      </c>
      <c r="E408" s="49" t="s">
        <v>172</v>
      </c>
      <c r="G408" s="148" t="s">
        <v>173</v>
      </c>
      <c r="H408" s="148"/>
      <c r="I408" s="148"/>
      <c r="J408" s="148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outlineLevel="2" x14ac:dyDescent="0.25">
      <c r="B409" s="46">
        <f>J384</f>
        <v>1</v>
      </c>
      <c r="C409" s="52">
        <v>0</v>
      </c>
      <c r="D409" s="53">
        <f>I387</f>
        <v>0.10754159369527146</v>
      </c>
      <c r="E409" s="11">
        <f>INDEX($J$8:$J$8,1,$B409)*D409</f>
        <v>203.57623686514887</v>
      </c>
      <c r="G409" s="50"/>
      <c r="H409" s="50"/>
      <c r="I409" s="50"/>
      <c r="J409" s="11">
        <f>IF(J384&lt;=$C409,$E409/$C409,0)</f>
        <v>0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outlineLevel="2" x14ac:dyDescent="0.25"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outlineLevel="2" x14ac:dyDescent="0.25">
      <c r="B411" s="5" t="s">
        <v>174</v>
      </c>
      <c r="C411" s="5"/>
      <c r="D411" s="5"/>
      <c r="E411" s="5"/>
      <c r="F411" s="5"/>
      <c r="G411" s="7"/>
      <c r="H411" s="7"/>
      <c r="I411" s="7"/>
      <c r="J411" s="7">
        <f>J406+SUM(J409:J409)</f>
        <v>0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5.75" outlineLevel="2" thickBot="1" x14ac:dyDescent="0.3">
      <c r="B412" s="54" t="str">
        <f>B384&amp;", Net"</f>
        <v>Assets Under Construction, Net</v>
      </c>
      <c r="C412" s="54"/>
      <c r="D412" s="54"/>
      <c r="E412" s="54"/>
      <c r="F412" s="54"/>
      <c r="G412" s="55">
        <f t="shared" ref="G412:I412" si="30">G392+G401</f>
        <v>0</v>
      </c>
      <c r="H412" s="55">
        <f t="shared" si="30"/>
        <v>1492.8000000000002</v>
      </c>
      <c r="I412" s="55">
        <f t="shared" si="30"/>
        <v>1095.3</v>
      </c>
      <c r="J412" s="55">
        <f>J392+J401</f>
        <v>1298.8762368651487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5.75" outlineLevel="1" thickTop="1" x14ac:dyDescent="0.25">
      <c r="B413" s="67"/>
      <c r="C413" s="67"/>
      <c r="D413" s="67"/>
      <c r="E413" s="67"/>
      <c r="F413" s="67"/>
      <c r="G413" s="68"/>
      <c r="H413" s="68"/>
      <c r="I413" s="68"/>
      <c r="J413" s="68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outlineLevel="1" x14ac:dyDescent="0.25">
      <c r="A414" s="39" t="s">
        <v>141</v>
      </c>
      <c r="B414" s="62" t="s">
        <v>177</v>
      </c>
      <c r="C414" s="28"/>
      <c r="D414" s="28"/>
      <c r="E414" s="28"/>
      <c r="F414" s="28"/>
      <c r="G414" s="47"/>
      <c r="H414" s="47"/>
      <c r="I414" s="47"/>
      <c r="J414" s="27">
        <v>1</v>
      </c>
      <c r="K414" s="42" t="s">
        <v>141</v>
      </c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outlineLevel="1" x14ac:dyDescent="0.25">
      <c r="B415" s="30" t="s">
        <v>178</v>
      </c>
      <c r="C415" s="30"/>
      <c r="D415" s="30"/>
      <c r="E415" s="30"/>
      <c r="F415" s="30"/>
      <c r="G415" s="31"/>
      <c r="H415" s="31"/>
      <c r="I415" s="31"/>
      <c r="J415" s="31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outlineLevel="1" x14ac:dyDescent="0.25">
      <c r="B416" s="29" t="s">
        <v>153</v>
      </c>
      <c r="C416" s="30"/>
      <c r="D416" s="30"/>
      <c r="E416" s="30"/>
      <c r="F416" s="30"/>
      <c r="G416" s="31"/>
      <c r="H416" s="31"/>
      <c r="I416" s="31"/>
      <c r="J416" s="31">
        <f>J291</f>
        <v>64.288810453994344</v>
      </c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outlineLevel="1" x14ac:dyDescent="0.25">
      <c r="B417" s="29" t="s">
        <v>182</v>
      </c>
      <c r="C417" s="30"/>
      <c r="D417" s="30"/>
      <c r="E417" s="30"/>
      <c r="F417" s="30"/>
      <c r="G417" s="31"/>
      <c r="H417" s="31"/>
      <c r="I417" s="31"/>
      <c r="J417" s="31">
        <f>J321</f>
        <v>45.020877237789449</v>
      </c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outlineLevel="1" x14ac:dyDescent="0.25">
      <c r="B418" s="29" t="s">
        <v>183</v>
      </c>
      <c r="C418" s="30"/>
      <c r="D418" s="30"/>
      <c r="E418" s="30"/>
      <c r="F418" s="30"/>
      <c r="G418" s="31"/>
      <c r="H418" s="31"/>
      <c r="I418" s="31"/>
      <c r="J418" s="31">
        <f>J351</f>
        <v>209.06137624051371</v>
      </c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outlineLevel="1" x14ac:dyDescent="0.25">
      <c r="B419" s="29" t="s">
        <v>184</v>
      </c>
      <c r="C419" s="30"/>
      <c r="D419" s="30"/>
      <c r="E419" s="30"/>
      <c r="F419" s="30"/>
      <c r="G419" s="31"/>
      <c r="H419" s="31"/>
      <c r="I419" s="31"/>
      <c r="J419" s="31">
        <f>J381</f>
        <v>5.0852189141856403</v>
      </c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outlineLevel="1" x14ac:dyDescent="0.25">
      <c r="B420" s="29" t="s">
        <v>185</v>
      </c>
      <c r="C420" s="30"/>
      <c r="D420" s="30"/>
      <c r="E420" s="30"/>
      <c r="F420" s="30"/>
      <c r="G420" s="31"/>
      <c r="H420" s="31"/>
      <c r="I420" s="31"/>
      <c r="J420" s="31">
        <f>J411</f>
        <v>0</v>
      </c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outlineLevel="1" x14ac:dyDescent="0.25">
      <c r="B421" s="57" t="s">
        <v>174</v>
      </c>
      <c r="C421" s="58"/>
      <c r="D421" s="58"/>
      <c r="E421" s="58"/>
      <c r="F421" s="58"/>
      <c r="G421" s="56"/>
      <c r="H421" s="56"/>
      <c r="I421" s="56"/>
      <c r="J421" s="56">
        <f>SUM(J416:J420)</f>
        <v>323.45628284648313</v>
      </c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outlineLevel="1" x14ac:dyDescent="0.25">
      <c r="B422" s="59"/>
      <c r="C422" s="60"/>
      <c r="D422" s="60"/>
      <c r="E422" s="60"/>
      <c r="F422" s="60"/>
      <c r="G422" s="61"/>
      <c r="H422" s="61"/>
      <c r="I422" s="61"/>
      <c r="J422" s="61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outlineLevel="1" x14ac:dyDescent="0.25">
      <c r="B423" s="30" t="s">
        <v>172</v>
      </c>
      <c r="C423" s="30"/>
      <c r="D423" s="30"/>
      <c r="E423" s="30"/>
      <c r="F423" s="30"/>
      <c r="G423" s="31"/>
      <c r="H423" s="31"/>
      <c r="I423" s="31"/>
      <c r="J423" s="31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outlineLevel="1" x14ac:dyDescent="0.25">
      <c r="B424" s="29" t="str">
        <f>B416</f>
        <v>Land &amp; Buildings</v>
      </c>
      <c r="C424" s="30"/>
      <c r="D424" s="30"/>
      <c r="E424" s="30"/>
      <c r="F424" s="30"/>
      <c r="G424" s="31"/>
      <c r="H424" s="31"/>
      <c r="I424" s="31"/>
      <c r="J424" s="31">
        <f>J266</f>
        <v>125.97898423817864</v>
      </c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outlineLevel="1" x14ac:dyDescent="0.25">
      <c r="B425" s="29" t="str">
        <f t="shared" ref="B425:B428" si="31">B417</f>
        <v>Infrastructure Assets</v>
      </c>
      <c r="C425" s="30"/>
      <c r="D425" s="30"/>
      <c r="E425" s="30"/>
      <c r="F425" s="30"/>
      <c r="G425" s="31"/>
      <c r="H425" s="31"/>
      <c r="I425" s="31"/>
      <c r="J425" s="31">
        <f>J296</f>
        <v>112.82163966725044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outlineLevel="1" x14ac:dyDescent="0.25">
      <c r="B426" s="29" t="str">
        <f t="shared" si="31"/>
        <v>Fixed Plant &amp; Equipment</v>
      </c>
      <c r="C426" s="30"/>
      <c r="D426" s="30"/>
      <c r="E426" s="30"/>
      <c r="F426" s="30"/>
      <c r="G426" s="31"/>
      <c r="H426" s="31"/>
      <c r="I426" s="31"/>
      <c r="J426" s="31">
        <f>J326</f>
        <v>234.13857267950962</v>
      </c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outlineLevel="1" x14ac:dyDescent="0.25">
      <c r="B427" s="29" t="str">
        <f t="shared" si="31"/>
        <v>Moveable Plant</v>
      </c>
      <c r="C427" s="30"/>
      <c r="D427" s="30"/>
      <c r="E427" s="30"/>
      <c r="F427" s="30"/>
      <c r="G427" s="31"/>
      <c r="H427" s="31"/>
      <c r="I427" s="31"/>
      <c r="J427" s="31">
        <f>J356</f>
        <v>6.6304728546409804</v>
      </c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outlineLevel="1" x14ac:dyDescent="0.25">
      <c r="B428" s="29" t="str">
        <f t="shared" si="31"/>
        <v>Assets Under Construction</v>
      </c>
      <c r="C428" s="30"/>
      <c r="D428" s="30"/>
      <c r="E428" s="30"/>
      <c r="F428" s="30"/>
      <c r="G428" s="31"/>
      <c r="H428" s="31"/>
      <c r="I428" s="31"/>
      <c r="J428" s="31">
        <f>J386</f>
        <v>203.57623686514887</v>
      </c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outlineLevel="1" x14ac:dyDescent="0.25">
      <c r="B429" s="57" t="s">
        <v>176</v>
      </c>
      <c r="C429" s="58"/>
      <c r="D429" s="58"/>
      <c r="E429" s="58"/>
      <c r="F429" s="58"/>
      <c r="G429" s="56"/>
      <c r="H429" s="56"/>
      <c r="I429" s="56"/>
      <c r="J429" s="56">
        <f>SUM(J424:J428)</f>
        <v>683.14590630472856</v>
      </c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x14ac:dyDescent="0.25"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8.75" x14ac:dyDescent="0.3">
      <c r="A431" s="39" t="s">
        <v>141</v>
      </c>
      <c r="B431" s="2" t="s">
        <v>186</v>
      </c>
      <c r="C431" s="2"/>
      <c r="D431" s="2"/>
      <c r="E431" s="2"/>
      <c r="F431" s="2"/>
      <c r="G431" s="9">
        <f>G6</f>
        <v>19</v>
      </c>
      <c r="H431" s="9">
        <f>H6</f>
        <v>20</v>
      </c>
      <c r="I431" s="9">
        <f>I6</f>
        <v>21</v>
      </c>
      <c r="J431" s="3">
        <f>J6</f>
        <v>22</v>
      </c>
      <c r="K431" s="42" t="s">
        <v>141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outlineLevel="1" x14ac:dyDescent="0.25">
      <c r="B432" s="28" t="s">
        <v>127</v>
      </c>
      <c r="C432" s="28"/>
      <c r="D432" s="28"/>
      <c r="E432" s="28"/>
      <c r="F432" s="28"/>
      <c r="G432" s="47"/>
      <c r="H432" s="47"/>
      <c r="I432" s="47"/>
      <c r="J432" s="47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2:25" outlineLevel="1" x14ac:dyDescent="0.25">
      <c r="B433" s="1" t="s">
        <v>128</v>
      </c>
      <c r="G433" s="6"/>
      <c r="H433" s="6">
        <v>2418.9</v>
      </c>
      <c r="I433" s="6">
        <v>2414.1</v>
      </c>
      <c r="J433" s="6">
        <f>I442</f>
        <v>2600.3999999999996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2:25" outlineLevel="1" x14ac:dyDescent="0.25">
      <c r="B434" s="1" t="s">
        <v>105</v>
      </c>
      <c r="G434" s="6"/>
      <c r="H434" s="6">
        <v>58.2</v>
      </c>
      <c r="I434" s="6">
        <v>57.3</v>
      </c>
      <c r="J434" s="6">
        <f>J435*J433</f>
        <v>61.721933639865782</v>
      </c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2:25" outlineLevel="1" x14ac:dyDescent="0.25">
      <c r="B435" s="37" t="s">
        <v>119</v>
      </c>
      <c r="G435" s="6"/>
      <c r="H435" s="19">
        <f>H434/H433</f>
        <v>2.4060523378395138E-2</v>
      </c>
      <c r="I435" s="19">
        <f>I434/I433</f>
        <v>2.3735553622468E-2</v>
      </c>
      <c r="J435" s="21">
        <f>I435</f>
        <v>2.3735553622468E-2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2:25" outlineLevel="1" x14ac:dyDescent="0.25">
      <c r="B436" s="1" t="s">
        <v>129</v>
      </c>
      <c r="G436" s="6"/>
      <c r="H436" s="6">
        <v>46.2</v>
      </c>
      <c r="I436" s="6">
        <v>38.1</v>
      </c>
      <c r="J436" s="20">
        <f>I436</f>
        <v>38.1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2:25" outlineLevel="1" x14ac:dyDescent="0.25">
      <c r="B437" s="1" t="s">
        <v>132</v>
      </c>
      <c r="G437" s="6"/>
      <c r="H437" s="6">
        <v>0.1</v>
      </c>
      <c r="I437" s="6">
        <v>0</v>
      </c>
      <c r="J437" s="20">
        <v>0</v>
      </c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2:25" outlineLevel="1" x14ac:dyDescent="0.25">
      <c r="B438" s="1" t="s">
        <v>138</v>
      </c>
      <c r="G438" s="6"/>
      <c r="H438" s="6">
        <v>-0.4</v>
      </c>
      <c r="I438" s="6">
        <v>212.7</v>
      </c>
      <c r="J438" s="6">
        <f>J439*J433</f>
        <v>182.02799999999999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2:25" outlineLevel="1" x14ac:dyDescent="0.25">
      <c r="B439" s="37" t="s">
        <v>124</v>
      </c>
      <c r="G439" s="6"/>
      <c r="H439" s="19">
        <f>(H438+H434)/H433</f>
        <v>2.3895158956550498E-2</v>
      </c>
      <c r="I439" s="19">
        <f>(I438+I434)/I433</f>
        <v>0.11184292282838325</v>
      </c>
      <c r="J439" s="21">
        <v>7.0000000000000007E-2</v>
      </c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2:25" outlineLevel="1" x14ac:dyDescent="0.25">
      <c r="B440" s="1" t="s">
        <v>106</v>
      </c>
      <c r="G440" s="6"/>
      <c r="H440" s="6">
        <v>-3.4</v>
      </c>
      <c r="I440" s="6">
        <v>-3.9</v>
      </c>
      <c r="J440" s="20">
        <f>I440</f>
        <v>-3.9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2:25" outlineLevel="1" x14ac:dyDescent="0.25">
      <c r="B441" s="1" t="s">
        <v>107</v>
      </c>
      <c r="G441" s="6"/>
      <c r="H441" s="6">
        <v>-105.5</v>
      </c>
      <c r="I441" s="6">
        <v>-117.9</v>
      </c>
      <c r="J441" s="20">
        <f>AVERAGE(H441:I441)</f>
        <v>-111.7</v>
      </c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2:25" outlineLevel="1" x14ac:dyDescent="0.25">
      <c r="B442" s="10" t="s">
        <v>108</v>
      </c>
      <c r="C442" s="10"/>
      <c r="D442" s="10"/>
      <c r="E442" s="10"/>
      <c r="F442" s="10"/>
      <c r="G442" s="11"/>
      <c r="H442" s="11">
        <f>H433+H434+H436+H437+H438+H440+H441</f>
        <v>2414.0999999999995</v>
      </c>
      <c r="I442" s="11">
        <f>I433+I434+I436+I437+I438+I440+I441</f>
        <v>2600.3999999999996</v>
      </c>
      <c r="J442" s="11">
        <f>J433+J434+J436+J437+J438+J440+J441</f>
        <v>2766.6499336398651</v>
      </c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2:25" outlineLevel="1" x14ac:dyDescent="0.25"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2:25" outlineLevel="1" x14ac:dyDescent="0.25">
      <c r="B444" s="28" t="s">
        <v>130</v>
      </c>
      <c r="C444" s="28"/>
      <c r="D444" s="28"/>
      <c r="E444" s="28"/>
      <c r="F444" s="28"/>
      <c r="G444" s="47"/>
      <c r="H444" s="47"/>
      <c r="I444" s="47"/>
      <c r="J444" s="47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2:25" outlineLevel="1" x14ac:dyDescent="0.25">
      <c r="B445" s="1" t="s">
        <v>131</v>
      </c>
      <c r="G445" s="6"/>
      <c r="H445" s="6">
        <v>-2871.8</v>
      </c>
      <c r="I445" s="6">
        <v>-2648.1</v>
      </c>
      <c r="J445" s="6">
        <f>I453</f>
        <v>-2968.0999999999995</v>
      </c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2:25" outlineLevel="1" x14ac:dyDescent="0.25">
      <c r="B446" s="1" t="s">
        <v>110</v>
      </c>
      <c r="G446" s="6"/>
      <c r="H446" s="6">
        <v>-0.2</v>
      </c>
      <c r="I446" s="6">
        <v>-0.2</v>
      </c>
      <c r="J446" s="20">
        <f>I446</f>
        <v>-0.2</v>
      </c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2:25" outlineLevel="1" x14ac:dyDescent="0.25">
      <c r="B447" s="1" t="s">
        <v>111</v>
      </c>
      <c r="G447" s="6"/>
      <c r="H447" s="6">
        <v>0</v>
      </c>
      <c r="I447" s="6">
        <v>-0.3</v>
      </c>
      <c r="J447" s="20">
        <f>I447</f>
        <v>-0.3</v>
      </c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2:25" outlineLevel="1" x14ac:dyDescent="0.25">
      <c r="B448" s="1" t="s">
        <v>112</v>
      </c>
      <c r="G448" s="6"/>
      <c r="H448" s="6">
        <v>-69.3</v>
      </c>
      <c r="I448" s="6">
        <v>-62.7</v>
      </c>
      <c r="J448" s="6">
        <f>J449*J445</f>
        <v>-70.276753143763443</v>
      </c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outlineLevel="1" x14ac:dyDescent="0.25">
      <c r="B449" s="37" t="s">
        <v>119</v>
      </c>
      <c r="G449" s="6"/>
      <c r="H449" s="6"/>
      <c r="I449" s="19">
        <f>I448/I445</f>
        <v>2.3677353574260793E-2</v>
      </c>
      <c r="J449" s="21">
        <f>I449</f>
        <v>2.3677353574260793E-2</v>
      </c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outlineLevel="1" x14ac:dyDescent="0.25">
      <c r="B450" s="1" t="s">
        <v>132</v>
      </c>
      <c r="G450" s="6"/>
      <c r="H450" s="6"/>
      <c r="I450" s="6">
        <f>I437</f>
        <v>0</v>
      </c>
      <c r="J450" s="6">
        <f>J437</f>
        <v>0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outlineLevel="1" x14ac:dyDescent="0.25">
      <c r="B451" s="1" t="s">
        <v>133</v>
      </c>
      <c r="G451" s="6"/>
      <c r="H451" s="6">
        <v>225.5</v>
      </c>
      <c r="I451" s="6">
        <f>33.9-439.7+31.1</f>
        <v>-374.7</v>
      </c>
      <c r="J451" s="20">
        <f>AVERAGE(H451:I451)</f>
        <v>-74.599999999999994</v>
      </c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outlineLevel="1" x14ac:dyDescent="0.25">
      <c r="B452" s="1" t="s">
        <v>107</v>
      </c>
      <c r="G452" s="6"/>
      <c r="H452" s="6">
        <v>105.5</v>
      </c>
      <c r="I452" s="6">
        <f>-I441</f>
        <v>117.9</v>
      </c>
      <c r="J452" s="6">
        <f>-J441</f>
        <v>111.7</v>
      </c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outlineLevel="1" x14ac:dyDescent="0.25">
      <c r="B453" s="10" t="s">
        <v>134</v>
      </c>
      <c r="C453" s="10"/>
      <c r="D453" s="10"/>
      <c r="E453" s="10"/>
      <c r="F453" s="10"/>
      <c r="G453" s="11"/>
      <c r="H453" s="11">
        <f>H445+H446+H447+H448+H450+H451+H452</f>
        <v>-2610.3000000000002</v>
      </c>
      <c r="I453" s="11">
        <f>I445+I446+I447+I448+I450+I451+I452</f>
        <v>-2968.0999999999995</v>
      </c>
      <c r="J453" s="11">
        <f>J445+J446+J447+J448+J450+J451+J452</f>
        <v>-3001.776753143763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outlineLevel="1" x14ac:dyDescent="0.25"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outlineLevel="1" x14ac:dyDescent="0.25">
      <c r="B455" s="1" t="s">
        <v>135</v>
      </c>
      <c r="G455" s="6"/>
      <c r="H455" s="6">
        <f>H442+H453</f>
        <v>-196.20000000000073</v>
      </c>
      <c r="I455" s="6">
        <f>I442+I453</f>
        <v>-367.69999999999982</v>
      </c>
      <c r="J455" s="6">
        <f>J442+J453</f>
        <v>-235.12681950389788</v>
      </c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outlineLevel="1" x14ac:dyDescent="0.25">
      <c r="B456" s="1" t="s">
        <v>137</v>
      </c>
      <c r="G456" s="6"/>
      <c r="H456" s="6">
        <f>H128</f>
        <v>21.3</v>
      </c>
      <c r="I456" s="6">
        <f>I128</f>
        <v>17.100000000000001</v>
      </c>
      <c r="J456" s="20">
        <f>I456</f>
        <v>17.100000000000001</v>
      </c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outlineLevel="1" x14ac:dyDescent="0.25">
      <c r="B457" s="1" t="s">
        <v>136</v>
      </c>
      <c r="G457" s="6"/>
      <c r="H457" s="6">
        <f>H455-H456</f>
        <v>-217.50000000000074</v>
      </c>
      <c r="I457" s="6">
        <f>I455-I456</f>
        <v>-384.79999999999984</v>
      </c>
      <c r="J457" s="6">
        <f>J455-J456</f>
        <v>-252.22681950389787</v>
      </c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outlineLevel="1" x14ac:dyDescent="0.25"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outlineLevel="1" x14ac:dyDescent="0.25">
      <c r="B459" s="12" t="s">
        <v>139</v>
      </c>
      <c r="C459" s="12"/>
      <c r="D459" s="12"/>
      <c r="E459" s="12"/>
      <c r="F459" s="12"/>
      <c r="G459" s="13"/>
      <c r="H459" s="13">
        <f>H438+H451</f>
        <v>225.1</v>
      </c>
      <c r="I459" s="13">
        <f>I438+I451</f>
        <v>-162</v>
      </c>
      <c r="J459" s="13">
        <f>J438+J451</f>
        <v>107.428</v>
      </c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x14ac:dyDescent="0.25"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8.75" x14ac:dyDescent="0.3">
      <c r="A461" s="39" t="s">
        <v>141</v>
      </c>
      <c r="B461" s="2" t="s">
        <v>187</v>
      </c>
      <c r="C461" s="2"/>
      <c r="D461" s="2"/>
      <c r="E461" s="2"/>
      <c r="F461" s="2"/>
      <c r="G461" s="9">
        <f>G6</f>
        <v>19</v>
      </c>
      <c r="H461" s="9">
        <f>H6</f>
        <v>20</v>
      </c>
      <c r="I461" s="9">
        <f>I6</f>
        <v>21</v>
      </c>
      <c r="J461" s="3">
        <f>J6</f>
        <v>22</v>
      </c>
      <c r="K461" s="42" t="s">
        <v>141</v>
      </c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outlineLevel="1" x14ac:dyDescent="0.25">
      <c r="B462" s="28" t="s">
        <v>194</v>
      </c>
      <c r="C462" s="28"/>
      <c r="D462" s="28"/>
      <c r="E462" s="28"/>
      <c r="F462" s="28"/>
      <c r="G462" s="48" t="s">
        <v>170</v>
      </c>
      <c r="H462" s="48" t="s">
        <v>170</v>
      </c>
      <c r="I462" s="48" t="s">
        <v>170</v>
      </c>
      <c r="J462" s="27">
        <v>1</v>
      </c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outlineLevel="2" x14ac:dyDescent="0.25">
      <c r="B463" s="1" t="s">
        <v>154</v>
      </c>
      <c r="G463" s="6"/>
      <c r="H463" s="6">
        <v>235.2</v>
      </c>
      <c r="I463" s="6">
        <v>279.8</v>
      </c>
      <c r="J463" s="6">
        <f>I470</f>
        <v>303.90000000000003</v>
      </c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outlineLevel="2" x14ac:dyDescent="0.25">
      <c r="B464" s="43" t="s">
        <v>155</v>
      </c>
      <c r="G464" s="6"/>
      <c r="H464" s="6">
        <v>44.6</v>
      </c>
      <c r="I464" s="6">
        <v>10.8</v>
      </c>
      <c r="J464" s="20">
        <f>E487</f>
        <v>11.188922942206656</v>
      </c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2:25" outlineLevel="2" x14ac:dyDescent="0.25">
      <c r="B465" s="45" t="s">
        <v>165</v>
      </c>
      <c r="C465" s="36"/>
      <c r="D465" s="36"/>
      <c r="E465" s="36"/>
      <c r="F465" s="36"/>
      <c r="G465" s="19"/>
      <c r="H465" s="19"/>
      <c r="I465" s="19">
        <f>I464/I$8</f>
        <v>5.9106830122591944E-3</v>
      </c>
      <c r="J465" s="19">
        <f>J464/J$8</f>
        <v>5.9106830122591944E-3</v>
      </c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2:25" outlineLevel="2" x14ac:dyDescent="0.25">
      <c r="B466" s="43" t="s">
        <v>157</v>
      </c>
      <c r="G466" s="6"/>
      <c r="H466" s="6">
        <v>0</v>
      </c>
      <c r="I466" s="6">
        <v>0</v>
      </c>
      <c r="J466" s="20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2:25" outlineLevel="2" x14ac:dyDescent="0.25">
      <c r="B467" s="43" t="s">
        <v>156</v>
      </c>
      <c r="G467" s="6"/>
      <c r="H467" s="6">
        <v>0</v>
      </c>
      <c r="I467" s="6">
        <v>22.2</v>
      </c>
      <c r="J467" s="20">
        <v>0</v>
      </c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2:25" outlineLevel="2" x14ac:dyDescent="0.25">
      <c r="B468" s="43" t="s">
        <v>175</v>
      </c>
      <c r="G468" s="6"/>
      <c r="H468" s="6">
        <v>0</v>
      </c>
      <c r="I468" s="6">
        <v>-8.9</v>
      </c>
      <c r="J468" s="20">
        <v>0</v>
      </c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2:25" outlineLevel="2" x14ac:dyDescent="0.25">
      <c r="B469" s="43" t="s">
        <v>158</v>
      </c>
      <c r="G469" s="6"/>
      <c r="H469" s="6">
        <v>0</v>
      </c>
      <c r="I469" s="6">
        <v>0</v>
      </c>
      <c r="J469" s="20">
        <v>0</v>
      </c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2:25" outlineLevel="2" x14ac:dyDescent="0.25">
      <c r="B470" s="10" t="s">
        <v>159</v>
      </c>
      <c r="C470" s="10"/>
      <c r="D470" s="10"/>
      <c r="E470" s="10"/>
      <c r="F470" s="10"/>
      <c r="G470" s="11"/>
      <c r="H470" s="11">
        <f>H463+H464+H466+H467+H468+H469</f>
        <v>279.8</v>
      </c>
      <c r="I470" s="11">
        <f>I463+I464+I466+I467+I468+I469</f>
        <v>303.90000000000003</v>
      </c>
      <c r="J470" s="11">
        <f>J463+J464+J466+J467+J468+J469</f>
        <v>315.08892294220669</v>
      </c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2:25" outlineLevel="2" x14ac:dyDescent="0.25"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2:25" outlineLevel="2" x14ac:dyDescent="0.25">
      <c r="B472" s="1" t="s">
        <v>188</v>
      </c>
      <c r="G472" s="6"/>
      <c r="H472" s="6">
        <v>-187.9</v>
      </c>
      <c r="I472" s="6">
        <v>-205.3</v>
      </c>
      <c r="J472" s="6">
        <f>I479</f>
        <v>-216.4</v>
      </c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2:25" outlineLevel="2" x14ac:dyDescent="0.25">
      <c r="B473" s="43" t="s">
        <v>190</v>
      </c>
      <c r="G473" s="6"/>
      <c r="H473" s="6">
        <v>-17.399999999999999</v>
      </c>
      <c r="I473" s="6">
        <v>-20</v>
      </c>
      <c r="J473" s="6">
        <f>-J489</f>
        <v>-22.497784588441334</v>
      </c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2:25" outlineLevel="2" x14ac:dyDescent="0.25">
      <c r="B474" s="45" t="s">
        <v>162</v>
      </c>
      <c r="C474" s="36"/>
      <c r="D474" s="36"/>
      <c r="E474" s="36"/>
      <c r="F474" s="36"/>
      <c r="G474" s="19"/>
      <c r="H474" s="19"/>
      <c r="I474" s="19">
        <f>I473/I$8</f>
        <v>-1.0945709281961471E-2</v>
      </c>
      <c r="J474" s="19">
        <f>J473/J$8</f>
        <v>-1.1884725086339849E-2</v>
      </c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2:25" outlineLevel="2" x14ac:dyDescent="0.25">
      <c r="B475" s="45" t="s">
        <v>163</v>
      </c>
      <c r="C475" s="36"/>
      <c r="D475" s="36"/>
      <c r="E475" s="36"/>
      <c r="F475" s="36"/>
      <c r="G475" s="19"/>
      <c r="H475" s="19"/>
      <c r="I475" s="19">
        <f>I473/I$265</f>
        <v>-5.3275085906076027E-3</v>
      </c>
      <c r="J475" s="19">
        <f>J473/J$265</f>
        <v>-5.6034332723390624E-3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2:25" outlineLevel="2" x14ac:dyDescent="0.25">
      <c r="B476" s="43" t="s">
        <v>157</v>
      </c>
      <c r="G476" s="6"/>
      <c r="H476" s="6">
        <v>0</v>
      </c>
      <c r="I476" s="6">
        <v>0</v>
      </c>
      <c r="J476" s="20">
        <v>0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2:25" outlineLevel="2" x14ac:dyDescent="0.25">
      <c r="B477" s="43" t="s">
        <v>175</v>
      </c>
      <c r="G477" s="6"/>
      <c r="H477" s="6">
        <v>0</v>
      </c>
      <c r="I477" s="6">
        <v>8.9</v>
      </c>
      <c r="J477" s="20">
        <v>0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2:25" outlineLevel="2" x14ac:dyDescent="0.25">
      <c r="B478" s="43" t="s">
        <v>164</v>
      </c>
      <c r="G478" s="6"/>
      <c r="H478" s="6">
        <v>0</v>
      </c>
      <c r="I478" s="6">
        <v>0</v>
      </c>
      <c r="J478" s="20">
        <v>0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2:25" outlineLevel="2" x14ac:dyDescent="0.25">
      <c r="B479" s="10" t="s">
        <v>189</v>
      </c>
      <c r="C479" s="10"/>
      <c r="D479" s="10"/>
      <c r="E479" s="10"/>
      <c r="F479" s="10"/>
      <c r="G479" s="11"/>
      <c r="H479" s="11">
        <f>H472+H473+H476+H477+H478</f>
        <v>-205.3</v>
      </c>
      <c r="I479" s="11">
        <f t="shared" ref="I479:J479" si="32">I472+I473+I476+I477+I478</f>
        <v>-216.4</v>
      </c>
      <c r="J479" s="11">
        <f t="shared" si="32"/>
        <v>-238.89778458844134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2:25" outlineLevel="2" x14ac:dyDescent="0.25"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outlineLevel="2" x14ac:dyDescent="0.25">
      <c r="B481" s="1" t="s">
        <v>167</v>
      </c>
      <c r="C481" s="6">
        <f>J463</f>
        <v>303.90000000000003</v>
      </c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outlineLevel="2" x14ac:dyDescent="0.25">
      <c r="B482" s="1" t="s">
        <v>168</v>
      </c>
      <c r="C482" s="51">
        <v>15</v>
      </c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outlineLevel="2" x14ac:dyDescent="0.25"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outlineLevel="2" x14ac:dyDescent="0.25">
      <c r="B484" s="1" t="s">
        <v>191</v>
      </c>
      <c r="C484" s="23"/>
      <c r="D484" s="23"/>
      <c r="E484" s="23"/>
      <c r="G484" s="31"/>
      <c r="H484" s="31"/>
      <c r="I484" s="31"/>
      <c r="J484" s="6">
        <f>IF(J462&lt;=$C482,$C481/$C482,0)</f>
        <v>20.260000000000002</v>
      </c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outlineLevel="2" x14ac:dyDescent="0.25">
      <c r="B485" s="10"/>
      <c r="C485" s="10"/>
      <c r="D485" s="10"/>
      <c r="E485" s="10"/>
      <c r="F485" s="10"/>
      <c r="G485" s="11"/>
      <c r="H485" s="11"/>
      <c r="I485" s="11"/>
      <c r="J485" s="11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outlineLevel="2" x14ac:dyDescent="0.25">
      <c r="C486" s="49" t="s">
        <v>168</v>
      </c>
      <c r="D486" s="49" t="s">
        <v>171</v>
      </c>
      <c r="E486" s="49" t="s">
        <v>172</v>
      </c>
      <c r="G486" s="148" t="s">
        <v>193</v>
      </c>
      <c r="H486" s="148"/>
      <c r="I486" s="148"/>
      <c r="J486" s="148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outlineLevel="2" x14ac:dyDescent="0.25">
      <c r="B487" s="46">
        <f>J462</f>
        <v>1</v>
      </c>
      <c r="C487" s="52">
        <v>5</v>
      </c>
      <c r="D487" s="53">
        <f>I465</f>
        <v>5.9106830122591944E-3</v>
      </c>
      <c r="E487" s="11">
        <f>INDEX($J$8:$J$8,1,$B487)*D487</f>
        <v>11.188922942206656</v>
      </c>
      <c r="G487" s="50"/>
      <c r="H487" s="50"/>
      <c r="I487" s="50"/>
      <c r="J487" s="11">
        <f>IF(J462&lt;=$C487,$E487/$C487,0)</f>
        <v>2.2377845884413312</v>
      </c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outlineLevel="2" x14ac:dyDescent="0.25"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outlineLevel="2" x14ac:dyDescent="0.25">
      <c r="B489" s="5" t="s">
        <v>192</v>
      </c>
      <c r="C489" s="5"/>
      <c r="D489" s="5"/>
      <c r="E489" s="5"/>
      <c r="F489" s="5"/>
      <c r="G489" s="7"/>
      <c r="H489" s="7"/>
      <c r="I489" s="7"/>
      <c r="J489" s="7">
        <f>J484+SUM(J487:J487)</f>
        <v>22.497784588441334</v>
      </c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5.75" outlineLevel="2" thickBot="1" x14ac:dyDescent="0.3">
      <c r="B490" s="54" t="str">
        <f>B462&amp;", Net"</f>
        <v>Internally Generated Software, Net</v>
      </c>
      <c r="C490" s="54"/>
      <c r="D490" s="54"/>
      <c r="E490" s="54"/>
      <c r="F490" s="54"/>
      <c r="G490" s="55"/>
      <c r="H490" s="55"/>
      <c r="I490" s="55"/>
      <c r="J490" s="55">
        <f>J470+J479</f>
        <v>76.191138353765353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5.75" outlineLevel="1" thickTop="1" x14ac:dyDescent="0.25"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outlineLevel="1" x14ac:dyDescent="0.25">
      <c r="A492" s="39" t="s">
        <v>141</v>
      </c>
      <c r="B492" s="28" t="s">
        <v>198</v>
      </c>
      <c r="C492" s="28"/>
      <c r="D492" s="28"/>
      <c r="E492" s="28"/>
      <c r="F492" s="28"/>
      <c r="G492" s="48" t="s">
        <v>170</v>
      </c>
      <c r="H492" s="48" t="s">
        <v>170</v>
      </c>
      <c r="I492" s="48" t="s">
        <v>170</v>
      </c>
      <c r="J492" s="27">
        <v>1</v>
      </c>
      <c r="K492" s="42" t="s">
        <v>141</v>
      </c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outlineLevel="2" x14ac:dyDescent="0.25">
      <c r="B493" s="1" t="s">
        <v>154</v>
      </c>
      <c r="G493" s="6"/>
      <c r="H493" s="6">
        <v>135</v>
      </c>
      <c r="I493" s="6">
        <v>152.9</v>
      </c>
      <c r="J493" s="6">
        <f>I500</f>
        <v>162.5</v>
      </c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outlineLevel="2" x14ac:dyDescent="0.25">
      <c r="B494" s="43" t="s">
        <v>155</v>
      </c>
      <c r="G494" s="6"/>
      <c r="H494" s="6">
        <v>17.899999999999999</v>
      </c>
      <c r="I494" s="6">
        <v>11.4</v>
      </c>
      <c r="J494" s="20">
        <f>E517</f>
        <v>11.810529772329247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outlineLevel="2" x14ac:dyDescent="0.25">
      <c r="B495" s="45" t="s">
        <v>165</v>
      </c>
      <c r="C495" s="36"/>
      <c r="D495" s="36"/>
      <c r="E495" s="36"/>
      <c r="F495" s="36"/>
      <c r="G495" s="19"/>
      <c r="H495" s="19"/>
      <c r="I495" s="19">
        <f>I494/I$8</f>
        <v>6.2390542907180381E-3</v>
      </c>
      <c r="J495" s="19">
        <f>J494/J$8</f>
        <v>6.2390542907180381E-3</v>
      </c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outlineLevel="2" x14ac:dyDescent="0.25">
      <c r="B496" s="43" t="s">
        <v>157</v>
      </c>
      <c r="G496" s="6"/>
      <c r="H496" s="6">
        <v>0</v>
      </c>
      <c r="I496" s="6">
        <v>0</v>
      </c>
      <c r="J496" s="20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2:25" outlineLevel="2" x14ac:dyDescent="0.25">
      <c r="B497" s="43" t="s">
        <v>156</v>
      </c>
      <c r="G497" s="6"/>
      <c r="H497" s="6">
        <v>0</v>
      </c>
      <c r="I497" s="6">
        <v>0</v>
      </c>
      <c r="J497" s="20">
        <v>0</v>
      </c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2:25" outlineLevel="2" x14ac:dyDescent="0.25">
      <c r="B498" s="43" t="s">
        <v>175</v>
      </c>
      <c r="G498" s="6"/>
      <c r="H498" s="6">
        <v>0</v>
      </c>
      <c r="I498" s="6">
        <v>-1.8</v>
      </c>
      <c r="J498" s="20">
        <v>0</v>
      </c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2:25" outlineLevel="2" x14ac:dyDescent="0.25">
      <c r="B499" s="43" t="s">
        <v>158</v>
      </c>
      <c r="G499" s="6"/>
      <c r="H499" s="6">
        <v>0</v>
      </c>
      <c r="I499" s="6">
        <v>0</v>
      </c>
      <c r="J499" s="20">
        <v>0</v>
      </c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2:25" outlineLevel="2" x14ac:dyDescent="0.25">
      <c r="B500" s="10" t="s">
        <v>159</v>
      </c>
      <c r="C500" s="10"/>
      <c r="D500" s="10"/>
      <c r="E500" s="10"/>
      <c r="F500" s="10"/>
      <c r="G500" s="11"/>
      <c r="H500" s="11">
        <f>H493+H494+H496+H497+H498+H499</f>
        <v>152.9</v>
      </c>
      <c r="I500" s="11">
        <f>I493+I494+I496+I497+I498+I499</f>
        <v>162.5</v>
      </c>
      <c r="J500" s="11">
        <f>J493+J494+J496+J497+J498+J499</f>
        <v>174.31052977232923</v>
      </c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2:25" outlineLevel="2" x14ac:dyDescent="0.25"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2:25" outlineLevel="2" x14ac:dyDescent="0.25">
      <c r="B502" s="1" t="s">
        <v>188</v>
      </c>
      <c r="G502" s="6"/>
      <c r="H502" s="6">
        <v>-93.2</v>
      </c>
      <c r="I502" s="6">
        <v>-106.6</v>
      </c>
      <c r="J502" s="6">
        <f>I509</f>
        <v>-116.89999999999999</v>
      </c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2:25" outlineLevel="2" x14ac:dyDescent="0.25">
      <c r="B503" s="43" t="s">
        <v>190</v>
      </c>
      <c r="G503" s="6"/>
      <c r="H503" s="6">
        <v>-13.4</v>
      </c>
      <c r="I503" s="6">
        <v>-12.1</v>
      </c>
      <c r="J503" s="6">
        <f>-J519</f>
        <v>-15.903772621132514</v>
      </c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2:25" outlineLevel="2" x14ac:dyDescent="0.25">
      <c r="B504" s="45" t="s">
        <v>162</v>
      </c>
      <c r="C504" s="36"/>
      <c r="D504" s="36"/>
      <c r="E504" s="36"/>
      <c r="F504" s="36"/>
      <c r="G504" s="19"/>
      <c r="H504" s="19"/>
      <c r="I504" s="19">
        <f>I503/I$8</f>
        <v>-6.6221541155866894E-3</v>
      </c>
      <c r="J504" s="19">
        <f>J503/J$8</f>
        <v>-8.4013590180309107E-3</v>
      </c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2:25" outlineLevel="2" x14ac:dyDescent="0.25">
      <c r="B505" s="45" t="s">
        <v>163</v>
      </c>
      <c r="C505" s="36"/>
      <c r="D505" s="36"/>
      <c r="E505" s="36"/>
      <c r="F505" s="36"/>
      <c r="G505" s="19"/>
      <c r="H505" s="19"/>
      <c r="I505" s="19">
        <f>I503/I$265</f>
        <v>-3.2231426973175995E-3</v>
      </c>
      <c r="J505" s="19">
        <f>J503/J$265</f>
        <v>-3.9610890712658813E-3</v>
      </c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2:25" outlineLevel="2" x14ac:dyDescent="0.25">
      <c r="B506" s="43" t="s">
        <v>157</v>
      </c>
      <c r="G506" s="6"/>
      <c r="H506" s="6">
        <v>0</v>
      </c>
      <c r="I506" s="6">
        <v>0</v>
      </c>
      <c r="J506" s="20">
        <v>0</v>
      </c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2:25" outlineLevel="2" x14ac:dyDescent="0.25">
      <c r="B507" s="43" t="s">
        <v>175</v>
      </c>
      <c r="G507" s="6"/>
      <c r="H507" s="6">
        <v>0</v>
      </c>
      <c r="I507" s="6">
        <v>1.8</v>
      </c>
      <c r="J507" s="20">
        <v>0</v>
      </c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2:25" outlineLevel="2" x14ac:dyDescent="0.25">
      <c r="B508" s="43" t="s">
        <v>164</v>
      </c>
      <c r="G508" s="6"/>
      <c r="H508" s="6">
        <v>0</v>
      </c>
      <c r="I508" s="6">
        <v>0</v>
      </c>
      <c r="J508" s="20">
        <v>0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2:25" outlineLevel="2" x14ac:dyDescent="0.25">
      <c r="B509" s="10" t="s">
        <v>189</v>
      </c>
      <c r="C509" s="10"/>
      <c r="D509" s="10"/>
      <c r="E509" s="10"/>
      <c r="F509" s="10"/>
      <c r="G509" s="11"/>
      <c r="H509" s="11">
        <f>H502+H503+H506+H507+H508</f>
        <v>-106.60000000000001</v>
      </c>
      <c r="I509" s="11">
        <f t="shared" ref="I509:J509" si="33">I502+I503+I506+I507+I508</f>
        <v>-116.89999999999999</v>
      </c>
      <c r="J509" s="11">
        <f t="shared" si="33"/>
        <v>-132.80377262113251</v>
      </c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2:25" outlineLevel="2" x14ac:dyDescent="0.25"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2:25" outlineLevel="2" x14ac:dyDescent="0.25">
      <c r="B511" s="1" t="s">
        <v>167</v>
      </c>
      <c r="C511" s="6">
        <f>J493</f>
        <v>162.5</v>
      </c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2:25" outlineLevel="2" x14ac:dyDescent="0.25">
      <c r="B512" s="1" t="s">
        <v>168</v>
      </c>
      <c r="C512" s="51">
        <v>12</v>
      </c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outlineLevel="2" x14ac:dyDescent="0.25"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outlineLevel="2" x14ac:dyDescent="0.25">
      <c r="B514" s="1" t="s">
        <v>191</v>
      </c>
      <c r="C514" s="23"/>
      <c r="D514" s="23"/>
      <c r="E514" s="23"/>
      <c r="G514" s="31"/>
      <c r="H514" s="31"/>
      <c r="I514" s="31"/>
      <c r="J514" s="6">
        <f>IF(J492&lt;=$C512,$C511/$C512,0)</f>
        <v>13.541666666666666</v>
      </c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outlineLevel="2" x14ac:dyDescent="0.25">
      <c r="B515" s="10"/>
      <c r="C515" s="10"/>
      <c r="D515" s="10"/>
      <c r="E515" s="10"/>
      <c r="F515" s="10"/>
      <c r="G515" s="11"/>
      <c r="H515" s="11"/>
      <c r="I515" s="11"/>
      <c r="J515" s="11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outlineLevel="2" x14ac:dyDescent="0.25">
      <c r="C516" s="49" t="s">
        <v>168</v>
      </c>
      <c r="D516" s="49" t="s">
        <v>171</v>
      </c>
      <c r="E516" s="49" t="s">
        <v>172</v>
      </c>
      <c r="G516" s="148" t="s">
        <v>193</v>
      </c>
      <c r="H516" s="148"/>
      <c r="I516" s="148"/>
      <c r="J516" s="148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outlineLevel="2" x14ac:dyDescent="0.25">
      <c r="B517" s="46">
        <f>J492</f>
        <v>1</v>
      </c>
      <c r="C517" s="52">
        <v>5</v>
      </c>
      <c r="D517" s="53">
        <f>I495</f>
        <v>6.2390542907180381E-3</v>
      </c>
      <c r="E517" s="11">
        <f>INDEX($J$8:$J$8,1,$B517)*D517</f>
        <v>11.810529772329247</v>
      </c>
      <c r="G517" s="50"/>
      <c r="H517" s="50"/>
      <c r="I517" s="50"/>
      <c r="J517" s="11">
        <f>IF(J492&lt;=$C517,$E517/$C517,0)</f>
        <v>2.3621059544658491</v>
      </c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outlineLevel="2" x14ac:dyDescent="0.25"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outlineLevel="2" x14ac:dyDescent="0.25">
      <c r="B519" s="5" t="s">
        <v>192</v>
      </c>
      <c r="C519" s="5"/>
      <c r="D519" s="5"/>
      <c r="E519" s="5"/>
      <c r="F519" s="5"/>
      <c r="G519" s="7"/>
      <c r="H519" s="7"/>
      <c r="I519" s="7"/>
      <c r="J519" s="7">
        <f>J514+SUM(J517:J517)</f>
        <v>15.903772621132514</v>
      </c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5.75" outlineLevel="2" thickBot="1" x14ac:dyDescent="0.3">
      <c r="B520" s="54" t="str">
        <f>B492&amp;", Net"</f>
        <v>Purchased Software, Net</v>
      </c>
      <c r="C520" s="54"/>
      <c r="D520" s="54"/>
      <c r="E520" s="54"/>
      <c r="F520" s="54"/>
      <c r="G520" s="55"/>
      <c r="H520" s="55"/>
      <c r="I520" s="55"/>
      <c r="J520" s="55">
        <f>J500+J509</f>
        <v>41.506757151196723</v>
      </c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5.75" outlineLevel="1" thickTop="1" x14ac:dyDescent="0.25"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outlineLevel="1" x14ac:dyDescent="0.25">
      <c r="A522" s="39" t="s">
        <v>141</v>
      </c>
      <c r="B522" s="28" t="s">
        <v>195</v>
      </c>
      <c r="C522" s="28"/>
      <c r="D522" s="28"/>
      <c r="E522" s="28"/>
      <c r="F522" s="28"/>
      <c r="G522" s="48" t="s">
        <v>170</v>
      </c>
      <c r="H522" s="48" t="s">
        <v>170</v>
      </c>
      <c r="I522" s="48" t="s">
        <v>170</v>
      </c>
      <c r="J522" s="27">
        <v>1</v>
      </c>
      <c r="K522" s="42" t="s">
        <v>141</v>
      </c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outlineLevel="2" x14ac:dyDescent="0.25">
      <c r="B523" s="1" t="s">
        <v>154</v>
      </c>
      <c r="G523" s="6"/>
      <c r="H523" s="6">
        <v>12.8</v>
      </c>
      <c r="I523" s="6">
        <v>12.8</v>
      </c>
      <c r="J523" s="6">
        <f>I530</f>
        <v>12.8</v>
      </c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outlineLevel="2" x14ac:dyDescent="0.25">
      <c r="B524" s="43" t="s">
        <v>155</v>
      </c>
      <c r="G524" s="6"/>
      <c r="H524" s="6">
        <v>0</v>
      </c>
      <c r="I524" s="6">
        <v>0</v>
      </c>
      <c r="J524" s="20">
        <f>E547</f>
        <v>0</v>
      </c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outlineLevel="2" x14ac:dyDescent="0.25">
      <c r="B525" s="45" t="s">
        <v>165</v>
      </c>
      <c r="C525" s="36"/>
      <c r="D525" s="36"/>
      <c r="E525" s="36"/>
      <c r="F525" s="36"/>
      <c r="G525" s="19"/>
      <c r="H525" s="19"/>
      <c r="I525" s="19">
        <f>I524/I$8</f>
        <v>0</v>
      </c>
      <c r="J525" s="19">
        <f>J524/J$8</f>
        <v>0</v>
      </c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outlineLevel="2" x14ac:dyDescent="0.25">
      <c r="B526" s="43" t="s">
        <v>157</v>
      </c>
      <c r="G526" s="6"/>
      <c r="H526" s="6">
        <v>0</v>
      </c>
      <c r="I526" s="6">
        <v>0</v>
      </c>
      <c r="J526" s="20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outlineLevel="2" x14ac:dyDescent="0.25">
      <c r="B527" s="43" t="s">
        <v>156</v>
      </c>
      <c r="G527" s="6"/>
      <c r="H527" s="6">
        <v>0</v>
      </c>
      <c r="I527" s="6">
        <v>0</v>
      </c>
      <c r="J527" s="20">
        <v>0</v>
      </c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outlineLevel="2" x14ac:dyDescent="0.25">
      <c r="B528" s="43" t="s">
        <v>175</v>
      </c>
      <c r="G528" s="6"/>
      <c r="H528" s="6">
        <v>0</v>
      </c>
      <c r="I528" s="6">
        <v>0</v>
      </c>
      <c r="J528" s="20">
        <v>0</v>
      </c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2:25" outlineLevel="2" x14ac:dyDescent="0.25">
      <c r="B529" s="43" t="s">
        <v>158</v>
      </c>
      <c r="G529" s="6"/>
      <c r="H529" s="6">
        <v>0</v>
      </c>
      <c r="I529" s="6">
        <v>0</v>
      </c>
      <c r="J529" s="20">
        <v>0</v>
      </c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2:25" outlineLevel="2" x14ac:dyDescent="0.25">
      <c r="B530" s="10" t="s">
        <v>159</v>
      </c>
      <c r="C530" s="10"/>
      <c r="D530" s="10"/>
      <c r="E530" s="10"/>
      <c r="F530" s="10"/>
      <c r="G530" s="11"/>
      <c r="H530" s="11">
        <f>H523+H524+H526+H527+H528+H529</f>
        <v>12.8</v>
      </c>
      <c r="I530" s="11">
        <f>I523+I524+I526+I527+I528+I529</f>
        <v>12.8</v>
      </c>
      <c r="J530" s="11">
        <f>J523+J524+J526+J527+J528+J529</f>
        <v>12.8</v>
      </c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2:25" outlineLevel="2" x14ac:dyDescent="0.25"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2:25" outlineLevel="2" x14ac:dyDescent="0.25">
      <c r="B532" s="1" t="s">
        <v>188</v>
      </c>
      <c r="G532" s="6"/>
      <c r="H532" s="6">
        <v>-12.8</v>
      </c>
      <c r="I532" s="6">
        <v>-12.8</v>
      </c>
      <c r="J532" s="6">
        <f>I539</f>
        <v>-12.8</v>
      </c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2:25" outlineLevel="2" x14ac:dyDescent="0.25">
      <c r="B533" s="43" t="s">
        <v>190</v>
      </c>
      <c r="G533" s="6"/>
      <c r="H533" s="6">
        <v>0</v>
      </c>
      <c r="I533" s="6">
        <v>0</v>
      </c>
      <c r="J533" s="6">
        <f>-J549</f>
        <v>0</v>
      </c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2:25" outlineLevel="2" x14ac:dyDescent="0.25">
      <c r="B534" s="45" t="s">
        <v>162</v>
      </c>
      <c r="C534" s="36"/>
      <c r="D534" s="36"/>
      <c r="E534" s="36"/>
      <c r="F534" s="36"/>
      <c r="G534" s="19"/>
      <c r="H534" s="19"/>
      <c r="I534" s="19">
        <f>I533/I$8</f>
        <v>0</v>
      </c>
      <c r="J534" s="19">
        <f>J533/J$8</f>
        <v>0</v>
      </c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2:25" outlineLevel="2" x14ac:dyDescent="0.25">
      <c r="B535" s="45" t="s">
        <v>163</v>
      </c>
      <c r="C535" s="36"/>
      <c r="D535" s="36"/>
      <c r="E535" s="36"/>
      <c r="F535" s="36"/>
      <c r="G535" s="19"/>
      <c r="H535" s="19"/>
      <c r="I535" s="19">
        <f>I533/I$265</f>
        <v>0</v>
      </c>
      <c r="J535" s="19">
        <f>J533/J$265</f>
        <v>0</v>
      </c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2:25" outlineLevel="2" x14ac:dyDescent="0.25">
      <c r="B536" s="43" t="s">
        <v>157</v>
      </c>
      <c r="G536" s="6"/>
      <c r="H536" s="6">
        <v>0</v>
      </c>
      <c r="I536" s="6">
        <v>0</v>
      </c>
      <c r="J536" s="20">
        <v>0</v>
      </c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2:25" outlineLevel="2" x14ac:dyDescent="0.25">
      <c r="B537" s="43" t="s">
        <v>175</v>
      </c>
      <c r="G537" s="6"/>
      <c r="H537" s="6">
        <v>0</v>
      </c>
      <c r="I537" s="6">
        <v>0</v>
      </c>
      <c r="J537" s="20">
        <v>0</v>
      </c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2:25" outlineLevel="2" x14ac:dyDescent="0.25">
      <c r="B538" s="43" t="s">
        <v>164</v>
      </c>
      <c r="G538" s="6"/>
      <c r="H538" s="6">
        <v>0</v>
      </c>
      <c r="I538" s="6">
        <v>0</v>
      </c>
      <c r="J538" s="20">
        <v>0</v>
      </c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2:25" outlineLevel="2" x14ac:dyDescent="0.25">
      <c r="B539" s="10" t="s">
        <v>189</v>
      </c>
      <c r="C539" s="10"/>
      <c r="D539" s="10"/>
      <c r="E539" s="10"/>
      <c r="F539" s="10"/>
      <c r="G539" s="11"/>
      <c r="H539" s="11">
        <f>H532+H533+H536+H537+H538</f>
        <v>-12.8</v>
      </c>
      <c r="I539" s="11">
        <f t="shared" ref="I539:J539" si="34">I532+I533+I536+I537+I538</f>
        <v>-12.8</v>
      </c>
      <c r="J539" s="11">
        <f t="shared" si="34"/>
        <v>-12.8</v>
      </c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2:25" outlineLevel="2" x14ac:dyDescent="0.25"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2:25" outlineLevel="2" x14ac:dyDescent="0.25">
      <c r="B541" s="1" t="s">
        <v>167</v>
      </c>
      <c r="C541" s="6">
        <v>0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2:25" outlineLevel="2" x14ac:dyDescent="0.25">
      <c r="B542" s="1" t="s">
        <v>168</v>
      </c>
      <c r="C542" s="51">
        <v>0</v>
      </c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2:25" outlineLevel="2" x14ac:dyDescent="0.25"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2:25" outlineLevel="2" x14ac:dyDescent="0.25">
      <c r="B544" s="1" t="s">
        <v>191</v>
      </c>
      <c r="C544" s="23"/>
      <c r="D544" s="23"/>
      <c r="E544" s="23"/>
      <c r="G544" s="31"/>
      <c r="H544" s="31"/>
      <c r="I544" s="31"/>
      <c r="J544" s="6">
        <f>IF(J522&lt;=$C542,$C541/$C542,0)</f>
        <v>0</v>
      </c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outlineLevel="2" x14ac:dyDescent="0.25">
      <c r="B545" s="10"/>
      <c r="C545" s="10"/>
      <c r="D545" s="10"/>
      <c r="E545" s="10"/>
      <c r="F545" s="10"/>
      <c r="G545" s="11"/>
      <c r="H545" s="11"/>
      <c r="I545" s="11"/>
      <c r="J545" s="11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outlineLevel="2" x14ac:dyDescent="0.25">
      <c r="C546" s="49" t="s">
        <v>168</v>
      </c>
      <c r="D546" s="49" t="s">
        <v>171</v>
      </c>
      <c r="E546" s="49" t="s">
        <v>172</v>
      </c>
      <c r="G546" s="148" t="s">
        <v>193</v>
      </c>
      <c r="H546" s="148"/>
      <c r="I546" s="148"/>
      <c r="J546" s="148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outlineLevel="2" x14ac:dyDescent="0.25">
      <c r="B547" s="46">
        <f>J522</f>
        <v>1</v>
      </c>
      <c r="C547" s="52">
        <v>0</v>
      </c>
      <c r="D547" s="53">
        <f>I525</f>
        <v>0</v>
      </c>
      <c r="E547" s="11">
        <f>INDEX($J$8:$J$8,1,$B547)*D547</f>
        <v>0</v>
      </c>
      <c r="G547" s="50"/>
      <c r="H547" s="50"/>
      <c r="I547" s="50"/>
      <c r="J547" s="11">
        <f>IF(J522&lt;=$C547,$E547/$C547,0)</f>
        <v>0</v>
      </c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outlineLevel="2" x14ac:dyDescent="0.25"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outlineLevel="2" x14ac:dyDescent="0.25">
      <c r="B549" s="5" t="s">
        <v>192</v>
      </c>
      <c r="C549" s="5"/>
      <c r="D549" s="5"/>
      <c r="E549" s="5"/>
      <c r="F549" s="5"/>
      <c r="G549" s="7"/>
      <c r="H549" s="7"/>
      <c r="I549" s="7"/>
      <c r="J549" s="7">
        <f>J544+SUM(J547:J547)</f>
        <v>0</v>
      </c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5.75" outlineLevel="2" thickBot="1" x14ac:dyDescent="0.3">
      <c r="B550" s="54" t="str">
        <f>B522&amp;", Net"</f>
        <v>Capitalized Development Costs &amp; Patents, Net</v>
      </c>
      <c r="C550" s="54"/>
      <c r="D550" s="54"/>
      <c r="E550" s="54"/>
      <c r="F550" s="54"/>
      <c r="G550" s="55"/>
      <c r="H550" s="55"/>
      <c r="I550" s="55"/>
      <c r="J550" s="55">
        <f>J530+J539</f>
        <v>0</v>
      </c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5.75" outlineLevel="1" thickTop="1" x14ac:dyDescent="0.25"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outlineLevel="1" x14ac:dyDescent="0.25">
      <c r="A552" s="39" t="s">
        <v>141</v>
      </c>
      <c r="B552" s="28" t="s">
        <v>83</v>
      </c>
      <c r="C552" s="28"/>
      <c r="D552" s="28"/>
      <c r="E552" s="28"/>
      <c r="F552" s="28"/>
      <c r="G552" s="48" t="s">
        <v>170</v>
      </c>
      <c r="H552" s="48" t="s">
        <v>170</v>
      </c>
      <c r="I552" s="48" t="s">
        <v>170</v>
      </c>
      <c r="J552" s="27">
        <v>1</v>
      </c>
      <c r="K552" s="42" t="s">
        <v>141</v>
      </c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outlineLevel="2" x14ac:dyDescent="0.25">
      <c r="B553" s="1" t="s">
        <v>154</v>
      </c>
      <c r="G553" s="6"/>
      <c r="H553" s="6">
        <v>35.799999999999997</v>
      </c>
      <c r="I553" s="6">
        <v>35.799999999999997</v>
      </c>
      <c r="J553" s="6">
        <f>I560</f>
        <v>35.799999999999997</v>
      </c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outlineLevel="2" x14ac:dyDescent="0.25">
      <c r="B554" s="43" t="s">
        <v>155</v>
      </c>
      <c r="G554" s="6"/>
      <c r="H554" s="6">
        <v>0</v>
      </c>
      <c r="I554" s="6">
        <v>0</v>
      </c>
      <c r="J554" s="20">
        <f>E577</f>
        <v>0</v>
      </c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outlineLevel="2" x14ac:dyDescent="0.25">
      <c r="B555" s="45" t="s">
        <v>165</v>
      </c>
      <c r="C555" s="36"/>
      <c r="D555" s="36"/>
      <c r="E555" s="36"/>
      <c r="F555" s="36"/>
      <c r="G555" s="19"/>
      <c r="H555" s="19"/>
      <c r="I555" s="19">
        <f>I554/I$8</f>
        <v>0</v>
      </c>
      <c r="J555" s="19">
        <f>J554/J$8</f>
        <v>0</v>
      </c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outlineLevel="2" x14ac:dyDescent="0.25">
      <c r="B556" s="43" t="s">
        <v>157</v>
      </c>
      <c r="G556" s="6"/>
      <c r="H556" s="6">
        <v>0</v>
      </c>
      <c r="I556" s="6">
        <v>0</v>
      </c>
      <c r="J556" s="20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outlineLevel="2" x14ac:dyDescent="0.25">
      <c r="B557" s="43" t="s">
        <v>156</v>
      </c>
      <c r="G557" s="6"/>
      <c r="H557" s="6">
        <v>0</v>
      </c>
      <c r="I557" s="6">
        <v>0</v>
      </c>
      <c r="J557" s="20">
        <v>0</v>
      </c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outlineLevel="2" x14ac:dyDescent="0.25">
      <c r="B558" s="43" t="s">
        <v>175</v>
      </c>
      <c r="G558" s="6"/>
      <c r="H558" s="6">
        <v>0</v>
      </c>
      <c r="I558" s="6">
        <v>0</v>
      </c>
      <c r="J558" s="20">
        <v>0</v>
      </c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outlineLevel="2" x14ac:dyDescent="0.25">
      <c r="B559" s="43" t="s">
        <v>158</v>
      </c>
      <c r="G559" s="6"/>
      <c r="H559" s="6">
        <v>0</v>
      </c>
      <c r="I559" s="6">
        <v>0</v>
      </c>
      <c r="J559" s="20">
        <v>0</v>
      </c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outlineLevel="2" x14ac:dyDescent="0.25">
      <c r="B560" s="10" t="s">
        <v>159</v>
      </c>
      <c r="C560" s="10"/>
      <c r="D560" s="10"/>
      <c r="E560" s="10"/>
      <c r="F560" s="10"/>
      <c r="G560" s="11"/>
      <c r="H560" s="11">
        <f>H553+H554+H556+H557+H558+H559</f>
        <v>35.799999999999997</v>
      </c>
      <c r="I560" s="11">
        <f>I553+I554+I556+I557+I558+I559</f>
        <v>35.799999999999997</v>
      </c>
      <c r="J560" s="11">
        <f>J553+J554+J556+J557+J558+J559</f>
        <v>35.799999999999997</v>
      </c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2:25" outlineLevel="2" x14ac:dyDescent="0.25"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2:25" outlineLevel="2" x14ac:dyDescent="0.25">
      <c r="B562" s="1" t="s">
        <v>188</v>
      </c>
      <c r="G562" s="6"/>
      <c r="H562" s="6">
        <v>-0.7</v>
      </c>
      <c r="I562" s="6">
        <v>-2.8</v>
      </c>
      <c r="J562" s="6">
        <f>I569</f>
        <v>-4.9000000000000004</v>
      </c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2:25" outlineLevel="2" x14ac:dyDescent="0.25">
      <c r="B563" s="43" t="s">
        <v>190</v>
      </c>
      <c r="G563" s="6"/>
      <c r="H563" s="6">
        <v>-2.1</v>
      </c>
      <c r="I563" s="6">
        <v>-2.1</v>
      </c>
      <c r="J563" s="20">
        <f>I563</f>
        <v>-2.1</v>
      </c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2:25" outlineLevel="2" x14ac:dyDescent="0.25">
      <c r="B564" s="45" t="s">
        <v>162</v>
      </c>
      <c r="C564" s="36"/>
      <c r="D564" s="36"/>
      <c r="E564" s="36"/>
      <c r="F564" s="36"/>
      <c r="G564" s="19"/>
      <c r="H564" s="19"/>
      <c r="I564" s="19">
        <f>I563/I$8</f>
        <v>-1.1492994746059545E-3</v>
      </c>
      <c r="J564" s="19">
        <f>J563/J$8</f>
        <v>-1.1093502377179081E-3</v>
      </c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2:25" outlineLevel="2" x14ac:dyDescent="0.25">
      <c r="B565" s="45" t="s">
        <v>163</v>
      </c>
      <c r="C565" s="36"/>
      <c r="D565" s="36"/>
      <c r="E565" s="36"/>
      <c r="F565" s="36"/>
      <c r="G565" s="19"/>
      <c r="H565" s="19"/>
      <c r="I565" s="19">
        <f>I563/I$265</f>
        <v>-5.593884020137983E-4</v>
      </c>
      <c r="J565" s="19">
        <f>J563/J$265</f>
        <v>-5.2303860523038607E-4</v>
      </c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2:25" outlineLevel="2" x14ac:dyDescent="0.25">
      <c r="B566" s="43" t="s">
        <v>157</v>
      </c>
      <c r="G566" s="6"/>
      <c r="H566" s="6">
        <v>0</v>
      </c>
      <c r="I566" s="6">
        <v>0</v>
      </c>
      <c r="J566" s="20">
        <v>0</v>
      </c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2:25" outlineLevel="2" x14ac:dyDescent="0.25">
      <c r="B567" s="43" t="s">
        <v>175</v>
      </c>
      <c r="G567" s="6"/>
      <c r="H567" s="6">
        <v>0</v>
      </c>
      <c r="I567" s="6">
        <v>0</v>
      </c>
      <c r="J567" s="20">
        <v>0</v>
      </c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2:25" outlineLevel="2" x14ac:dyDescent="0.25">
      <c r="B568" s="43" t="s">
        <v>164</v>
      </c>
      <c r="G568" s="6"/>
      <c r="H568" s="6">
        <v>0</v>
      </c>
      <c r="I568" s="6">
        <v>0</v>
      </c>
      <c r="J568" s="20">
        <v>0</v>
      </c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2:25" outlineLevel="2" x14ac:dyDescent="0.25">
      <c r="B569" s="10" t="s">
        <v>189</v>
      </c>
      <c r="C569" s="10"/>
      <c r="D569" s="10"/>
      <c r="E569" s="10"/>
      <c r="F569" s="10"/>
      <c r="G569" s="11"/>
      <c r="H569" s="11">
        <f>H562+H563+H566+H567+H568</f>
        <v>-2.8</v>
      </c>
      <c r="I569" s="11">
        <f t="shared" ref="I569:J569" si="35">I562+I563+I566+I567+I568</f>
        <v>-4.9000000000000004</v>
      </c>
      <c r="J569" s="11">
        <f t="shared" si="35"/>
        <v>-7</v>
      </c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2:25" outlineLevel="2" x14ac:dyDescent="0.25"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2:25" outlineLevel="2" x14ac:dyDescent="0.25">
      <c r="B571" s="1" t="s">
        <v>167</v>
      </c>
      <c r="C571" s="6">
        <v>0</v>
      </c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2:25" outlineLevel="2" x14ac:dyDescent="0.25">
      <c r="B572" s="1" t="s">
        <v>168</v>
      </c>
      <c r="C572" s="51">
        <v>0</v>
      </c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2:25" outlineLevel="2" x14ac:dyDescent="0.25"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2:25" outlineLevel="2" x14ac:dyDescent="0.25">
      <c r="B574" s="1" t="s">
        <v>191</v>
      </c>
      <c r="C574" s="23"/>
      <c r="D574" s="23"/>
      <c r="E574" s="23"/>
      <c r="G574" s="31"/>
      <c r="H574" s="31"/>
      <c r="I574" s="31"/>
      <c r="J574" s="6">
        <f>-J563</f>
        <v>2.1</v>
      </c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2:25" outlineLevel="2" x14ac:dyDescent="0.25">
      <c r="B575" s="10"/>
      <c r="C575" s="10"/>
      <c r="D575" s="10"/>
      <c r="E575" s="10"/>
      <c r="F575" s="10"/>
      <c r="G575" s="11"/>
      <c r="H575" s="11"/>
      <c r="I575" s="11"/>
      <c r="J575" s="11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2:25" outlineLevel="2" x14ac:dyDescent="0.25">
      <c r="C576" s="49" t="s">
        <v>168</v>
      </c>
      <c r="D576" s="49" t="s">
        <v>171</v>
      </c>
      <c r="E576" s="49" t="s">
        <v>172</v>
      </c>
      <c r="G576" s="148" t="s">
        <v>193</v>
      </c>
      <c r="H576" s="148"/>
      <c r="I576" s="148"/>
      <c r="J576" s="148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outlineLevel="2" x14ac:dyDescent="0.25">
      <c r="B577" s="46">
        <f>J552</f>
        <v>1</v>
      </c>
      <c r="C577" s="52">
        <v>0</v>
      </c>
      <c r="D577" s="53">
        <f>I555</f>
        <v>0</v>
      </c>
      <c r="E577" s="11">
        <f>INDEX($J$8:$J$8,1,$B577)*D577</f>
        <v>0</v>
      </c>
      <c r="G577" s="50"/>
      <c r="H577" s="50"/>
      <c r="I577" s="50"/>
      <c r="J577" s="11">
        <f>IF(J552&lt;=$C577,$E577/$C577,0)</f>
        <v>0</v>
      </c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outlineLevel="2" x14ac:dyDescent="0.25"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outlineLevel="2" x14ac:dyDescent="0.25">
      <c r="B579" s="5" t="s">
        <v>192</v>
      </c>
      <c r="C579" s="5"/>
      <c r="D579" s="5"/>
      <c r="E579" s="5"/>
      <c r="F579" s="5"/>
      <c r="G579" s="7"/>
      <c r="H579" s="7"/>
      <c r="I579" s="7"/>
      <c r="J579" s="7">
        <f>J574+SUM(J577:J577)</f>
        <v>2.1</v>
      </c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5.75" outlineLevel="2" thickBot="1" x14ac:dyDescent="0.3">
      <c r="B580" s="54" t="str">
        <f>B552&amp;", Net"</f>
        <v>Other Intangible Assets, Net</v>
      </c>
      <c r="C580" s="54"/>
      <c r="D580" s="54"/>
      <c r="E580" s="54"/>
      <c r="F580" s="54"/>
      <c r="G580" s="55"/>
      <c r="H580" s="55"/>
      <c r="I580" s="55"/>
      <c r="J580" s="55">
        <f>J560+J569</f>
        <v>28.799999999999997</v>
      </c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5.75" outlineLevel="1" thickTop="1" x14ac:dyDescent="0.25"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outlineLevel="1" x14ac:dyDescent="0.25">
      <c r="A582" s="39" t="s">
        <v>141</v>
      </c>
      <c r="B582" s="62" t="s">
        <v>196</v>
      </c>
      <c r="C582" s="28"/>
      <c r="D582" s="28"/>
      <c r="E582" s="28"/>
      <c r="F582" s="28"/>
      <c r="G582" s="47"/>
      <c r="H582" s="47"/>
      <c r="I582" s="47"/>
      <c r="J582" s="27">
        <v>1</v>
      </c>
      <c r="K582" s="42" t="s">
        <v>141</v>
      </c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outlineLevel="1" x14ac:dyDescent="0.25">
      <c r="B583" s="30" t="s">
        <v>197</v>
      </c>
      <c r="C583" s="30"/>
      <c r="D583" s="30"/>
      <c r="E583" s="30"/>
      <c r="F583" s="30"/>
      <c r="G583" s="31"/>
      <c r="H583" s="31"/>
      <c r="I583" s="31"/>
      <c r="J583" s="31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outlineLevel="1" x14ac:dyDescent="0.25">
      <c r="B584" s="29" t="s">
        <v>194</v>
      </c>
      <c r="C584" s="30"/>
      <c r="D584" s="30"/>
      <c r="E584" s="30"/>
      <c r="F584" s="30"/>
      <c r="G584" s="31"/>
      <c r="H584" s="31"/>
      <c r="I584" s="31"/>
      <c r="J584" s="31">
        <f>J489</f>
        <v>22.497784588441334</v>
      </c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outlineLevel="1" x14ac:dyDescent="0.25">
      <c r="B585" s="29" t="s">
        <v>198</v>
      </c>
      <c r="C585" s="30"/>
      <c r="D585" s="30"/>
      <c r="E585" s="30"/>
      <c r="F585" s="30"/>
      <c r="G585" s="31"/>
      <c r="H585" s="31"/>
      <c r="I585" s="31"/>
      <c r="J585" s="31">
        <f>J519</f>
        <v>15.903772621132514</v>
      </c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outlineLevel="1" x14ac:dyDescent="0.25">
      <c r="B586" s="29" t="s">
        <v>195</v>
      </c>
      <c r="C586" s="30"/>
      <c r="D586" s="30"/>
      <c r="E586" s="30"/>
      <c r="F586" s="30"/>
      <c r="G586" s="31"/>
      <c r="H586" s="31"/>
      <c r="I586" s="31"/>
      <c r="J586" s="31">
        <f>J549</f>
        <v>0</v>
      </c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outlineLevel="1" x14ac:dyDescent="0.25">
      <c r="B587" s="29" t="s">
        <v>199</v>
      </c>
      <c r="C587" s="30"/>
      <c r="D587" s="30"/>
      <c r="E587" s="30"/>
      <c r="F587" s="30"/>
      <c r="G587" s="31"/>
      <c r="H587" s="31"/>
      <c r="I587" s="31"/>
      <c r="J587" s="31">
        <f>J579</f>
        <v>2.1</v>
      </c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outlineLevel="1" x14ac:dyDescent="0.25">
      <c r="B588" s="57" t="s">
        <v>200</v>
      </c>
      <c r="C588" s="58"/>
      <c r="D588" s="58"/>
      <c r="E588" s="58"/>
      <c r="F588" s="58"/>
      <c r="G588" s="56"/>
      <c r="H588" s="56"/>
      <c r="I588" s="56"/>
      <c r="J588" s="56">
        <f>SUM(J584:J587)</f>
        <v>40.501557209573853</v>
      </c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outlineLevel="1" x14ac:dyDescent="0.25">
      <c r="B589" s="59"/>
      <c r="C589" s="60"/>
      <c r="D589" s="60"/>
      <c r="E589" s="60"/>
      <c r="F589" s="60"/>
      <c r="G589" s="61"/>
      <c r="H589" s="61"/>
      <c r="I589" s="61"/>
      <c r="J589" s="61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outlineLevel="1" x14ac:dyDescent="0.25">
      <c r="B590" s="30" t="s">
        <v>172</v>
      </c>
      <c r="C590" s="30"/>
      <c r="D590" s="30"/>
      <c r="E590" s="30"/>
      <c r="F590" s="30"/>
      <c r="G590" s="31"/>
      <c r="H590" s="31"/>
      <c r="I590" s="31"/>
      <c r="J590" s="31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outlineLevel="1" x14ac:dyDescent="0.25">
      <c r="B591" s="29" t="str">
        <f>B584</f>
        <v>Internally Generated Software</v>
      </c>
      <c r="C591" s="30"/>
      <c r="D591" s="30"/>
      <c r="E591" s="30"/>
      <c r="F591" s="30"/>
      <c r="G591" s="31"/>
      <c r="H591" s="31"/>
      <c r="I591" s="31"/>
      <c r="J591" s="31">
        <f>J464</f>
        <v>11.188922942206656</v>
      </c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outlineLevel="1" x14ac:dyDescent="0.25">
      <c r="B592" s="29" t="str">
        <f>B585</f>
        <v>Purchased Software</v>
      </c>
      <c r="C592" s="30"/>
      <c r="D592" s="30"/>
      <c r="E592" s="30"/>
      <c r="F592" s="30"/>
      <c r="G592" s="31"/>
      <c r="H592" s="31"/>
      <c r="I592" s="31"/>
      <c r="J592" s="31">
        <f>J494</f>
        <v>11.810529772329247</v>
      </c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outlineLevel="1" x14ac:dyDescent="0.25">
      <c r="B593" s="29" t="str">
        <f>B586</f>
        <v>Capitalized Development Costs &amp; Patents</v>
      </c>
      <c r="C593" s="30"/>
      <c r="D593" s="30"/>
      <c r="E593" s="30"/>
      <c r="F593" s="30"/>
      <c r="G593" s="31"/>
      <c r="H593" s="31"/>
      <c r="I593" s="31"/>
      <c r="J593" s="31">
        <f>J524</f>
        <v>0</v>
      </c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outlineLevel="1" x14ac:dyDescent="0.25">
      <c r="B594" s="29" t="str">
        <f>B587</f>
        <v>Other Intagible Assets</v>
      </c>
      <c r="C594" s="30"/>
      <c r="D594" s="30"/>
      <c r="E594" s="30"/>
      <c r="F594" s="30"/>
      <c r="G594" s="31"/>
      <c r="H594" s="31"/>
      <c r="I594" s="31"/>
      <c r="J594" s="31">
        <f>J554</f>
        <v>0</v>
      </c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outlineLevel="1" x14ac:dyDescent="0.25">
      <c r="B595" s="57" t="s">
        <v>176</v>
      </c>
      <c r="C595" s="58"/>
      <c r="D595" s="58"/>
      <c r="E595" s="58"/>
      <c r="F595" s="58"/>
      <c r="G595" s="56"/>
      <c r="H595" s="56"/>
      <c r="I595" s="56"/>
      <c r="J595" s="56">
        <f>SUM(J591:J594)</f>
        <v>22.999452714535902</v>
      </c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x14ac:dyDescent="0.25"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8.75" x14ac:dyDescent="0.3">
      <c r="A597" s="39" t="s">
        <v>141</v>
      </c>
      <c r="B597" s="2" t="s">
        <v>247</v>
      </c>
      <c r="C597" s="2"/>
      <c r="D597" s="2"/>
      <c r="E597" s="2"/>
      <c r="F597" s="2"/>
      <c r="G597" s="9">
        <f>G6</f>
        <v>19</v>
      </c>
      <c r="H597" s="9">
        <f>H6</f>
        <v>20</v>
      </c>
      <c r="I597" s="9">
        <f>I6</f>
        <v>21</v>
      </c>
      <c r="J597" s="3">
        <f>J6</f>
        <v>22</v>
      </c>
      <c r="K597" s="42" t="s">
        <v>141</v>
      </c>
      <c r="L597" s="6"/>
      <c r="M597" s="6"/>
      <c r="N597" s="6"/>
      <c r="O597" s="6"/>
    </row>
    <row r="598" spans="1:25" outlineLevel="1" x14ac:dyDescent="0.25">
      <c r="B598" s="28" t="s">
        <v>120</v>
      </c>
      <c r="C598" s="28"/>
      <c r="D598" s="28"/>
      <c r="E598" s="28"/>
      <c r="F598" s="28"/>
      <c r="G598" s="48" t="s">
        <v>170</v>
      </c>
      <c r="H598" s="48" t="s">
        <v>170</v>
      </c>
      <c r="I598" s="48" t="s">
        <v>170</v>
      </c>
      <c r="J598" s="27">
        <v>1</v>
      </c>
      <c r="K598" s="73"/>
      <c r="L598" s="73"/>
      <c r="M598" s="73"/>
      <c r="N598" s="73"/>
      <c r="O598" s="73"/>
    </row>
    <row r="599" spans="1:25" outlineLevel="1" x14ac:dyDescent="0.25">
      <c r="B599" s="1" t="s">
        <v>201</v>
      </c>
      <c r="G599" s="6">
        <v>6</v>
      </c>
      <c r="H599" s="6">
        <v>5.8</v>
      </c>
      <c r="I599" s="6">
        <f>I150</f>
        <v>7.7</v>
      </c>
      <c r="J599" s="20">
        <v>6.3</v>
      </c>
      <c r="K599" s="6"/>
      <c r="L599" s="6"/>
      <c r="M599" s="6"/>
      <c r="N599" s="6"/>
      <c r="O599" s="6"/>
    </row>
    <row r="600" spans="1:25" outlineLevel="1" x14ac:dyDescent="0.25">
      <c r="B600" s="1" t="s">
        <v>202</v>
      </c>
      <c r="G600" s="6">
        <v>122.1</v>
      </c>
      <c r="H600" s="6">
        <v>116.9</v>
      </c>
      <c r="I600" s="6">
        <f>I156</f>
        <v>113.6</v>
      </c>
      <c r="J600" s="6">
        <f>J601-J599</f>
        <v>109.4</v>
      </c>
      <c r="K600" s="6"/>
      <c r="L600" s="6"/>
      <c r="M600" s="6"/>
      <c r="N600" s="6"/>
      <c r="O600" s="6"/>
    </row>
    <row r="601" spans="1:25" outlineLevel="1" x14ac:dyDescent="0.25">
      <c r="B601" s="10" t="s">
        <v>126</v>
      </c>
      <c r="C601" s="10"/>
      <c r="D601" s="10"/>
      <c r="E601" s="74"/>
      <c r="F601" s="10"/>
      <c r="G601" s="11">
        <f>G599+G600</f>
        <v>128.1</v>
      </c>
      <c r="H601" s="11">
        <f>H599+H600</f>
        <v>122.7</v>
      </c>
      <c r="I601" s="11">
        <f>I599+I600</f>
        <v>121.3</v>
      </c>
      <c r="J601" s="11">
        <f>I601-J603</f>
        <v>115.7</v>
      </c>
      <c r="K601" s="6"/>
      <c r="L601" s="6"/>
      <c r="M601" s="6"/>
      <c r="N601" s="6"/>
      <c r="O601" s="6"/>
    </row>
    <row r="602" spans="1:25" outlineLevel="1" x14ac:dyDescent="0.25">
      <c r="B602" s="23"/>
      <c r="C602" s="23"/>
      <c r="D602" s="23"/>
      <c r="E602" s="75"/>
      <c r="F602" s="23"/>
      <c r="G602" s="24"/>
      <c r="H602" s="24"/>
      <c r="I602" s="24"/>
      <c r="J602" s="24"/>
      <c r="K602" s="6"/>
      <c r="L602" s="6"/>
      <c r="M602" s="6"/>
      <c r="N602" s="6"/>
      <c r="O602" s="6"/>
    </row>
    <row r="603" spans="1:25" outlineLevel="1" x14ac:dyDescent="0.25">
      <c r="B603" s="23" t="s">
        <v>203</v>
      </c>
      <c r="C603" s="23"/>
      <c r="D603" s="23"/>
      <c r="E603" s="75"/>
      <c r="F603" s="23"/>
      <c r="G603" s="24">
        <v>1.7</v>
      </c>
      <c r="H603" s="24">
        <v>5.5</v>
      </c>
      <c r="I603" s="24">
        <v>5.6</v>
      </c>
      <c r="J603" s="76">
        <f>I603</f>
        <v>5.6</v>
      </c>
      <c r="K603" s="6"/>
      <c r="L603" s="6"/>
      <c r="M603" s="6"/>
      <c r="N603" s="6"/>
      <c r="O603" s="6"/>
    </row>
    <row r="604" spans="1:25" outlineLevel="1" x14ac:dyDescent="0.25">
      <c r="G604" s="6"/>
      <c r="H604" s="6"/>
      <c r="I604" s="6"/>
      <c r="J604" s="6"/>
      <c r="K604" s="6"/>
      <c r="L604" s="6"/>
      <c r="M604" s="6"/>
      <c r="N604" s="6"/>
      <c r="O604" s="6"/>
    </row>
    <row r="605" spans="1:25" outlineLevel="1" x14ac:dyDescent="0.25">
      <c r="B605" s="26" t="s">
        <v>118</v>
      </c>
      <c r="C605" s="6"/>
      <c r="D605" s="6"/>
      <c r="E605" s="6"/>
      <c r="F605" s="6"/>
      <c r="G605" s="6">
        <v>4.4000000000000004</v>
      </c>
      <c r="H605" s="6">
        <v>4.3</v>
      </c>
      <c r="I605" s="6">
        <f>I64</f>
        <v>4.3</v>
      </c>
      <c r="J605" s="6">
        <f>J606*J601</f>
        <v>4.1014839241549872</v>
      </c>
      <c r="K605" s="6"/>
      <c r="L605" s="6"/>
      <c r="M605" s="6"/>
      <c r="N605" s="6"/>
      <c r="O605" s="6"/>
    </row>
    <row r="606" spans="1:25" outlineLevel="1" x14ac:dyDescent="0.25">
      <c r="B606" s="37" t="s">
        <v>119</v>
      </c>
      <c r="C606" s="6"/>
      <c r="D606" s="6"/>
      <c r="E606" s="6"/>
      <c r="F606" s="6"/>
      <c r="G606" s="19">
        <f>G605/G601</f>
        <v>3.4348165495706483E-2</v>
      </c>
      <c r="H606" s="19">
        <f>H605/H601</f>
        <v>3.5044824775876116E-2</v>
      </c>
      <c r="I606" s="19">
        <f>I605/I601</f>
        <v>3.5449299258037921E-2</v>
      </c>
      <c r="J606" s="21">
        <f>I606</f>
        <v>3.5449299258037921E-2</v>
      </c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x14ac:dyDescent="0.25">
      <c r="B607" s="2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8.75" x14ac:dyDescent="0.3">
      <c r="A608" s="39" t="s">
        <v>141</v>
      </c>
      <c r="B608" s="2" t="s">
        <v>219</v>
      </c>
      <c r="C608" s="2"/>
      <c r="D608" s="2"/>
      <c r="E608" s="2"/>
      <c r="F608" s="2"/>
      <c r="G608" s="9">
        <f>G6</f>
        <v>19</v>
      </c>
      <c r="H608" s="9">
        <f>H6</f>
        <v>20</v>
      </c>
      <c r="I608" s="9">
        <f>I6</f>
        <v>21</v>
      </c>
      <c r="J608" s="3">
        <f>J6</f>
        <v>22</v>
      </c>
      <c r="K608" s="42" t="s">
        <v>141</v>
      </c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outlineLevel="1" x14ac:dyDescent="0.25">
      <c r="B609" s="28" t="s">
        <v>120</v>
      </c>
      <c r="C609" s="28"/>
      <c r="D609" s="28"/>
      <c r="E609" s="28"/>
      <c r="F609" s="28"/>
      <c r="G609" s="48" t="s">
        <v>170</v>
      </c>
      <c r="H609" s="48" t="s">
        <v>170</v>
      </c>
      <c r="I609" s="48" t="s">
        <v>170</v>
      </c>
      <c r="J609" s="27">
        <v>1</v>
      </c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outlineLevel="1" x14ac:dyDescent="0.25">
      <c r="B610" s="1" t="s">
        <v>220</v>
      </c>
      <c r="G610" s="22"/>
      <c r="H610" s="22"/>
      <c r="I610" s="22">
        <f>H612</f>
        <v>92.6</v>
      </c>
      <c r="J610" s="22">
        <f>I612</f>
        <v>84</v>
      </c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outlineLevel="1" x14ac:dyDescent="0.25">
      <c r="B611" s="43" t="s">
        <v>222</v>
      </c>
      <c r="G611" s="22"/>
      <c r="H611" s="22"/>
      <c r="I611" s="22">
        <f>-I219</f>
        <v>1</v>
      </c>
      <c r="J611" s="20">
        <v>3</v>
      </c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outlineLevel="1" x14ac:dyDescent="0.25">
      <c r="B612" s="1" t="s">
        <v>221</v>
      </c>
      <c r="G612" s="22"/>
      <c r="H612" s="22">
        <f>H122</f>
        <v>92.6</v>
      </c>
      <c r="I612" s="22">
        <f>I122</f>
        <v>84</v>
      </c>
      <c r="J612" s="22">
        <f>J610+J611</f>
        <v>87</v>
      </c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outlineLevel="1" x14ac:dyDescent="0.25">
      <c r="G613" s="22"/>
      <c r="H613" s="22"/>
      <c r="I613" s="22"/>
      <c r="J613" s="22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outlineLevel="1" x14ac:dyDescent="0.25">
      <c r="B614" s="26" t="s">
        <v>118</v>
      </c>
      <c r="C614" s="6"/>
      <c r="D614" s="6"/>
      <c r="E614" s="6"/>
      <c r="F614" s="6"/>
      <c r="G614" s="22"/>
      <c r="H614" s="22"/>
      <c r="I614" s="22">
        <f>I59</f>
        <v>2.4</v>
      </c>
      <c r="J614" s="22">
        <f>J615*J610</f>
        <v>2.1771058315334773</v>
      </c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outlineLevel="1" x14ac:dyDescent="0.25">
      <c r="B615" s="37" t="s">
        <v>119</v>
      </c>
      <c r="C615" s="6"/>
      <c r="D615" s="6"/>
      <c r="E615" s="6"/>
      <c r="F615" s="6"/>
      <c r="G615" s="91"/>
      <c r="H615" s="91"/>
      <c r="I615" s="91">
        <f>I614/I610</f>
        <v>2.591792656587473E-2</v>
      </c>
      <c r="J615" s="21">
        <f>I615</f>
        <v>2.591792656587473E-2</v>
      </c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x14ac:dyDescent="0.25">
      <c r="G616" s="6"/>
      <c r="H616" s="6"/>
      <c r="I616" s="4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8.75" x14ac:dyDescent="0.3">
      <c r="A617" s="39" t="s">
        <v>141</v>
      </c>
      <c r="B617" s="2" t="s">
        <v>248</v>
      </c>
      <c r="C617" s="2"/>
      <c r="D617" s="2"/>
      <c r="E617" s="2"/>
      <c r="F617" s="2"/>
      <c r="G617" s="9">
        <f>G6</f>
        <v>19</v>
      </c>
      <c r="H617" s="9">
        <f>H6</f>
        <v>20</v>
      </c>
      <c r="I617" s="9">
        <f>I6</f>
        <v>21</v>
      </c>
      <c r="J617" s="3">
        <f>J6</f>
        <v>22</v>
      </c>
      <c r="K617" s="42" t="s">
        <v>141</v>
      </c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5" customHeight="1" outlineLevel="1" x14ac:dyDescent="0.25">
      <c r="B618" s="62" t="s">
        <v>255</v>
      </c>
      <c r="C618" s="62"/>
      <c r="D618" s="62"/>
      <c r="E618" s="62"/>
      <c r="F618" s="62"/>
      <c r="G618" s="48" t="s">
        <v>170</v>
      </c>
      <c r="H618" s="48" t="s">
        <v>170</v>
      </c>
      <c r="I618" s="48" t="s">
        <v>170</v>
      </c>
      <c r="J618" s="27">
        <v>1</v>
      </c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5" customHeight="1" outlineLevel="1" x14ac:dyDescent="0.25">
      <c r="B619" s="113" t="s">
        <v>201</v>
      </c>
      <c r="C619" s="114"/>
      <c r="D619" s="114"/>
      <c r="E619" s="114"/>
      <c r="F619" s="114"/>
      <c r="G619" s="115">
        <f t="shared" ref="G619:H619" si="36">G620+G621+G622</f>
        <v>0</v>
      </c>
      <c r="H619" s="115">
        <f t="shared" si="36"/>
        <v>469.6</v>
      </c>
      <c r="I619" s="115">
        <f>I620+I621+I622</f>
        <v>495.4</v>
      </c>
      <c r="J619" s="115">
        <f>+J620+J621+J622</f>
        <v>495.4</v>
      </c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5" customHeight="1" outlineLevel="1" x14ac:dyDescent="0.25">
      <c r="B620" s="29" t="s">
        <v>121</v>
      </c>
      <c r="C620" s="30"/>
      <c r="D620" s="30"/>
      <c r="E620" s="30"/>
      <c r="F620" s="30"/>
      <c r="G620" s="31"/>
      <c r="H620" s="31">
        <v>469.5</v>
      </c>
      <c r="I620" s="31">
        <v>232</v>
      </c>
      <c r="J620" s="31">
        <f>J640</f>
        <v>232</v>
      </c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5" customHeight="1" outlineLevel="1" x14ac:dyDescent="0.25">
      <c r="B621" s="29" t="s">
        <v>122</v>
      </c>
      <c r="C621" s="30"/>
      <c r="D621" s="30"/>
      <c r="E621" s="30"/>
      <c r="F621" s="30"/>
      <c r="G621" s="31"/>
      <c r="H621" s="31">
        <v>0.1</v>
      </c>
      <c r="I621" s="31">
        <v>251.2</v>
      </c>
      <c r="J621" s="31">
        <f>J647</f>
        <v>251.2</v>
      </c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5" customHeight="1" outlineLevel="1" x14ac:dyDescent="0.25">
      <c r="B622" s="29" t="s">
        <v>123</v>
      </c>
      <c r="C622" s="30"/>
      <c r="D622" s="30"/>
      <c r="E622" s="30"/>
      <c r="F622" s="30"/>
      <c r="G622" s="31"/>
      <c r="H622" s="31">
        <v>0</v>
      </c>
      <c r="I622" s="31">
        <v>12.2</v>
      </c>
      <c r="J622" s="31">
        <v>12.2</v>
      </c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5" customHeight="1" outlineLevel="1" x14ac:dyDescent="0.25">
      <c r="B623" s="113" t="s">
        <v>202</v>
      </c>
      <c r="C623" s="114"/>
      <c r="D623" s="114"/>
      <c r="E623" s="114"/>
      <c r="F623" s="114"/>
      <c r="G623" s="115">
        <f>G624+G625</f>
        <v>0</v>
      </c>
      <c r="H623" s="115">
        <f>H624+H625</f>
        <v>5175.2999999999993</v>
      </c>
      <c r="I623" s="115">
        <f>I624+I625</f>
        <v>5999.2000000000007</v>
      </c>
      <c r="J623" s="115">
        <f ca="1">J624+J625</f>
        <v>6308.1245979512059</v>
      </c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5" customHeight="1" outlineLevel="1" x14ac:dyDescent="0.25">
      <c r="B624" s="29" t="s">
        <v>121</v>
      </c>
      <c r="C624" s="30"/>
      <c r="D624" s="30"/>
      <c r="E624" s="30"/>
      <c r="F624" s="30"/>
      <c r="G624" s="31"/>
      <c r="H624" s="31">
        <v>5058.3999999999996</v>
      </c>
      <c r="I624" s="31">
        <v>779.1</v>
      </c>
      <c r="J624" s="31">
        <f ca="1">J639</f>
        <v>1339.2245979512049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2:25" ht="15" customHeight="1" outlineLevel="1" x14ac:dyDescent="0.25">
      <c r="B625" s="29" t="s">
        <v>122</v>
      </c>
      <c r="C625" s="30"/>
      <c r="D625" s="30"/>
      <c r="E625" s="30"/>
      <c r="F625" s="30"/>
      <c r="G625" s="31"/>
      <c r="H625" s="31">
        <v>116.9</v>
      </c>
      <c r="I625" s="31">
        <v>5220.1000000000004</v>
      </c>
      <c r="J625" s="31">
        <f>J646</f>
        <v>4968.9000000000005</v>
      </c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2:25" ht="15" customHeight="1" outlineLevel="1" x14ac:dyDescent="0.25">
      <c r="B626" s="113" t="s">
        <v>256</v>
      </c>
      <c r="C626" s="114"/>
      <c r="D626" s="114"/>
      <c r="E626" s="114"/>
      <c r="F626" s="114"/>
      <c r="G626" s="115">
        <f>G623+G619</f>
        <v>0</v>
      </c>
      <c r="H626" s="115">
        <f>H623+H619</f>
        <v>5644.9</v>
      </c>
      <c r="I626" s="115">
        <f>I623+I619</f>
        <v>6494.6</v>
      </c>
      <c r="J626" s="115">
        <f ca="1">J623+J619</f>
        <v>6803.5245979512056</v>
      </c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2:25" ht="15" customHeight="1" outlineLevel="1" x14ac:dyDescent="0.25">
      <c r="B627" s="29" t="s">
        <v>252</v>
      </c>
      <c r="C627" s="30"/>
      <c r="D627" s="30"/>
      <c r="E627" s="30"/>
      <c r="F627" s="30"/>
      <c r="G627" s="31"/>
      <c r="H627" s="31">
        <f t="shared" ref="H627:J628" si="37">H620+H624</f>
        <v>5527.9</v>
      </c>
      <c r="I627" s="31">
        <f t="shared" si="37"/>
        <v>1011.1</v>
      </c>
      <c r="J627" s="31">
        <f ca="1">J637</f>
        <v>1571.2245979512049</v>
      </c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2:25" ht="15" customHeight="1" outlineLevel="1" x14ac:dyDescent="0.25">
      <c r="B628" s="29" t="s">
        <v>122</v>
      </c>
      <c r="C628" s="30"/>
      <c r="D628" s="30"/>
      <c r="E628" s="30"/>
      <c r="F628" s="30"/>
      <c r="G628" s="31"/>
      <c r="H628" s="31">
        <f t="shared" si="37"/>
        <v>117</v>
      </c>
      <c r="I628" s="31">
        <f t="shared" si="37"/>
        <v>5471.3</v>
      </c>
      <c r="J628" s="31">
        <f t="shared" si="37"/>
        <v>5220.1000000000004</v>
      </c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2:25" ht="15" customHeight="1" outlineLevel="1" x14ac:dyDescent="0.25">
      <c r="B629" s="29" t="s">
        <v>123</v>
      </c>
      <c r="C629" s="30"/>
      <c r="D629" s="30"/>
      <c r="E629" s="30"/>
      <c r="F629" s="30"/>
      <c r="G629" s="31"/>
      <c r="H629" s="31">
        <f>H622</f>
        <v>0</v>
      </c>
      <c r="I629" s="31">
        <f>I622</f>
        <v>12.2</v>
      </c>
      <c r="J629" s="31">
        <f>J622</f>
        <v>12.2</v>
      </c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2:25" ht="15" customHeight="1" outlineLevel="1" x14ac:dyDescent="0.25"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2:25" ht="15" customHeight="1" outlineLevel="1" x14ac:dyDescent="0.25">
      <c r="B631" s="28" t="s">
        <v>252</v>
      </c>
      <c r="C631" s="28"/>
      <c r="D631" s="28"/>
      <c r="E631" s="28"/>
      <c r="F631" s="28"/>
      <c r="G631" s="48" t="s">
        <v>170</v>
      </c>
      <c r="H631" s="48" t="s">
        <v>170</v>
      </c>
      <c r="I631" s="48" t="s">
        <v>170</v>
      </c>
      <c r="J631" s="27">
        <v>1</v>
      </c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2:25" outlineLevel="1" x14ac:dyDescent="0.25">
      <c r="B632" s="26" t="s">
        <v>249</v>
      </c>
      <c r="F632" s="6"/>
      <c r="H632" s="6"/>
      <c r="I632" s="6"/>
      <c r="J632" s="6">
        <f>J239</f>
        <v>56.2</v>
      </c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2:25" outlineLevel="1" x14ac:dyDescent="0.25">
      <c r="B633" s="26" t="s">
        <v>250</v>
      </c>
      <c r="G633" s="6"/>
      <c r="H633" s="6"/>
      <c r="I633" s="6"/>
      <c r="J633" s="6">
        <f ca="1">J210+J221</f>
        <v>179.51459531135959</v>
      </c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2:25" outlineLevel="1" x14ac:dyDescent="0.25">
      <c r="B634" s="26" t="s">
        <v>254</v>
      </c>
      <c r="G634" s="6"/>
      <c r="H634" s="6"/>
      <c r="I634" s="6"/>
      <c r="J634" s="6">
        <f ca="1">J235-J228</f>
        <v>-775.83919326256432</v>
      </c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2:25" outlineLevel="1" x14ac:dyDescent="0.25">
      <c r="B635" s="26" t="s">
        <v>251</v>
      </c>
      <c r="G635" s="77"/>
      <c r="H635" s="77"/>
      <c r="I635" s="77"/>
      <c r="J635" s="20">
        <v>20</v>
      </c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2:25" outlineLevel="1" x14ac:dyDescent="0.25">
      <c r="B636" s="121" t="s">
        <v>253</v>
      </c>
      <c r="C636" s="5"/>
      <c r="D636" s="5"/>
      <c r="E636" s="5"/>
      <c r="F636" s="5"/>
      <c r="G636" s="7"/>
      <c r="H636" s="7"/>
      <c r="I636" s="7"/>
      <c r="J636" s="7">
        <f ca="1">+J632+J633+J634-J635</f>
        <v>-560.12459795120481</v>
      </c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2:25" ht="15.75" outlineLevel="1" thickBot="1" x14ac:dyDescent="0.3">
      <c r="B637" s="14" t="s">
        <v>252</v>
      </c>
      <c r="C637" s="14"/>
      <c r="D637" s="14"/>
      <c r="E637" s="14"/>
      <c r="F637" s="14"/>
      <c r="G637" s="15"/>
      <c r="H637" s="15"/>
      <c r="I637" s="15">
        <f>I627</f>
        <v>1011.1</v>
      </c>
      <c r="J637" s="15">
        <f ca="1">MAX(I637-J636,0)</f>
        <v>1571.2245979512049</v>
      </c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2:25" outlineLevel="1" x14ac:dyDescent="0.25"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2:25" outlineLevel="1" x14ac:dyDescent="0.25">
      <c r="B639" s="1" t="s">
        <v>266</v>
      </c>
      <c r="G639" s="6"/>
      <c r="H639" s="6"/>
      <c r="I639" s="6">
        <f>I624</f>
        <v>779.1</v>
      </c>
      <c r="J639" s="6">
        <f ca="1">J637-J640</f>
        <v>1339.2245979512049</v>
      </c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2:25" outlineLevel="1" x14ac:dyDescent="0.25">
      <c r="B640" s="1" t="s">
        <v>267</v>
      </c>
      <c r="G640" s="6"/>
      <c r="H640" s="6"/>
      <c r="I640" s="6">
        <f>I620</f>
        <v>232</v>
      </c>
      <c r="J640" s="20">
        <f>I640</f>
        <v>232</v>
      </c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2:25" outlineLevel="1" x14ac:dyDescent="0.25">
      <c r="G641" s="6"/>
      <c r="H641" s="6"/>
      <c r="I641" s="6"/>
      <c r="J641" s="77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2:25" outlineLevel="1" x14ac:dyDescent="0.25">
      <c r="B642" s="1" t="s">
        <v>119</v>
      </c>
      <c r="G642" s="18"/>
      <c r="H642" s="18"/>
      <c r="I642" s="18"/>
      <c r="J642" s="32">
        <v>4.0599999999999997E-2</v>
      </c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2:25" outlineLevel="1" x14ac:dyDescent="0.25">
      <c r="B643" s="5" t="s">
        <v>118</v>
      </c>
      <c r="C643" s="5"/>
      <c r="D643" s="5"/>
      <c r="E643" s="5"/>
      <c r="F643" s="5"/>
      <c r="G643" s="7"/>
      <c r="H643" s="7"/>
      <c r="I643" s="7"/>
      <c r="J643" s="7">
        <f ca="1">AVERAGE(I637,J637)*J642</f>
        <v>52.421189338409455</v>
      </c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2:25" outlineLevel="1" x14ac:dyDescent="0.25">
      <c r="G644" s="6"/>
      <c r="H644" s="6"/>
      <c r="I644" s="6"/>
      <c r="J644" s="77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2:25" outlineLevel="1" x14ac:dyDescent="0.25">
      <c r="B645" s="62" t="s">
        <v>257</v>
      </c>
      <c r="C645" s="62"/>
      <c r="D645" s="62"/>
      <c r="E645" s="62"/>
      <c r="F645" s="62"/>
      <c r="G645" s="48"/>
      <c r="H645" s="48"/>
      <c r="I645" s="48"/>
      <c r="J645" s="27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2:25" outlineLevel="1" x14ac:dyDescent="0.25">
      <c r="B646" s="1" t="s">
        <v>258</v>
      </c>
      <c r="G646" s="6">
        <f t="shared" ref="G646:H646" si="38">G625</f>
        <v>0</v>
      </c>
      <c r="H646" s="6">
        <f t="shared" si="38"/>
        <v>116.9</v>
      </c>
      <c r="I646" s="6">
        <f>I625</f>
        <v>5220.1000000000004</v>
      </c>
      <c r="J646" s="6">
        <f>I646-J647</f>
        <v>4968.9000000000005</v>
      </c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2:25" outlineLevel="1" x14ac:dyDescent="0.25">
      <c r="B647" s="1" t="s">
        <v>259</v>
      </c>
      <c r="G647" s="6">
        <f t="shared" ref="G647:H647" si="39">G621</f>
        <v>0</v>
      </c>
      <c r="H647" s="6">
        <f t="shared" si="39"/>
        <v>0.1</v>
      </c>
      <c r="I647" s="6">
        <f>I621</f>
        <v>251.2</v>
      </c>
      <c r="J647" s="20">
        <f>I647</f>
        <v>251.2</v>
      </c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2:25" outlineLevel="1" x14ac:dyDescent="0.25"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2:25" outlineLevel="1" x14ac:dyDescent="0.25">
      <c r="B649" s="1" t="s">
        <v>119</v>
      </c>
      <c r="G649" s="18"/>
      <c r="H649" s="18"/>
      <c r="I649" s="18"/>
      <c r="J649" s="32">
        <v>4.0599999999999997E-2</v>
      </c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2:25" outlineLevel="1" x14ac:dyDescent="0.25">
      <c r="B650" s="5" t="s">
        <v>118</v>
      </c>
      <c r="C650" s="5"/>
      <c r="D650" s="5"/>
      <c r="E650" s="5"/>
      <c r="F650" s="5"/>
      <c r="G650" s="7"/>
      <c r="H650" s="7"/>
      <c r="I650" s="7"/>
      <c r="J650" s="7">
        <f>AVERAGE(SUM(I646:I647),SUM(J646:J647))*J649</f>
        <v>217.03542000000002</v>
      </c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2:25" outlineLevel="1" x14ac:dyDescent="0.25"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2:25" outlineLevel="1" x14ac:dyDescent="0.25">
      <c r="B652" s="62" t="s">
        <v>260</v>
      </c>
      <c r="C652" s="62"/>
      <c r="D652" s="62"/>
      <c r="E652" s="62"/>
      <c r="F652" s="62"/>
      <c r="G652" s="48" t="s">
        <v>170</v>
      </c>
      <c r="H652" s="48" t="s">
        <v>170</v>
      </c>
      <c r="I652" s="48" t="s">
        <v>170</v>
      </c>
      <c r="J652" s="27">
        <v>1</v>
      </c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2:25" outlineLevel="1" x14ac:dyDescent="0.25">
      <c r="B653" s="1" t="s">
        <v>261</v>
      </c>
      <c r="G653" s="6"/>
      <c r="H653" s="6"/>
      <c r="I653" s="6"/>
      <c r="J653" s="6">
        <f>I656</f>
        <v>0</v>
      </c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2:25" outlineLevel="1" x14ac:dyDescent="0.25">
      <c r="B654" s="1" t="s">
        <v>262</v>
      </c>
      <c r="G654" s="6"/>
      <c r="H654" s="6"/>
      <c r="I654" s="119">
        <v>0</v>
      </c>
      <c r="J654" s="112">
        <v>0</v>
      </c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2:25" outlineLevel="1" x14ac:dyDescent="0.25">
      <c r="B655" s="1" t="s">
        <v>263</v>
      </c>
      <c r="G655" s="6"/>
      <c r="H655" s="117">
        <v>0</v>
      </c>
      <c r="I655" s="6"/>
      <c r="J655" s="25">
        <f>IFERROR($I654/$H655,0)</f>
        <v>0</v>
      </c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2:25" outlineLevel="1" x14ac:dyDescent="0.25">
      <c r="B656" s="1" t="s">
        <v>264</v>
      </c>
      <c r="G656" s="6"/>
      <c r="H656" s="6"/>
      <c r="I656" s="118">
        <f>+I654</f>
        <v>0</v>
      </c>
      <c r="J656" s="118">
        <f>J653+J654-J655</f>
        <v>0</v>
      </c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2:25" outlineLevel="1" x14ac:dyDescent="0.25"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2:25" outlineLevel="1" x14ac:dyDescent="0.25">
      <c r="B658" s="1" t="s">
        <v>119</v>
      </c>
      <c r="G658" s="18"/>
      <c r="H658" s="18"/>
      <c r="I658" s="18"/>
      <c r="J658" s="116">
        <v>0</v>
      </c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2:25" outlineLevel="1" x14ac:dyDescent="0.25">
      <c r="B659" s="5" t="s">
        <v>118</v>
      </c>
      <c r="C659" s="5"/>
      <c r="D659" s="5"/>
      <c r="E659" s="5"/>
      <c r="F659" s="5"/>
      <c r="G659" s="7"/>
      <c r="H659" s="7"/>
      <c r="I659" s="7"/>
      <c r="J659" s="7">
        <f>AVERAGE(J656,I656)*J658</f>
        <v>0</v>
      </c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2:25" outlineLevel="1" x14ac:dyDescent="0.25"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2:25" ht="15.75" outlineLevel="1" thickBot="1" x14ac:dyDescent="0.3">
      <c r="B661" s="14" t="s">
        <v>265</v>
      </c>
      <c r="C661" s="14"/>
      <c r="D661" s="14"/>
      <c r="E661" s="14"/>
      <c r="F661" s="14"/>
      <c r="G661" s="15"/>
      <c r="H661" s="15"/>
      <c r="I661" s="15"/>
      <c r="J661" s="15">
        <f ca="1">J659+J650+J643</f>
        <v>269.45660933840946</v>
      </c>
      <c r="K661" s="42" t="s">
        <v>141</v>
      </c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2:25" x14ac:dyDescent="0.25"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2:25" x14ac:dyDescent="0.25"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2:25" x14ac:dyDescent="0.25"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2:25" x14ac:dyDescent="0.25"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2:25" x14ac:dyDescent="0.25"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2:25" x14ac:dyDescent="0.25"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2:25" x14ac:dyDescent="0.25"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2:25" x14ac:dyDescent="0.25"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2:25" x14ac:dyDescent="0.25"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2:25" x14ac:dyDescent="0.25"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2:25" x14ac:dyDescent="0.25"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7:25" x14ac:dyDescent="0.25"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7:25" x14ac:dyDescent="0.25"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7:25" x14ac:dyDescent="0.25"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7:25" x14ac:dyDescent="0.25"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7:25" x14ac:dyDescent="0.25"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7:25" x14ac:dyDescent="0.25"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7:25" x14ac:dyDescent="0.25"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7:25" x14ac:dyDescent="0.25"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7:25" x14ac:dyDescent="0.25"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7:25" x14ac:dyDescent="0.25"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7:25" x14ac:dyDescent="0.25"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7:25" x14ac:dyDescent="0.25"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7:25" x14ac:dyDescent="0.25"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7:25" x14ac:dyDescent="0.25"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7:25" x14ac:dyDescent="0.25"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7:25" x14ac:dyDescent="0.25"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7:25" x14ac:dyDescent="0.25"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7:25" x14ac:dyDescent="0.25"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7:25" x14ac:dyDescent="0.25"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7:25" x14ac:dyDescent="0.25"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7:25" x14ac:dyDescent="0.25"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7:25" x14ac:dyDescent="0.25"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7:25" x14ac:dyDescent="0.25"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7:25" x14ac:dyDescent="0.25"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7:25" x14ac:dyDescent="0.25"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7:25" x14ac:dyDescent="0.25"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7:25" x14ac:dyDescent="0.25"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7:25" x14ac:dyDescent="0.25"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7:25" x14ac:dyDescent="0.25"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7:25" x14ac:dyDescent="0.25"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7:25" x14ac:dyDescent="0.25"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7:25" x14ac:dyDescent="0.25"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7:25" x14ac:dyDescent="0.25"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7:25" x14ac:dyDescent="0.25"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7:25" x14ac:dyDescent="0.25"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7:25" x14ac:dyDescent="0.25"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7:25" x14ac:dyDescent="0.25"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7:25" x14ac:dyDescent="0.25"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7:25" x14ac:dyDescent="0.25"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7:25" x14ac:dyDescent="0.25"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7:25" x14ac:dyDescent="0.25"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7:25" x14ac:dyDescent="0.25"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7:25" x14ac:dyDescent="0.25"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7:25" x14ac:dyDescent="0.25"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7:25" x14ac:dyDescent="0.25"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7:25" x14ac:dyDescent="0.25"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7:25" x14ac:dyDescent="0.25"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7:25" x14ac:dyDescent="0.25"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7:25" x14ac:dyDescent="0.25"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7:25" x14ac:dyDescent="0.25"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7:25" x14ac:dyDescent="0.25"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7:25" x14ac:dyDescent="0.25"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7:25" x14ac:dyDescent="0.25"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7:25" x14ac:dyDescent="0.25"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7:25" x14ac:dyDescent="0.25"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7:25" x14ac:dyDescent="0.25"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7:25" x14ac:dyDescent="0.25"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7:25" x14ac:dyDescent="0.25"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7:25" x14ac:dyDescent="0.25"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7:25" x14ac:dyDescent="0.25"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7:25" x14ac:dyDescent="0.25"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7:25" x14ac:dyDescent="0.25"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7:25" x14ac:dyDescent="0.25"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7:25" x14ac:dyDescent="0.25"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7:25" x14ac:dyDescent="0.25"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7:25" x14ac:dyDescent="0.25"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7:25" x14ac:dyDescent="0.25"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7:25" x14ac:dyDescent="0.25"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7:25" x14ac:dyDescent="0.25"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7:25" x14ac:dyDescent="0.25"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7:25" x14ac:dyDescent="0.25"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7:25" x14ac:dyDescent="0.25"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7:25" x14ac:dyDescent="0.25"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7:25" x14ac:dyDescent="0.25"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7:25" x14ac:dyDescent="0.25"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7:25" x14ac:dyDescent="0.25"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7:25" x14ac:dyDescent="0.25"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7:25" x14ac:dyDescent="0.25"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7:25" x14ac:dyDescent="0.25"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7:25" x14ac:dyDescent="0.25"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7:25" x14ac:dyDescent="0.25"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7:25" x14ac:dyDescent="0.25"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7:25" x14ac:dyDescent="0.25"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7:25" x14ac:dyDescent="0.25"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7:25" x14ac:dyDescent="0.25"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7:25" x14ac:dyDescent="0.25"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7:25" x14ac:dyDescent="0.25"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7:25" x14ac:dyDescent="0.25"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7:25" x14ac:dyDescent="0.25"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7:25" x14ac:dyDescent="0.25"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7:25" x14ac:dyDescent="0.25"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7:25" x14ac:dyDescent="0.25"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7:25" x14ac:dyDescent="0.25"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7:25" x14ac:dyDescent="0.25"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7:25" x14ac:dyDescent="0.25"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7:25" x14ac:dyDescent="0.25"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7:25" x14ac:dyDescent="0.25"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7:25" x14ac:dyDescent="0.25"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7:25" x14ac:dyDescent="0.25"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7:25" x14ac:dyDescent="0.25"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7:25" x14ac:dyDescent="0.25"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7:25" x14ac:dyDescent="0.25"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7:25" x14ac:dyDescent="0.25"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7:25" x14ac:dyDescent="0.25"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7:25" x14ac:dyDescent="0.25"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7:25" x14ac:dyDescent="0.25"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7:25" x14ac:dyDescent="0.25"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7:25" x14ac:dyDescent="0.25"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7:25" x14ac:dyDescent="0.25"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7:25" x14ac:dyDescent="0.25"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7:25" x14ac:dyDescent="0.25"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7:25" x14ac:dyDescent="0.25"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7:25" x14ac:dyDescent="0.25"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7:25" x14ac:dyDescent="0.25"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7:25" x14ac:dyDescent="0.25"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7:25" x14ac:dyDescent="0.25"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7:25" x14ac:dyDescent="0.25"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7:25" x14ac:dyDescent="0.25"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7:25" x14ac:dyDescent="0.25"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7:25" x14ac:dyDescent="0.25"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7:25" x14ac:dyDescent="0.25"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7:25" x14ac:dyDescent="0.25"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7:25" x14ac:dyDescent="0.25"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7:25" x14ac:dyDescent="0.25"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7:25" x14ac:dyDescent="0.25"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7:25" x14ac:dyDescent="0.25"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7:25" x14ac:dyDescent="0.25"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7:25" x14ac:dyDescent="0.25"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7:25" x14ac:dyDescent="0.25"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7:25" x14ac:dyDescent="0.25"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7:25" x14ac:dyDescent="0.25"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7:25" x14ac:dyDescent="0.25"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7:25" x14ac:dyDescent="0.25"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7:25" x14ac:dyDescent="0.25"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7:25" x14ac:dyDescent="0.25"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7:25" x14ac:dyDescent="0.25"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7:25" x14ac:dyDescent="0.25"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7:25" x14ac:dyDescent="0.25"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7:25" x14ac:dyDescent="0.25"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7:25" x14ac:dyDescent="0.25"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7:25" x14ac:dyDescent="0.25"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7:25" x14ac:dyDescent="0.25"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7:25" x14ac:dyDescent="0.25"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7:25" x14ac:dyDescent="0.25"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7:25" x14ac:dyDescent="0.25"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7:25" x14ac:dyDescent="0.25"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7:25" x14ac:dyDescent="0.25"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7:25" x14ac:dyDescent="0.25"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7:25" x14ac:dyDescent="0.25"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7:25" x14ac:dyDescent="0.25"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7:25" x14ac:dyDescent="0.25"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7:25" x14ac:dyDescent="0.25"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7:25" x14ac:dyDescent="0.25"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7:25" x14ac:dyDescent="0.25"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7:25" x14ac:dyDescent="0.25"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7:25" x14ac:dyDescent="0.25"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7:25" x14ac:dyDescent="0.25"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7:25" x14ac:dyDescent="0.25"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7:25" x14ac:dyDescent="0.25"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7:25" x14ac:dyDescent="0.25"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7:25" x14ac:dyDescent="0.25"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7:25" x14ac:dyDescent="0.25"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7:25" x14ac:dyDescent="0.25"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7:25" x14ac:dyDescent="0.25"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7:25" x14ac:dyDescent="0.25"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7:25" x14ac:dyDescent="0.25"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7:25" x14ac:dyDescent="0.25"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7:25" x14ac:dyDescent="0.25"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7:25" x14ac:dyDescent="0.25"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7:25" x14ac:dyDescent="0.25"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7:25" x14ac:dyDescent="0.25"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7:25" x14ac:dyDescent="0.25"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7:25" x14ac:dyDescent="0.25"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7:25" x14ac:dyDescent="0.25"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7:25" x14ac:dyDescent="0.25"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7:25" x14ac:dyDescent="0.25"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7:25" x14ac:dyDescent="0.25"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7:25" x14ac:dyDescent="0.25"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7:25" x14ac:dyDescent="0.25"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7:25" x14ac:dyDescent="0.25"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7:25" x14ac:dyDescent="0.25"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7:25" x14ac:dyDescent="0.25"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7:25" x14ac:dyDescent="0.25"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7:25" x14ac:dyDescent="0.25"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7:25" x14ac:dyDescent="0.25"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7:25" x14ac:dyDescent="0.25"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7:25" x14ac:dyDescent="0.25"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7:25" x14ac:dyDescent="0.25"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7:25" x14ac:dyDescent="0.25"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7:25" x14ac:dyDescent="0.25"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7:25" x14ac:dyDescent="0.25"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7:25" x14ac:dyDescent="0.25"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7:25" x14ac:dyDescent="0.25"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7:25" x14ac:dyDescent="0.25"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7:25" x14ac:dyDescent="0.25"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7:25" x14ac:dyDescent="0.25"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7:25" x14ac:dyDescent="0.25"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7:25" x14ac:dyDescent="0.25"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7:25" x14ac:dyDescent="0.25"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7:25" x14ac:dyDescent="0.25"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7:25" x14ac:dyDescent="0.25"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7:25" x14ac:dyDescent="0.25"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7:25" x14ac:dyDescent="0.25"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7:25" x14ac:dyDescent="0.25"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7:25" x14ac:dyDescent="0.25"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7:25" x14ac:dyDescent="0.25"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7:25" x14ac:dyDescent="0.25"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7:25" x14ac:dyDescent="0.25"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7:25" x14ac:dyDescent="0.25"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7:25" x14ac:dyDescent="0.25"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7:25" x14ac:dyDescent="0.25"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7:25" x14ac:dyDescent="0.25"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7:25" x14ac:dyDescent="0.25"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7:25" x14ac:dyDescent="0.25"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7:25" x14ac:dyDescent="0.25"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7:25" x14ac:dyDescent="0.25"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7:25" x14ac:dyDescent="0.25"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7:25" x14ac:dyDescent="0.25"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7:25" x14ac:dyDescent="0.25"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7:25" x14ac:dyDescent="0.25"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7:25" x14ac:dyDescent="0.25"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7:25" x14ac:dyDescent="0.25"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7:25" x14ac:dyDescent="0.25"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7:25" x14ac:dyDescent="0.25"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7:25" x14ac:dyDescent="0.25"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7:25" x14ac:dyDescent="0.25"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7:25" x14ac:dyDescent="0.25"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7:25" x14ac:dyDescent="0.25"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7:25" x14ac:dyDescent="0.25"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7:25" x14ac:dyDescent="0.25"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7:25" x14ac:dyDescent="0.25"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7:25" x14ac:dyDescent="0.25"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7:25" x14ac:dyDescent="0.25"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7:25" x14ac:dyDescent="0.25"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7:25" x14ac:dyDescent="0.25"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7:25" x14ac:dyDescent="0.25"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7:25" x14ac:dyDescent="0.25"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7:25" x14ac:dyDescent="0.25"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7:25" x14ac:dyDescent="0.25"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7:25" x14ac:dyDescent="0.25"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7:25" x14ac:dyDescent="0.25"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7:25" x14ac:dyDescent="0.25"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7:25" x14ac:dyDescent="0.25"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7:25" x14ac:dyDescent="0.25"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7:25" x14ac:dyDescent="0.25"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7:25" x14ac:dyDescent="0.25"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7:25" x14ac:dyDescent="0.25"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7:25" x14ac:dyDescent="0.25"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7:25" x14ac:dyDescent="0.25"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7:25" x14ac:dyDescent="0.25"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7:25" x14ac:dyDescent="0.25"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7:25" x14ac:dyDescent="0.25"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7:25" x14ac:dyDescent="0.25"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7:25" x14ac:dyDescent="0.25"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7:25" x14ac:dyDescent="0.25"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7:25" x14ac:dyDescent="0.25"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7:25" x14ac:dyDescent="0.25"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7:25" x14ac:dyDescent="0.25"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7:25" x14ac:dyDescent="0.25"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7:25" x14ac:dyDescent="0.25"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7:25" x14ac:dyDescent="0.25"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7:25" x14ac:dyDescent="0.25"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7:25" x14ac:dyDescent="0.25"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7:25" x14ac:dyDescent="0.25"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7:25" x14ac:dyDescent="0.25"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7:25" x14ac:dyDescent="0.25"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7:25" x14ac:dyDescent="0.25"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7:25" x14ac:dyDescent="0.25"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7:25" x14ac:dyDescent="0.25"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7:25" x14ac:dyDescent="0.25"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7:25" x14ac:dyDescent="0.25"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7:25" x14ac:dyDescent="0.25"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7:25" x14ac:dyDescent="0.25"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7:25" x14ac:dyDescent="0.25"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7:25" x14ac:dyDescent="0.25"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7:25" x14ac:dyDescent="0.25"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7:25" x14ac:dyDescent="0.25"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7:25" x14ac:dyDescent="0.25"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7:25" x14ac:dyDescent="0.25"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7:25" x14ac:dyDescent="0.25"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7:25" x14ac:dyDescent="0.25"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7:25" x14ac:dyDescent="0.25"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7:25" x14ac:dyDescent="0.25"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7:25" x14ac:dyDescent="0.25"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7:25" x14ac:dyDescent="0.25"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7:25" x14ac:dyDescent="0.25"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7:25" x14ac:dyDescent="0.25"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7:25" x14ac:dyDescent="0.25"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7:25" x14ac:dyDescent="0.25"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7:25" x14ac:dyDescent="0.25"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7:25" x14ac:dyDescent="0.25"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7:25" x14ac:dyDescent="0.25"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7:25" x14ac:dyDescent="0.25"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7:25" x14ac:dyDescent="0.25"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7:25" x14ac:dyDescent="0.25"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7:25" x14ac:dyDescent="0.25"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7:25" x14ac:dyDescent="0.25"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7:25" x14ac:dyDescent="0.25"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7:25" x14ac:dyDescent="0.25"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7:25" x14ac:dyDescent="0.25"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7:25" x14ac:dyDescent="0.25"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7:25" x14ac:dyDescent="0.25"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7:25" x14ac:dyDescent="0.25"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7:25" x14ac:dyDescent="0.25"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7:25" x14ac:dyDescent="0.25"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7:25" x14ac:dyDescent="0.25"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7:25" x14ac:dyDescent="0.25"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7:25" x14ac:dyDescent="0.25"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7:25" x14ac:dyDescent="0.25"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7:25" x14ac:dyDescent="0.25"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7:25" x14ac:dyDescent="0.25"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7:25" x14ac:dyDescent="0.25"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7:25" x14ac:dyDescent="0.25"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7:25" x14ac:dyDescent="0.25"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7:25" x14ac:dyDescent="0.25"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7:25" x14ac:dyDescent="0.25"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7:25" x14ac:dyDescent="0.25"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7:25" x14ac:dyDescent="0.25"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7:25" x14ac:dyDescent="0.25"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7:25" x14ac:dyDescent="0.25"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7:25" x14ac:dyDescent="0.25"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7:25" x14ac:dyDescent="0.25"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7:25" x14ac:dyDescent="0.25"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7:25" x14ac:dyDescent="0.25"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7:25" x14ac:dyDescent="0.25"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7:25" x14ac:dyDescent="0.25"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7:25" x14ac:dyDescent="0.25"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7:25" x14ac:dyDescent="0.25"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7:25" x14ac:dyDescent="0.25"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7:25" x14ac:dyDescent="0.25">
      <c r="G1002" s="6"/>
      <c r="H1002" s="6"/>
      <c r="I1002" s="6"/>
      <c r="J1002" s="6"/>
    </row>
    <row r="1003" spans="7:25" x14ac:dyDescent="0.25">
      <c r="G1003" s="6"/>
      <c r="H1003" s="6"/>
      <c r="I1003" s="6"/>
      <c r="J1003" s="6"/>
    </row>
    <row r="1004" spans="7:25" x14ac:dyDescent="0.25">
      <c r="G1004" s="6"/>
      <c r="H1004" s="6"/>
      <c r="I1004" s="6"/>
      <c r="J1004" s="6"/>
    </row>
    <row r="1005" spans="7:25" x14ac:dyDescent="0.25">
      <c r="G1005" s="6"/>
      <c r="H1005" s="6"/>
      <c r="I1005" s="6"/>
      <c r="J1005" s="6"/>
    </row>
    <row r="1006" spans="7:25" x14ac:dyDescent="0.25">
      <c r="G1006" s="6"/>
      <c r="H1006" s="6"/>
      <c r="I1006" s="6"/>
      <c r="J1006" s="6"/>
    </row>
    <row r="1007" spans="7:25" x14ac:dyDescent="0.25">
      <c r="G1007" s="6"/>
      <c r="H1007" s="6"/>
      <c r="I1007" s="6"/>
      <c r="J1007" s="6"/>
    </row>
    <row r="1008" spans="7:25" x14ac:dyDescent="0.25">
      <c r="G1008" s="6"/>
      <c r="H1008" s="6"/>
      <c r="I1008" s="6"/>
      <c r="J1008" s="6"/>
    </row>
    <row r="1009" spans="7:10" x14ac:dyDescent="0.25">
      <c r="G1009" s="6"/>
      <c r="H1009" s="6"/>
      <c r="I1009" s="6"/>
      <c r="J1009" s="6"/>
    </row>
    <row r="1010" spans="7:10" x14ac:dyDescent="0.25">
      <c r="G1010" s="6"/>
      <c r="H1010" s="6"/>
      <c r="I1010" s="6"/>
      <c r="J1010" s="6"/>
    </row>
    <row r="1011" spans="7:10" x14ac:dyDescent="0.25">
      <c r="G1011" s="6"/>
      <c r="H1011" s="6"/>
      <c r="I1011" s="6"/>
      <c r="J1011" s="6"/>
    </row>
    <row r="1012" spans="7:10" x14ac:dyDescent="0.25">
      <c r="G1012" s="6"/>
      <c r="H1012" s="6"/>
      <c r="I1012" s="6"/>
      <c r="J1012" s="6"/>
    </row>
    <row r="1013" spans="7:10" x14ac:dyDescent="0.25">
      <c r="G1013" s="6"/>
      <c r="H1013" s="6"/>
      <c r="I1013" s="6"/>
      <c r="J1013" s="6"/>
    </row>
    <row r="1014" spans="7:10" x14ac:dyDescent="0.25">
      <c r="G1014" s="6"/>
      <c r="H1014" s="6"/>
      <c r="I1014" s="6"/>
      <c r="J1014" s="6"/>
    </row>
    <row r="1015" spans="7:10" x14ac:dyDescent="0.25">
      <c r="G1015" s="6"/>
      <c r="H1015" s="6"/>
      <c r="I1015" s="6"/>
      <c r="J1015" s="6"/>
    </row>
    <row r="1016" spans="7:10" x14ac:dyDescent="0.25">
      <c r="G1016" s="6"/>
      <c r="H1016" s="6"/>
      <c r="I1016" s="6"/>
      <c r="J1016" s="6"/>
    </row>
    <row r="1017" spans="7:10" x14ac:dyDescent="0.25">
      <c r="G1017" s="6"/>
      <c r="H1017" s="6"/>
      <c r="I1017" s="6"/>
      <c r="J1017" s="6"/>
    </row>
    <row r="1018" spans="7:10" x14ac:dyDescent="0.25">
      <c r="G1018" s="6"/>
      <c r="H1018" s="6"/>
      <c r="I1018" s="6"/>
      <c r="J1018" s="6"/>
    </row>
    <row r="1019" spans="7:10" x14ac:dyDescent="0.25">
      <c r="G1019" s="6"/>
      <c r="H1019" s="6"/>
      <c r="I1019" s="6"/>
      <c r="J1019" s="6"/>
    </row>
    <row r="1020" spans="7:10" x14ac:dyDescent="0.25">
      <c r="G1020" s="6"/>
      <c r="H1020" s="6"/>
      <c r="I1020" s="6"/>
      <c r="J1020" s="6"/>
    </row>
    <row r="1021" spans="7:10" x14ac:dyDescent="0.25">
      <c r="G1021" s="6"/>
      <c r="H1021" s="6"/>
      <c r="I1021" s="6"/>
      <c r="J1021" s="6"/>
    </row>
    <row r="1022" spans="7:10" x14ac:dyDescent="0.25">
      <c r="G1022" s="6"/>
      <c r="H1022" s="6"/>
      <c r="I1022" s="6"/>
      <c r="J1022" s="6"/>
    </row>
    <row r="1023" spans="7:10" x14ac:dyDescent="0.25">
      <c r="G1023" s="6"/>
      <c r="H1023" s="6"/>
      <c r="I1023" s="6"/>
      <c r="J1023" s="6"/>
    </row>
    <row r="1024" spans="7:10" x14ac:dyDescent="0.25">
      <c r="G1024" s="6"/>
      <c r="H1024" s="6"/>
      <c r="I1024" s="6"/>
      <c r="J1024" s="6"/>
    </row>
    <row r="1025" spans="7:10" x14ac:dyDescent="0.25">
      <c r="G1025" s="6"/>
      <c r="H1025" s="6"/>
      <c r="I1025" s="6"/>
      <c r="J1025" s="6"/>
    </row>
    <row r="1026" spans="7:10" x14ac:dyDescent="0.25">
      <c r="G1026" s="6"/>
      <c r="H1026" s="6"/>
      <c r="I1026" s="6"/>
      <c r="J1026" s="6"/>
    </row>
    <row r="1027" spans="7:10" x14ac:dyDescent="0.25">
      <c r="G1027" s="6"/>
      <c r="H1027" s="6"/>
      <c r="I1027" s="6"/>
      <c r="J1027" s="6"/>
    </row>
    <row r="1028" spans="7:10" x14ac:dyDescent="0.25">
      <c r="G1028" s="6"/>
      <c r="H1028" s="6"/>
      <c r="I1028" s="6"/>
      <c r="J1028" s="6"/>
    </row>
    <row r="1029" spans="7:10" x14ac:dyDescent="0.25">
      <c r="G1029" s="6"/>
      <c r="H1029" s="6"/>
      <c r="I1029" s="6"/>
      <c r="J1029" s="6"/>
    </row>
    <row r="1030" spans="7:10" x14ac:dyDescent="0.25">
      <c r="G1030" s="6"/>
      <c r="H1030" s="6"/>
      <c r="I1030" s="6"/>
      <c r="J1030" s="6"/>
    </row>
    <row r="1031" spans="7:10" x14ac:dyDescent="0.25">
      <c r="G1031" s="6"/>
      <c r="H1031" s="6"/>
      <c r="I1031" s="6"/>
      <c r="J1031" s="6"/>
    </row>
    <row r="1032" spans="7:10" x14ac:dyDescent="0.25">
      <c r="G1032" s="6"/>
      <c r="H1032" s="6"/>
      <c r="I1032" s="6"/>
      <c r="J1032" s="6"/>
    </row>
    <row r="1033" spans="7:10" x14ac:dyDescent="0.25">
      <c r="G1033" s="6"/>
      <c r="H1033" s="6"/>
      <c r="I1033" s="6"/>
      <c r="J1033" s="6"/>
    </row>
    <row r="1034" spans="7:10" x14ac:dyDescent="0.25">
      <c r="G1034" s="6"/>
      <c r="H1034" s="6"/>
      <c r="I1034" s="6"/>
      <c r="J1034" s="6"/>
    </row>
    <row r="1035" spans="7:10" x14ac:dyDescent="0.25">
      <c r="G1035" s="6"/>
      <c r="H1035" s="6"/>
      <c r="I1035" s="6"/>
      <c r="J1035" s="6"/>
    </row>
    <row r="1036" spans="7:10" x14ac:dyDescent="0.25">
      <c r="G1036" s="6"/>
      <c r="H1036" s="6"/>
      <c r="I1036" s="6"/>
      <c r="J1036" s="6"/>
    </row>
    <row r="1037" spans="7:10" x14ac:dyDescent="0.25">
      <c r="G1037" s="6"/>
      <c r="H1037" s="6"/>
      <c r="I1037" s="6"/>
      <c r="J1037" s="6"/>
    </row>
    <row r="1038" spans="7:10" x14ac:dyDescent="0.25">
      <c r="G1038" s="6"/>
      <c r="H1038" s="6"/>
      <c r="I1038" s="6"/>
      <c r="J1038" s="6"/>
    </row>
    <row r="1039" spans="7:10" x14ac:dyDescent="0.25">
      <c r="G1039" s="6"/>
      <c r="H1039" s="6"/>
      <c r="I1039" s="6"/>
      <c r="J1039" s="6"/>
    </row>
    <row r="1040" spans="7:10" x14ac:dyDescent="0.25">
      <c r="G1040" s="6"/>
      <c r="H1040" s="6"/>
      <c r="I1040" s="6"/>
      <c r="J1040" s="6"/>
    </row>
    <row r="1041" spans="7:10" x14ac:dyDescent="0.25">
      <c r="G1041" s="6"/>
      <c r="H1041" s="6"/>
      <c r="I1041" s="6"/>
      <c r="J1041" s="6"/>
    </row>
    <row r="1042" spans="7:10" x14ac:dyDescent="0.25">
      <c r="G1042" s="6"/>
      <c r="H1042" s="6"/>
      <c r="I1042" s="6"/>
      <c r="J1042" s="6"/>
    </row>
    <row r="1043" spans="7:10" x14ac:dyDescent="0.25">
      <c r="G1043" s="6"/>
      <c r="H1043" s="6"/>
      <c r="I1043" s="6"/>
      <c r="J1043" s="6"/>
    </row>
    <row r="1044" spans="7:10" x14ac:dyDescent="0.25">
      <c r="G1044" s="6"/>
      <c r="H1044" s="6"/>
      <c r="I1044" s="6"/>
      <c r="J1044" s="6"/>
    </row>
    <row r="1045" spans="7:10" x14ac:dyDescent="0.25">
      <c r="G1045" s="6"/>
      <c r="H1045" s="6"/>
      <c r="I1045" s="6"/>
      <c r="J1045" s="6"/>
    </row>
    <row r="1046" spans="7:10" x14ac:dyDescent="0.25">
      <c r="G1046" s="6"/>
      <c r="H1046" s="6"/>
      <c r="I1046" s="6"/>
      <c r="J1046" s="6"/>
    </row>
    <row r="1047" spans="7:10" x14ac:dyDescent="0.25">
      <c r="G1047" s="6"/>
      <c r="H1047" s="6"/>
      <c r="I1047" s="6"/>
      <c r="J1047" s="6"/>
    </row>
    <row r="1048" spans="7:10" x14ac:dyDescent="0.25">
      <c r="G1048" s="6"/>
      <c r="H1048" s="6"/>
      <c r="I1048" s="6"/>
      <c r="J1048" s="6"/>
    </row>
    <row r="1049" spans="7:10" x14ac:dyDescent="0.25">
      <c r="G1049" s="6"/>
      <c r="H1049" s="6"/>
      <c r="I1049" s="6"/>
      <c r="J1049" s="6"/>
    </row>
    <row r="1050" spans="7:10" x14ac:dyDescent="0.25">
      <c r="G1050" s="6"/>
      <c r="H1050" s="6"/>
      <c r="I1050" s="6"/>
      <c r="J1050" s="6"/>
    </row>
    <row r="1051" spans="7:10" x14ac:dyDescent="0.25">
      <c r="G1051" s="6"/>
      <c r="H1051" s="6"/>
      <c r="I1051" s="6"/>
      <c r="J1051" s="6"/>
    </row>
    <row r="1052" spans="7:10" x14ac:dyDescent="0.25">
      <c r="G1052" s="6"/>
      <c r="H1052" s="6"/>
      <c r="I1052" s="6"/>
      <c r="J1052" s="6"/>
    </row>
    <row r="1053" spans="7:10" x14ac:dyDescent="0.25">
      <c r="G1053" s="6"/>
      <c r="H1053" s="6"/>
      <c r="I1053" s="6"/>
      <c r="J1053" s="6"/>
    </row>
    <row r="1054" spans="7:10" x14ac:dyDescent="0.25">
      <c r="G1054" s="6"/>
      <c r="H1054" s="6"/>
      <c r="I1054" s="6"/>
      <c r="J1054" s="6"/>
    </row>
    <row r="1055" spans="7:10" x14ac:dyDescent="0.25">
      <c r="G1055" s="6"/>
      <c r="H1055" s="6"/>
      <c r="I1055" s="6"/>
      <c r="J1055" s="6"/>
    </row>
    <row r="1056" spans="7:10" x14ac:dyDescent="0.25">
      <c r="G1056" s="6"/>
      <c r="H1056" s="6"/>
      <c r="I1056" s="6"/>
      <c r="J1056" s="6"/>
    </row>
    <row r="1057" spans="7:10" x14ac:dyDescent="0.25">
      <c r="G1057" s="6"/>
      <c r="H1057" s="6"/>
      <c r="I1057" s="6"/>
      <c r="J1057" s="6"/>
    </row>
    <row r="1058" spans="7:10" x14ac:dyDescent="0.25">
      <c r="G1058" s="6"/>
      <c r="H1058" s="6"/>
      <c r="I1058" s="6"/>
      <c r="J1058" s="6"/>
    </row>
    <row r="1059" spans="7:10" x14ac:dyDescent="0.25">
      <c r="G1059" s="6"/>
      <c r="H1059" s="6"/>
      <c r="I1059" s="6"/>
      <c r="J1059" s="6"/>
    </row>
    <row r="1060" spans="7:10" x14ac:dyDescent="0.25">
      <c r="G1060" s="6"/>
      <c r="H1060" s="6"/>
      <c r="I1060" s="6"/>
      <c r="J1060" s="6"/>
    </row>
    <row r="1061" spans="7:10" x14ac:dyDescent="0.25">
      <c r="G1061" s="6"/>
      <c r="H1061" s="6"/>
      <c r="I1061" s="6"/>
      <c r="J1061" s="6"/>
    </row>
    <row r="1062" spans="7:10" x14ac:dyDescent="0.25">
      <c r="G1062" s="6"/>
      <c r="H1062" s="6"/>
      <c r="I1062" s="6"/>
      <c r="J1062" s="6"/>
    </row>
    <row r="1063" spans="7:10" x14ac:dyDescent="0.25">
      <c r="G1063" s="6"/>
      <c r="H1063" s="6"/>
      <c r="I1063" s="6"/>
      <c r="J1063" s="6"/>
    </row>
    <row r="1064" spans="7:10" x14ac:dyDescent="0.25">
      <c r="G1064" s="6"/>
      <c r="H1064" s="6"/>
      <c r="I1064" s="6"/>
      <c r="J1064" s="6"/>
    </row>
    <row r="1065" spans="7:10" x14ac:dyDescent="0.25">
      <c r="G1065" s="6"/>
      <c r="H1065" s="6"/>
      <c r="I1065" s="6"/>
      <c r="J1065" s="6"/>
    </row>
    <row r="1066" spans="7:10" x14ac:dyDescent="0.25">
      <c r="G1066" s="6"/>
      <c r="H1066" s="6"/>
      <c r="I1066" s="6"/>
      <c r="J1066" s="6"/>
    </row>
    <row r="1067" spans="7:10" x14ac:dyDescent="0.25">
      <c r="G1067" s="6"/>
      <c r="H1067" s="6"/>
      <c r="I1067" s="6"/>
      <c r="J1067" s="6"/>
    </row>
    <row r="1068" spans="7:10" x14ac:dyDescent="0.25">
      <c r="G1068" s="6"/>
      <c r="H1068" s="6"/>
      <c r="I1068" s="6"/>
      <c r="J1068" s="6"/>
    </row>
    <row r="1069" spans="7:10" x14ac:dyDescent="0.25">
      <c r="G1069" s="6"/>
      <c r="H1069" s="6"/>
      <c r="I1069" s="6"/>
      <c r="J1069" s="6"/>
    </row>
    <row r="1070" spans="7:10" x14ac:dyDescent="0.25">
      <c r="G1070" s="6"/>
      <c r="H1070" s="6"/>
      <c r="I1070" s="6"/>
      <c r="J1070" s="6"/>
    </row>
    <row r="1071" spans="7:10" x14ac:dyDescent="0.25">
      <c r="G1071" s="6"/>
      <c r="H1071" s="6"/>
      <c r="I1071" s="6"/>
      <c r="J1071" s="6"/>
    </row>
    <row r="1072" spans="7:10" x14ac:dyDescent="0.25">
      <c r="G1072" s="6"/>
      <c r="H1072" s="6"/>
      <c r="I1072" s="6"/>
      <c r="J1072" s="6"/>
    </row>
    <row r="1073" spans="7:10" x14ac:dyDescent="0.25">
      <c r="G1073" s="6"/>
      <c r="H1073" s="6"/>
      <c r="I1073" s="6"/>
      <c r="J1073" s="6"/>
    </row>
    <row r="1074" spans="7:10" x14ac:dyDescent="0.25">
      <c r="G1074" s="6"/>
      <c r="H1074" s="6"/>
      <c r="I1074" s="6"/>
      <c r="J1074" s="6"/>
    </row>
    <row r="1075" spans="7:10" x14ac:dyDescent="0.25">
      <c r="G1075" s="6"/>
      <c r="H1075" s="6"/>
      <c r="I1075" s="6"/>
      <c r="J1075" s="6"/>
    </row>
    <row r="1076" spans="7:10" x14ac:dyDescent="0.25">
      <c r="G1076" s="6"/>
      <c r="H1076" s="6"/>
      <c r="I1076" s="6"/>
      <c r="J1076" s="6"/>
    </row>
    <row r="1077" spans="7:10" x14ac:dyDescent="0.25">
      <c r="G1077" s="6"/>
      <c r="H1077" s="6"/>
      <c r="I1077" s="6"/>
      <c r="J1077" s="6"/>
    </row>
    <row r="1078" spans="7:10" x14ac:dyDescent="0.25">
      <c r="G1078" s="6"/>
      <c r="H1078" s="6"/>
      <c r="I1078" s="6"/>
      <c r="J1078" s="6"/>
    </row>
    <row r="1079" spans="7:10" x14ac:dyDescent="0.25">
      <c r="G1079" s="6"/>
      <c r="H1079" s="6"/>
      <c r="I1079" s="6"/>
      <c r="J1079" s="6"/>
    </row>
    <row r="1080" spans="7:10" x14ac:dyDescent="0.25">
      <c r="G1080" s="6"/>
      <c r="H1080" s="6"/>
      <c r="I1080" s="6"/>
      <c r="J1080" s="6"/>
    </row>
    <row r="1081" spans="7:10" x14ac:dyDescent="0.25">
      <c r="G1081" s="6"/>
      <c r="H1081" s="6"/>
      <c r="I1081" s="6"/>
      <c r="J1081" s="6"/>
    </row>
    <row r="1082" spans="7:10" x14ac:dyDescent="0.25">
      <c r="G1082" s="6"/>
      <c r="H1082" s="6"/>
      <c r="I1082" s="6"/>
      <c r="J1082" s="6"/>
    </row>
    <row r="1083" spans="7:10" x14ac:dyDescent="0.25">
      <c r="G1083" s="6"/>
      <c r="H1083" s="6"/>
      <c r="I1083" s="6"/>
      <c r="J1083" s="6"/>
    </row>
    <row r="1084" spans="7:10" x14ac:dyDescent="0.25">
      <c r="G1084" s="6"/>
      <c r="H1084" s="6"/>
      <c r="I1084" s="6"/>
      <c r="J1084" s="6"/>
    </row>
    <row r="1085" spans="7:10" x14ac:dyDescent="0.25">
      <c r="G1085" s="6"/>
      <c r="H1085" s="6"/>
      <c r="I1085" s="6"/>
      <c r="J1085" s="6"/>
    </row>
    <row r="1086" spans="7:10" x14ac:dyDescent="0.25">
      <c r="G1086" s="6"/>
      <c r="H1086" s="6"/>
      <c r="I1086" s="6"/>
      <c r="J1086" s="6"/>
    </row>
    <row r="1087" spans="7:10" x14ac:dyDescent="0.25">
      <c r="G1087" s="6"/>
      <c r="H1087" s="6"/>
      <c r="I1087" s="6"/>
      <c r="J1087" s="6"/>
    </row>
    <row r="1088" spans="7:10" x14ac:dyDescent="0.25">
      <c r="G1088" s="6"/>
      <c r="H1088" s="6"/>
      <c r="I1088" s="6"/>
      <c r="J1088" s="6"/>
    </row>
    <row r="1089" spans="7:10" x14ac:dyDescent="0.25">
      <c r="G1089" s="6"/>
      <c r="H1089" s="6"/>
      <c r="I1089" s="6"/>
      <c r="J1089" s="6"/>
    </row>
    <row r="1090" spans="7:10" x14ac:dyDescent="0.25">
      <c r="G1090" s="6"/>
      <c r="H1090" s="6"/>
      <c r="I1090" s="6"/>
      <c r="J1090" s="6"/>
    </row>
    <row r="1091" spans="7:10" x14ac:dyDescent="0.25">
      <c r="G1091" s="6"/>
      <c r="H1091" s="6"/>
      <c r="I1091" s="6"/>
      <c r="J1091" s="6"/>
    </row>
    <row r="1092" spans="7:10" x14ac:dyDescent="0.25">
      <c r="G1092" s="6"/>
      <c r="H1092" s="6"/>
      <c r="I1092" s="6"/>
      <c r="J1092" s="6"/>
    </row>
    <row r="1093" spans="7:10" x14ac:dyDescent="0.25">
      <c r="G1093" s="6"/>
      <c r="H1093" s="6"/>
      <c r="I1093" s="6"/>
      <c r="J1093" s="6"/>
    </row>
    <row r="1094" spans="7:10" x14ac:dyDescent="0.25">
      <c r="G1094" s="6"/>
      <c r="H1094" s="6"/>
      <c r="I1094" s="6"/>
      <c r="J1094" s="6"/>
    </row>
    <row r="1095" spans="7:10" x14ac:dyDescent="0.25">
      <c r="G1095" s="6"/>
      <c r="H1095" s="6"/>
      <c r="I1095" s="6"/>
      <c r="J1095" s="6"/>
    </row>
    <row r="1096" spans="7:10" x14ac:dyDescent="0.25">
      <c r="G1096" s="6"/>
      <c r="H1096" s="6"/>
      <c r="I1096" s="6"/>
      <c r="J1096" s="6"/>
    </row>
    <row r="1097" spans="7:10" x14ac:dyDescent="0.25">
      <c r="G1097" s="6"/>
      <c r="H1097" s="6"/>
      <c r="I1097" s="6"/>
      <c r="J1097" s="6"/>
    </row>
    <row r="1098" spans="7:10" x14ac:dyDescent="0.25">
      <c r="G1098" s="6"/>
      <c r="H1098" s="6"/>
      <c r="I1098" s="6"/>
      <c r="J1098" s="6"/>
    </row>
    <row r="1099" spans="7:10" x14ac:dyDescent="0.25">
      <c r="G1099" s="6"/>
      <c r="H1099" s="6"/>
      <c r="I1099" s="6"/>
      <c r="J1099" s="6"/>
    </row>
    <row r="1100" spans="7:10" x14ac:dyDescent="0.25">
      <c r="G1100" s="6"/>
      <c r="H1100" s="6"/>
      <c r="I1100" s="6"/>
      <c r="J1100" s="6"/>
    </row>
    <row r="1101" spans="7:10" x14ac:dyDescent="0.25">
      <c r="G1101" s="6"/>
      <c r="H1101" s="6"/>
      <c r="I1101" s="6"/>
      <c r="J1101" s="6"/>
    </row>
    <row r="1102" spans="7:10" x14ac:dyDescent="0.25">
      <c r="G1102" s="6"/>
      <c r="H1102" s="6"/>
      <c r="I1102" s="6"/>
      <c r="J1102" s="6"/>
    </row>
    <row r="1103" spans="7:10" x14ac:dyDescent="0.25">
      <c r="G1103" s="6"/>
      <c r="H1103" s="6"/>
      <c r="I1103" s="6"/>
      <c r="J1103" s="6"/>
    </row>
    <row r="1104" spans="7:10" x14ac:dyDescent="0.25">
      <c r="G1104" s="6"/>
      <c r="H1104" s="6"/>
      <c r="I1104" s="6"/>
      <c r="J1104" s="6"/>
    </row>
    <row r="1105" spans="7:10" x14ac:dyDescent="0.25">
      <c r="G1105" s="6"/>
      <c r="H1105" s="6"/>
      <c r="I1105" s="6"/>
      <c r="J1105" s="6"/>
    </row>
    <row r="1106" spans="7:10" x14ac:dyDescent="0.25">
      <c r="G1106" s="6"/>
      <c r="H1106" s="6"/>
      <c r="I1106" s="6"/>
      <c r="J1106" s="6"/>
    </row>
    <row r="1107" spans="7:10" x14ac:dyDescent="0.25">
      <c r="G1107" s="6"/>
      <c r="H1107" s="6"/>
      <c r="I1107" s="6"/>
      <c r="J1107" s="6"/>
    </row>
    <row r="1108" spans="7:10" x14ac:dyDescent="0.25">
      <c r="G1108" s="6"/>
      <c r="H1108" s="6"/>
      <c r="I1108" s="6"/>
      <c r="J1108" s="6"/>
    </row>
    <row r="1109" spans="7:10" x14ac:dyDescent="0.25">
      <c r="G1109" s="6"/>
      <c r="H1109" s="6"/>
      <c r="I1109" s="6"/>
      <c r="J1109" s="6"/>
    </row>
    <row r="1110" spans="7:10" x14ac:dyDescent="0.25">
      <c r="G1110" s="6"/>
      <c r="H1110" s="6"/>
      <c r="I1110" s="6"/>
      <c r="J1110" s="6"/>
    </row>
    <row r="1111" spans="7:10" x14ac:dyDescent="0.25">
      <c r="G1111" s="6"/>
      <c r="H1111" s="6"/>
      <c r="I1111" s="6"/>
      <c r="J1111" s="6"/>
    </row>
    <row r="1112" spans="7:10" x14ac:dyDescent="0.25">
      <c r="G1112" s="6"/>
      <c r="H1112" s="6"/>
      <c r="I1112" s="6"/>
      <c r="J1112" s="6"/>
    </row>
    <row r="1113" spans="7:10" x14ac:dyDescent="0.25">
      <c r="G1113" s="6"/>
      <c r="H1113" s="6"/>
      <c r="I1113" s="6"/>
      <c r="J1113" s="6"/>
    </row>
    <row r="1114" spans="7:10" x14ac:dyDescent="0.25">
      <c r="G1114" s="6"/>
      <c r="H1114" s="6"/>
      <c r="I1114" s="6"/>
      <c r="J1114" s="6"/>
    </row>
    <row r="1115" spans="7:10" x14ac:dyDescent="0.25">
      <c r="G1115" s="6"/>
      <c r="H1115" s="6"/>
      <c r="I1115" s="6"/>
      <c r="J1115" s="6"/>
    </row>
    <row r="1116" spans="7:10" x14ac:dyDescent="0.25">
      <c r="G1116" s="6"/>
      <c r="H1116" s="6"/>
      <c r="I1116" s="6"/>
      <c r="J1116" s="6"/>
    </row>
    <row r="1117" spans="7:10" x14ac:dyDescent="0.25">
      <c r="G1117" s="6"/>
      <c r="H1117" s="6"/>
      <c r="I1117" s="6"/>
      <c r="J1117" s="6"/>
    </row>
    <row r="1118" spans="7:10" x14ac:dyDescent="0.25">
      <c r="G1118" s="6"/>
      <c r="H1118" s="6"/>
      <c r="I1118" s="6"/>
      <c r="J1118" s="6"/>
    </row>
    <row r="1119" spans="7:10" x14ac:dyDescent="0.25">
      <c r="G1119" s="6"/>
      <c r="H1119" s="6"/>
      <c r="I1119" s="6"/>
      <c r="J1119" s="6"/>
    </row>
    <row r="1120" spans="7:10" x14ac:dyDescent="0.25">
      <c r="G1120" s="6"/>
      <c r="H1120" s="6"/>
      <c r="I1120" s="6"/>
      <c r="J1120" s="6"/>
    </row>
    <row r="1121" spans="7:10" x14ac:dyDescent="0.25">
      <c r="G1121" s="6"/>
      <c r="H1121" s="6"/>
      <c r="I1121" s="6"/>
      <c r="J1121" s="6"/>
    </row>
    <row r="1122" spans="7:10" x14ac:dyDescent="0.25">
      <c r="G1122" s="6"/>
      <c r="H1122" s="6"/>
      <c r="I1122" s="6"/>
      <c r="J1122" s="6"/>
    </row>
    <row r="1123" spans="7:10" x14ac:dyDescent="0.25">
      <c r="G1123" s="6"/>
      <c r="H1123" s="6"/>
      <c r="I1123" s="6"/>
      <c r="J1123" s="6"/>
    </row>
    <row r="1124" spans="7:10" x14ac:dyDescent="0.25">
      <c r="G1124" s="6"/>
      <c r="H1124" s="6"/>
      <c r="I1124" s="6"/>
      <c r="J1124" s="6"/>
    </row>
    <row r="1125" spans="7:10" x14ac:dyDescent="0.25">
      <c r="G1125" s="6"/>
      <c r="H1125" s="6"/>
      <c r="I1125" s="6"/>
      <c r="J1125" s="6"/>
    </row>
    <row r="1126" spans="7:10" x14ac:dyDescent="0.25">
      <c r="G1126" s="6"/>
      <c r="H1126" s="6"/>
      <c r="I1126" s="6"/>
      <c r="J1126" s="6"/>
    </row>
    <row r="1127" spans="7:10" x14ac:dyDescent="0.25">
      <c r="G1127" s="6"/>
      <c r="H1127" s="6"/>
      <c r="I1127" s="6"/>
      <c r="J1127" s="6"/>
    </row>
    <row r="1128" spans="7:10" x14ac:dyDescent="0.25">
      <c r="G1128" s="6"/>
      <c r="H1128" s="6"/>
      <c r="I1128" s="6"/>
      <c r="J1128" s="6"/>
    </row>
    <row r="1129" spans="7:10" x14ac:dyDescent="0.25">
      <c r="G1129" s="6"/>
      <c r="H1129" s="6"/>
      <c r="I1129" s="6"/>
      <c r="J1129" s="6"/>
    </row>
    <row r="1130" spans="7:10" x14ac:dyDescent="0.25">
      <c r="G1130" s="6"/>
      <c r="H1130" s="6"/>
      <c r="I1130" s="6"/>
      <c r="J1130" s="6"/>
    </row>
    <row r="1131" spans="7:10" x14ac:dyDescent="0.25">
      <c r="G1131" s="6"/>
      <c r="H1131" s="6"/>
      <c r="I1131" s="6"/>
      <c r="J1131" s="6"/>
    </row>
    <row r="1132" spans="7:10" x14ac:dyDescent="0.25">
      <c r="G1132" s="6"/>
      <c r="H1132" s="6"/>
      <c r="I1132" s="6"/>
      <c r="J1132" s="6"/>
    </row>
    <row r="1133" spans="7:10" x14ac:dyDescent="0.25">
      <c r="G1133" s="6"/>
      <c r="H1133" s="6"/>
      <c r="I1133" s="6"/>
      <c r="J1133" s="6"/>
    </row>
    <row r="1134" spans="7:10" x14ac:dyDescent="0.25">
      <c r="G1134" s="6"/>
      <c r="H1134" s="6"/>
      <c r="I1134" s="6"/>
      <c r="J1134" s="6"/>
    </row>
    <row r="1135" spans="7:10" x14ac:dyDescent="0.25">
      <c r="G1135" s="6"/>
      <c r="H1135" s="6"/>
      <c r="I1135" s="6"/>
      <c r="J1135" s="6"/>
    </row>
    <row r="1136" spans="7:10" x14ac:dyDescent="0.25">
      <c r="G1136" s="6"/>
      <c r="H1136" s="6"/>
      <c r="I1136" s="6"/>
      <c r="J1136" s="6"/>
    </row>
    <row r="1137" spans="7:10" x14ac:dyDescent="0.25">
      <c r="G1137" s="6"/>
      <c r="H1137" s="6"/>
      <c r="I1137" s="6"/>
      <c r="J1137" s="6"/>
    </row>
    <row r="1138" spans="7:10" x14ac:dyDescent="0.25">
      <c r="G1138" s="6"/>
      <c r="H1138" s="6"/>
      <c r="I1138" s="6"/>
      <c r="J1138" s="6"/>
    </row>
    <row r="1139" spans="7:10" x14ac:dyDescent="0.25">
      <c r="G1139" s="6"/>
      <c r="H1139" s="6"/>
      <c r="I1139" s="6"/>
      <c r="J1139" s="6"/>
    </row>
    <row r="1140" spans="7:10" x14ac:dyDescent="0.25">
      <c r="G1140" s="6"/>
      <c r="H1140" s="6"/>
      <c r="I1140" s="6"/>
      <c r="J1140" s="6"/>
    </row>
    <row r="1141" spans="7:10" x14ac:dyDescent="0.25">
      <c r="G1141" s="6"/>
      <c r="H1141" s="6"/>
      <c r="I1141" s="6"/>
      <c r="J1141" s="6"/>
    </row>
    <row r="1142" spans="7:10" x14ac:dyDescent="0.25">
      <c r="G1142" s="6"/>
      <c r="H1142" s="6"/>
      <c r="I1142" s="6"/>
      <c r="J1142" s="6"/>
    </row>
    <row r="1143" spans="7:10" x14ac:dyDescent="0.25">
      <c r="G1143" s="6"/>
      <c r="H1143" s="6"/>
      <c r="I1143" s="6"/>
      <c r="J1143" s="6"/>
    </row>
    <row r="1144" spans="7:10" x14ac:dyDescent="0.25">
      <c r="G1144" s="6"/>
      <c r="H1144" s="6"/>
      <c r="I1144" s="6"/>
      <c r="J1144" s="6"/>
    </row>
    <row r="1145" spans="7:10" x14ac:dyDescent="0.25">
      <c r="G1145" s="6"/>
      <c r="H1145" s="6"/>
      <c r="I1145" s="6"/>
      <c r="J1145" s="6"/>
    </row>
    <row r="1146" spans="7:10" x14ac:dyDescent="0.25">
      <c r="G1146" s="6"/>
      <c r="H1146" s="6"/>
      <c r="I1146" s="6"/>
      <c r="J1146" s="6"/>
    </row>
    <row r="1147" spans="7:10" x14ac:dyDescent="0.25">
      <c r="G1147" s="6"/>
      <c r="H1147" s="6"/>
      <c r="I1147" s="6"/>
      <c r="J1147" s="6"/>
    </row>
    <row r="1148" spans="7:10" x14ac:dyDescent="0.25">
      <c r="G1148" s="6"/>
      <c r="H1148" s="6"/>
      <c r="I1148" s="6"/>
      <c r="J1148" s="6"/>
    </row>
    <row r="1149" spans="7:10" x14ac:dyDescent="0.25">
      <c r="G1149" s="6"/>
      <c r="H1149" s="6"/>
      <c r="I1149" s="6"/>
      <c r="J1149" s="6"/>
    </row>
    <row r="1150" spans="7:10" x14ac:dyDescent="0.25">
      <c r="G1150" s="6"/>
      <c r="H1150" s="6"/>
      <c r="I1150" s="6"/>
      <c r="J1150" s="6"/>
    </row>
    <row r="1151" spans="7:10" x14ac:dyDescent="0.25">
      <c r="G1151" s="6"/>
      <c r="H1151" s="6"/>
      <c r="I1151" s="6"/>
      <c r="J1151" s="6"/>
    </row>
    <row r="1152" spans="7:10" x14ac:dyDescent="0.25">
      <c r="G1152" s="6"/>
      <c r="H1152" s="6"/>
      <c r="I1152" s="6"/>
      <c r="J1152" s="6"/>
    </row>
    <row r="1153" spans="7:10" x14ac:dyDescent="0.25">
      <c r="G1153" s="6"/>
      <c r="H1153" s="6"/>
      <c r="I1153" s="6"/>
      <c r="J1153" s="6"/>
    </row>
    <row r="1154" spans="7:10" x14ac:dyDescent="0.25">
      <c r="G1154" s="6"/>
      <c r="H1154" s="6"/>
      <c r="I1154" s="6"/>
      <c r="J1154" s="6"/>
    </row>
    <row r="1155" spans="7:10" x14ac:dyDescent="0.25">
      <c r="G1155" s="6"/>
      <c r="H1155" s="6"/>
      <c r="I1155" s="6"/>
      <c r="J1155" s="6"/>
    </row>
    <row r="1156" spans="7:10" x14ac:dyDescent="0.25">
      <c r="G1156" s="6"/>
      <c r="H1156" s="6"/>
      <c r="I1156" s="6"/>
      <c r="J1156" s="6"/>
    </row>
    <row r="1157" spans="7:10" x14ac:dyDescent="0.25">
      <c r="G1157" s="6"/>
      <c r="H1157" s="6"/>
      <c r="I1157" s="6"/>
      <c r="J1157" s="6"/>
    </row>
    <row r="1158" spans="7:10" x14ac:dyDescent="0.25">
      <c r="G1158" s="6"/>
      <c r="H1158" s="6"/>
      <c r="I1158" s="6"/>
      <c r="J1158" s="6"/>
    </row>
    <row r="1159" spans="7:10" x14ac:dyDescent="0.25">
      <c r="G1159" s="6"/>
      <c r="H1159" s="6"/>
      <c r="I1159" s="6"/>
      <c r="J1159" s="6"/>
    </row>
    <row r="1160" spans="7:10" x14ac:dyDescent="0.25">
      <c r="G1160" s="6"/>
      <c r="H1160" s="6"/>
      <c r="I1160" s="6"/>
      <c r="J1160" s="6"/>
    </row>
    <row r="1161" spans="7:10" x14ac:dyDescent="0.25">
      <c r="G1161" s="6"/>
      <c r="H1161" s="6"/>
      <c r="I1161" s="6"/>
      <c r="J1161" s="6"/>
    </row>
    <row r="1162" spans="7:10" x14ac:dyDescent="0.25">
      <c r="G1162" s="6"/>
      <c r="H1162" s="6"/>
      <c r="I1162" s="6"/>
      <c r="J1162" s="6"/>
    </row>
    <row r="1163" spans="7:10" x14ac:dyDescent="0.25">
      <c r="G1163" s="6"/>
      <c r="H1163" s="6"/>
      <c r="I1163" s="6"/>
      <c r="J1163" s="6"/>
    </row>
    <row r="1164" spans="7:10" x14ac:dyDescent="0.25">
      <c r="G1164" s="6"/>
      <c r="H1164" s="6"/>
      <c r="I1164" s="6"/>
      <c r="J1164" s="6"/>
    </row>
    <row r="1165" spans="7:10" x14ac:dyDescent="0.25">
      <c r="G1165" s="6"/>
      <c r="H1165" s="6"/>
      <c r="I1165" s="6"/>
      <c r="J1165" s="6"/>
    </row>
    <row r="1166" spans="7:10" x14ac:dyDescent="0.25">
      <c r="G1166" s="6"/>
      <c r="H1166" s="6"/>
      <c r="I1166" s="6"/>
      <c r="J1166" s="6"/>
    </row>
    <row r="1167" spans="7:10" x14ac:dyDescent="0.25">
      <c r="G1167" s="6"/>
      <c r="H1167" s="6"/>
      <c r="I1167" s="6"/>
      <c r="J1167" s="6"/>
    </row>
    <row r="1168" spans="7:10" x14ac:dyDescent="0.25">
      <c r="G1168" s="6"/>
      <c r="H1168" s="6"/>
      <c r="I1168" s="6"/>
      <c r="J1168" s="6"/>
    </row>
    <row r="1169" spans="7:10" x14ac:dyDescent="0.25">
      <c r="G1169" s="6"/>
      <c r="H1169" s="6"/>
      <c r="I1169" s="6"/>
      <c r="J1169" s="6"/>
    </row>
    <row r="1170" spans="7:10" x14ac:dyDescent="0.25">
      <c r="G1170" s="6"/>
      <c r="H1170" s="6"/>
      <c r="I1170" s="6"/>
      <c r="J1170" s="6"/>
    </row>
    <row r="1171" spans="7:10" x14ac:dyDescent="0.25">
      <c r="G1171" s="6"/>
      <c r="H1171" s="6"/>
      <c r="I1171" s="6"/>
      <c r="J1171" s="6"/>
    </row>
    <row r="1172" spans="7:10" x14ac:dyDescent="0.25">
      <c r="G1172" s="6"/>
      <c r="H1172" s="6"/>
      <c r="I1172" s="6"/>
      <c r="J1172" s="6"/>
    </row>
    <row r="1173" spans="7:10" x14ac:dyDescent="0.25">
      <c r="G1173" s="6"/>
      <c r="H1173" s="6"/>
      <c r="I1173" s="6"/>
      <c r="J1173" s="6"/>
    </row>
    <row r="1174" spans="7:10" x14ac:dyDescent="0.25">
      <c r="G1174" s="6"/>
      <c r="H1174" s="6"/>
      <c r="I1174" s="6"/>
      <c r="J1174" s="6"/>
    </row>
    <row r="1175" spans="7:10" x14ac:dyDescent="0.25">
      <c r="G1175" s="6"/>
      <c r="H1175" s="6"/>
      <c r="I1175" s="6"/>
      <c r="J1175" s="6"/>
    </row>
    <row r="1176" spans="7:10" x14ac:dyDescent="0.25">
      <c r="G1176" s="6"/>
      <c r="H1176" s="6"/>
      <c r="I1176" s="6"/>
      <c r="J1176" s="6"/>
    </row>
    <row r="1177" spans="7:10" x14ac:dyDescent="0.25">
      <c r="G1177" s="6"/>
      <c r="H1177" s="6"/>
      <c r="I1177" s="6"/>
      <c r="J1177" s="6"/>
    </row>
    <row r="1178" spans="7:10" x14ac:dyDescent="0.25">
      <c r="G1178" s="6"/>
      <c r="H1178" s="6"/>
      <c r="I1178" s="6"/>
      <c r="J1178" s="6"/>
    </row>
    <row r="1179" spans="7:10" x14ac:dyDescent="0.25">
      <c r="G1179" s="6"/>
      <c r="H1179" s="6"/>
      <c r="I1179" s="6"/>
      <c r="J1179" s="6"/>
    </row>
    <row r="1180" spans="7:10" x14ac:dyDescent="0.25">
      <c r="G1180" s="6"/>
      <c r="H1180" s="6"/>
      <c r="I1180" s="6"/>
      <c r="J1180" s="6"/>
    </row>
    <row r="1181" spans="7:10" x14ac:dyDescent="0.25">
      <c r="G1181" s="6"/>
      <c r="H1181" s="6"/>
      <c r="I1181" s="6"/>
      <c r="J1181" s="6"/>
    </row>
    <row r="1182" spans="7:10" x14ac:dyDescent="0.25">
      <c r="G1182" s="6"/>
      <c r="H1182" s="6"/>
      <c r="I1182" s="6"/>
      <c r="J1182" s="6"/>
    </row>
    <row r="1183" spans="7:10" x14ac:dyDescent="0.25">
      <c r="G1183" s="6"/>
      <c r="H1183" s="6"/>
      <c r="I1183" s="6"/>
      <c r="J1183" s="6"/>
    </row>
    <row r="1184" spans="7:10" x14ac:dyDescent="0.25">
      <c r="G1184" s="6"/>
      <c r="H1184" s="6"/>
      <c r="I1184" s="6"/>
      <c r="J1184" s="6"/>
    </row>
    <row r="1185" spans="7:10" x14ac:dyDescent="0.25">
      <c r="G1185" s="6"/>
      <c r="H1185" s="6"/>
      <c r="I1185" s="6"/>
      <c r="J1185" s="6"/>
    </row>
    <row r="1186" spans="7:10" x14ac:dyDescent="0.25">
      <c r="G1186" s="6"/>
      <c r="H1186" s="6"/>
      <c r="I1186" s="6"/>
      <c r="J1186" s="6"/>
    </row>
    <row r="1187" spans="7:10" x14ac:dyDescent="0.25">
      <c r="G1187" s="6"/>
      <c r="H1187" s="6"/>
      <c r="I1187" s="6"/>
      <c r="J1187" s="6"/>
    </row>
    <row r="1188" spans="7:10" x14ac:dyDescent="0.25">
      <c r="G1188" s="6"/>
      <c r="H1188" s="6"/>
      <c r="I1188" s="6"/>
      <c r="J1188" s="6"/>
    </row>
    <row r="1189" spans="7:10" x14ac:dyDescent="0.25">
      <c r="G1189" s="6"/>
      <c r="H1189" s="6"/>
      <c r="I1189" s="6"/>
      <c r="J1189" s="6"/>
    </row>
    <row r="1190" spans="7:10" x14ac:dyDescent="0.25">
      <c r="G1190" s="6"/>
      <c r="H1190" s="6"/>
      <c r="I1190" s="6"/>
      <c r="J1190" s="6"/>
    </row>
    <row r="1191" spans="7:10" x14ac:dyDescent="0.25">
      <c r="G1191" s="6"/>
      <c r="H1191" s="6"/>
      <c r="I1191" s="6"/>
      <c r="J1191" s="6"/>
    </row>
    <row r="1192" spans="7:10" x14ac:dyDescent="0.25">
      <c r="G1192" s="6"/>
      <c r="H1192" s="6"/>
      <c r="I1192" s="6"/>
      <c r="J1192" s="6"/>
    </row>
    <row r="1193" spans="7:10" x14ac:dyDescent="0.25">
      <c r="G1193" s="6"/>
      <c r="H1193" s="6"/>
      <c r="I1193" s="6"/>
      <c r="J1193" s="6"/>
    </row>
    <row r="1194" spans="7:10" x14ac:dyDescent="0.25">
      <c r="G1194" s="6"/>
      <c r="H1194" s="6"/>
      <c r="I1194" s="6"/>
      <c r="J1194" s="6"/>
    </row>
    <row r="1195" spans="7:10" x14ac:dyDescent="0.25">
      <c r="G1195" s="6"/>
      <c r="H1195" s="6"/>
      <c r="I1195" s="6"/>
      <c r="J1195" s="6"/>
    </row>
    <row r="1196" spans="7:10" x14ac:dyDescent="0.25">
      <c r="G1196" s="6"/>
      <c r="H1196" s="6"/>
      <c r="I1196" s="6"/>
      <c r="J1196" s="6"/>
    </row>
    <row r="1197" spans="7:10" x14ac:dyDescent="0.25">
      <c r="G1197" s="6"/>
      <c r="H1197" s="6"/>
      <c r="I1197" s="6"/>
      <c r="J1197" s="6"/>
    </row>
    <row r="1198" spans="7:10" x14ac:dyDescent="0.25">
      <c r="G1198" s="6"/>
      <c r="H1198" s="6"/>
      <c r="I1198" s="6"/>
      <c r="J1198" s="6"/>
    </row>
    <row r="1199" spans="7:10" x14ac:dyDescent="0.25">
      <c r="G1199" s="6"/>
      <c r="H1199" s="6"/>
      <c r="I1199" s="6"/>
      <c r="J1199" s="6"/>
    </row>
    <row r="1200" spans="7:10" x14ac:dyDescent="0.25">
      <c r="G1200" s="6"/>
      <c r="H1200" s="6"/>
      <c r="I1200" s="6"/>
      <c r="J1200" s="6"/>
    </row>
    <row r="1201" spans="7:10" x14ac:dyDescent="0.25">
      <c r="G1201" s="6"/>
      <c r="H1201" s="6"/>
      <c r="I1201" s="6"/>
      <c r="J1201" s="6"/>
    </row>
    <row r="1202" spans="7:10" x14ac:dyDescent="0.25">
      <c r="G1202" s="6"/>
      <c r="H1202" s="6"/>
      <c r="I1202" s="6"/>
      <c r="J1202" s="6"/>
    </row>
    <row r="1203" spans="7:10" x14ac:dyDescent="0.25">
      <c r="G1203" s="6"/>
      <c r="H1203" s="6"/>
      <c r="I1203" s="6"/>
      <c r="J1203" s="6"/>
    </row>
    <row r="1204" spans="7:10" x14ac:dyDescent="0.25">
      <c r="G1204" s="6"/>
      <c r="H1204" s="6"/>
      <c r="I1204" s="6"/>
      <c r="J1204" s="6"/>
    </row>
    <row r="1205" spans="7:10" x14ac:dyDescent="0.25">
      <c r="G1205" s="6"/>
      <c r="H1205" s="6"/>
      <c r="I1205" s="6"/>
      <c r="J1205" s="6"/>
    </row>
    <row r="1206" spans="7:10" x14ac:dyDescent="0.25">
      <c r="G1206" s="6"/>
      <c r="H1206" s="6"/>
      <c r="I1206" s="6"/>
      <c r="J1206" s="6"/>
    </row>
    <row r="1207" spans="7:10" x14ac:dyDescent="0.25">
      <c r="G1207" s="6"/>
      <c r="H1207" s="6"/>
      <c r="I1207" s="6"/>
      <c r="J1207" s="6"/>
    </row>
    <row r="1208" spans="7:10" x14ac:dyDescent="0.25">
      <c r="G1208" s="6"/>
      <c r="H1208" s="6"/>
      <c r="I1208" s="6"/>
      <c r="J1208" s="6"/>
    </row>
    <row r="1209" spans="7:10" x14ac:dyDescent="0.25">
      <c r="G1209" s="6"/>
      <c r="H1209" s="6"/>
      <c r="I1209" s="6"/>
      <c r="J1209" s="6"/>
    </row>
    <row r="1210" spans="7:10" x14ac:dyDescent="0.25">
      <c r="G1210" s="6"/>
      <c r="H1210" s="6"/>
      <c r="I1210" s="6"/>
      <c r="J1210" s="6"/>
    </row>
    <row r="1211" spans="7:10" x14ac:dyDescent="0.25">
      <c r="G1211" s="6"/>
      <c r="H1211" s="6"/>
      <c r="I1211" s="6"/>
      <c r="J1211" s="6"/>
    </row>
    <row r="1212" spans="7:10" x14ac:dyDescent="0.25">
      <c r="G1212" s="6"/>
      <c r="H1212" s="6"/>
      <c r="I1212" s="6"/>
      <c r="J1212" s="6"/>
    </row>
    <row r="1213" spans="7:10" x14ac:dyDescent="0.25">
      <c r="G1213" s="6"/>
      <c r="H1213" s="6"/>
      <c r="I1213" s="6"/>
      <c r="J1213" s="6"/>
    </row>
    <row r="1214" spans="7:10" x14ac:dyDescent="0.25">
      <c r="G1214" s="6"/>
      <c r="H1214" s="6"/>
      <c r="I1214" s="6"/>
      <c r="J1214" s="6"/>
    </row>
    <row r="1215" spans="7:10" x14ac:dyDescent="0.25">
      <c r="G1215" s="6"/>
      <c r="H1215" s="6"/>
      <c r="I1215" s="6"/>
      <c r="J1215" s="6"/>
    </row>
    <row r="1216" spans="7:10" x14ac:dyDescent="0.25">
      <c r="G1216" s="6"/>
      <c r="H1216" s="6"/>
      <c r="I1216" s="6"/>
      <c r="J1216" s="6"/>
    </row>
    <row r="1217" spans="7:10" x14ac:dyDescent="0.25">
      <c r="G1217" s="6"/>
      <c r="H1217" s="6"/>
      <c r="I1217" s="6"/>
      <c r="J1217" s="6"/>
    </row>
    <row r="1218" spans="7:10" x14ac:dyDescent="0.25">
      <c r="G1218" s="6"/>
      <c r="H1218" s="6"/>
      <c r="I1218" s="6"/>
      <c r="J1218" s="6"/>
    </row>
    <row r="1219" spans="7:10" x14ac:dyDescent="0.25">
      <c r="G1219" s="6"/>
      <c r="H1219" s="6"/>
      <c r="I1219" s="6"/>
      <c r="J1219" s="6"/>
    </row>
    <row r="1220" spans="7:10" x14ac:dyDescent="0.25">
      <c r="G1220" s="6"/>
      <c r="H1220" s="6"/>
      <c r="I1220" s="6"/>
      <c r="J1220" s="6"/>
    </row>
    <row r="1221" spans="7:10" x14ac:dyDescent="0.25">
      <c r="G1221" s="6"/>
      <c r="H1221" s="6"/>
      <c r="I1221" s="6"/>
      <c r="J1221" s="6"/>
    </row>
    <row r="1222" spans="7:10" x14ac:dyDescent="0.25">
      <c r="G1222" s="6"/>
      <c r="H1222" s="6"/>
      <c r="I1222" s="6"/>
      <c r="J1222" s="6"/>
    </row>
    <row r="1223" spans="7:10" x14ac:dyDescent="0.25">
      <c r="G1223" s="6"/>
      <c r="H1223" s="6"/>
      <c r="I1223" s="6"/>
      <c r="J1223" s="6"/>
    </row>
    <row r="1224" spans="7:10" x14ac:dyDescent="0.25">
      <c r="G1224" s="6"/>
      <c r="H1224" s="6"/>
      <c r="I1224" s="6"/>
      <c r="J1224" s="6"/>
    </row>
    <row r="1225" spans="7:10" x14ac:dyDescent="0.25">
      <c r="G1225" s="6"/>
      <c r="H1225" s="6"/>
      <c r="I1225" s="6"/>
      <c r="J1225" s="6"/>
    </row>
    <row r="1226" spans="7:10" x14ac:dyDescent="0.25">
      <c r="G1226" s="6"/>
      <c r="H1226" s="6"/>
      <c r="I1226" s="6"/>
      <c r="J1226" s="6"/>
    </row>
    <row r="1227" spans="7:10" x14ac:dyDescent="0.25">
      <c r="G1227" s="6"/>
      <c r="H1227" s="6"/>
      <c r="I1227" s="6"/>
      <c r="J1227" s="6"/>
    </row>
    <row r="1228" spans="7:10" x14ac:dyDescent="0.25">
      <c r="G1228" s="6"/>
      <c r="H1228" s="6"/>
      <c r="I1228" s="6"/>
      <c r="J1228" s="6"/>
    </row>
    <row r="1229" spans="7:10" x14ac:dyDescent="0.25">
      <c r="G1229" s="6"/>
      <c r="H1229" s="6"/>
      <c r="I1229" s="6"/>
      <c r="J1229" s="6"/>
    </row>
    <row r="1230" spans="7:10" x14ac:dyDescent="0.25">
      <c r="G1230" s="6"/>
      <c r="H1230" s="6"/>
      <c r="I1230" s="6"/>
      <c r="J1230" s="6"/>
    </row>
    <row r="1231" spans="7:10" x14ac:dyDescent="0.25">
      <c r="G1231" s="6"/>
      <c r="H1231" s="6"/>
      <c r="I1231" s="6"/>
      <c r="J1231" s="6"/>
    </row>
    <row r="1232" spans="7:10" x14ac:dyDescent="0.25">
      <c r="G1232" s="6"/>
      <c r="H1232" s="6"/>
      <c r="I1232" s="6"/>
      <c r="J1232" s="6"/>
    </row>
    <row r="1233" spans="7:10" x14ac:dyDescent="0.25">
      <c r="G1233" s="6"/>
      <c r="H1233" s="6"/>
      <c r="I1233" s="6"/>
      <c r="J1233" s="6"/>
    </row>
    <row r="1234" spans="7:10" x14ac:dyDescent="0.25">
      <c r="G1234" s="6"/>
      <c r="H1234" s="6"/>
      <c r="I1234" s="6"/>
      <c r="J1234" s="6"/>
    </row>
    <row r="1235" spans="7:10" x14ac:dyDescent="0.25">
      <c r="G1235" s="6"/>
      <c r="H1235" s="6"/>
      <c r="I1235" s="6"/>
      <c r="J1235" s="6"/>
    </row>
    <row r="1236" spans="7:10" x14ac:dyDescent="0.25">
      <c r="G1236" s="6"/>
      <c r="H1236" s="6"/>
      <c r="I1236" s="6"/>
      <c r="J1236" s="6"/>
    </row>
    <row r="1237" spans="7:10" x14ac:dyDescent="0.25">
      <c r="G1237" s="6"/>
      <c r="H1237" s="6"/>
      <c r="I1237" s="6"/>
      <c r="J1237" s="6"/>
    </row>
    <row r="1238" spans="7:10" x14ac:dyDescent="0.25">
      <c r="G1238" s="6"/>
      <c r="H1238" s="6"/>
      <c r="I1238" s="6"/>
      <c r="J1238" s="6"/>
    </row>
    <row r="1239" spans="7:10" x14ac:dyDescent="0.25">
      <c r="G1239" s="6"/>
      <c r="H1239" s="6"/>
      <c r="I1239" s="6"/>
      <c r="J1239" s="6"/>
    </row>
    <row r="1240" spans="7:10" x14ac:dyDescent="0.25">
      <c r="G1240" s="6"/>
      <c r="H1240" s="6"/>
      <c r="I1240" s="6"/>
      <c r="J1240" s="6"/>
    </row>
    <row r="1241" spans="7:10" x14ac:dyDescent="0.25">
      <c r="G1241" s="6"/>
      <c r="H1241" s="6"/>
      <c r="I1241" s="6"/>
      <c r="J1241" s="6"/>
    </row>
    <row r="1242" spans="7:10" x14ac:dyDescent="0.25">
      <c r="G1242" s="6"/>
      <c r="H1242" s="6"/>
      <c r="I1242" s="6"/>
      <c r="J1242" s="6"/>
    </row>
    <row r="1243" spans="7:10" x14ac:dyDescent="0.25">
      <c r="G1243" s="6"/>
      <c r="H1243" s="6"/>
      <c r="I1243" s="6"/>
      <c r="J1243" s="6"/>
    </row>
    <row r="1244" spans="7:10" x14ac:dyDescent="0.25">
      <c r="G1244" s="6"/>
      <c r="H1244" s="6"/>
      <c r="I1244" s="6"/>
      <c r="J1244" s="6"/>
    </row>
    <row r="1245" spans="7:10" x14ac:dyDescent="0.25">
      <c r="G1245" s="6"/>
      <c r="H1245" s="6"/>
      <c r="I1245" s="6"/>
      <c r="J1245" s="6"/>
    </row>
    <row r="1246" spans="7:10" x14ac:dyDescent="0.25">
      <c r="G1246" s="6"/>
      <c r="H1246" s="6"/>
      <c r="I1246" s="6"/>
      <c r="J1246" s="6"/>
    </row>
    <row r="1247" spans="7:10" x14ac:dyDescent="0.25">
      <c r="G1247" s="6"/>
      <c r="H1247" s="6"/>
      <c r="I1247" s="6"/>
      <c r="J1247" s="6"/>
    </row>
    <row r="1248" spans="7:10" x14ac:dyDescent="0.25">
      <c r="G1248" s="6"/>
      <c r="H1248" s="6"/>
      <c r="I1248" s="6"/>
      <c r="J1248" s="6"/>
    </row>
    <row r="1249" spans="7:10" x14ac:dyDescent="0.25">
      <c r="G1249" s="6"/>
      <c r="H1249" s="6"/>
      <c r="I1249" s="6"/>
      <c r="J1249" s="6"/>
    </row>
    <row r="1250" spans="7:10" x14ac:dyDescent="0.25">
      <c r="G1250" s="6"/>
      <c r="H1250" s="6"/>
      <c r="I1250" s="6"/>
      <c r="J1250" s="6"/>
    </row>
    <row r="1251" spans="7:10" x14ac:dyDescent="0.25">
      <c r="G1251" s="6"/>
      <c r="H1251" s="6"/>
      <c r="I1251" s="6"/>
      <c r="J1251" s="6"/>
    </row>
    <row r="1252" spans="7:10" x14ac:dyDescent="0.25">
      <c r="G1252" s="6"/>
      <c r="H1252" s="6"/>
      <c r="I1252" s="6"/>
      <c r="J1252" s="6"/>
    </row>
    <row r="1253" spans="7:10" x14ac:dyDescent="0.25">
      <c r="G1253" s="6"/>
      <c r="H1253" s="6"/>
      <c r="I1253" s="6"/>
      <c r="J1253" s="6"/>
    </row>
    <row r="1254" spans="7:10" x14ac:dyDescent="0.25">
      <c r="G1254" s="6"/>
      <c r="H1254" s="6"/>
      <c r="I1254" s="6"/>
      <c r="J1254" s="6"/>
    </row>
    <row r="1255" spans="7:10" x14ac:dyDescent="0.25">
      <c r="G1255" s="6"/>
      <c r="H1255" s="6"/>
      <c r="I1255" s="6"/>
      <c r="J1255" s="6"/>
    </row>
    <row r="1256" spans="7:10" x14ac:dyDescent="0.25">
      <c r="G1256" s="6"/>
      <c r="H1256" s="6"/>
      <c r="I1256" s="6"/>
      <c r="J1256" s="6"/>
    </row>
    <row r="1257" spans="7:10" x14ac:dyDescent="0.25">
      <c r="G1257" s="6"/>
      <c r="H1257" s="6"/>
      <c r="I1257" s="6"/>
      <c r="J1257" s="6"/>
    </row>
    <row r="1258" spans="7:10" x14ac:dyDescent="0.25">
      <c r="G1258" s="6"/>
      <c r="H1258" s="6"/>
      <c r="I1258" s="6"/>
      <c r="J1258" s="6"/>
    </row>
    <row r="1259" spans="7:10" x14ac:dyDescent="0.25">
      <c r="G1259" s="6"/>
      <c r="H1259" s="6"/>
      <c r="I1259" s="6"/>
      <c r="J1259" s="6"/>
    </row>
    <row r="1260" spans="7:10" x14ac:dyDescent="0.25">
      <c r="G1260" s="6"/>
      <c r="H1260" s="6"/>
      <c r="I1260" s="6"/>
      <c r="J1260" s="6"/>
    </row>
    <row r="1261" spans="7:10" x14ac:dyDescent="0.25">
      <c r="G1261" s="6"/>
      <c r="H1261" s="6"/>
      <c r="I1261" s="6"/>
      <c r="J1261" s="6"/>
    </row>
    <row r="1262" spans="7:10" x14ac:dyDescent="0.25">
      <c r="G1262" s="6"/>
      <c r="H1262" s="6"/>
      <c r="I1262" s="6"/>
      <c r="J1262" s="6"/>
    </row>
    <row r="1263" spans="7:10" x14ac:dyDescent="0.25">
      <c r="G1263" s="6"/>
      <c r="H1263" s="6"/>
      <c r="I1263" s="6"/>
      <c r="J1263" s="6"/>
    </row>
    <row r="1264" spans="7:10" x14ac:dyDescent="0.25">
      <c r="G1264" s="6"/>
      <c r="H1264" s="6"/>
      <c r="I1264" s="6"/>
      <c r="J1264" s="6"/>
    </row>
    <row r="1265" spans="7:10" x14ac:dyDescent="0.25">
      <c r="G1265" s="6"/>
      <c r="H1265" s="6"/>
      <c r="I1265" s="6"/>
      <c r="J1265" s="6"/>
    </row>
    <row r="1266" spans="7:10" x14ac:dyDescent="0.25">
      <c r="G1266" s="6"/>
      <c r="H1266" s="6"/>
      <c r="I1266" s="6"/>
      <c r="J1266" s="6"/>
    </row>
    <row r="1267" spans="7:10" x14ac:dyDescent="0.25">
      <c r="G1267" s="6"/>
      <c r="H1267" s="6"/>
      <c r="I1267" s="6"/>
      <c r="J1267" s="6"/>
    </row>
    <row r="1268" spans="7:10" x14ac:dyDescent="0.25">
      <c r="G1268" s="6"/>
      <c r="H1268" s="6"/>
      <c r="I1268" s="6"/>
      <c r="J1268" s="6"/>
    </row>
    <row r="1269" spans="7:10" x14ac:dyDescent="0.25">
      <c r="G1269" s="6"/>
      <c r="H1269" s="6"/>
      <c r="I1269" s="6"/>
      <c r="J1269" s="6"/>
    </row>
    <row r="1270" spans="7:10" x14ac:dyDescent="0.25">
      <c r="G1270" s="6"/>
      <c r="H1270" s="6"/>
      <c r="I1270" s="6"/>
      <c r="J1270" s="6"/>
    </row>
    <row r="1271" spans="7:10" x14ac:dyDescent="0.25">
      <c r="G1271" s="6"/>
      <c r="H1271" s="6"/>
      <c r="I1271" s="6"/>
      <c r="J1271" s="6"/>
    </row>
    <row r="1272" spans="7:10" x14ac:dyDescent="0.25">
      <c r="G1272" s="6"/>
      <c r="H1272" s="6"/>
      <c r="I1272" s="6"/>
      <c r="J1272" s="6"/>
    </row>
    <row r="1273" spans="7:10" x14ac:dyDescent="0.25">
      <c r="G1273" s="6"/>
      <c r="H1273" s="6"/>
      <c r="I1273" s="6"/>
      <c r="J1273" s="6"/>
    </row>
    <row r="1274" spans="7:10" x14ac:dyDescent="0.25">
      <c r="G1274" s="6"/>
      <c r="H1274" s="6"/>
      <c r="I1274" s="6"/>
      <c r="J1274" s="6"/>
    </row>
    <row r="1275" spans="7:10" x14ac:dyDescent="0.25">
      <c r="G1275" s="6"/>
      <c r="H1275" s="6"/>
      <c r="I1275" s="6"/>
      <c r="J1275" s="6"/>
    </row>
    <row r="1276" spans="7:10" x14ac:dyDescent="0.25">
      <c r="G1276" s="6"/>
      <c r="H1276" s="6"/>
      <c r="I1276" s="6"/>
      <c r="J1276" s="6"/>
    </row>
    <row r="1277" spans="7:10" x14ac:dyDescent="0.25">
      <c r="G1277" s="6"/>
      <c r="H1277" s="6"/>
      <c r="I1277" s="6"/>
      <c r="J1277" s="6"/>
    </row>
    <row r="1278" spans="7:10" x14ac:dyDescent="0.25">
      <c r="G1278" s="6"/>
      <c r="H1278" s="6"/>
      <c r="I1278" s="6"/>
      <c r="J1278" s="6"/>
    </row>
    <row r="1279" spans="7:10" x14ac:dyDescent="0.25">
      <c r="G1279" s="6"/>
      <c r="H1279" s="6"/>
      <c r="I1279" s="6"/>
      <c r="J1279" s="6"/>
    </row>
    <row r="1280" spans="7:10" x14ac:dyDescent="0.25">
      <c r="G1280" s="6"/>
      <c r="H1280" s="6"/>
      <c r="I1280" s="6"/>
      <c r="J1280" s="6"/>
    </row>
    <row r="1281" spans="7:10" x14ac:dyDescent="0.25">
      <c r="G1281" s="6"/>
      <c r="H1281" s="6"/>
      <c r="I1281" s="6"/>
      <c r="J1281" s="6"/>
    </row>
    <row r="1282" spans="7:10" x14ac:dyDescent="0.25">
      <c r="G1282" s="6"/>
      <c r="H1282" s="6"/>
      <c r="I1282" s="6"/>
      <c r="J1282" s="6"/>
    </row>
    <row r="1283" spans="7:10" x14ac:dyDescent="0.25">
      <c r="G1283" s="6"/>
      <c r="H1283" s="6"/>
      <c r="I1283" s="6"/>
      <c r="J1283" s="6"/>
    </row>
    <row r="1284" spans="7:10" x14ac:dyDescent="0.25">
      <c r="G1284" s="6"/>
      <c r="H1284" s="6"/>
      <c r="I1284" s="6"/>
      <c r="J1284" s="6"/>
    </row>
    <row r="1285" spans="7:10" x14ac:dyDescent="0.25">
      <c r="G1285" s="6"/>
      <c r="H1285" s="6"/>
      <c r="I1285" s="6"/>
      <c r="J1285" s="6"/>
    </row>
    <row r="1286" spans="7:10" x14ac:dyDescent="0.25">
      <c r="G1286" s="6"/>
      <c r="H1286" s="6"/>
      <c r="I1286" s="6"/>
      <c r="J1286" s="6"/>
    </row>
    <row r="1287" spans="7:10" x14ac:dyDescent="0.25">
      <c r="G1287" s="6"/>
      <c r="H1287" s="6"/>
      <c r="I1287" s="6"/>
      <c r="J1287" s="6"/>
    </row>
    <row r="1288" spans="7:10" x14ac:dyDescent="0.25">
      <c r="G1288" s="6"/>
      <c r="H1288" s="6"/>
      <c r="I1288" s="6"/>
      <c r="J1288" s="6"/>
    </row>
    <row r="1289" spans="7:10" x14ac:dyDescent="0.25">
      <c r="G1289" s="6"/>
      <c r="H1289" s="6"/>
      <c r="I1289" s="6"/>
      <c r="J1289" s="6"/>
    </row>
    <row r="1290" spans="7:10" x14ac:dyDescent="0.25">
      <c r="G1290" s="6"/>
      <c r="H1290" s="6"/>
      <c r="I1290" s="6"/>
      <c r="J1290" s="6"/>
    </row>
    <row r="1291" spans="7:10" x14ac:dyDescent="0.25">
      <c r="G1291" s="6"/>
      <c r="H1291" s="6"/>
      <c r="I1291" s="6"/>
      <c r="J1291" s="6"/>
    </row>
    <row r="1292" spans="7:10" x14ac:dyDescent="0.25">
      <c r="G1292" s="6"/>
      <c r="H1292" s="6"/>
      <c r="I1292" s="6"/>
      <c r="J1292" s="6"/>
    </row>
    <row r="1293" spans="7:10" x14ac:dyDescent="0.25">
      <c r="G1293" s="6"/>
      <c r="H1293" s="6"/>
      <c r="I1293" s="6"/>
      <c r="J1293" s="6"/>
    </row>
    <row r="1294" spans="7:10" x14ac:dyDescent="0.25">
      <c r="G1294" s="6"/>
      <c r="H1294" s="6"/>
      <c r="I1294" s="6"/>
      <c r="J1294" s="6"/>
    </row>
    <row r="1295" spans="7:10" x14ac:dyDescent="0.25">
      <c r="G1295" s="6"/>
      <c r="H1295" s="6"/>
      <c r="I1295" s="6"/>
      <c r="J1295" s="6"/>
    </row>
    <row r="1296" spans="7:10" x14ac:dyDescent="0.25">
      <c r="G1296" s="6"/>
      <c r="H1296" s="6"/>
      <c r="I1296" s="6"/>
      <c r="J1296" s="6"/>
    </row>
    <row r="1297" spans="7:10" x14ac:dyDescent="0.25">
      <c r="G1297" s="6"/>
      <c r="H1297" s="6"/>
      <c r="I1297" s="6"/>
      <c r="J1297" s="6"/>
    </row>
    <row r="1298" spans="7:10" x14ac:dyDescent="0.25">
      <c r="G1298" s="6"/>
      <c r="H1298" s="6"/>
      <c r="I1298" s="6"/>
      <c r="J1298" s="6"/>
    </row>
    <row r="1299" spans="7:10" x14ac:dyDescent="0.25">
      <c r="G1299" s="6"/>
      <c r="H1299" s="6"/>
      <c r="I1299" s="6"/>
      <c r="J1299" s="6"/>
    </row>
    <row r="1300" spans="7:10" x14ac:dyDescent="0.25">
      <c r="G1300" s="6"/>
      <c r="H1300" s="6"/>
      <c r="I1300" s="6"/>
      <c r="J1300" s="6"/>
    </row>
    <row r="1301" spans="7:10" x14ac:dyDescent="0.25">
      <c r="G1301" s="6"/>
      <c r="H1301" s="6"/>
      <c r="I1301" s="6"/>
      <c r="J1301" s="6"/>
    </row>
    <row r="1302" spans="7:10" x14ac:dyDescent="0.25">
      <c r="G1302" s="6"/>
      <c r="H1302" s="6"/>
      <c r="I1302" s="6"/>
      <c r="J1302" s="6"/>
    </row>
    <row r="1303" spans="7:10" x14ac:dyDescent="0.25">
      <c r="G1303" s="6"/>
      <c r="H1303" s="6"/>
      <c r="I1303" s="6"/>
      <c r="J1303" s="6"/>
    </row>
    <row r="1304" spans="7:10" x14ac:dyDescent="0.25">
      <c r="G1304" s="6"/>
      <c r="H1304" s="6"/>
      <c r="I1304" s="6"/>
      <c r="J1304" s="6"/>
    </row>
    <row r="1305" spans="7:10" x14ac:dyDescent="0.25">
      <c r="G1305" s="6"/>
      <c r="H1305" s="6"/>
      <c r="I1305" s="6"/>
      <c r="J1305" s="6"/>
    </row>
    <row r="1306" spans="7:10" x14ac:dyDescent="0.25">
      <c r="G1306" s="6"/>
      <c r="H1306" s="6"/>
      <c r="I1306" s="6"/>
      <c r="J1306" s="6"/>
    </row>
    <row r="1307" spans="7:10" x14ac:dyDescent="0.25">
      <c r="G1307" s="6"/>
      <c r="H1307" s="6"/>
      <c r="I1307" s="6"/>
      <c r="J1307" s="6"/>
    </row>
    <row r="1308" spans="7:10" x14ac:dyDescent="0.25">
      <c r="G1308" s="6"/>
      <c r="H1308" s="6"/>
      <c r="I1308" s="6"/>
      <c r="J1308" s="6"/>
    </row>
    <row r="1309" spans="7:10" x14ac:dyDescent="0.25">
      <c r="G1309" s="6"/>
      <c r="H1309" s="6"/>
      <c r="I1309" s="6"/>
      <c r="J1309" s="6"/>
    </row>
    <row r="1310" spans="7:10" x14ac:dyDescent="0.25">
      <c r="G1310" s="6"/>
      <c r="H1310" s="6"/>
      <c r="I1310" s="6"/>
      <c r="J1310" s="6"/>
    </row>
    <row r="1311" spans="7:10" x14ac:dyDescent="0.25">
      <c r="G1311" s="6"/>
      <c r="H1311" s="6"/>
      <c r="I1311" s="6"/>
      <c r="J1311" s="6"/>
    </row>
    <row r="1312" spans="7:10" x14ac:dyDescent="0.25">
      <c r="G1312" s="6"/>
      <c r="H1312" s="6"/>
      <c r="I1312" s="6"/>
      <c r="J1312" s="6"/>
    </row>
    <row r="1313" spans="7:10" x14ac:dyDescent="0.25">
      <c r="G1313" s="6"/>
      <c r="H1313" s="6"/>
      <c r="I1313" s="6"/>
      <c r="J1313" s="6"/>
    </row>
    <row r="1314" spans="7:10" x14ac:dyDescent="0.25">
      <c r="G1314" s="6"/>
      <c r="H1314" s="6"/>
      <c r="I1314" s="6"/>
      <c r="J1314" s="6"/>
    </row>
    <row r="1315" spans="7:10" x14ac:dyDescent="0.25">
      <c r="G1315" s="6"/>
      <c r="H1315" s="6"/>
      <c r="I1315" s="6"/>
      <c r="J1315" s="6"/>
    </row>
    <row r="1316" spans="7:10" x14ac:dyDescent="0.25">
      <c r="G1316" s="6"/>
      <c r="H1316" s="6"/>
      <c r="I1316" s="6"/>
      <c r="J1316" s="6"/>
    </row>
    <row r="1317" spans="7:10" x14ac:dyDescent="0.25">
      <c r="G1317" s="6"/>
      <c r="H1317" s="6"/>
      <c r="I1317" s="6"/>
      <c r="J1317" s="6"/>
    </row>
    <row r="1318" spans="7:10" x14ac:dyDescent="0.25">
      <c r="G1318" s="6"/>
      <c r="H1318" s="6"/>
      <c r="I1318" s="6"/>
      <c r="J1318" s="6"/>
    </row>
    <row r="1319" spans="7:10" x14ac:dyDescent="0.25">
      <c r="G1319" s="6"/>
      <c r="H1319" s="6"/>
      <c r="I1319" s="6"/>
      <c r="J1319" s="6"/>
    </row>
    <row r="1320" spans="7:10" x14ac:dyDescent="0.25">
      <c r="G1320" s="6"/>
      <c r="H1320" s="6"/>
      <c r="I1320" s="6"/>
      <c r="J1320" s="6"/>
    </row>
    <row r="1321" spans="7:10" x14ac:dyDescent="0.25">
      <c r="G1321" s="6"/>
      <c r="H1321" s="6"/>
      <c r="I1321" s="6"/>
      <c r="J1321" s="6"/>
    </row>
    <row r="1322" spans="7:10" x14ac:dyDescent="0.25">
      <c r="G1322" s="6"/>
      <c r="H1322" s="6"/>
      <c r="I1322" s="6"/>
      <c r="J1322" s="6"/>
    </row>
    <row r="1323" spans="7:10" x14ac:dyDescent="0.25">
      <c r="G1323" s="6"/>
      <c r="H1323" s="6"/>
      <c r="I1323" s="6"/>
      <c r="J1323" s="6"/>
    </row>
    <row r="1324" spans="7:10" x14ac:dyDescent="0.25">
      <c r="G1324" s="6"/>
      <c r="H1324" s="6"/>
      <c r="I1324" s="6"/>
      <c r="J1324" s="6"/>
    </row>
    <row r="1325" spans="7:10" x14ac:dyDescent="0.25">
      <c r="G1325" s="6"/>
      <c r="H1325" s="6"/>
      <c r="I1325" s="6"/>
      <c r="J1325" s="6"/>
    </row>
    <row r="1326" spans="7:10" x14ac:dyDescent="0.25">
      <c r="G1326" s="6"/>
      <c r="H1326" s="6"/>
      <c r="I1326" s="6"/>
      <c r="J1326" s="6"/>
    </row>
    <row r="1327" spans="7:10" x14ac:dyDescent="0.25">
      <c r="G1327" s="6"/>
      <c r="H1327" s="6"/>
      <c r="I1327" s="6"/>
      <c r="J1327" s="6"/>
    </row>
    <row r="1328" spans="7:10" x14ac:dyDescent="0.25">
      <c r="G1328" s="6"/>
      <c r="H1328" s="6"/>
      <c r="I1328" s="6"/>
      <c r="J1328" s="6"/>
    </row>
    <row r="1329" spans="7:10" x14ac:dyDescent="0.25">
      <c r="G1329" s="6"/>
      <c r="H1329" s="6"/>
      <c r="I1329" s="6"/>
      <c r="J1329" s="6"/>
    </row>
    <row r="1330" spans="7:10" x14ac:dyDescent="0.25">
      <c r="G1330" s="6"/>
      <c r="H1330" s="6"/>
      <c r="I1330" s="6"/>
      <c r="J1330" s="6"/>
    </row>
    <row r="1331" spans="7:10" x14ac:dyDescent="0.25">
      <c r="G1331" s="6"/>
      <c r="H1331" s="6"/>
      <c r="I1331" s="6"/>
      <c r="J1331" s="6"/>
    </row>
    <row r="1332" spans="7:10" x14ac:dyDescent="0.25">
      <c r="G1332" s="6"/>
      <c r="H1332" s="6"/>
      <c r="I1332" s="6"/>
      <c r="J1332" s="6"/>
    </row>
    <row r="1333" spans="7:10" x14ac:dyDescent="0.25">
      <c r="G1333" s="6"/>
      <c r="H1333" s="6"/>
      <c r="I1333" s="6"/>
      <c r="J1333" s="6"/>
    </row>
    <row r="1334" spans="7:10" x14ac:dyDescent="0.25">
      <c r="G1334" s="6"/>
      <c r="H1334" s="6"/>
      <c r="I1334" s="6"/>
      <c r="J1334" s="6"/>
    </row>
    <row r="1335" spans="7:10" x14ac:dyDescent="0.25">
      <c r="G1335" s="6"/>
      <c r="H1335" s="6"/>
      <c r="I1335" s="6"/>
      <c r="J1335" s="6"/>
    </row>
    <row r="1336" spans="7:10" x14ac:dyDescent="0.25">
      <c r="G1336" s="6"/>
      <c r="H1336" s="6"/>
      <c r="I1336" s="6"/>
      <c r="J1336" s="6"/>
    </row>
    <row r="1337" spans="7:10" x14ac:dyDescent="0.25">
      <c r="G1337" s="6"/>
      <c r="H1337" s="6"/>
      <c r="I1337" s="6"/>
      <c r="J1337" s="6"/>
    </row>
    <row r="1338" spans="7:10" x14ac:dyDescent="0.25">
      <c r="G1338" s="6"/>
      <c r="H1338" s="6"/>
      <c r="I1338" s="6"/>
      <c r="J1338" s="6"/>
    </row>
    <row r="1339" spans="7:10" x14ac:dyDescent="0.25">
      <c r="G1339" s="6"/>
      <c r="H1339" s="6"/>
      <c r="I1339" s="6"/>
      <c r="J1339" s="6"/>
    </row>
    <row r="1340" spans="7:10" x14ac:dyDescent="0.25">
      <c r="G1340" s="6"/>
      <c r="H1340" s="6"/>
      <c r="I1340" s="6"/>
      <c r="J1340" s="6"/>
    </row>
    <row r="1341" spans="7:10" x14ac:dyDescent="0.25">
      <c r="G1341" s="6"/>
      <c r="H1341" s="6"/>
      <c r="I1341" s="6"/>
      <c r="J1341" s="6"/>
    </row>
    <row r="1342" spans="7:10" x14ac:dyDescent="0.25">
      <c r="G1342" s="6"/>
      <c r="H1342" s="6"/>
      <c r="I1342" s="6"/>
      <c r="J1342" s="6"/>
    </row>
    <row r="1343" spans="7:10" x14ac:dyDescent="0.25">
      <c r="G1343" s="6"/>
      <c r="H1343" s="6"/>
      <c r="I1343" s="6"/>
      <c r="J1343" s="6"/>
    </row>
    <row r="1344" spans="7:10" x14ac:dyDescent="0.25">
      <c r="G1344" s="6"/>
      <c r="H1344" s="6"/>
      <c r="I1344" s="6"/>
      <c r="J1344" s="6"/>
    </row>
    <row r="1345" spans="7:10" x14ac:dyDescent="0.25">
      <c r="G1345" s="6"/>
      <c r="H1345" s="6"/>
      <c r="I1345" s="6"/>
      <c r="J1345" s="6"/>
    </row>
    <row r="1346" spans="7:10" x14ac:dyDescent="0.25">
      <c r="G1346" s="6"/>
      <c r="H1346" s="6"/>
      <c r="I1346" s="6"/>
      <c r="J1346" s="6"/>
    </row>
    <row r="1347" spans="7:10" x14ac:dyDescent="0.25">
      <c r="G1347" s="6"/>
      <c r="H1347" s="6"/>
      <c r="I1347" s="6"/>
      <c r="J1347" s="6"/>
    </row>
    <row r="1348" spans="7:10" x14ac:dyDescent="0.25">
      <c r="G1348" s="6"/>
      <c r="H1348" s="6"/>
      <c r="I1348" s="6"/>
      <c r="J1348" s="6"/>
    </row>
    <row r="1349" spans="7:10" x14ac:dyDescent="0.25">
      <c r="G1349" s="6"/>
      <c r="H1349" s="6"/>
      <c r="I1349" s="6"/>
      <c r="J1349" s="6"/>
    </row>
    <row r="1350" spans="7:10" x14ac:dyDescent="0.25">
      <c r="G1350" s="6"/>
      <c r="H1350" s="6"/>
      <c r="I1350" s="6"/>
      <c r="J1350" s="6"/>
    </row>
    <row r="1351" spans="7:10" x14ac:dyDescent="0.25">
      <c r="G1351" s="6"/>
      <c r="H1351" s="6"/>
      <c r="I1351" s="6"/>
      <c r="J1351" s="6"/>
    </row>
    <row r="1352" spans="7:10" x14ac:dyDescent="0.25">
      <c r="G1352" s="6"/>
      <c r="H1352" s="6"/>
      <c r="I1352" s="6"/>
      <c r="J1352" s="6"/>
    </row>
    <row r="1353" spans="7:10" x14ac:dyDescent="0.25">
      <c r="G1353" s="6"/>
      <c r="H1353" s="6"/>
      <c r="I1353" s="6"/>
      <c r="J1353" s="6"/>
    </row>
    <row r="1354" spans="7:10" x14ac:dyDescent="0.25">
      <c r="G1354" s="6"/>
      <c r="H1354" s="6"/>
      <c r="I1354" s="6"/>
      <c r="J1354" s="6"/>
    </row>
    <row r="1355" spans="7:10" x14ac:dyDescent="0.25">
      <c r="G1355" s="6"/>
      <c r="H1355" s="6"/>
      <c r="I1355" s="6"/>
      <c r="J1355" s="6"/>
    </row>
    <row r="1356" spans="7:10" x14ac:dyDescent="0.25">
      <c r="G1356" s="6"/>
      <c r="H1356" s="6"/>
      <c r="I1356" s="6"/>
      <c r="J1356" s="6"/>
    </row>
    <row r="1357" spans="7:10" x14ac:dyDescent="0.25">
      <c r="G1357" s="6"/>
      <c r="H1357" s="6"/>
      <c r="I1357" s="6"/>
      <c r="J1357" s="6"/>
    </row>
    <row r="1358" spans="7:10" x14ac:dyDescent="0.25">
      <c r="G1358" s="6"/>
      <c r="H1358" s="6"/>
      <c r="I1358" s="6"/>
      <c r="J1358" s="6"/>
    </row>
    <row r="1359" spans="7:10" x14ac:dyDescent="0.25">
      <c r="G1359" s="6"/>
      <c r="H1359" s="6"/>
      <c r="I1359" s="6"/>
      <c r="J1359" s="6"/>
    </row>
    <row r="1360" spans="7:10" x14ac:dyDescent="0.25">
      <c r="G1360" s="6"/>
      <c r="H1360" s="6"/>
      <c r="I1360" s="6"/>
      <c r="J1360" s="6"/>
    </row>
    <row r="1361" spans="7:10" x14ac:dyDescent="0.25">
      <c r="G1361" s="6"/>
      <c r="H1361" s="6"/>
      <c r="I1361" s="6"/>
      <c r="J1361" s="6"/>
    </row>
    <row r="1362" spans="7:10" x14ac:dyDescent="0.25">
      <c r="G1362" s="6"/>
      <c r="H1362" s="6"/>
      <c r="I1362" s="6"/>
      <c r="J1362" s="6"/>
    </row>
    <row r="1363" spans="7:10" x14ac:dyDescent="0.25">
      <c r="G1363" s="6"/>
      <c r="H1363" s="6"/>
      <c r="I1363" s="6"/>
      <c r="J1363" s="6"/>
    </row>
    <row r="1364" spans="7:10" x14ac:dyDescent="0.25">
      <c r="G1364" s="6"/>
      <c r="H1364" s="6"/>
      <c r="I1364" s="6"/>
      <c r="J1364" s="6"/>
    </row>
    <row r="1365" spans="7:10" x14ac:dyDescent="0.25">
      <c r="G1365" s="6"/>
      <c r="H1365" s="6"/>
      <c r="I1365" s="6"/>
      <c r="J1365" s="6"/>
    </row>
    <row r="1366" spans="7:10" x14ac:dyDescent="0.25">
      <c r="G1366" s="6"/>
      <c r="H1366" s="6"/>
      <c r="I1366" s="6"/>
      <c r="J1366" s="6"/>
    </row>
    <row r="1367" spans="7:10" x14ac:dyDescent="0.25">
      <c r="G1367" s="6"/>
      <c r="H1367" s="6"/>
      <c r="I1367" s="6"/>
      <c r="J1367" s="6"/>
    </row>
    <row r="1368" spans="7:10" x14ac:dyDescent="0.25">
      <c r="G1368" s="6"/>
      <c r="H1368" s="6"/>
      <c r="I1368" s="6"/>
      <c r="J1368" s="6"/>
    </row>
    <row r="1369" spans="7:10" x14ac:dyDescent="0.25">
      <c r="G1369" s="6"/>
      <c r="H1369" s="6"/>
      <c r="I1369" s="6"/>
      <c r="J1369" s="6"/>
    </row>
    <row r="1370" spans="7:10" x14ac:dyDescent="0.25">
      <c r="G1370" s="6"/>
      <c r="H1370" s="6"/>
      <c r="I1370" s="6"/>
      <c r="J1370" s="6"/>
    </row>
    <row r="1371" spans="7:10" x14ac:dyDescent="0.25">
      <c r="G1371" s="6"/>
      <c r="H1371" s="6"/>
      <c r="I1371" s="6"/>
      <c r="J1371" s="6"/>
    </row>
    <row r="1372" spans="7:10" x14ac:dyDescent="0.25">
      <c r="G1372" s="6"/>
      <c r="H1372" s="6"/>
      <c r="I1372" s="6"/>
      <c r="J1372" s="6"/>
    </row>
    <row r="1373" spans="7:10" x14ac:dyDescent="0.25">
      <c r="G1373" s="6"/>
      <c r="H1373" s="6"/>
      <c r="I1373" s="6"/>
      <c r="J1373" s="6"/>
    </row>
    <row r="1374" spans="7:10" x14ac:dyDescent="0.25">
      <c r="G1374" s="6"/>
      <c r="H1374" s="6"/>
      <c r="I1374" s="6"/>
      <c r="J1374" s="6"/>
    </row>
    <row r="1375" spans="7:10" x14ac:dyDescent="0.25">
      <c r="G1375" s="6"/>
      <c r="H1375" s="6"/>
      <c r="I1375" s="6"/>
      <c r="J1375" s="6"/>
    </row>
    <row r="1376" spans="7:10" x14ac:dyDescent="0.25">
      <c r="G1376" s="6"/>
      <c r="H1376" s="6"/>
      <c r="I1376" s="6"/>
      <c r="J1376" s="6"/>
    </row>
    <row r="1377" spans="7:10" x14ac:dyDescent="0.25">
      <c r="G1377" s="6"/>
      <c r="H1377" s="6"/>
      <c r="I1377" s="6"/>
      <c r="J1377" s="6"/>
    </row>
    <row r="1378" spans="7:10" x14ac:dyDescent="0.25">
      <c r="G1378" s="6"/>
      <c r="H1378" s="6"/>
      <c r="I1378" s="6"/>
      <c r="J1378" s="6"/>
    </row>
    <row r="1379" spans="7:10" x14ac:dyDescent="0.25">
      <c r="G1379" s="6"/>
      <c r="H1379" s="6"/>
      <c r="I1379" s="6"/>
      <c r="J1379" s="6"/>
    </row>
    <row r="1380" spans="7:10" x14ac:dyDescent="0.25">
      <c r="G1380" s="6"/>
      <c r="H1380" s="6"/>
      <c r="I1380" s="6"/>
      <c r="J1380" s="6"/>
    </row>
    <row r="1381" spans="7:10" x14ac:dyDescent="0.25">
      <c r="G1381" s="6"/>
      <c r="H1381" s="6"/>
      <c r="I1381" s="6"/>
      <c r="J1381" s="6"/>
    </row>
    <row r="1382" spans="7:10" x14ac:dyDescent="0.25">
      <c r="G1382" s="6"/>
      <c r="H1382" s="6"/>
      <c r="I1382" s="6"/>
      <c r="J1382" s="6"/>
    </row>
    <row r="1383" spans="7:10" x14ac:dyDescent="0.25">
      <c r="G1383" s="6"/>
      <c r="H1383" s="6"/>
      <c r="I1383" s="6"/>
      <c r="J1383" s="6"/>
    </row>
    <row r="1384" spans="7:10" x14ac:dyDescent="0.25">
      <c r="G1384" s="6"/>
      <c r="H1384" s="6"/>
      <c r="I1384" s="6"/>
      <c r="J1384" s="6"/>
    </row>
    <row r="1385" spans="7:10" x14ac:dyDescent="0.25">
      <c r="G1385" s="6"/>
      <c r="H1385" s="6"/>
      <c r="I1385" s="6"/>
      <c r="J1385" s="6"/>
    </row>
    <row r="1386" spans="7:10" x14ac:dyDescent="0.25">
      <c r="G1386" s="6"/>
      <c r="H1386" s="6"/>
      <c r="I1386" s="6"/>
      <c r="J1386" s="6"/>
    </row>
    <row r="1387" spans="7:10" x14ac:dyDescent="0.25">
      <c r="G1387" s="6"/>
      <c r="H1387" s="6"/>
      <c r="I1387" s="6"/>
      <c r="J1387" s="6"/>
    </row>
    <row r="1388" spans="7:10" x14ac:dyDescent="0.25">
      <c r="G1388" s="6"/>
      <c r="H1388" s="6"/>
      <c r="I1388" s="6"/>
      <c r="J1388" s="6"/>
    </row>
    <row r="1389" spans="7:10" x14ac:dyDescent="0.25">
      <c r="G1389" s="6"/>
      <c r="H1389" s="6"/>
      <c r="I1389" s="6"/>
      <c r="J1389" s="6"/>
    </row>
    <row r="1390" spans="7:10" x14ac:dyDescent="0.25">
      <c r="G1390" s="6"/>
      <c r="H1390" s="6"/>
      <c r="I1390" s="6"/>
      <c r="J1390" s="6"/>
    </row>
    <row r="1391" spans="7:10" x14ac:dyDescent="0.25">
      <c r="G1391" s="6"/>
      <c r="H1391" s="6"/>
      <c r="I1391" s="6"/>
      <c r="J1391" s="6"/>
    </row>
    <row r="1392" spans="7:10" x14ac:dyDescent="0.25">
      <c r="G1392" s="6"/>
      <c r="H1392" s="6"/>
      <c r="I1392" s="6"/>
      <c r="J1392" s="6"/>
    </row>
    <row r="1393" spans="7:10" x14ac:dyDescent="0.25">
      <c r="G1393" s="6"/>
      <c r="H1393" s="6"/>
      <c r="I1393" s="6"/>
      <c r="J1393" s="6"/>
    </row>
    <row r="1394" spans="7:10" x14ac:dyDescent="0.25">
      <c r="G1394" s="6"/>
      <c r="H1394" s="6"/>
      <c r="I1394" s="6"/>
      <c r="J1394" s="6"/>
    </row>
    <row r="1395" spans="7:10" x14ac:dyDescent="0.25">
      <c r="G1395" s="6"/>
      <c r="H1395" s="6"/>
      <c r="I1395" s="6"/>
      <c r="J1395" s="6"/>
    </row>
    <row r="1396" spans="7:10" x14ac:dyDescent="0.25">
      <c r="G1396" s="6"/>
      <c r="H1396" s="6"/>
      <c r="I1396" s="6"/>
      <c r="J1396" s="6"/>
    </row>
    <row r="1397" spans="7:10" x14ac:dyDescent="0.25">
      <c r="G1397" s="6"/>
      <c r="H1397" s="6"/>
      <c r="I1397" s="6"/>
      <c r="J1397" s="6"/>
    </row>
    <row r="1398" spans="7:10" x14ac:dyDescent="0.25">
      <c r="G1398" s="6"/>
      <c r="H1398" s="6"/>
      <c r="I1398" s="6"/>
      <c r="J1398" s="6"/>
    </row>
    <row r="1399" spans="7:10" x14ac:dyDescent="0.25">
      <c r="G1399" s="6"/>
      <c r="H1399" s="6"/>
      <c r="I1399" s="6"/>
      <c r="J1399" s="6"/>
    </row>
    <row r="1400" spans="7:10" x14ac:dyDescent="0.25">
      <c r="G1400" s="6"/>
      <c r="H1400" s="6"/>
      <c r="I1400" s="6"/>
      <c r="J1400" s="6"/>
    </row>
    <row r="1401" spans="7:10" x14ac:dyDescent="0.25">
      <c r="G1401" s="6"/>
      <c r="H1401" s="6"/>
      <c r="I1401" s="6"/>
      <c r="J1401" s="6"/>
    </row>
    <row r="1402" spans="7:10" x14ac:dyDescent="0.25">
      <c r="G1402" s="6"/>
      <c r="H1402" s="6"/>
      <c r="I1402" s="6"/>
      <c r="J1402" s="6"/>
    </row>
    <row r="1403" spans="7:10" x14ac:dyDescent="0.25">
      <c r="G1403" s="6"/>
      <c r="H1403" s="6"/>
      <c r="I1403" s="6"/>
      <c r="J1403" s="6"/>
    </row>
    <row r="1404" spans="7:10" x14ac:dyDescent="0.25">
      <c r="G1404" s="6"/>
      <c r="H1404" s="6"/>
      <c r="I1404" s="6"/>
      <c r="J1404" s="6"/>
    </row>
    <row r="1405" spans="7:10" x14ac:dyDescent="0.25">
      <c r="G1405" s="6"/>
      <c r="H1405" s="6"/>
      <c r="I1405" s="6"/>
      <c r="J1405" s="6"/>
    </row>
    <row r="1406" spans="7:10" x14ac:dyDescent="0.25">
      <c r="G1406" s="6"/>
      <c r="H1406" s="6"/>
      <c r="I1406" s="6"/>
      <c r="J1406" s="6"/>
    </row>
    <row r="1407" spans="7:10" x14ac:dyDescent="0.25">
      <c r="G1407" s="6"/>
      <c r="H1407" s="6"/>
      <c r="I1407" s="6"/>
      <c r="J1407" s="6"/>
    </row>
    <row r="1408" spans="7:10" x14ac:dyDescent="0.25">
      <c r="G1408" s="6"/>
      <c r="H1408" s="6"/>
      <c r="I1408" s="6"/>
      <c r="J1408" s="6"/>
    </row>
    <row r="1409" spans="7:10" x14ac:dyDescent="0.25">
      <c r="G1409" s="6"/>
      <c r="H1409" s="6"/>
      <c r="I1409" s="6"/>
      <c r="J1409" s="6"/>
    </row>
    <row r="1410" spans="7:10" x14ac:dyDescent="0.25">
      <c r="G1410" s="6"/>
      <c r="H1410" s="6"/>
      <c r="I1410" s="6"/>
      <c r="J1410" s="6"/>
    </row>
    <row r="1411" spans="7:10" x14ac:dyDescent="0.25">
      <c r="G1411" s="6"/>
      <c r="H1411" s="6"/>
      <c r="I1411" s="6"/>
      <c r="J1411" s="6"/>
    </row>
    <row r="1412" spans="7:10" x14ac:dyDescent="0.25">
      <c r="G1412" s="6"/>
      <c r="H1412" s="6"/>
      <c r="I1412" s="6"/>
      <c r="J1412" s="6"/>
    </row>
  </sheetData>
  <mergeCells count="11">
    <mergeCell ref="B2:J2"/>
    <mergeCell ref="G486:J486"/>
    <mergeCell ref="G516:J516"/>
    <mergeCell ref="G546:J546"/>
    <mergeCell ref="G4:I4"/>
    <mergeCell ref="G576:J576"/>
    <mergeCell ref="G288:J288"/>
    <mergeCell ref="G318:J318"/>
    <mergeCell ref="G348:J348"/>
    <mergeCell ref="G378:J378"/>
    <mergeCell ref="G408:J408"/>
  </mergeCells>
  <pageMargins left="0.7" right="0.7" top="0.75" bottom="0.75" header="0.3" footer="0.3"/>
  <ignoredErrors>
    <ignoredError sqref="J190 J448 J450 J27:J30 J36:J40 J48:J49 J47 J34:J35 J112 J104 J110 J108 J125 J32 J143 J139 J141 J137 J161 J159" formula="1"/>
    <ignoredError sqref="I33" evalError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3779-24C6-4B73-9F11-09D6E8B86D06}">
  <dimension ref="B2:J31"/>
  <sheetViews>
    <sheetView workbookViewId="0">
      <selection activeCell="I31" sqref="I31"/>
    </sheetView>
  </sheetViews>
  <sheetFormatPr defaultRowHeight="15" x14ac:dyDescent="0.25"/>
  <cols>
    <col min="1" max="1" width="3.28515625" style="1" customWidth="1"/>
    <col min="2" max="2" width="37.28515625" style="1" bestFit="1" customWidth="1"/>
    <col min="3" max="6" width="12.7109375" style="1" customWidth="1"/>
    <col min="7" max="7" width="9.140625" style="1"/>
    <col min="8" max="8" width="10" style="1" bestFit="1" customWidth="1"/>
    <col min="9" max="16384" width="9.140625" style="1"/>
  </cols>
  <sheetData>
    <row r="2" spans="2:8" ht="21" customHeight="1" x14ac:dyDescent="0.25">
      <c r="B2" s="136" t="s">
        <v>280</v>
      </c>
      <c r="C2" s="136"/>
      <c r="D2" s="136"/>
      <c r="E2" s="136"/>
      <c r="F2" s="136"/>
    </row>
    <row r="3" spans="2:8" x14ac:dyDescent="0.25">
      <c r="B3" s="1" t="s">
        <v>281</v>
      </c>
    </row>
    <row r="5" spans="2:8" x14ac:dyDescent="0.25">
      <c r="B5" s="1" t="s">
        <v>282</v>
      </c>
      <c r="F5" s="40">
        <v>242259862</v>
      </c>
    </row>
    <row r="6" spans="2:8" x14ac:dyDescent="0.25">
      <c r="B6" s="1" t="s">
        <v>283</v>
      </c>
      <c r="F6" s="40">
        <f>E27</f>
        <v>4102770</v>
      </c>
    </row>
    <row r="7" spans="2:8" x14ac:dyDescent="0.25">
      <c r="B7" s="1" t="s">
        <v>284</v>
      </c>
      <c r="F7" s="40">
        <f>F27/F10</f>
        <v>2759222.7066560388</v>
      </c>
      <c r="H7" s="40">
        <f>F6-F7</f>
        <v>1343547.2933439612</v>
      </c>
    </row>
    <row r="8" spans="2:8" x14ac:dyDescent="0.25">
      <c r="B8" s="10" t="s">
        <v>304</v>
      </c>
      <c r="C8" s="10"/>
      <c r="D8" s="10"/>
      <c r="E8" s="10"/>
      <c r="F8" s="135">
        <f>F5+F6-F7</f>
        <v>243603409.29334396</v>
      </c>
    </row>
    <row r="10" spans="2:8" x14ac:dyDescent="0.25">
      <c r="B10" s="1" t="s">
        <v>297</v>
      </c>
      <c r="F10" s="139">
        <v>25.09</v>
      </c>
    </row>
    <row r="11" spans="2:8" x14ac:dyDescent="0.25">
      <c r="F11" s="139"/>
    </row>
    <row r="12" spans="2:8" x14ac:dyDescent="0.25">
      <c r="B12" s="1" t="s">
        <v>285</v>
      </c>
      <c r="F12" s="139">
        <f>F10*F8/10^6</f>
        <v>6112.0095391699997</v>
      </c>
    </row>
    <row r="13" spans="2:8" x14ac:dyDescent="0.25">
      <c r="B13" s="1" t="s">
        <v>286</v>
      </c>
      <c r="F13" s="139">
        <f>F30</f>
        <v>6615.9000000000015</v>
      </c>
    </row>
    <row r="14" spans="2:8" x14ac:dyDescent="0.25">
      <c r="B14" s="1" t="s">
        <v>287</v>
      </c>
      <c r="F14" s="139">
        <v>0</v>
      </c>
    </row>
    <row r="15" spans="2:8" x14ac:dyDescent="0.25">
      <c r="B15" s="1" t="s">
        <v>288</v>
      </c>
      <c r="F15" s="139">
        <v>0</v>
      </c>
    </row>
    <row r="16" spans="2:8" x14ac:dyDescent="0.25">
      <c r="B16" s="1" t="s">
        <v>289</v>
      </c>
      <c r="F16" s="139">
        <f>F27*10^-6</f>
        <v>69.228897709999998</v>
      </c>
    </row>
    <row r="17" spans="2:10" x14ac:dyDescent="0.25">
      <c r="B17" s="1" t="s">
        <v>290</v>
      </c>
      <c r="F17" s="139">
        <f>F31</f>
        <v>56.2</v>
      </c>
    </row>
    <row r="18" spans="2:10" x14ac:dyDescent="0.25">
      <c r="B18" s="12" t="s">
        <v>291</v>
      </c>
      <c r="C18" s="12"/>
      <c r="D18" s="12"/>
      <c r="E18" s="12"/>
      <c r="F18" s="141">
        <f>F12+F13+F14+F15+F16-F17</f>
        <v>12740.93843688</v>
      </c>
      <c r="J18" s="1">
        <v>12790.21096328</v>
      </c>
    </row>
    <row r="20" spans="2:10" x14ac:dyDescent="0.25">
      <c r="B20" s="138" t="s">
        <v>292</v>
      </c>
      <c r="C20" s="137" t="s">
        <v>293</v>
      </c>
      <c r="D20" s="137" t="s">
        <v>294</v>
      </c>
      <c r="E20" s="137" t="s">
        <v>295</v>
      </c>
      <c r="F20" s="137" t="s">
        <v>296</v>
      </c>
    </row>
    <row r="21" spans="2:10" x14ac:dyDescent="0.25">
      <c r="B21" s="1" t="s">
        <v>298</v>
      </c>
      <c r="C21" s="40">
        <v>113104</v>
      </c>
      <c r="D21" s="139">
        <v>17.239999999999998</v>
      </c>
      <c r="E21" s="40">
        <f>C21*($F$10&gt;D21)</f>
        <v>113104</v>
      </c>
      <c r="F21" s="40">
        <f>D21*E21</f>
        <v>1949912.9599999997</v>
      </c>
    </row>
    <row r="22" spans="2:10" x14ac:dyDescent="0.25">
      <c r="B22" s="1" t="s">
        <v>299</v>
      </c>
      <c r="C22" s="40">
        <v>129788</v>
      </c>
      <c r="D22" s="139">
        <v>16.329999999999998</v>
      </c>
      <c r="E22" s="40">
        <f t="shared" ref="E22:E26" si="0">C22*($F$10&gt;D22)</f>
        <v>129788</v>
      </c>
      <c r="F22" s="40">
        <f t="shared" ref="F22:F26" si="1">D22*E22</f>
        <v>2119438.0399999996</v>
      </c>
    </row>
    <row r="23" spans="2:10" x14ac:dyDescent="0.25">
      <c r="B23" s="1" t="s">
        <v>300</v>
      </c>
      <c r="C23" s="40">
        <v>710275</v>
      </c>
      <c r="D23" s="139">
        <v>16.52</v>
      </c>
      <c r="E23" s="40">
        <f t="shared" si="0"/>
        <v>710275</v>
      </c>
      <c r="F23" s="40">
        <f t="shared" si="1"/>
        <v>11733743</v>
      </c>
    </row>
    <row r="24" spans="2:10" x14ac:dyDescent="0.25">
      <c r="B24" s="1" t="s">
        <v>301</v>
      </c>
      <c r="C24" s="40">
        <v>1155083</v>
      </c>
      <c r="D24" s="139">
        <v>14.74</v>
      </c>
      <c r="E24" s="40">
        <f t="shared" si="0"/>
        <v>1155083</v>
      </c>
      <c r="F24" s="40">
        <f t="shared" si="1"/>
        <v>17025923.420000002</v>
      </c>
    </row>
    <row r="25" spans="2:10" x14ac:dyDescent="0.25">
      <c r="B25" s="1" t="s">
        <v>302</v>
      </c>
      <c r="C25" s="40">
        <v>956427</v>
      </c>
      <c r="D25" s="139">
        <v>17.87</v>
      </c>
      <c r="E25" s="40">
        <f t="shared" si="0"/>
        <v>956427</v>
      </c>
      <c r="F25" s="40">
        <f t="shared" si="1"/>
        <v>17091350.490000002</v>
      </c>
    </row>
    <row r="26" spans="2:10" x14ac:dyDescent="0.25">
      <c r="B26" s="1" t="s">
        <v>303</v>
      </c>
      <c r="C26" s="40">
        <v>1038093</v>
      </c>
      <c r="D26" s="139">
        <v>18.600000000000001</v>
      </c>
      <c r="E26" s="40">
        <f t="shared" si="0"/>
        <v>1038093</v>
      </c>
      <c r="F26" s="40">
        <f t="shared" si="1"/>
        <v>19308529.800000001</v>
      </c>
    </row>
    <row r="27" spans="2:10" x14ac:dyDescent="0.25">
      <c r="B27" s="10"/>
      <c r="C27" s="135"/>
      <c r="D27" s="140">
        <f>SUM(D21:D26)</f>
        <v>101.29999999999998</v>
      </c>
      <c r="E27" s="135">
        <f>SUM(E21:E26)</f>
        <v>4102770</v>
      </c>
      <c r="F27" s="135">
        <f>SUM(F21:F26)</f>
        <v>69228897.710000008</v>
      </c>
    </row>
    <row r="30" spans="2:10" x14ac:dyDescent="0.25">
      <c r="B30" s="1" t="s">
        <v>305</v>
      </c>
      <c r="F30" s="139">
        <f>Model!I146+Model!I150+Model!I153+Model!I156</f>
        <v>6615.9000000000015</v>
      </c>
    </row>
    <row r="31" spans="2:10" x14ac:dyDescent="0.25">
      <c r="B31" s="1" t="s">
        <v>306</v>
      </c>
      <c r="F31" s="1">
        <f>Model!I96</f>
        <v>56.2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Capstack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2021-06-22T04:03:04Z</dcterms:created>
  <dcterms:modified xsi:type="dcterms:W3CDTF">2021-06-25T08:53:40Z</dcterms:modified>
</cp:coreProperties>
</file>